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I" sheetId="49" r:id="rId3"/>
    <sheet name="SC-I" sheetId="48"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s>
  <definedNames>
    <definedName name="_C111">TH!$S$10:$S$4066</definedName>
    <definedName name="_C112">TH!$V$10:$V$4066</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'131'!$A$1:$N$25</definedName>
    <definedName name="_xlnm._FilterDatabase" localSheetId="15" hidden="1">'152-CT'!$A$12:$Q$56</definedName>
    <definedName name="_xlnm._FilterDatabase" localSheetId="10" hidden="1">'331'!$A$3:$I$95</definedName>
    <definedName name="_xlnm._FilterDatabase" localSheetId="11" hidden="1">'331-CT'!$A$12:$L$30</definedName>
    <definedName name="_xlnm._FilterDatabase" localSheetId="6" hidden="1">CTTK!$A$14:$J$42</definedName>
    <definedName name="_xlnm._FilterDatabase" localSheetId="14" hidden="1">NXT!$B$11:$O$11</definedName>
    <definedName name="_xlnm._FilterDatabase" localSheetId="3" hidden="1">'SC-I'!$A$9:$BA$54</definedName>
    <definedName name="_xlnm._FilterDatabase" localSheetId="2" hidden="1">'SC-II'!$A$9:$BA$54</definedName>
    <definedName name="_xlnm._FilterDatabase" localSheetId="4" hidden="1">'SC-III'!$A$9:$BA$54</definedName>
    <definedName name="_xlnm._FilterDatabase" localSheetId="5" hidden="1">'SC-IV'!$A$9:$BA$54</definedName>
    <definedName name="_xlnm._FilterDatabase" localSheetId="1" hidden="1">TH!$A$9:$AF$4066</definedName>
    <definedName name="_xlnm._FilterDatabase" localSheetId="20" hidden="1">TK!$A$1:$J$1</definedName>
    <definedName name="_N111">TH!$R$10:$R$4066</definedName>
    <definedName name="_N112">TH!$U$10:$U$4066</definedName>
    <definedName name="_TH">TH!$K$10:$K$4066</definedName>
    <definedName name="DG">TH!$J$10:$J$4066</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'131'!$B$5:$B$24</definedName>
    <definedName name="DSGT1">BTGT!$B$6:$B$17</definedName>
    <definedName name="DSGT10">BTGT!$B$233:$B$237</definedName>
    <definedName name="DSGT11">BTGT!$B$256:$B$261</definedName>
    <definedName name="DSGT12">BTGT!$B$286:$B$297</definedName>
    <definedName name="DSGT2">BTGT!$B$49:$B$51</definedName>
    <definedName name="DSGT3">BTGT!$B$69:$B$73</definedName>
    <definedName name="DSGT4">BTGT!$B$89:$B$92</definedName>
    <definedName name="DSGT5">BTGT!$B$106:$B$112</definedName>
    <definedName name="DSGT6">BTGT!$B$130:$B$145</definedName>
    <definedName name="DSGT7">BTGT!$B$159:$B$167</definedName>
    <definedName name="DSGT8">BTGT!$B$182:$B$188</definedName>
    <definedName name="DSGT9">BTGT!$B$205:$B$212</definedName>
    <definedName name="DSKH">'331'!$B$4:$B$94</definedName>
    <definedName name="DSKU">'341'!$B$5:$B$36</definedName>
    <definedName name="DSNL">NXT!$N$12:$S$554</definedName>
    <definedName name="DSSP1">BTGT!$B$6:$P$17</definedName>
    <definedName name="DSSP10">BTGT!$B$233:$P$237</definedName>
    <definedName name="DSSP11">BTGT!$B$256:$P$261</definedName>
    <definedName name="DSSP12">BTGT!$B$286:$P$297</definedName>
    <definedName name="DSSP2">BTGT!$B$49:$P$51</definedName>
    <definedName name="DSSP3">BTGT!$B$69:$P$73</definedName>
    <definedName name="DSSP4">BTGT!$B$89:$P$92</definedName>
    <definedName name="DSSP5">BTGT!$B$106:$P$112</definedName>
    <definedName name="DSSP6">BTGT!$B$130:$P$144</definedName>
    <definedName name="DSSP7">BTGT!$B$159:$P$167</definedName>
    <definedName name="DSSP8">BTGT!$B$182:$P$188</definedName>
    <definedName name="DSSP9">BTGT!$B$205:$P$212</definedName>
    <definedName name="DSTK">CDPS!$A$10:$D$74</definedName>
    <definedName name="DSTS1">'SO-TS'!$D$14:$D$34</definedName>
    <definedName name="DSTS2">'SO-TS'!$D$65:$D$66</definedName>
    <definedName name="KH">TH!$H$10:$H$4066</definedName>
    <definedName name="KHC">TH!$O$10:$O$4066</definedName>
    <definedName name="KHN">TH!$N$10:$N$4066</definedName>
    <definedName name="Loai">OFFSET(TH!$P$5,,,COUNTA(TH!$P$5:$P$10371))</definedName>
    <definedName name="Loai1">OFFSET(TH!$Q$5,,,COUNTA(TH!$Q$5:$Q$42237))</definedName>
    <definedName name="Loai10">OFFSET(TH!$AD$5,,,COUNTA(TH!$AD$5:$AD$42237))</definedName>
    <definedName name="Loai11">OFFSET(TH!$Y$5,,,COUNTA(TH!$Y$5:$Y$42237))</definedName>
    <definedName name="Loai2">OFFSET(TH!$T$5,,,COUNTA(TH!$T$5:$T$42237))</definedName>
    <definedName name="Loai3">OFFSET('SO-TS'!$P$13,,,COUNTA('SO-TS'!$P$13:$P$3936))</definedName>
    <definedName name="Loai4">OFFSET(TH!$W$5,,,COUNTA(TH!$W$5:$W$42237))</definedName>
    <definedName name="Loai5">OFFSET(TH!$X$5,,,COUNTA(TH!$X$5:$X$42237))</definedName>
    <definedName name="Loai6">OFFSET(TH!$Z$5,,,COUNTA(TH!$Z$5:$Z$42237))</definedName>
    <definedName name="Loai7">OFFSET(TH!$AA$5,,,COUNTA(TH!$AA$5:$AA$42237))</definedName>
    <definedName name="Loai8">OFFSET(TH!$AB$5,,,COUNTA(TH!$AB$5:$AB$42237))</definedName>
    <definedName name="Loai9">OFFSET(TH!$AC$5,,,COUNTA(TH!$AC$5:$AC$42237))</definedName>
    <definedName name="MH">TH!$F$10:$F$4066</definedName>
    <definedName name="NXT">NXT!$A$12:$A$434</definedName>
    <definedName name="_xlnm.Print_Area" localSheetId="8">'111'!$A$1:$J$135</definedName>
    <definedName name="_xlnm.Print_Area" localSheetId="9">'112'!$A$1:$I$138</definedName>
    <definedName name="_xlnm.Print_Area" localSheetId="15">'152-CT'!$B$2:$M$56</definedName>
    <definedName name="_xlnm.Print_Area" localSheetId="10">'331'!$A$1:$H$95</definedName>
    <definedName name="_xlnm.Print_Area" localSheetId="11">'331-CT'!$A$1:$J$38</definedName>
    <definedName name="_xlnm.Print_Area" localSheetId="16">'341'!$A$1:$P$37</definedName>
    <definedName name="_xlnm.Print_Area" localSheetId="17">'341-CT'!$A$1:$N$30</definedName>
    <definedName name="_xlnm.Print_Area" localSheetId="22">'BK-NL'!$A$1:$K$53</definedName>
    <definedName name="_xlnm.Print_Area" localSheetId="21">BTGT!$A$126:$P$189</definedName>
    <definedName name="_xlnm.Print_Area" localSheetId="6">CTTK!$A$2:$I$49</definedName>
    <definedName name="_xlnm.Print_Area" localSheetId="19">'IN-NX'!$A$1:$I$30</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3">'SC-I'!$A:$A,'SC-I'!$7:$9</definedName>
    <definedName name="_xlnm.Print_Titles" localSheetId="2">'SC-II'!$A:$A,'SC-II'!$7:$9</definedName>
    <definedName name="_xlnm.Print_Titles" localSheetId="4">'SC-III'!$A:$A,'SC-III'!$7:$9</definedName>
    <definedName name="_xlnm.Print_Titles" localSheetId="5">'SC-IV'!$A:$A,'SC-IV'!$7:$9</definedName>
    <definedName name="_xlnm.Print_Titles" localSheetId="24">'SO-TS'!$9:$12</definedName>
    <definedName name="SL">TH!$I$10:$I$4066</definedName>
    <definedName name="TH">TH!$M$10:$M$4066</definedName>
    <definedName name="TM">TH!$A$10:$O$4066</definedName>
  </definedNames>
  <calcPr calcId="124519"/>
</workbook>
</file>

<file path=xl/calcChain.xml><?xml version="1.0" encoding="utf-8"?>
<calcChain xmlns="http://schemas.openxmlformats.org/spreadsheetml/2006/main">
  <c r="M337" i="34"/>
  <c r="B337"/>
  <c r="A337" s="1"/>
  <c r="P337"/>
  <c r="Q337"/>
  <c r="T337"/>
  <c r="U337"/>
  <c r="V337"/>
  <c r="W337"/>
  <c r="Y337"/>
  <c r="AA337"/>
  <c r="AB337"/>
  <c r="AC337"/>
  <c r="AD337"/>
  <c r="L50" i="60"/>
  <c r="L49"/>
  <c r="L69"/>
  <c r="E321" i="34"/>
  <c r="E320"/>
  <c r="AA320" s="1"/>
  <c r="B320"/>
  <c r="A320" s="1"/>
  <c r="P320"/>
  <c r="Q320"/>
  <c r="T320"/>
  <c r="U320"/>
  <c r="V320"/>
  <c r="W320"/>
  <c r="Y320"/>
  <c r="AB320"/>
  <c r="AC320"/>
  <c r="AD320"/>
  <c r="B321"/>
  <c r="A321" s="1"/>
  <c r="P321"/>
  <c r="Q321"/>
  <c r="S321"/>
  <c r="T321"/>
  <c r="U321"/>
  <c r="V321"/>
  <c r="W321"/>
  <c r="Y321"/>
  <c r="AA321"/>
  <c r="AB321"/>
  <c r="AC321"/>
  <c r="AD321"/>
  <c r="G18" i="55" a="1"/>
  <c r="G18" s="1"/>
  <c r="I18" a="1"/>
  <c r="I18" s="1"/>
  <c r="M338" i="34"/>
  <c r="M339"/>
  <c r="M340"/>
  <c r="M341"/>
  <c r="M342"/>
  <c r="M343"/>
  <c r="M344"/>
  <c r="M345"/>
  <c r="M346"/>
  <c r="M347"/>
  <c r="M348"/>
  <c r="AD348"/>
  <c r="AC348"/>
  <c r="AB348"/>
  <c r="AA348"/>
  <c r="Y348"/>
  <c r="W348"/>
  <c r="V348"/>
  <c r="U348"/>
  <c r="T348"/>
  <c r="P348"/>
  <c r="B348"/>
  <c r="R348" s="1"/>
  <c r="AD347"/>
  <c r="AC347"/>
  <c r="AB347"/>
  <c r="AA347"/>
  <c r="Y347"/>
  <c r="W347"/>
  <c r="V347"/>
  <c r="U347"/>
  <c r="T347"/>
  <c r="P347"/>
  <c r="B347"/>
  <c r="R347" s="1"/>
  <c r="AD346"/>
  <c r="AC346"/>
  <c r="AB346"/>
  <c r="AA346"/>
  <c r="Y346"/>
  <c r="W346"/>
  <c r="V346"/>
  <c r="U346"/>
  <c r="T346"/>
  <c r="P346"/>
  <c r="B346"/>
  <c r="R346" s="1"/>
  <c r="AD345"/>
  <c r="AC345"/>
  <c r="AB345"/>
  <c r="AA345"/>
  <c r="Y345"/>
  <c r="W345"/>
  <c r="V345"/>
  <c r="U345"/>
  <c r="T345"/>
  <c r="P345"/>
  <c r="B345"/>
  <c r="R345" s="1"/>
  <c r="AD344"/>
  <c r="AC344"/>
  <c r="AB344"/>
  <c r="AA344"/>
  <c r="Y344"/>
  <c r="W344"/>
  <c r="V344"/>
  <c r="U344"/>
  <c r="T344"/>
  <c r="P344"/>
  <c r="R344"/>
  <c r="AD343"/>
  <c r="AC343"/>
  <c r="AB343"/>
  <c r="AA343"/>
  <c r="Y343"/>
  <c r="W343"/>
  <c r="V343"/>
  <c r="U343"/>
  <c r="T343"/>
  <c r="P343"/>
  <c r="R343"/>
  <c r="AD342"/>
  <c r="AC342"/>
  <c r="AB342"/>
  <c r="AA342"/>
  <c r="Y342"/>
  <c r="W342"/>
  <c r="V342"/>
  <c r="U342"/>
  <c r="T342"/>
  <c r="P342"/>
  <c r="R342"/>
  <c r="AD341"/>
  <c r="AC341"/>
  <c r="AB341"/>
  <c r="AA341"/>
  <c r="Y341"/>
  <c r="W341"/>
  <c r="V341"/>
  <c r="U341"/>
  <c r="T341"/>
  <c r="P341"/>
  <c r="R341"/>
  <c r="AD340"/>
  <c r="AC340"/>
  <c r="AB340"/>
  <c r="AA340"/>
  <c r="Y340"/>
  <c r="W340"/>
  <c r="V340"/>
  <c r="U340"/>
  <c r="T340"/>
  <c r="P340"/>
  <c r="R340"/>
  <c r="AD339"/>
  <c r="AC339"/>
  <c r="AB339"/>
  <c r="AA339"/>
  <c r="Y339"/>
  <c r="W339"/>
  <c r="V339"/>
  <c r="U339"/>
  <c r="T339"/>
  <c r="P339"/>
  <c r="R339"/>
  <c r="AD338"/>
  <c r="AC338"/>
  <c r="AB338"/>
  <c r="AA338"/>
  <c r="Y338"/>
  <c r="W338"/>
  <c r="V338"/>
  <c r="U338"/>
  <c r="T338"/>
  <c r="P338"/>
  <c r="R338"/>
  <c r="M367"/>
  <c r="M365"/>
  <c r="M366"/>
  <c r="V62" i="60"/>
  <c r="V61"/>
  <c r="V60"/>
  <c r="M364" i="34"/>
  <c r="AD391"/>
  <c r="AC391"/>
  <c r="AB391"/>
  <c r="AA391"/>
  <c r="Y391"/>
  <c r="W391"/>
  <c r="V391"/>
  <c r="U391"/>
  <c r="T391"/>
  <c r="P391"/>
  <c r="B391"/>
  <c r="R391" s="1"/>
  <c r="AD390"/>
  <c r="AC390"/>
  <c r="AB390"/>
  <c r="AA390"/>
  <c r="Y390"/>
  <c r="W390"/>
  <c r="V390"/>
  <c r="U390"/>
  <c r="T390"/>
  <c r="P390"/>
  <c r="B390"/>
  <c r="R390" s="1"/>
  <c r="AD389"/>
  <c r="AC389"/>
  <c r="AB389"/>
  <c r="AA389"/>
  <c r="Y389"/>
  <c r="W389"/>
  <c r="V389"/>
  <c r="U389"/>
  <c r="T389"/>
  <c r="P389"/>
  <c r="B389"/>
  <c r="R389" s="1"/>
  <c r="AD388"/>
  <c r="AC388"/>
  <c r="AB388"/>
  <c r="AA388"/>
  <c r="Y388"/>
  <c r="W388"/>
  <c r="V388"/>
  <c r="U388"/>
  <c r="T388"/>
  <c r="P388"/>
  <c r="B388"/>
  <c r="R388" s="1"/>
  <c r="AD387"/>
  <c r="AC387"/>
  <c r="AB387"/>
  <c r="AA387"/>
  <c r="Y387"/>
  <c r="W387"/>
  <c r="V387"/>
  <c r="U387"/>
  <c r="T387"/>
  <c r="P387"/>
  <c r="B387"/>
  <c r="R387" s="1"/>
  <c r="AD386"/>
  <c r="AC386"/>
  <c r="AB386"/>
  <c r="AA386"/>
  <c r="Y386"/>
  <c r="W386"/>
  <c r="V386"/>
  <c r="U386"/>
  <c r="T386"/>
  <c r="P386"/>
  <c r="B386"/>
  <c r="R386" s="1"/>
  <c r="AD385"/>
  <c r="AC385"/>
  <c r="AB385"/>
  <c r="AA385"/>
  <c r="Y385"/>
  <c r="W385"/>
  <c r="V385"/>
  <c r="U385"/>
  <c r="T385"/>
  <c r="P385"/>
  <c r="B385"/>
  <c r="R385" s="1"/>
  <c r="AD384"/>
  <c r="AC384"/>
  <c r="AB384"/>
  <c r="AA384"/>
  <c r="Y384"/>
  <c r="W384"/>
  <c r="V384"/>
  <c r="U384"/>
  <c r="T384"/>
  <c r="P384"/>
  <c r="B384"/>
  <c r="R384" s="1"/>
  <c r="AD383"/>
  <c r="AC383"/>
  <c r="AB383"/>
  <c r="AA383"/>
  <c r="Y383"/>
  <c r="W383"/>
  <c r="V383"/>
  <c r="U383"/>
  <c r="T383"/>
  <c r="P383"/>
  <c r="B383"/>
  <c r="R383" s="1"/>
  <c r="AD382"/>
  <c r="AC382"/>
  <c r="AB382"/>
  <c r="AA382"/>
  <c r="Y382"/>
  <c r="W382"/>
  <c r="V382"/>
  <c r="U382"/>
  <c r="T382"/>
  <c r="P382"/>
  <c r="B382"/>
  <c r="R382" s="1"/>
  <c r="AD381"/>
  <c r="AC381"/>
  <c r="AB381"/>
  <c r="AA381"/>
  <c r="Y381"/>
  <c r="W381"/>
  <c r="V381"/>
  <c r="U381"/>
  <c r="T381"/>
  <c r="P381"/>
  <c r="B381"/>
  <c r="R381" s="1"/>
  <c r="AD380"/>
  <c r="AC380"/>
  <c r="AB380"/>
  <c r="AA380"/>
  <c r="Y380"/>
  <c r="W380"/>
  <c r="V380"/>
  <c r="U380"/>
  <c r="T380"/>
  <c r="P380"/>
  <c r="B380"/>
  <c r="R380" s="1"/>
  <c r="AD379"/>
  <c r="AC379"/>
  <c r="AB379"/>
  <c r="AA379"/>
  <c r="Y379"/>
  <c r="W379"/>
  <c r="V379"/>
  <c r="U379"/>
  <c r="T379"/>
  <c r="P379"/>
  <c r="B379"/>
  <c r="R379" s="1"/>
  <c r="AD378"/>
  <c r="AC378"/>
  <c r="AB378"/>
  <c r="AA378"/>
  <c r="Y378"/>
  <c r="W378"/>
  <c r="V378"/>
  <c r="U378"/>
  <c r="T378"/>
  <c r="P378"/>
  <c r="B378"/>
  <c r="R378" s="1"/>
  <c r="AD377"/>
  <c r="AC377"/>
  <c r="AB377"/>
  <c r="AA377"/>
  <c r="Y377"/>
  <c r="W377"/>
  <c r="V377"/>
  <c r="U377"/>
  <c r="T377"/>
  <c r="P377"/>
  <c r="B377"/>
  <c r="R377" s="1"/>
  <c r="AD376"/>
  <c r="AC376"/>
  <c r="AB376"/>
  <c r="AA376"/>
  <c r="Y376"/>
  <c r="W376"/>
  <c r="V376"/>
  <c r="U376"/>
  <c r="T376"/>
  <c r="P376"/>
  <c r="B376"/>
  <c r="R376" s="1"/>
  <c r="AD375"/>
  <c r="AC375"/>
  <c r="AB375"/>
  <c r="AA375"/>
  <c r="Y375"/>
  <c r="W375"/>
  <c r="V375"/>
  <c r="U375"/>
  <c r="T375"/>
  <c r="P375"/>
  <c r="B375"/>
  <c r="R375" s="1"/>
  <c r="AD374"/>
  <c r="AC374"/>
  <c r="AB374"/>
  <c r="AA374"/>
  <c r="Y374"/>
  <c r="W374"/>
  <c r="V374"/>
  <c r="U374"/>
  <c r="T374"/>
  <c r="P374"/>
  <c r="B374"/>
  <c r="R374" s="1"/>
  <c r="AD373"/>
  <c r="AC373"/>
  <c r="AB373"/>
  <c r="AA373"/>
  <c r="Y373"/>
  <c r="W373"/>
  <c r="V373"/>
  <c r="U373"/>
  <c r="T373"/>
  <c r="P373"/>
  <c r="B373"/>
  <c r="R373" s="1"/>
  <c r="AD372"/>
  <c r="AC372"/>
  <c r="AB372"/>
  <c r="AA372"/>
  <c r="Y372"/>
  <c r="W372"/>
  <c r="V372"/>
  <c r="U372"/>
  <c r="T372"/>
  <c r="P372"/>
  <c r="B372"/>
  <c r="R372" s="1"/>
  <c r="AD371"/>
  <c r="AC371"/>
  <c r="AB371"/>
  <c r="AA371"/>
  <c r="Y371"/>
  <c r="W371"/>
  <c r="V371"/>
  <c r="U371"/>
  <c r="T371"/>
  <c r="P371"/>
  <c r="B371"/>
  <c r="R371" s="1"/>
  <c r="AD370"/>
  <c r="AC370"/>
  <c r="AB370"/>
  <c r="AA370"/>
  <c r="Y370"/>
  <c r="W370"/>
  <c r="V370"/>
  <c r="U370"/>
  <c r="T370"/>
  <c r="P370"/>
  <c r="B370"/>
  <c r="R370" s="1"/>
  <c r="AD369"/>
  <c r="AC369"/>
  <c r="AB369"/>
  <c r="AA369"/>
  <c r="Y369"/>
  <c r="W369"/>
  <c r="V369"/>
  <c r="U369"/>
  <c r="T369"/>
  <c r="P369"/>
  <c r="B369"/>
  <c r="R369" s="1"/>
  <c r="AD368"/>
  <c r="AC368"/>
  <c r="AB368"/>
  <c r="AA368"/>
  <c r="Y368"/>
  <c r="W368"/>
  <c r="V368"/>
  <c r="U368"/>
  <c r="T368"/>
  <c r="P368"/>
  <c r="B368"/>
  <c r="R368" s="1"/>
  <c r="AD367"/>
  <c r="AC367"/>
  <c r="AB367"/>
  <c r="AA367"/>
  <c r="Y367"/>
  <c r="W367"/>
  <c r="V367"/>
  <c r="U367"/>
  <c r="T367"/>
  <c r="P367"/>
  <c r="R367"/>
  <c r="AD366"/>
  <c r="AC366"/>
  <c r="AB366"/>
  <c r="AA366"/>
  <c r="Y366"/>
  <c r="W366"/>
  <c r="V366"/>
  <c r="U366"/>
  <c r="T366"/>
  <c r="P366"/>
  <c r="R366"/>
  <c r="AD365"/>
  <c r="AC365"/>
  <c r="AB365"/>
  <c r="AA365"/>
  <c r="Y365"/>
  <c r="W365"/>
  <c r="V365"/>
  <c r="U365"/>
  <c r="T365"/>
  <c r="P365"/>
  <c r="R365"/>
  <c r="M362"/>
  <c r="M361"/>
  <c r="M350"/>
  <c r="M351"/>
  <c r="M353"/>
  <c r="M354"/>
  <c r="M355"/>
  <c r="M356"/>
  <c r="M357"/>
  <c r="M358"/>
  <c r="M359"/>
  <c r="M349"/>
  <c r="AD356"/>
  <c r="AC356"/>
  <c r="AB356"/>
  <c r="AA356"/>
  <c r="Y356"/>
  <c r="W356"/>
  <c r="V356"/>
  <c r="U356"/>
  <c r="T356"/>
  <c r="P356"/>
  <c r="R356"/>
  <c r="AD355"/>
  <c r="AC355"/>
  <c r="AB355"/>
  <c r="AA355"/>
  <c r="Y355"/>
  <c r="W355"/>
  <c r="V355"/>
  <c r="U355"/>
  <c r="T355"/>
  <c r="S355"/>
  <c r="R355"/>
  <c r="Q355"/>
  <c r="P355"/>
  <c r="AD354"/>
  <c r="AC354"/>
  <c r="AB354"/>
  <c r="AA354"/>
  <c r="Y354"/>
  <c r="W354"/>
  <c r="V354"/>
  <c r="U354"/>
  <c r="T354"/>
  <c r="S354"/>
  <c r="R354"/>
  <c r="Q354"/>
  <c r="P354"/>
  <c r="AD353"/>
  <c r="AC353"/>
  <c r="AB353"/>
  <c r="AA353"/>
  <c r="Y353"/>
  <c r="W353"/>
  <c r="V353"/>
  <c r="U353"/>
  <c r="T353"/>
  <c r="S353"/>
  <c r="R353"/>
  <c r="Q353"/>
  <c r="P353"/>
  <c r="AD352"/>
  <c r="AC352"/>
  <c r="AB352"/>
  <c r="AA352"/>
  <c r="Y352"/>
  <c r="W352"/>
  <c r="V352"/>
  <c r="U352"/>
  <c r="T352"/>
  <c r="S352"/>
  <c r="R352"/>
  <c r="Q352"/>
  <c r="P352"/>
  <c r="AD351"/>
  <c r="AC351"/>
  <c r="AB351"/>
  <c r="AA351"/>
  <c r="Y351"/>
  <c r="W351"/>
  <c r="V351"/>
  <c r="U351"/>
  <c r="T351"/>
  <c r="S351"/>
  <c r="R351"/>
  <c r="Q351"/>
  <c r="P351"/>
  <c r="AD350"/>
  <c r="AC350"/>
  <c r="AB350"/>
  <c r="AA350"/>
  <c r="Y350"/>
  <c r="W350"/>
  <c r="V350"/>
  <c r="U350"/>
  <c r="T350"/>
  <c r="S350"/>
  <c r="R350"/>
  <c r="Q350"/>
  <c r="P350"/>
  <c r="AD349"/>
  <c r="AC349"/>
  <c r="AB349"/>
  <c r="AA349"/>
  <c r="Y349"/>
  <c r="W349"/>
  <c r="V349"/>
  <c r="U349"/>
  <c r="T349"/>
  <c r="S349"/>
  <c r="R349"/>
  <c r="Q349"/>
  <c r="P349"/>
  <c r="J8" i="60"/>
  <c r="J9"/>
  <c r="J10"/>
  <c r="J11"/>
  <c r="J12"/>
  <c r="J13"/>
  <c r="J14"/>
  <c r="J15"/>
  <c r="J16"/>
  <c r="S337" i="34" l="1"/>
  <c r="R337"/>
  <c r="A348"/>
  <c r="A347"/>
  <c r="S320"/>
  <c r="R321"/>
  <c r="R320"/>
  <c r="Q338"/>
  <c r="S338"/>
  <c r="Q339"/>
  <c r="S339"/>
  <c r="Q340"/>
  <c r="S340"/>
  <c r="Q341"/>
  <c r="S341"/>
  <c r="Q342"/>
  <c r="S342"/>
  <c r="Q343"/>
  <c r="S343"/>
  <c r="Q344"/>
  <c r="S344"/>
  <c r="Q345"/>
  <c r="S345"/>
  <c r="Q346"/>
  <c r="S346"/>
  <c r="Q347"/>
  <c r="S347"/>
  <c r="Q348"/>
  <c r="S348"/>
  <c r="A338"/>
  <c r="A339"/>
  <c r="A340"/>
  <c r="A341"/>
  <c r="A342"/>
  <c r="A343"/>
  <c r="A344"/>
  <c r="A345"/>
  <c r="A346"/>
  <c r="A391"/>
  <c r="A356"/>
  <c r="Q365"/>
  <c r="S365"/>
  <c r="Q366"/>
  <c r="S366"/>
  <c r="Q367"/>
  <c r="S367"/>
  <c r="Q368"/>
  <c r="S368"/>
  <c r="Q369"/>
  <c r="S369"/>
  <c r="Q370"/>
  <c r="S370"/>
  <c r="Q371"/>
  <c r="S371"/>
  <c r="Q372"/>
  <c r="S372"/>
  <c r="Q373"/>
  <c r="S373"/>
  <c r="Q374"/>
  <c r="S374"/>
  <c r="Q375"/>
  <c r="S375"/>
  <c r="Q376"/>
  <c r="S376"/>
  <c r="Q377"/>
  <c r="S377"/>
  <c r="Q378"/>
  <c r="S378"/>
  <c r="Q379"/>
  <c r="S379"/>
  <c r="Q380"/>
  <c r="S380"/>
  <c r="Q381"/>
  <c r="S381"/>
  <c r="Q382"/>
  <c r="S382"/>
  <c r="Q383"/>
  <c r="S383"/>
  <c r="Q384"/>
  <c r="S384"/>
  <c r="Q385"/>
  <c r="S385"/>
  <c r="Q386"/>
  <c r="S386"/>
  <c r="Q387"/>
  <c r="S387"/>
  <c r="Q388"/>
  <c r="S388"/>
  <c r="Q389"/>
  <c r="S389"/>
  <c r="Q390"/>
  <c r="S390"/>
  <c r="Q391"/>
  <c r="S391"/>
  <c r="A365"/>
  <c r="A366"/>
  <c r="A367"/>
  <c r="A368"/>
  <c r="A369"/>
  <c r="A370"/>
  <c r="A371"/>
  <c r="A372"/>
  <c r="A373"/>
  <c r="A374"/>
  <c r="A375"/>
  <c r="A376"/>
  <c r="A377"/>
  <c r="A378"/>
  <c r="A379"/>
  <c r="A380"/>
  <c r="A381"/>
  <c r="A382"/>
  <c r="A383"/>
  <c r="A384"/>
  <c r="A385"/>
  <c r="A386"/>
  <c r="A387"/>
  <c r="A388"/>
  <c r="A389"/>
  <c r="A390"/>
  <c r="Q356"/>
  <c r="S356"/>
  <c r="H8" i="60"/>
  <c r="H9"/>
  <c r="H10"/>
  <c r="H11"/>
  <c r="H12"/>
  <c r="H13"/>
  <c r="H14"/>
  <c r="H15"/>
  <c r="H16"/>
  <c r="D18"/>
  <c r="V36" l="1"/>
  <c r="L7" s="1"/>
  <c r="V35"/>
  <c r="L16" s="1"/>
  <c r="V34"/>
  <c r="L15" s="1"/>
  <c r="V33"/>
  <c r="L14" s="1"/>
  <c r="V32"/>
  <c r="L13" s="1"/>
  <c r="V31"/>
  <c r="L10" s="1"/>
  <c r="V30"/>
  <c r="L11" s="1"/>
  <c r="V29"/>
  <c r="L12" s="1"/>
  <c r="V28"/>
  <c r="V27"/>
  <c r="L8" s="1"/>
  <c r="V26"/>
  <c r="V25"/>
  <c r="L9" s="1"/>
  <c r="V39"/>
  <c r="V38"/>
  <c r="V12"/>
  <c r="V11"/>
  <c r="V10"/>
  <c r="V9"/>
  <c r="V8"/>
  <c r="V7"/>
  <c r="V6"/>
  <c r="D16"/>
  <c r="G16" s="1"/>
  <c r="D8"/>
  <c r="D7"/>
  <c r="G7" s="1"/>
  <c r="A6"/>
  <c r="A7" s="1"/>
  <c r="A8" s="1"/>
  <c r="A9" s="1"/>
  <c r="A10" s="1"/>
  <c r="A11" s="1"/>
  <c r="A12" s="1"/>
  <c r="A13" s="1"/>
  <c r="A14" s="1"/>
  <c r="A15" s="1"/>
  <c r="A16" s="1"/>
  <c r="V15"/>
  <c r="D15"/>
  <c r="G15" s="1"/>
  <c r="V14"/>
  <c r="D14"/>
  <c r="G14" s="1"/>
  <c r="V13"/>
  <c r="D13"/>
  <c r="G13" s="1"/>
  <c r="D12"/>
  <c r="G12" s="1"/>
  <c r="D11"/>
  <c r="G11" s="1"/>
  <c r="D10"/>
  <c r="G10" s="1"/>
  <c r="D9"/>
  <c r="G9" s="1"/>
  <c r="K7" l="1"/>
  <c r="G8"/>
  <c r="G18" s="1"/>
  <c r="K14" l="1"/>
  <c r="K15"/>
  <c r="K9"/>
  <c r="K10"/>
  <c r="K11"/>
  <c r="K12"/>
  <c r="K13"/>
  <c r="B483" i="34" l="1"/>
  <c r="A483" s="1"/>
  <c r="P483"/>
  <c r="T483"/>
  <c r="U483"/>
  <c r="V483"/>
  <c r="W483"/>
  <c r="Y483"/>
  <c r="AA483"/>
  <c r="AB483"/>
  <c r="AC483"/>
  <c r="AD483"/>
  <c r="C12"/>
  <c r="B12" s="1"/>
  <c r="P12"/>
  <c r="T12"/>
  <c r="U12"/>
  <c r="V12"/>
  <c r="W12"/>
  <c r="Y12"/>
  <c r="AA12"/>
  <c r="AB12"/>
  <c r="AC12"/>
  <c r="M263"/>
  <c r="E263"/>
  <c r="M262"/>
  <c r="E262"/>
  <c r="B447"/>
  <c r="A447" s="1"/>
  <c r="E447"/>
  <c r="AA447" s="1"/>
  <c r="P447"/>
  <c r="T447"/>
  <c r="U447"/>
  <c r="V447"/>
  <c r="W447"/>
  <c r="Y447"/>
  <c r="AB447"/>
  <c r="AC447"/>
  <c r="AD447"/>
  <c r="M260"/>
  <c r="E261"/>
  <c r="E260"/>
  <c r="M335"/>
  <c r="M334"/>
  <c r="AA336"/>
  <c r="AD336"/>
  <c r="AC336"/>
  <c r="AB336"/>
  <c r="Y336"/>
  <c r="W336"/>
  <c r="V336"/>
  <c r="U336"/>
  <c r="T336"/>
  <c r="P336"/>
  <c r="B336"/>
  <c r="R336" s="1"/>
  <c r="B334"/>
  <c r="A334" s="1"/>
  <c r="AA334"/>
  <c r="P334"/>
  <c r="T334"/>
  <c r="U334"/>
  <c r="V334"/>
  <c r="W334"/>
  <c r="Y334"/>
  <c r="AB334"/>
  <c r="AC334"/>
  <c r="AD334"/>
  <c r="B335"/>
  <c r="A335" s="1"/>
  <c r="AA335"/>
  <c r="P335"/>
  <c r="T335"/>
  <c r="U335"/>
  <c r="V335"/>
  <c r="W335"/>
  <c r="Y335"/>
  <c r="AB335"/>
  <c r="AC335"/>
  <c r="AD335"/>
  <c r="AD253"/>
  <c r="AC253"/>
  <c r="AB253"/>
  <c r="Y253"/>
  <c r="W253"/>
  <c r="V253"/>
  <c r="U253"/>
  <c r="T253"/>
  <c r="P253"/>
  <c r="K253"/>
  <c r="M253" s="1"/>
  <c r="E253"/>
  <c r="AA253" s="1"/>
  <c r="B253"/>
  <c r="R253" s="1"/>
  <c r="B626"/>
  <c r="A626" s="1"/>
  <c r="E626"/>
  <c r="P626"/>
  <c r="W626"/>
  <c r="Y626"/>
  <c r="AA626"/>
  <c r="AB626"/>
  <c r="AC626"/>
  <c r="AD626"/>
  <c r="B627"/>
  <c r="A627" s="1"/>
  <c r="E627"/>
  <c r="AA627" s="1"/>
  <c r="M627"/>
  <c r="P627"/>
  <c r="Q627"/>
  <c r="W627"/>
  <c r="Y627"/>
  <c r="AB627"/>
  <c r="AC627"/>
  <c r="AD627"/>
  <c r="B628"/>
  <c r="A628" s="1"/>
  <c r="E628"/>
  <c r="AA628" s="1"/>
  <c r="M628"/>
  <c r="P628"/>
  <c r="Q628"/>
  <c r="W628"/>
  <c r="Y628"/>
  <c r="AB628"/>
  <c r="AC628"/>
  <c r="AD628"/>
  <c r="B629"/>
  <c r="A629" s="1"/>
  <c r="E629"/>
  <c r="AA629" s="1"/>
  <c r="M629"/>
  <c r="P629"/>
  <c r="Q629"/>
  <c r="W629"/>
  <c r="Y629"/>
  <c r="AB629"/>
  <c r="AC629"/>
  <c r="AD629"/>
  <c r="B625"/>
  <c r="A625" s="1"/>
  <c r="E625"/>
  <c r="AA625" s="1"/>
  <c r="M625"/>
  <c r="P625"/>
  <c r="Q625"/>
  <c r="W625"/>
  <c r="Y625"/>
  <c r="AB625"/>
  <c r="AC625"/>
  <c r="AD625"/>
  <c r="M624"/>
  <c r="B482"/>
  <c r="A482" s="1"/>
  <c r="P482"/>
  <c r="Q482"/>
  <c r="W482"/>
  <c r="Y482"/>
  <c r="AA482"/>
  <c r="AB482"/>
  <c r="AC482"/>
  <c r="AD482"/>
  <c r="AD621"/>
  <c r="AC621"/>
  <c r="AB621"/>
  <c r="Y621"/>
  <c r="W621"/>
  <c r="P621"/>
  <c r="E621"/>
  <c r="AA621" s="1"/>
  <c r="B621"/>
  <c r="AD620"/>
  <c r="AC620"/>
  <c r="AB620"/>
  <c r="Y620"/>
  <c r="W620"/>
  <c r="P620"/>
  <c r="E620"/>
  <c r="AA620" s="1"/>
  <c r="B620"/>
  <c r="Q620" s="1"/>
  <c r="AD619"/>
  <c r="AC619"/>
  <c r="AB619"/>
  <c r="Y619"/>
  <c r="W619"/>
  <c r="P619"/>
  <c r="E619"/>
  <c r="AA619" s="1"/>
  <c r="B619"/>
  <c r="AD618"/>
  <c r="AC618"/>
  <c r="AB618"/>
  <c r="Y618"/>
  <c r="W618"/>
  <c r="P618"/>
  <c r="E618"/>
  <c r="AA618" s="1"/>
  <c r="B618"/>
  <c r="M617"/>
  <c r="AD615"/>
  <c r="AC615"/>
  <c r="AB615"/>
  <c r="Y615"/>
  <c r="W615"/>
  <c r="P615"/>
  <c r="E615"/>
  <c r="AA615" s="1"/>
  <c r="B615"/>
  <c r="E608"/>
  <c r="E607"/>
  <c r="AA607" s="1"/>
  <c r="E606"/>
  <c r="AA606" s="1"/>
  <c r="B603"/>
  <c r="A603" s="1"/>
  <c r="E603"/>
  <c r="P603"/>
  <c r="W603"/>
  <c r="Y603"/>
  <c r="AA603"/>
  <c r="AB603"/>
  <c r="AC603"/>
  <c r="AD603"/>
  <c r="B604"/>
  <c r="A604" s="1"/>
  <c r="E604"/>
  <c r="AA604" s="1"/>
  <c r="P604"/>
  <c r="W604"/>
  <c r="Y604"/>
  <c r="AB604"/>
  <c r="AC604"/>
  <c r="AD604"/>
  <c r="B605"/>
  <c r="A605" s="1"/>
  <c r="E605"/>
  <c r="P605"/>
  <c r="W605"/>
  <c r="Y605"/>
  <c r="AA605"/>
  <c r="AB605"/>
  <c r="AC605"/>
  <c r="AD605"/>
  <c r="E599"/>
  <c r="AA599" s="1"/>
  <c r="E600"/>
  <c r="E598"/>
  <c r="AA598" s="1"/>
  <c r="E601"/>
  <c r="AA601" s="1"/>
  <c r="E602"/>
  <c r="AA602" s="1"/>
  <c r="E609"/>
  <c r="E610"/>
  <c r="AA610" s="1"/>
  <c r="E611"/>
  <c r="AA611" s="1"/>
  <c r="E612"/>
  <c r="AA612" s="1"/>
  <c r="E613"/>
  <c r="AA613" s="1"/>
  <c r="E614"/>
  <c r="E616"/>
  <c r="AA616" s="1"/>
  <c r="E617"/>
  <c r="AA617" s="1"/>
  <c r="E622"/>
  <c r="AA622" s="1"/>
  <c r="E623"/>
  <c r="AA623" s="1"/>
  <c r="E624"/>
  <c r="AA624" s="1"/>
  <c r="E630"/>
  <c r="AA630" s="1"/>
  <c r="E631"/>
  <c r="E632"/>
  <c r="AA632" s="1"/>
  <c r="E633"/>
  <c r="AA633" s="1"/>
  <c r="E634"/>
  <c r="AA634" s="1"/>
  <c r="E635"/>
  <c r="AA635" s="1"/>
  <c r="E636"/>
  <c r="E637"/>
  <c r="AA637" s="1"/>
  <c r="E638"/>
  <c r="E639"/>
  <c r="AA639" s="1"/>
  <c r="E640"/>
  <c r="AA640" s="1"/>
  <c r="E641"/>
  <c r="AA641" s="1"/>
  <c r="E642"/>
  <c r="AA642" s="1"/>
  <c r="E643"/>
  <c r="AA643" s="1"/>
  <c r="E644"/>
  <c r="AA644" s="1"/>
  <c r="E645"/>
  <c r="AA645" s="1"/>
  <c r="E646"/>
  <c r="AA646" s="1"/>
  <c r="E647"/>
  <c r="E648"/>
  <c r="AA648" s="1"/>
  <c r="E649"/>
  <c r="AA649" s="1"/>
  <c r="E650"/>
  <c r="AA650" s="1"/>
  <c r="E651"/>
  <c r="AA651" s="1"/>
  <c r="E652"/>
  <c r="AA652" s="1"/>
  <c r="E653"/>
  <c r="AA653" s="1"/>
  <c r="E654"/>
  <c r="AA654" s="1"/>
  <c r="E655"/>
  <c r="AA655" s="1"/>
  <c r="E656"/>
  <c r="AA656" s="1"/>
  <c r="E657"/>
  <c r="AA657" s="1"/>
  <c r="E658"/>
  <c r="AA658" s="1"/>
  <c r="E659"/>
  <c r="AA659" s="1"/>
  <c r="E660"/>
  <c r="AA660" s="1"/>
  <c r="E661"/>
  <c r="AA661" s="1"/>
  <c r="E662"/>
  <c r="AA662" s="1"/>
  <c r="E663"/>
  <c r="E597"/>
  <c r="B597"/>
  <c r="A597" s="1"/>
  <c r="P597"/>
  <c r="R597"/>
  <c r="W597"/>
  <c r="Y597"/>
  <c r="AA597"/>
  <c r="AB597"/>
  <c r="AC597"/>
  <c r="AD597"/>
  <c r="B598"/>
  <c r="A598" s="1"/>
  <c r="P598"/>
  <c r="Q598"/>
  <c r="W598"/>
  <c r="Y598"/>
  <c r="AB598"/>
  <c r="AC598"/>
  <c r="AD598"/>
  <c r="B599"/>
  <c r="A599" s="1"/>
  <c r="P599"/>
  <c r="R599"/>
  <c r="W599"/>
  <c r="Y599"/>
  <c r="AB599"/>
  <c r="AC599"/>
  <c r="AD599"/>
  <c r="B600"/>
  <c r="A600" s="1"/>
  <c r="P600"/>
  <c r="Q600"/>
  <c r="W600"/>
  <c r="Y600"/>
  <c r="AA600"/>
  <c r="AB600"/>
  <c r="AC600"/>
  <c r="AD600"/>
  <c r="B601"/>
  <c r="A601" s="1"/>
  <c r="P601"/>
  <c r="R601"/>
  <c r="W601"/>
  <c r="Y601"/>
  <c r="AB601"/>
  <c r="AC601"/>
  <c r="AD601"/>
  <c r="B602"/>
  <c r="A602" s="1"/>
  <c r="P602"/>
  <c r="Q602"/>
  <c r="W602"/>
  <c r="Y602"/>
  <c r="AB602"/>
  <c r="AC602"/>
  <c r="AD602"/>
  <c r="B606"/>
  <c r="A606" s="1"/>
  <c r="P606"/>
  <c r="W606"/>
  <c r="Y606"/>
  <c r="AB606"/>
  <c r="AC606"/>
  <c r="AD606"/>
  <c r="B607"/>
  <c r="A607" s="1"/>
  <c r="P607"/>
  <c r="R607"/>
  <c r="W607"/>
  <c r="Y607"/>
  <c r="AB607"/>
  <c r="AC607"/>
  <c r="AD607"/>
  <c r="B608"/>
  <c r="A608" s="1"/>
  <c r="AA608"/>
  <c r="P608"/>
  <c r="W608"/>
  <c r="Y608"/>
  <c r="AB608"/>
  <c r="AC608"/>
  <c r="AD608"/>
  <c r="B609"/>
  <c r="A609" s="1"/>
  <c r="P609"/>
  <c r="R609"/>
  <c r="W609"/>
  <c r="Y609"/>
  <c r="AA609"/>
  <c r="AB609"/>
  <c r="AC609"/>
  <c r="AD609"/>
  <c r="B610"/>
  <c r="A610" s="1"/>
  <c r="P610"/>
  <c r="W610"/>
  <c r="Y610"/>
  <c r="AB610"/>
  <c r="AC610"/>
  <c r="AD610"/>
  <c r="B611"/>
  <c r="A611" s="1"/>
  <c r="P611"/>
  <c r="R611"/>
  <c r="W611"/>
  <c r="Y611"/>
  <c r="AB611"/>
  <c r="AC611"/>
  <c r="AD611"/>
  <c r="B612"/>
  <c r="A612" s="1"/>
  <c r="P612"/>
  <c r="W612"/>
  <c r="Y612"/>
  <c r="AB612"/>
  <c r="AC612"/>
  <c r="AD612"/>
  <c r="B613"/>
  <c r="A613" s="1"/>
  <c r="P613"/>
  <c r="R613"/>
  <c r="W613"/>
  <c r="Y613"/>
  <c r="AB613"/>
  <c r="AC613"/>
  <c r="AD613"/>
  <c r="B614"/>
  <c r="A614" s="1"/>
  <c r="AA614"/>
  <c r="P614"/>
  <c r="W614"/>
  <c r="Y614"/>
  <c r="AB614"/>
  <c r="AC614"/>
  <c r="AD614"/>
  <c r="B616"/>
  <c r="A616" s="1"/>
  <c r="P616"/>
  <c r="W616"/>
  <c r="Y616"/>
  <c r="AB616"/>
  <c r="AC616"/>
  <c r="AD616"/>
  <c r="B617"/>
  <c r="A617" s="1"/>
  <c r="P617"/>
  <c r="R617"/>
  <c r="W617"/>
  <c r="Y617"/>
  <c r="AB617"/>
  <c r="AC617"/>
  <c r="AD617"/>
  <c r="B622"/>
  <c r="A622" s="1"/>
  <c r="P622"/>
  <c r="W622"/>
  <c r="Y622"/>
  <c r="AB622"/>
  <c r="AC622"/>
  <c r="AD622"/>
  <c r="B623"/>
  <c r="A623" s="1"/>
  <c r="P623"/>
  <c r="R623"/>
  <c r="W623"/>
  <c r="Y623"/>
  <c r="AB623"/>
  <c r="AC623"/>
  <c r="AD623"/>
  <c r="B624"/>
  <c r="A624" s="1"/>
  <c r="P624"/>
  <c r="W624"/>
  <c r="Y624"/>
  <c r="AB624"/>
  <c r="AC624"/>
  <c r="AD624"/>
  <c r="B630"/>
  <c r="A630" s="1"/>
  <c r="P630"/>
  <c r="R630"/>
  <c r="T630"/>
  <c r="U630"/>
  <c r="V630"/>
  <c r="W630"/>
  <c r="Y630"/>
  <c r="AB630"/>
  <c r="AC630"/>
  <c r="AD630"/>
  <c r="B631"/>
  <c r="A631" s="1"/>
  <c r="AA631"/>
  <c r="P631"/>
  <c r="T631"/>
  <c r="U631"/>
  <c r="V631"/>
  <c r="W631"/>
  <c r="Y631"/>
  <c r="AB631"/>
  <c r="AC631"/>
  <c r="AD631"/>
  <c r="B632"/>
  <c r="A632" s="1"/>
  <c r="P632"/>
  <c r="R632"/>
  <c r="T632"/>
  <c r="U632"/>
  <c r="V632"/>
  <c r="W632"/>
  <c r="Y632"/>
  <c r="AB632"/>
  <c r="AC632"/>
  <c r="AD632"/>
  <c r="B633"/>
  <c r="A633" s="1"/>
  <c r="P633"/>
  <c r="T633"/>
  <c r="U633"/>
  <c r="V633"/>
  <c r="W633"/>
  <c r="Y633"/>
  <c r="AB633"/>
  <c r="AC633"/>
  <c r="AD633"/>
  <c r="B634"/>
  <c r="A634" s="1"/>
  <c r="P634"/>
  <c r="R634"/>
  <c r="T634"/>
  <c r="U634"/>
  <c r="V634"/>
  <c r="W634"/>
  <c r="Y634"/>
  <c r="AB634"/>
  <c r="AC634"/>
  <c r="AD634"/>
  <c r="B635"/>
  <c r="A635" s="1"/>
  <c r="P635"/>
  <c r="T635"/>
  <c r="U635"/>
  <c r="V635"/>
  <c r="W635"/>
  <c r="Y635"/>
  <c r="AB635"/>
  <c r="AC635"/>
  <c r="AD635"/>
  <c r="B636"/>
  <c r="A636" s="1"/>
  <c r="P636"/>
  <c r="R636"/>
  <c r="T636"/>
  <c r="U636"/>
  <c r="V636"/>
  <c r="W636"/>
  <c r="Y636"/>
  <c r="AA636"/>
  <c r="AB636"/>
  <c r="AC636"/>
  <c r="AD636"/>
  <c r="B637"/>
  <c r="A637" s="1"/>
  <c r="P637"/>
  <c r="T637"/>
  <c r="U637"/>
  <c r="V637"/>
  <c r="W637"/>
  <c r="Y637"/>
  <c r="AB637"/>
  <c r="AC637"/>
  <c r="AD637"/>
  <c r="B638"/>
  <c r="A638" s="1"/>
  <c r="P638"/>
  <c r="R638"/>
  <c r="T638"/>
  <c r="U638"/>
  <c r="V638"/>
  <c r="W638"/>
  <c r="Y638"/>
  <c r="AA638"/>
  <c r="AB638"/>
  <c r="AC638"/>
  <c r="AD638"/>
  <c r="B639"/>
  <c r="A639" s="1"/>
  <c r="P639"/>
  <c r="T639"/>
  <c r="U639"/>
  <c r="V639"/>
  <c r="W639"/>
  <c r="Y639"/>
  <c r="AB639"/>
  <c r="AC639"/>
  <c r="AD639"/>
  <c r="B640"/>
  <c r="A640" s="1"/>
  <c r="P640"/>
  <c r="R640"/>
  <c r="T640"/>
  <c r="U640"/>
  <c r="V640"/>
  <c r="W640"/>
  <c r="Y640"/>
  <c r="AB640"/>
  <c r="AC640"/>
  <c r="AD640"/>
  <c r="B641"/>
  <c r="A641" s="1"/>
  <c r="P641"/>
  <c r="T641"/>
  <c r="U641"/>
  <c r="V641"/>
  <c r="W641"/>
  <c r="Y641"/>
  <c r="AB641"/>
  <c r="AC641"/>
  <c r="AD641"/>
  <c r="B642"/>
  <c r="A642" s="1"/>
  <c r="P642"/>
  <c r="R642"/>
  <c r="T642"/>
  <c r="U642"/>
  <c r="V642"/>
  <c r="W642"/>
  <c r="Y642"/>
  <c r="AB642"/>
  <c r="AC642"/>
  <c r="AD642"/>
  <c r="B643"/>
  <c r="A643" s="1"/>
  <c r="P643"/>
  <c r="T643"/>
  <c r="U643"/>
  <c r="V643"/>
  <c r="W643"/>
  <c r="Y643"/>
  <c r="AB643"/>
  <c r="AC643"/>
  <c r="AD643"/>
  <c r="B644"/>
  <c r="A644" s="1"/>
  <c r="P644"/>
  <c r="R644"/>
  <c r="T644"/>
  <c r="U644"/>
  <c r="V644"/>
  <c r="W644"/>
  <c r="Y644"/>
  <c r="AB644"/>
  <c r="AC644"/>
  <c r="AD644"/>
  <c r="B645"/>
  <c r="A645" s="1"/>
  <c r="P645"/>
  <c r="T645"/>
  <c r="U645"/>
  <c r="V645"/>
  <c r="W645"/>
  <c r="Y645"/>
  <c r="AB645"/>
  <c r="AC645"/>
  <c r="AD645"/>
  <c r="B646"/>
  <c r="A646" s="1"/>
  <c r="P646"/>
  <c r="R646"/>
  <c r="T646"/>
  <c r="U646"/>
  <c r="V646"/>
  <c r="W646"/>
  <c r="Y646"/>
  <c r="AB646"/>
  <c r="AC646"/>
  <c r="AD646"/>
  <c r="B647"/>
  <c r="A647" s="1"/>
  <c r="AA647"/>
  <c r="P647"/>
  <c r="T647"/>
  <c r="U647"/>
  <c r="V647"/>
  <c r="W647"/>
  <c r="Y647"/>
  <c r="AB647"/>
  <c r="AC647"/>
  <c r="AD647"/>
  <c r="B648"/>
  <c r="A648" s="1"/>
  <c r="P648"/>
  <c r="R648"/>
  <c r="T648"/>
  <c r="U648"/>
  <c r="V648"/>
  <c r="W648"/>
  <c r="Y648"/>
  <c r="AB648"/>
  <c r="AC648"/>
  <c r="AD648"/>
  <c r="B649"/>
  <c r="A649" s="1"/>
  <c r="P649"/>
  <c r="T649"/>
  <c r="U649"/>
  <c r="V649"/>
  <c r="W649"/>
  <c r="Y649"/>
  <c r="AB649"/>
  <c r="AC649"/>
  <c r="AD649"/>
  <c r="B650"/>
  <c r="A650" s="1"/>
  <c r="P650"/>
  <c r="R650"/>
  <c r="T650"/>
  <c r="U650"/>
  <c r="V650"/>
  <c r="W650"/>
  <c r="Y650"/>
  <c r="AB650"/>
  <c r="AC650"/>
  <c r="AD650"/>
  <c r="B651"/>
  <c r="A651" s="1"/>
  <c r="P651"/>
  <c r="T651"/>
  <c r="U651"/>
  <c r="V651"/>
  <c r="W651"/>
  <c r="Y651"/>
  <c r="AB651"/>
  <c r="AC651"/>
  <c r="AD651"/>
  <c r="B652"/>
  <c r="A652" s="1"/>
  <c r="P652"/>
  <c r="R652"/>
  <c r="T652"/>
  <c r="U652"/>
  <c r="V652"/>
  <c r="W652"/>
  <c r="Y652"/>
  <c r="AB652"/>
  <c r="AC652"/>
  <c r="AD652"/>
  <c r="B653"/>
  <c r="A653" s="1"/>
  <c r="P653"/>
  <c r="T653"/>
  <c r="U653"/>
  <c r="V653"/>
  <c r="W653"/>
  <c r="Y653"/>
  <c r="AB653"/>
  <c r="AC653"/>
  <c r="AD653"/>
  <c r="B654"/>
  <c r="A654" s="1"/>
  <c r="P654"/>
  <c r="R654"/>
  <c r="T654"/>
  <c r="U654"/>
  <c r="V654"/>
  <c r="W654"/>
  <c r="Y654"/>
  <c r="AB654"/>
  <c r="AC654"/>
  <c r="AD654"/>
  <c r="B655"/>
  <c r="A655" s="1"/>
  <c r="P655"/>
  <c r="T655"/>
  <c r="U655"/>
  <c r="V655"/>
  <c r="W655"/>
  <c r="Y655"/>
  <c r="AB655"/>
  <c r="AC655"/>
  <c r="AD655"/>
  <c r="B656"/>
  <c r="A656" s="1"/>
  <c r="P656"/>
  <c r="R656"/>
  <c r="T656"/>
  <c r="U656"/>
  <c r="V656"/>
  <c r="W656"/>
  <c r="Y656"/>
  <c r="AB656"/>
  <c r="AC656"/>
  <c r="AD656"/>
  <c r="B657"/>
  <c r="A657" s="1"/>
  <c r="P657"/>
  <c r="T657"/>
  <c r="U657"/>
  <c r="V657"/>
  <c r="W657"/>
  <c r="Y657"/>
  <c r="AB657"/>
  <c r="AC657"/>
  <c r="AD657"/>
  <c r="B658"/>
  <c r="A658" s="1"/>
  <c r="P658"/>
  <c r="R658"/>
  <c r="T658"/>
  <c r="U658"/>
  <c r="V658"/>
  <c r="W658"/>
  <c r="Y658"/>
  <c r="AB658"/>
  <c r="AC658"/>
  <c r="AD658"/>
  <c r="B659"/>
  <c r="A659" s="1"/>
  <c r="P659"/>
  <c r="T659"/>
  <c r="U659"/>
  <c r="V659"/>
  <c r="W659"/>
  <c r="Y659"/>
  <c r="AB659"/>
  <c r="AC659"/>
  <c r="AD659"/>
  <c r="B660"/>
  <c r="A660" s="1"/>
  <c r="P660"/>
  <c r="R660"/>
  <c r="T660"/>
  <c r="U660"/>
  <c r="V660"/>
  <c r="W660"/>
  <c r="Y660"/>
  <c r="AB660"/>
  <c r="AC660"/>
  <c r="AD660"/>
  <c r="B661"/>
  <c r="A661" s="1"/>
  <c r="P661"/>
  <c r="T661"/>
  <c r="U661"/>
  <c r="V661"/>
  <c r="W661"/>
  <c r="Y661"/>
  <c r="AB661"/>
  <c r="AC661"/>
  <c r="AD661"/>
  <c r="B662"/>
  <c r="A662" s="1"/>
  <c r="P662"/>
  <c r="R662"/>
  <c r="T662"/>
  <c r="U662"/>
  <c r="V662"/>
  <c r="W662"/>
  <c r="Y662"/>
  <c r="AB662"/>
  <c r="AC662"/>
  <c r="AD662"/>
  <c r="B663"/>
  <c r="A663" s="1"/>
  <c r="AA663"/>
  <c r="P663"/>
  <c r="T663"/>
  <c r="U663"/>
  <c r="V663"/>
  <c r="W663"/>
  <c r="Y663"/>
  <c r="AB663"/>
  <c r="AC663"/>
  <c r="AD663"/>
  <c r="S483" l="1"/>
  <c r="Q483"/>
  <c r="R483"/>
  <c r="R447"/>
  <c r="AD12"/>
  <c r="A12"/>
  <c r="R12"/>
  <c r="S12"/>
  <c r="Q12"/>
  <c r="S447"/>
  <c r="Q447"/>
  <c r="U625"/>
  <c r="U627"/>
  <c r="S335"/>
  <c r="V627"/>
  <c r="S627"/>
  <c r="V626"/>
  <c r="U629"/>
  <c r="S626"/>
  <c r="R335"/>
  <c r="V624"/>
  <c r="V625"/>
  <c r="S625"/>
  <c r="U628"/>
  <c r="R663"/>
  <c r="R606"/>
  <c r="S602"/>
  <c r="R605"/>
  <c r="S603"/>
  <c r="R608"/>
  <c r="R604"/>
  <c r="R651"/>
  <c r="R614"/>
  <c r="S663"/>
  <c r="Q663"/>
  <c r="R659"/>
  <c r="S635"/>
  <c r="S614"/>
  <c r="Q614"/>
  <c r="Q335"/>
  <c r="R661"/>
  <c r="S659"/>
  <c r="Q659"/>
  <c r="R655"/>
  <c r="R643"/>
  <c r="R635"/>
  <c r="R616"/>
  <c r="S600"/>
  <c r="S605"/>
  <c r="Q605"/>
  <c r="R603"/>
  <c r="A620"/>
  <c r="S482"/>
  <c r="U626"/>
  <c r="Q626"/>
  <c r="A336"/>
  <c r="Q336"/>
  <c r="S336"/>
  <c r="R334"/>
  <c r="S334"/>
  <c r="Q334"/>
  <c r="R653"/>
  <c r="S651"/>
  <c r="Q651"/>
  <c r="R647"/>
  <c r="R645"/>
  <c r="S643"/>
  <c r="Q643"/>
  <c r="R639"/>
  <c r="R637"/>
  <c r="R631"/>
  <c r="U624"/>
  <c r="R622"/>
  <c r="R610"/>
  <c r="A253"/>
  <c r="Q253"/>
  <c r="S253"/>
  <c r="T626"/>
  <c r="R626"/>
  <c r="T624"/>
  <c r="Q635"/>
  <c r="S629"/>
  <c r="S628"/>
  <c r="V629"/>
  <c r="T629"/>
  <c r="R629"/>
  <c r="V628"/>
  <c r="T628"/>
  <c r="R628"/>
  <c r="T627"/>
  <c r="R627"/>
  <c r="T625"/>
  <c r="R625"/>
  <c r="R624"/>
  <c r="S622"/>
  <c r="Q622"/>
  <c r="R482"/>
  <c r="R657"/>
  <c r="S655"/>
  <c r="Q655"/>
  <c r="R649"/>
  <c r="S647"/>
  <c r="Q647"/>
  <c r="R641"/>
  <c r="S639"/>
  <c r="Q639"/>
  <c r="R633"/>
  <c r="S631"/>
  <c r="Q631"/>
  <c r="S606"/>
  <c r="Q606"/>
  <c r="R602"/>
  <c r="S620"/>
  <c r="A619"/>
  <c r="Q619"/>
  <c r="S619"/>
  <c r="R620"/>
  <c r="A621"/>
  <c r="Q621"/>
  <c r="S621"/>
  <c r="R619"/>
  <c r="R621"/>
  <c r="A618"/>
  <c r="Q618"/>
  <c r="S618"/>
  <c r="R618"/>
  <c r="A615"/>
  <c r="Q615"/>
  <c r="S615"/>
  <c r="R615"/>
  <c r="R612"/>
  <c r="S610"/>
  <c r="Q610"/>
  <c r="Q603"/>
  <c r="S604"/>
  <c r="Q604"/>
  <c r="S598"/>
  <c r="S661"/>
  <c r="Q661"/>
  <c r="S657"/>
  <c r="Q657"/>
  <c r="S653"/>
  <c r="Q653"/>
  <c r="S649"/>
  <c r="Q649"/>
  <c r="S645"/>
  <c r="Q645"/>
  <c r="S641"/>
  <c r="Q641"/>
  <c r="S637"/>
  <c r="Q637"/>
  <c r="S633"/>
  <c r="Q633"/>
  <c r="S624"/>
  <c r="Q624"/>
  <c r="S616"/>
  <c r="Q616"/>
  <c r="S612"/>
  <c r="Q612"/>
  <c r="S608"/>
  <c r="Q608"/>
  <c r="R600"/>
  <c r="R598"/>
  <c r="S662"/>
  <c r="Q662"/>
  <c r="S660"/>
  <c r="Q660"/>
  <c r="S658"/>
  <c r="Q658"/>
  <c r="S656"/>
  <c r="Q656"/>
  <c r="S654"/>
  <c r="Q654"/>
  <c r="S652"/>
  <c r="Q652"/>
  <c r="S650"/>
  <c r="Q650"/>
  <c r="S648"/>
  <c r="Q648"/>
  <c r="S646"/>
  <c r="Q646"/>
  <c r="S644"/>
  <c r="Q644"/>
  <c r="S642"/>
  <c r="Q642"/>
  <c r="S640"/>
  <c r="Q640"/>
  <c r="S638"/>
  <c r="Q638"/>
  <c r="S636"/>
  <c r="Q636"/>
  <c r="S634"/>
  <c r="Q634"/>
  <c r="S632"/>
  <c r="Q632"/>
  <c r="S630"/>
  <c r="Q630"/>
  <c r="S623"/>
  <c r="Q623"/>
  <c r="S617"/>
  <c r="Q617"/>
  <c r="S613"/>
  <c r="Q613"/>
  <c r="S611"/>
  <c r="Q611"/>
  <c r="S609"/>
  <c r="Q609"/>
  <c r="S607"/>
  <c r="Q607"/>
  <c r="S601"/>
  <c r="Q601"/>
  <c r="S599"/>
  <c r="Q599"/>
  <c r="S597"/>
  <c r="Q597"/>
  <c r="P13"/>
  <c r="T13"/>
  <c r="U13"/>
  <c r="V13"/>
  <c r="W13"/>
  <c r="Y13"/>
  <c r="AA13"/>
  <c r="AB13"/>
  <c r="AC13"/>
  <c r="P14"/>
  <c r="T14"/>
  <c r="U14"/>
  <c r="V14"/>
  <c r="W14"/>
  <c r="Y14"/>
  <c r="AA14"/>
  <c r="AB14"/>
  <c r="AC14"/>
  <c r="P15"/>
  <c r="T15"/>
  <c r="U15"/>
  <c r="V15"/>
  <c r="W15"/>
  <c r="Y15"/>
  <c r="AA15"/>
  <c r="AB15"/>
  <c r="AC15"/>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A61"/>
  <c r="AB61"/>
  <c r="AC61"/>
  <c r="AD61"/>
  <c r="P62"/>
  <c r="T62"/>
  <c r="U62"/>
  <c r="V62"/>
  <c r="W62"/>
  <c r="Y62"/>
  <c r="AA62"/>
  <c r="AB62"/>
  <c r="AC62"/>
  <c r="AD62"/>
  <c r="P63"/>
  <c r="T63"/>
  <c r="U63"/>
  <c r="V63"/>
  <c r="W63"/>
  <c r="Y63"/>
  <c r="AA63"/>
  <c r="AB63"/>
  <c r="AC63"/>
  <c r="AD63"/>
  <c r="P64"/>
  <c r="T64"/>
  <c r="U64"/>
  <c r="V64"/>
  <c r="W64"/>
  <c r="Y64"/>
  <c r="AA64"/>
  <c r="AB64"/>
  <c r="AC64"/>
  <c r="AD64"/>
  <c r="P65"/>
  <c r="T65"/>
  <c r="U65"/>
  <c r="V65"/>
  <c r="W65"/>
  <c r="Y65"/>
  <c r="AA65"/>
  <c r="AB65"/>
  <c r="AC65"/>
  <c r="AD65"/>
  <c r="P66"/>
  <c r="T66"/>
  <c r="U66"/>
  <c r="V66"/>
  <c r="W66"/>
  <c r="Y66"/>
  <c r="AA66"/>
  <c r="AB66"/>
  <c r="AC66"/>
  <c r="AD66"/>
  <c r="P67"/>
  <c r="T67"/>
  <c r="U67"/>
  <c r="V67"/>
  <c r="W67"/>
  <c r="Y67"/>
  <c r="AA67"/>
  <c r="AB67"/>
  <c r="AC67"/>
  <c r="AD67"/>
  <c r="P68"/>
  <c r="T68"/>
  <c r="U68"/>
  <c r="V68"/>
  <c r="W68"/>
  <c r="Y68"/>
  <c r="AA68"/>
  <c r="AB68"/>
  <c r="AC68"/>
  <c r="AD68"/>
  <c r="P69"/>
  <c r="T69"/>
  <c r="U69"/>
  <c r="V69"/>
  <c r="W69"/>
  <c r="Y69"/>
  <c r="AA69"/>
  <c r="AB69"/>
  <c r="AC69"/>
  <c r="AD69"/>
  <c r="P70"/>
  <c r="T70"/>
  <c r="U70"/>
  <c r="V70"/>
  <c r="W70"/>
  <c r="Y70"/>
  <c r="AA70"/>
  <c r="AB70"/>
  <c r="AC70"/>
  <c r="AD70"/>
  <c r="P71"/>
  <c r="T71"/>
  <c r="U71"/>
  <c r="V71"/>
  <c r="W71"/>
  <c r="Y71"/>
  <c r="AA71"/>
  <c r="AB71"/>
  <c r="AC71"/>
  <c r="AD71"/>
  <c r="P72"/>
  <c r="T72"/>
  <c r="U72"/>
  <c r="V72"/>
  <c r="W72"/>
  <c r="Y72"/>
  <c r="AA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A260"/>
  <c r="AB260"/>
  <c r="AC260"/>
  <c r="AD260"/>
  <c r="P261"/>
  <c r="T261"/>
  <c r="U261"/>
  <c r="V261"/>
  <c r="W261"/>
  <c r="Y261"/>
  <c r="AA261"/>
  <c r="AB261"/>
  <c r="AC261"/>
  <c r="AD261"/>
  <c r="P262"/>
  <c r="T262"/>
  <c r="U262"/>
  <c r="V262"/>
  <c r="W262"/>
  <c r="Y262"/>
  <c r="AA262"/>
  <c r="AB262"/>
  <c r="AC262"/>
  <c r="AD262"/>
  <c r="P263"/>
  <c r="T263"/>
  <c r="U263"/>
  <c r="V263"/>
  <c r="W263"/>
  <c r="Y263"/>
  <c r="AA263"/>
  <c r="AB263"/>
  <c r="AC263"/>
  <c r="AD263"/>
  <c r="P264"/>
  <c r="T264"/>
  <c r="U264"/>
  <c r="V264"/>
  <c r="W264"/>
  <c r="Y264"/>
  <c r="AA264"/>
  <c r="AB264"/>
  <c r="AC264"/>
  <c r="AD264"/>
  <c r="P265"/>
  <c r="T265"/>
  <c r="U265"/>
  <c r="V265"/>
  <c r="W265"/>
  <c r="Y265"/>
  <c r="AA265"/>
  <c r="AB265"/>
  <c r="AC265"/>
  <c r="AD265"/>
  <c r="P266"/>
  <c r="T266"/>
  <c r="U266"/>
  <c r="V266"/>
  <c r="W266"/>
  <c r="Y266"/>
  <c r="AA266"/>
  <c r="AB266"/>
  <c r="AC266"/>
  <c r="AD266"/>
  <c r="P267"/>
  <c r="T267"/>
  <c r="U267"/>
  <c r="V267"/>
  <c r="W267"/>
  <c r="Y267"/>
  <c r="AA267"/>
  <c r="AB267"/>
  <c r="AC267"/>
  <c r="AD267"/>
  <c r="P268"/>
  <c r="T268"/>
  <c r="U268"/>
  <c r="V268"/>
  <c r="W268"/>
  <c r="Y268"/>
  <c r="AA268"/>
  <c r="AB268"/>
  <c r="AC268"/>
  <c r="AD268"/>
  <c r="P269"/>
  <c r="T269"/>
  <c r="U269"/>
  <c r="V269"/>
  <c r="W269"/>
  <c r="Y269"/>
  <c r="AA269"/>
  <c r="AB269"/>
  <c r="AC269"/>
  <c r="AD269"/>
  <c r="P270"/>
  <c r="T270"/>
  <c r="U270"/>
  <c r="V270"/>
  <c r="W270"/>
  <c r="Y270"/>
  <c r="AA270"/>
  <c r="AB270"/>
  <c r="AC270"/>
  <c r="AD270"/>
  <c r="P271"/>
  <c r="T271"/>
  <c r="U271"/>
  <c r="V271"/>
  <c r="W271"/>
  <c r="Y271"/>
  <c r="AA271"/>
  <c r="AB271"/>
  <c r="AC271"/>
  <c r="AD271"/>
  <c r="P272"/>
  <c r="T272"/>
  <c r="U272"/>
  <c r="V272"/>
  <c r="W272"/>
  <c r="Y272"/>
  <c r="AA272"/>
  <c r="AB272"/>
  <c r="AC272"/>
  <c r="AD272"/>
  <c r="P273"/>
  <c r="T273"/>
  <c r="U273"/>
  <c r="V273"/>
  <c r="W273"/>
  <c r="Y273"/>
  <c r="AA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A295"/>
  <c r="AB295"/>
  <c r="AC295"/>
  <c r="AD295"/>
  <c r="P296"/>
  <c r="T296"/>
  <c r="U296"/>
  <c r="V296"/>
  <c r="W296"/>
  <c r="Y296"/>
  <c r="AA296"/>
  <c r="AB296"/>
  <c r="AC296"/>
  <c r="AD296"/>
  <c r="P297"/>
  <c r="T297"/>
  <c r="U297"/>
  <c r="V297"/>
  <c r="W297"/>
  <c r="Y297"/>
  <c r="AA297"/>
  <c r="AB297"/>
  <c r="AC297"/>
  <c r="AD297"/>
  <c r="P298"/>
  <c r="T298"/>
  <c r="U298"/>
  <c r="V298"/>
  <c r="W298"/>
  <c r="Y298"/>
  <c r="AA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A306"/>
  <c r="AB306"/>
  <c r="AC306"/>
  <c r="AD306"/>
  <c r="P307"/>
  <c r="T307"/>
  <c r="U307"/>
  <c r="V307"/>
  <c r="W307"/>
  <c r="Y307"/>
  <c r="AA307"/>
  <c r="AB307"/>
  <c r="AC307"/>
  <c r="AD307"/>
  <c r="P308"/>
  <c r="T308"/>
  <c r="U308"/>
  <c r="V308"/>
  <c r="W308"/>
  <c r="Y308"/>
  <c r="AA308"/>
  <c r="AB308"/>
  <c r="AC308"/>
  <c r="AD308"/>
  <c r="P309"/>
  <c r="T309"/>
  <c r="U309"/>
  <c r="V309"/>
  <c r="W309"/>
  <c r="Y309"/>
  <c r="AA309"/>
  <c r="AB309"/>
  <c r="AC309"/>
  <c r="AD309"/>
  <c r="P310"/>
  <c r="T310"/>
  <c r="U310"/>
  <c r="V310"/>
  <c r="W310"/>
  <c r="Y310"/>
  <c r="AA310"/>
  <c r="AB310"/>
  <c r="AC310"/>
  <c r="AD310"/>
  <c r="P311"/>
  <c r="T311"/>
  <c r="U311"/>
  <c r="V311"/>
  <c r="W311"/>
  <c r="Y311"/>
  <c r="AA311"/>
  <c r="AB311"/>
  <c r="AC311"/>
  <c r="AD311"/>
  <c r="P312"/>
  <c r="T312"/>
  <c r="U312"/>
  <c r="V312"/>
  <c r="W312"/>
  <c r="Y312"/>
  <c r="AA312"/>
  <c r="AB312"/>
  <c r="AC312"/>
  <c r="AD312"/>
  <c r="P313"/>
  <c r="T313"/>
  <c r="U313"/>
  <c r="V313"/>
  <c r="W313"/>
  <c r="Y313"/>
  <c r="AA313"/>
  <c r="AB313"/>
  <c r="AC313"/>
  <c r="AD313"/>
  <c r="P314"/>
  <c r="T314"/>
  <c r="U314"/>
  <c r="V314"/>
  <c r="W314"/>
  <c r="Y314"/>
  <c r="AA314"/>
  <c r="AB314"/>
  <c r="AC314"/>
  <c r="AD314"/>
  <c r="P315"/>
  <c r="T315"/>
  <c r="U315"/>
  <c r="V315"/>
  <c r="W315"/>
  <c r="Y315"/>
  <c r="AA315"/>
  <c r="AB315"/>
  <c r="AC315"/>
  <c r="AD315"/>
  <c r="P316"/>
  <c r="T316"/>
  <c r="U316"/>
  <c r="V316"/>
  <c r="W316"/>
  <c r="Y316"/>
  <c r="AA316"/>
  <c r="AB316"/>
  <c r="AC316"/>
  <c r="AD316"/>
  <c r="P317"/>
  <c r="T317"/>
  <c r="U317"/>
  <c r="V317"/>
  <c r="W317"/>
  <c r="Y317"/>
  <c r="AA317"/>
  <c r="AB317"/>
  <c r="AC317"/>
  <c r="AD317"/>
  <c r="P318"/>
  <c r="T318"/>
  <c r="U318"/>
  <c r="V318"/>
  <c r="W318"/>
  <c r="Y318"/>
  <c r="AA318"/>
  <c r="AB318"/>
  <c r="AC318"/>
  <c r="AD318"/>
  <c r="P319"/>
  <c r="T319"/>
  <c r="U319"/>
  <c r="V319"/>
  <c r="W319"/>
  <c r="Y319"/>
  <c r="AA319"/>
  <c r="AB319"/>
  <c r="AC319"/>
  <c r="AD319"/>
  <c r="P322"/>
  <c r="T322"/>
  <c r="U322"/>
  <c r="V322"/>
  <c r="W322"/>
  <c r="Y322"/>
  <c r="AA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57"/>
  <c r="Q357"/>
  <c r="R357"/>
  <c r="S357"/>
  <c r="T357"/>
  <c r="U357"/>
  <c r="V357"/>
  <c r="W357"/>
  <c r="Y357"/>
  <c r="AA357"/>
  <c r="AB357"/>
  <c r="AC357"/>
  <c r="AD357"/>
  <c r="P358"/>
  <c r="Q358"/>
  <c r="R358"/>
  <c r="S358"/>
  <c r="T358"/>
  <c r="U358"/>
  <c r="V358"/>
  <c r="W358"/>
  <c r="Y358"/>
  <c r="AA358"/>
  <c r="AB358"/>
  <c r="AC358"/>
  <c r="AD358"/>
  <c r="P359"/>
  <c r="Q359"/>
  <c r="R359"/>
  <c r="S359"/>
  <c r="T359"/>
  <c r="U359"/>
  <c r="V359"/>
  <c r="W359"/>
  <c r="Y359"/>
  <c r="AA359"/>
  <c r="AB359"/>
  <c r="AC359"/>
  <c r="AD359"/>
  <c r="P360"/>
  <c r="Q360"/>
  <c r="R360"/>
  <c r="S360"/>
  <c r="T360"/>
  <c r="U360"/>
  <c r="V360"/>
  <c r="W360"/>
  <c r="Y360"/>
  <c r="AA360"/>
  <c r="AB360"/>
  <c r="AC360"/>
  <c r="AD360"/>
  <c r="P361"/>
  <c r="Q361"/>
  <c r="R361"/>
  <c r="S361"/>
  <c r="T361"/>
  <c r="U361"/>
  <c r="V361"/>
  <c r="W361"/>
  <c r="Y361"/>
  <c r="AA361"/>
  <c r="AB361"/>
  <c r="AC361"/>
  <c r="AD361"/>
  <c r="P362"/>
  <c r="Q362"/>
  <c r="R362"/>
  <c r="S362"/>
  <c r="T362"/>
  <c r="U362"/>
  <c r="V362"/>
  <c r="W362"/>
  <c r="Y362"/>
  <c r="AA362"/>
  <c r="AB362"/>
  <c r="AC362"/>
  <c r="AD362"/>
  <c r="P363"/>
  <c r="Q363"/>
  <c r="R363"/>
  <c r="S363"/>
  <c r="T363"/>
  <c r="U363"/>
  <c r="V363"/>
  <c r="W363"/>
  <c r="Y363"/>
  <c r="AA363"/>
  <c r="AB363"/>
  <c r="AC363"/>
  <c r="AD363"/>
  <c r="P364"/>
  <c r="T364"/>
  <c r="U364"/>
  <c r="V364"/>
  <c r="W364"/>
  <c r="Y364"/>
  <c r="AA364"/>
  <c r="AB364"/>
  <c r="AC364"/>
  <c r="AD364"/>
  <c r="P392"/>
  <c r="W392"/>
  <c r="Y392"/>
  <c r="AB392"/>
  <c r="AC392"/>
  <c r="AD392"/>
  <c r="P393"/>
  <c r="W393"/>
  <c r="Y393"/>
  <c r="AB393"/>
  <c r="AC393"/>
  <c r="AD393"/>
  <c r="P394"/>
  <c r="W394"/>
  <c r="Y394"/>
  <c r="AB394"/>
  <c r="AC394"/>
  <c r="AD394"/>
  <c r="P395"/>
  <c r="W395"/>
  <c r="Y395"/>
  <c r="AB395"/>
  <c r="AC395"/>
  <c r="AD395"/>
  <c r="P396"/>
  <c r="W396"/>
  <c r="Y396"/>
  <c r="AB396"/>
  <c r="AC396"/>
  <c r="AD396"/>
  <c r="P397"/>
  <c r="W397"/>
  <c r="Y397"/>
  <c r="AB397"/>
  <c r="AC397"/>
  <c r="AD397"/>
  <c r="P398"/>
  <c r="W398"/>
  <c r="Y398"/>
  <c r="AB398"/>
  <c r="AC398"/>
  <c r="AD398"/>
  <c r="P399"/>
  <c r="T399"/>
  <c r="U399"/>
  <c r="V399"/>
  <c r="W399"/>
  <c r="Y399"/>
  <c r="AA399"/>
  <c r="AB399"/>
  <c r="AC399"/>
  <c r="AD399"/>
  <c r="P400"/>
  <c r="T400"/>
  <c r="U400"/>
  <c r="V400"/>
  <c r="W400"/>
  <c r="Y400"/>
  <c r="AA400"/>
  <c r="AB400"/>
  <c r="AC400"/>
  <c r="AD400"/>
  <c r="P401"/>
  <c r="T401"/>
  <c r="U401"/>
  <c r="V401"/>
  <c r="W401"/>
  <c r="Y401"/>
  <c r="AA401"/>
  <c r="AB401"/>
  <c r="AC401"/>
  <c r="AD401"/>
  <c r="P402"/>
  <c r="T402"/>
  <c r="U402"/>
  <c r="V402"/>
  <c r="W402"/>
  <c r="Y402"/>
  <c r="AA402"/>
  <c r="AB402"/>
  <c r="AC402"/>
  <c r="AD402"/>
  <c r="P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W445"/>
  <c r="Y445"/>
  <c r="AB445"/>
  <c r="AC445"/>
  <c r="AD445"/>
  <c r="P446"/>
  <c r="W446"/>
  <c r="Y446"/>
  <c r="AB446"/>
  <c r="AC446"/>
  <c r="AD446"/>
  <c r="P448"/>
  <c r="W448"/>
  <c r="Y448"/>
  <c r="AB448"/>
  <c r="AC448"/>
  <c r="AD448"/>
  <c r="P449"/>
  <c r="W449"/>
  <c r="Y449"/>
  <c r="AB449"/>
  <c r="AC449"/>
  <c r="AD449"/>
  <c r="P450"/>
  <c r="W450"/>
  <c r="Y450"/>
  <c r="AB450"/>
  <c r="AC450"/>
  <c r="AD450"/>
  <c r="P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A456"/>
  <c r="AB456"/>
  <c r="AC456"/>
  <c r="AD456"/>
  <c r="P457"/>
  <c r="T457"/>
  <c r="U457"/>
  <c r="V457"/>
  <c r="W457"/>
  <c r="Y457"/>
  <c r="AA457"/>
  <c r="AB457"/>
  <c r="AC457"/>
  <c r="AD457"/>
  <c r="P458"/>
  <c r="T458"/>
  <c r="U458"/>
  <c r="V458"/>
  <c r="W458"/>
  <c r="Y458"/>
  <c r="AA458"/>
  <c r="AB458"/>
  <c r="AC458"/>
  <c r="AD458"/>
  <c r="P459"/>
  <c r="T459"/>
  <c r="U459"/>
  <c r="V459"/>
  <c r="W459"/>
  <c r="Y459"/>
  <c r="AA459"/>
  <c r="AB459"/>
  <c r="AC459"/>
  <c r="AD459"/>
  <c r="P460"/>
  <c r="T460"/>
  <c r="U460"/>
  <c r="V460"/>
  <c r="W460"/>
  <c r="Y460"/>
  <c r="AA460"/>
  <c r="AB460"/>
  <c r="AC460"/>
  <c r="AD460"/>
  <c r="P461"/>
  <c r="T461"/>
  <c r="U461"/>
  <c r="V461"/>
  <c r="W461"/>
  <c r="Y461"/>
  <c r="AA461"/>
  <c r="AB461"/>
  <c r="AC461"/>
  <c r="AD461"/>
  <c r="P462"/>
  <c r="T462"/>
  <c r="U462"/>
  <c r="V462"/>
  <c r="W462"/>
  <c r="Y462"/>
  <c r="AA462"/>
  <c r="AB462"/>
  <c r="AC462"/>
  <c r="AD462"/>
  <c r="P463"/>
  <c r="T463"/>
  <c r="U463"/>
  <c r="V463"/>
  <c r="W463"/>
  <c r="Y463"/>
  <c r="AA463"/>
  <c r="AB463"/>
  <c r="AC463"/>
  <c r="AD463"/>
  <c r="P464"/>
  <c r="T464"/>
  <c r="U464"/>
  <c r="V464"/>
  <c r="W464"/>
  <c r="Y464"/>
  <c r="AA464"/>
  <c r="AB464"/>
  <c r="AC464"/>
  <c r="AD464"/>
  <c r="P465"/>
  <c r="T465"/>
  <c r="U465"/>
  <c r="V465"/>
  <c r="W465"/>
  <c r="Y465"/>
  <c r="AA465"/>
  <c r="AB465"/>
  <c r="AC465"/>
  <c r="AD465"/>
  <c r="P466"/>
  <c r="T466"/>
  <c r="U466"/>
  <c r="V466"/>
  <c r="W466"/>
  <c r="Y466"/>
  <c r="AA466"/>
  <c r="AB466"/>
  <c r="AC466"/>
  <c r="AD466"/>
  <c r="P467"/>
  <c r="T467"/>
  <c r="U467"/>
  <c r="V467"/>
  <c r="W467"/>
  <c r="Y467"/>
  <c r="AA467"/>
  <c r="AB467"/>
  <c r="AC467"/>
  <c r="AD467"/>
  <c r="P468"/>
  <c r="W468"/>
  <c r="Y468"/>
  <c r="AA468"/>
  <c r="AB468"/>
  <c r="AC468"/>
  <c r="AD468"/>
  <c r="P469"/>
  <c r="T469"/>
  <c r="U469"/>
  <c r="V469"/>
  <c r="W469"/>
  <c r="Y469"/>
  <c r="AA469"/>
  <c r="AB469"/>
  <c r="AC469"/>
  <c r="AD469"/>
  <c r="P470"/>
  <c r="T470"/>
  <c r="U470"/>
  <c r="V470"/>
  <c r="W470"/>
  <c r="Y470"/>
  <c r="AA470"/>
  <c r="AB470"/>
  <c r="AC470"/>
  <c r="AD470"/>
  <c r="P471"/>
  <c r="T471"/>
  <c r="U471"/>
  <c r="V471"/>
  <c r="W471"/>
  <c r="Y471"/>
  <c r="AA471"/>
  <c r="AB471"/>
  <c r="AC471"/>
  <c r="AD471"/>
  <c r="P472"/>
  <c r="T472"/>
  <c r="U472"/>
  <c r="V472"/>
  <c r="W472"/>
  <c r="Y472"/>
  <c r="AA472"/>
  <c r="AB472"/>
  <c r="AC472"/>
  <c r="AD472"/>
  <c r="P473"/>
  <c r="T473"/>
  <c r="U473"/>
  <c r="V473"/>
  <c r="W473"/>
  <c r="Y473"/>
  <c r="AA473"/>
  <c r="AB473"/>
  <c r="AC473"/>
  <c r="AD473"/>
  <c r="P474"/>
  <c r="T474"/>
  <c r="U474"/>
  <c r="V474"/>
  <c r="W474"/>
  <c r="Y474"/>
  <c r="AA474"/>
  <c r="AB474"/>
  <c r="AC474"/>
  <c r="AD474"/>
  <c r="P475"/>
  <c r="T475"/>
  <c r="U475"/>
  <c r="V475"/>
  <c r="W475"/>
  <c r="Y475"/>
  <c r="AA475"/>
  <c r="AB475"/>
  <c r="AC475"/>
  <c r="AD475"/>
  <c r="P476"/>
  <c r="T476"/>
  <c r="U476"/>
  <c r="V476"/>
  <c r="W476"/>
  <c r="Y476"/>
  <c r="AA476"/>
  <c r="AB476"/>
  <c r="AC476"/>
  <c r="AD476"/>
  <c r="P477"/>
  <c r="T477"/>
  <c r="U477"/>
  <c r="V477"/>
  <c r="W477"/>
  <c r="Y477"/>
  <c r="AA477"/>
  <c r="AB477"/>
  <c r="AC477"/>
  <c r="AD477"/>
  <c r="P478"/>
  <c r="T478"/>
  <c r="U478"/>
  <c r="V478"/>
  <c r="W478"/>
  <c r="Y478"/>
  <c r="AA478"/>
  <c r="AB478"/>
  <c r="AC478"/>
  <c r="AD478"/>
  <c r="P479"/>
  <c r="T479"/>
  <c r="U479"/>
  <c r="V479"/>
  <c r="W479"/>
  <c r="Y479"/>
  <c r="AA479"/>
  <c r="AB479"/>
  <c r="AC479"/>
  <c r="AD479"/>
  <c r="P480"/>
  <c r="T480"/>
  <c r="U480"/>
  <c r="V480"/>
  <c r="W480"/>
  <c r="Y480"/>
  <c r="AA480"/>
  <c r="AB480"/>
  <c r="AC480"/>
  <c r="AD480"/>
  <c r="P481"/>
  <c r="W481"/>
  <c r="Y481"/>
  <c r="AA481"/>
  <c r="AB481"/>
  <c r="AC481"/>
  <c r="AD481"/>
  <c r="P484"/>
  <c r="T484"/>
  <c r="U484"/>
  <c r="V484"/>
  <c r="W484"/>
  <c r="Y484"/>
  <c r="AA484"/>
  <c r="AB484"/>
  <c r="AC484"/>
  <c r="AD484"/>
  <c r="P485"/>
  <c r="T485"/>
  <c r="U485"/>
  <c r="V485"/>
  <c r="W485"/>
  <c r="Y485"/>
  <c r="AA485"/>
  <c r="AB485"/>
  <c r="AC485"/>
  <c r="AD485"/>
  <c r="P486"/>
  <c r="W486"/>
  <c r="Y486"/>
  <c r="AB486"/>
  <c r="AC486"/>
  <c r="AD486"/>
  <c r="P487"/>
  <c r="W487"/>
  <c r="Y487"/>
  <c r="AB487"/>
  <c r="AC487"/>
  <c r="AD487"/>
  <c r="P488"/>
  <c r="W488"/>
  <c r="Y488"/>
  <c r="AB488"/>
  <c r="AC488"/>
  <c r="AD488"/>
  <c r="P489"/>
  <c r="W489"/>
  <c r="Y489"/>
  <c r="AB489"/>
  <c r="AC489"/>
  <c r="AD489"/>
  <c r="P490"/>
  <c r="W490"/>
  <c r="Y490"/>
  <c r="AB490"/>
  <c r="AC490"/>
  <c r="AD490"/>
  <c r="P491"/>
  <c r="W491"/>
  <c r="Y491"/>
  <c r="AB491"/>
  <c r="AC491"/>
  <c r="AD491"/>
  <c r="P492"/>
  <c r="W492"/>
  <c r="Y492"/>
  <c r="AB492"/>
  <c r="AC492"/>
  <c r="AD492"/>
  <c r="P493"/>
  <c r="W493"/>
  <c r="Y493"/>
  <c r="AB493"/>
  <c r="AC493"/>
  <c r="AD493"/>
  <c r="P494"/>
  <c r="W494"/>
  <c r="Y494"/>
  <c r="AB494"/>
  <c r="AC494"/>
  <c r="AD494"/>
  <c r="P495"/>
  <c r="W495"/>
  <c r="Y495"/>
  <c r="AB495"/>
  <c r="AC495"/>
  <c r="AD495"/>
  <c r="P496"/>
  <c r="W496"/>
  <c r="Y496"/>
  <c r="AB496"/>
  <c r="AC496"/>
  <c r="AD496"/>
  <c r="P497"/>
  <c r="W497"/>
  <c r="Y497"/>
  <c r="AB497"/>
  <c r="AC497"/>
  <c r="AD497"/>
  <c r="P498"/>
  <c r="W498"/>
  <c r="Y498"/>
  <c r="AB498"/>
  <c r="AC498"/>
  <c r="AD498"/>
  <c r="P499"/>
  <c r="W499"/>
  <c r="Y499"/>
  <c r="AB499"/>
  <c r="AC499"/>
  <c r="AD499"/>
  <c r="P500"/>
  <c r="W500"/>
  <c r="Y500"/>
  <c r="AB500"/>
  <c r="AC500"/>
  <c r="AD500"/>
  <c r="P501"/>
  <c r="W501"/>
  <c r="Y501"/>
  <c r="AB501"/>
  <c r="AC501"/>
  <c r="AD501"/>
  <c r="P502"/>
  <c r="W502"/>
  <c r="Y502"/>
  <c r="AB502"/>
  <c r="AC502"/>
  <c r="AD502"/>
  <c r="P503"/>
  <c r="W503"/>
  <c r="Y503"/>
  <c r="AB503"/>
  <c r="AC503"/>
  <c r="AD503"/>
  <c r="P504"/>
  <c r="W504"/>
  <c r="Y504"/>
  <c r="AB504"/>
  <c r="AC504"/>
  <c r="AD504"/>
  <c r="P505"/>
  <c r="W505"/>
  <c r="Y505"/>
  <c r="AB505"/>
  <c r="AC505"/>
  <c r="AD505"/>
  <c r="P506"/>
  <c r="W506"/>
  <c r="Y506"/>
  <c r="AB506"/>
  <c r="AC506"/>
  <c r="AD506"/>
  <c r="P507"/>
  <c r="W507"/>
  <c r="Y507"/>
  <c r="AB507"/>
  <c r="AC507"/>
  <c r="AD507"/>
  <c r="P508"/>
  <c r="W508"/>
  <c r="Y508"/>
  <c r="AB508"/>
  <c r="AC508"/>
  <c r="AD508"/>
  <c r="P509"/>
  <c r="W509"/>
  <c r="Y509"/>
  <c r="AB509"/>
  <c r="AC509"/>
  <c r="AD509"/>
  <c r="P510"/>
  <c r="W510"/>
  <c r="Y510"/>
  <c r="AB510"/>
  <c r="AC510"/>
  <c r="AD510"/>
  <c r="P511"/>
  <c r="W511"/>
  <c r="Y511"/>
  <c r="AB511"/>
  <c r="AC511"/>
  <c r="AD511"/>
  <c r="P512"/>
  <c r="W512"/>
  <c r="Y512"/>
  <c r="AB512"/>
  <c r="AC512"/>
  <c r="AD512"/>
  <c r="P513"/>
  <c r="W513"/>
  <c r="Y513"/>
  <c r="AB513"/>
  <c r="AC513"/>
  <c r="AD513"/>
  <c r="P514"/>
  <c r="W514"/>
  <c r="Y514"/>
  <c r="AB514"/>
  <c r="AC514"/>
  <c r="AD514"/>
  <c r="P515"/>
  <c r="W515"/>
  <c r="Y515"/>
  <c r="AB515"/>
  <c r="AC515"/>
  <c r="AD515"/>
  <c r="P516"/>
  <c r="W516"/>
  <c r="Y516"/>
  <c r="AB516"/>
  <c r="AC516"/>
  <c r="AD516"/>
  <c r="P517"/>
  <c r="W517"/>
  <c r="Y517"/>
  <c r="AB517"/>
  <c r="AC517"/>
  <c r="AD517"/>
  <c r="P518"/>
  <c r="W518"/>
  <c r="Y518"/>
  <c r="AB518"/>
  <c r="AC518"/>
  <c r="AD518"/>
  <c r="P519"/>
  <c r="W519"/>
  <c r="Y519"/>
  <c r="AB519"/>
  <c r="AC519"/>
  <c r="AD519"/>
  <c r="P520"/>
  <c r="W520"/>
  <c r="Y520"/>
  <c r="AB520"/>
  <c r="AC520"/>
  <c r="AD520"/>
  <c r="P521"/>
  <c r="W521"/>
  <c r="Y521"/>
  <c r="AB521"/>
  <c r="AC521"/>
  <c r="AD521"/>
  <c r="P522"/>
  <c r="W522"/>
  <c r="Y522"/>
  <c r="AB522"/>
  <c r="AC522"/>
  <c r="AD522"/>
  <c r="P523"/>
  <c r="W523"/>
  <c r="Y523"/>
  <c r="AB523"/>
  <c r="AC523"/>
  <c r="AD523"/>
  <c r="P524"/>
  <c r="W524"/>
  <c r="Y524"/>
  <c r="AB524"/>
  <c r="AC524"/>
  <c r="AD524"/>
  <c r="P525"/>
  <c r="W525"/>
  <c r="Y525"/>
  <c r="AB525"/>
  <c r="AC525"/>
  <c r="AD525"/>
  <c r="P526"/>
  <c r="W526"/>
  <c r="Y526"/>
  <c r="AB526"/>
  <c r="AC526"/>
  <c r="AD526"/>
  <c r="P527"/>
  <c r="W527"/>
  <c r="Y527"/>
  <c r="AB527"/>
  <c r="AC527"/>
  <c r="AD527"/>
  <c r="P528"/>
  <c r="W528"/>
  <c r="Y528"/>
  <c r="AB528"/>
  <c r="AC528"/>
  <c r="AD528"/>
  <c r="P529"/>
  <c r="W529"/>
  <c r="Y529"/>
  <c r="AB529"/>
  <c r="AC529"/>
  <c r="AD529"/>
  <c r="P530"/>
  <c r="W530"/>
  <c r="Y530"/>
  <c r="AB530"/>
  <c r="AC530"/>
  <c r="AD530"/>
  <c r="P531"/>
  <c r="W531"/>
  <c r="Y531"/>
  <c r="AB531"/>
  <c r="AC531"/>
  <c r="AD531"/>
  <c r="P532"/>
  <c r="W532"/>
  <c r="Y532"/>
  <c r="AB532"/>
  <c r="AC532"/>
  <c r="AD532"/>
  <c r="P533"/>
  <c r="W533"/>
  <c r="Y533"/>
  <c r="AB533"/>
  <c r="AC533"/>
  <c r="AD533"/>
  <c r="P534"/>
  <c r="W534"/>
  <c r="Y534"/>
  <c r="AB534"/>
  <c r="AC534"/>
  <c r="AD534"/>
  <c r="P535"/>
  <c r="W535"/>
  <c r="Y535"/>
  <c r="AB535"/>
  <c r="AC535"/>
  <c r="AD535"/>
  <c r="P536"/>
  <c r="W536"/>
  <c r="Y536"/>
  <c r="AB536"/>
  <c r="AC536"/>
  <c r="AD536"/>
  <c r="P537"/>
  <c r="W537"/>
  <c r="Y537"/>
  <c r="AB537"/>
  <c r="AC537"/>
  <c r="AD537"/>
  <c r="P538"/>
  <c r="W538"/>
  <c r="Y538"/>
  <c r="AB538"/>
  <c r="AC538"/>
  <c r="AD538"/>
  <c r="P539"/>
  <c r="W539"/>
  <c r="Y539"/>
  <c r="AB539"/>
  <c r="AC539"/>
  <c r="AD539"/>
  <c r="P540"/>
  <c r="W540"/>
  <c r="Y540"/>
  <c r="AB540"/>
  <c r="AC540"/>
  <c r="AD540"/>
  <c r="P541"/>
  <c r="W541"/>
  <c r="Y541"/>
  <c r="AB541"/>
  <c r="AC541"/>
  <c r="AD541"/>
  <c r="P542"/>
  <c r="W542"/>
  <c r="Y542"/>
  <c r="AB542"/>
  <c r="AC542"/>
  <c r="AD542"/>
  <c r="P543"/>
  <c r="W543"/>
  <c r="Y543"/>
  <c r="AB543"/>
  <c r="AC543"/>
  <c r="AD543"/>
  <c r="P544"/>
  <c r="W544"/>
  <c r="Y544"/>
  <c r="AB544"/>
  <c r="AC544"/>
  <c r="AD544"/>
  <c r="P545"/>
  <c r="W545"/>
  <c r="Y545"/>
  <c r="AB545"/>
  <c r="AC545"/>
  <c r="AD545"/>
  <c r="P546"/>
  <c r="W546"/>
  <c r="Y546"/>
  <c r="AB546"/>
  <c r="AC546"/>
  <c r="AD546"/>
  <c r="P547"/>
  <c r="W547"/>
  <c r="Y547"/>
  <c r="AB547"/>
  <c r="AC547"/>
  <c r="AD547"/>
  <c r="P548"/>
  <c r="W548"/>
  <c r="Y548"/>
  <c r="AB548"/>
  <c r="AC548"/>
  <c r="AD548"/>
  <c r="P549"/>
  <c r="W549"/>
  <c r="Y549"/>
  <c r="AB549"/>
  <c r="AC549"/>
  <c r="AD549"/>
  <c r="P550"/>
  <c r="W550"/>
  <c r="Y550"/>
  <c r="AB550"/>
  <c r="AC550"/>
  <c r="AD550"/>
  <c r="P551"/>
  <c r="W551"/>
  <c r="Y551"/>
  <c r="AB551"/>
  <c r="AC551"/>
  <c r="AD551"/>
  <c r="P552"/>
  <c r="W552"/>
  <c r="Y552"/>
  <c r="AB552"/>
  <c r="AC552"/>
  <c r="AD552"/>
  <c r="P553"/>
  <c r="W553"/>
  <c r="Y553"/>
  <c r="AB553"/>
  <c r="AC553"/>
  <c r="AD553"/>
  <c r="P554"/>
  <c r="W554"/>
  <c r="Y554"/>
  <c r="AB554"/>
  <c r="AC554"/>
  <c r="AD554"/>
  <c r="P555"/>
  <c r="W555"/>
  <c r="Y555"/>
  <c r="AB555"/>
  <c r="AC555"/>
  <c r="AD555"/>
  <c r="P556"/>
  <c r="W556"/>
  <c r="Y556"/>
  <c r="AB556"/>
  <c r="AC556"/>
  <c r="AD556"/>
  <c r="P557"/>
  <c r="W557"/>
  <c r="Y557"/>
  <c r="AB557"/>
  <c r="AC557"/>
  <c r="AD557"/>
  <c r="P558"/>
  <c r="W558"/>
  <c r="Y558"/>
  <c r="AB558"/>
  <c r="AC558"/>
  <c r="AD558"/>
  <c r="P559"/>
  <c r="W559"/>
  <c r="Y559"/>
  <c r="AB559"/>
  <c r="AC559"/>
  <c r="AD559"/>
  <c r="P560"/>
  <c r="W560"/>
  <c r="Y560"/>
  <c r="AB560"/>
  <c r="AC560"/>
  <c r="AD560"/>
  <c r="P561"/>
  <c r="W561"/>
  <c r="Y561"/>
  <c r="AB561"/>
  <c r="AC561"/>
  <c r="AD561"/>
  <c r="P562"/>
  <c r="W562"/>
  <c r="Y562"/>
  <c r="AB562"/>
  <c r="AC562"/>
  <c r="AD562"/>
  <c r="P563"/>
  <c r="W563"/>
  <c r="Y563"/>
  <c r="AB563"/>
  <c r="AC563"/>
  <c r="AD563"/>
  <c r="P564"/>
  <c r="W564"/>
  <c r="Y564"/>
  <c r="AB564"/>
  <c r="AC564"/>
  <c r="AD564"/>
  <c r="P565"/>
  <c r="W565"/>
  <c r="Y565"/>
  <c r="AB565"/>
  <c r="AC565"/>
  <c r="AD565"/>
  <c r="P566"/>
  <c r="W566"/>
  <c r="Y566"/>
  <c r="AB566"/>
  <c r="AC566"/>
  <c r="AD566"/>
  <c r="P567"/>
  <c r="W567"/>
  <c r="Y567"/>
  <c r="AB567"/>
  <c r="AC567"/>
  <c r="AD567"/>
  <c r="P568"/>
  <c r="W568"/>
  <c r="Y568"/>
  <c r="AB568"/>
  <c r="AC568"/>
  <c r="AD568"/>
  <c r="P569"/>
  <c r="W569"/>
  <c r="Y569"/>
  <c r="AB569"/>
  <c r="AC569"/>
  <c r="AD569"/>
  <c r="P570"/>
  <c r="W570"/>
  <c r="Y570"/>
  <c r="AB570"/>
  <c r="AC570"/>
  <c r="AD570"/>
  <c r="P571"/>
  <c r="W571"/>
  <c r="Y571"/>
  <c r="AB571"/>
  <c r="AC571"/>
  <c r="AD571"/>
  <c r="P572"/>
  <c r="W572"/>
  <c r="Y572"/>
  <c r="AB572"/>
  <c r="AC572"/>
  <c r="AD572"/>
  <c r="P573"/>
  <c r="W573"/>
  <c r="Y573"/>
  <c r="AB573"/>
  <c r="AC573"/>
  <c r="AD573"/>
  <c r="P574"/>
  <c r="W574"/>
  <c r="Y574"/>
  <c r="AB574"/>
  <c r="AC574"/>
  <c r="AD574"/>
  <c r="P575"/>
  <c r="W575"/>
  <c r="Y575"/>
  <c r="AB575"/>
  <c r="AC575"/>
  <c r="AD575"/>
  <c r="P576"/>
  <c r="W576"/>
  <c r="Y576"/>
  <c r="AB576"/>
  <c r="AC576"/>
  <c r="AD576"/>
  <c r="P577"/>
  <c r="W577"/>
  <c r="Y577"/>
  <c r="AB577"/>
  <c r="AC577"/>
  <c r="AD577"/>
  <c r="P578"/>
  <c r="W578"/>
  <c r="Y578"/>
  <c r="AB578"/>
  <c r="AC578"/>
  <c r="AD578"/>
  <c r="P579"/>
  <c r="W579"/>
  <c r="Y579"/>
  <c r="AB579"/>
  <c r="AC579"/>
  <c r="AD579"/>
  <c r="P580"/>
  <c r="W580"/>
  <c r="Y580"/>
  <c r="AB580"/>
  <c r="AC580"/>
  <c r="AD580"/>
  <c r="P581"/>
  <c r="W581"/>
  <c r="Y581"/>
  <c r="AB581"/>
  <c r="AC581"/>
  <c r="AD581"/>
  <c r="P582"/>
  <c r="W582"/>
  <c r="Y582"/>
  <c r="AB582"/>
  <c r="AC582"/>
  <c r="AD582"/>
  <c r="P583"/>
  <c r="W583"/>
  <c r="Y583"/>
  <c r="AB583"/>
  <c r="AC583"/>
  <c r="AD583"/>
  <c r="P584"/>
  <c r="W584"/>
  <c r="Y584"/>
  <c r="AB584"/>
  <c r="AC584"/>
  <c r="AD584"/>
  <c r="P585"/>
  <c r="W585"/>
  <c r="Y585"/>
  <c r="AB585"/>
  <c r="AC585"/>
  <c r="AD585"/>
  <c r="P586"/>
  <c r="W586"/>
  <c r="Y586"/>
  <c r="AB586"/>
  <c r="AC586"/>
  <c r="AD586"/>
  <c r="P587"/>
  <c r="W587"/>
  <c r="Y587"/>
  <c r="AB587"/>
  <c r="AC587"/>
  <c r="AD587"/>
  <c r="P588"/>
  <c r="W588"/>
  <c r="Y588"/>
  <c r="AB588"/>
  <c r="AC588"/>
  <c r="AD588"/>
  <c r="P589"/>
  <c r="W589"/>
  <c r="Y589"/>
  <c r="AB589"/>
  <c r="AC589"/>
  <c r="AD589"/>
  <c r="P590"/>
  <c r="W590"/>
  <c r="Y590"/>
  <c r="AB590"/>
  <c r="AC590"/>
  <c r="AD590"/>
  <c r="P591"/>
  <c r="W591"/>
  <c r="Y591"/>
  <c r="AB591"/>
  <c r="AC591"/>
  <c r="AD591"/>
  <c r="P592"/>
  <c r="W592"/>
  <c r="Y592"/>
  <c r="AB592"/>
  <c r="AC592"/>
  <c r="AD592"/>
  <c r="P593"/>
  <c r="W593"/>
  <c r="Y593"/>
  <c r="AB593"/>
  <c r="AC593"/>
  <c r="AD593"/>
  <c r="P594"/>
  <c r="W594"/>
  <c r="Y594"/>
  <c r="AB594"/>
  <c r="AC594"/>
  <c r="AD594"/>
  <c r="P595"/>
  <c r="T595"/>
  <c r="U595"/>
  <c r="V595"/>
  <c r="W595"/>
  <c r="Y595"/>
  <c r="AB595"/>
  <c r="AC595"/>
  <c r="AD595"/>
  <c r="P596"/>
  <c r="T596"/>
  <c r="U596"/>
  <c r="V596"/>
  <c r="W596"/>
  <c r="Y596"/>
  <c r="AB596"/>
  <c r="AC596"/>
  <c r="AD596"/>
  <c r="P664"/>
  <c r="W664"/>
  <c r="Y664"/>
  <c r="AB664"/>
  <c r="AC664"/>
  <c r="AD664"/>
  <c r="P665"/>
  <c r="W665"/>
  <c r="Y665"/>
  <c r="AB665"/>
  <c r="AC665"/>
  <c r="AD665"/>
  <c r="P666"/>
  <c r="W666"/>
  <c r="Y666"/>
  <c r="AB666"/>
  <c r="AC666"/>
  <c r="AD666"/>
  <c r="P667"/>
  <c r="W667"/>
  <c r="Y667"/>
  <c r="AB667"/>
  <c r="AC667"/>
  <c r="AD667"/>
  <c r="P668"/>
  <c r="W668"/>
  <c r="Y668"/>
  <c r="AB668"/>
  <c r="AC668"/>
  <c r="AD668"/>
  <c r="P669"/>
  <c r="W669"/>
  <c r="Y669"/>
  <c r="AB669"/>
  <c r="AC669"/>
  <c r="AD669"/>
  <c r="P670"/>
  <c r="W670"/>
  <c r="Y670"/>
  <c r="AB670"/>
  <c r="AC670"/>
  <c r="AD670"/>
  <c r="P671"/>
  <c r="W671"/>
  <c r="Y671"/>
  <c r="AB671"/>
  <c r="AC671"/>
  <c r="AD671"/>
  <c r="P672"/>
  <c r="W672"/>
  <c r="Y672"/>
  <c r="AB672"/>
  <c r="AC672"/>
  <c r="AD672"/>
  <c r="P673"/>
  <c r="W673"/>
  <c r="Y673"/>
  <c r="AB673"/>
  <c r="AC673"/>
  <c r="AD673"/>
  <c r="P674"/>
  <c r="W674"/>
  <c r="Y674"/>
  <c r="AB674"/>
  <c r="AC674"/>
  <c r="AD674"/>
  <c r="P675"/>
  <c r="W675"/>
  <c r="Y675"/>
  <c r="AB675"/>
  <c r="AC675"/>
  <c r="AD675"/>
  <c r="P676"/>
  <c r="W676"/>
  <c r="Y676"/>
  <c r="AB676"/>
  <c r="AC676"/>
  <c r="AD676"/>
  <c r="P677"/>
  <c r="W677"/>
  <c r="Y677"/>
  <c r="AB677"/>
  <c r="AC677"/>
  <c r="AD677"/>
  <c r="P678"/>
  <c r="W678"/>
  <c r="Y678"/>
  <c r="AB678"/>
  <c r="AC678"/>
  <c r="AD678"/>
  <c r="P679"/>
  <c r="W679"/>
  <c r="Y679"/>
  <c r="AB679"/>
  <c r="AC679"/>
  <c r="AD679"/>
  <c r="P680"/>
  <c r="W680"/>
  <c r="Y680"/>
  <c r="AB680"/>
  <c r="AC680"/>
  <c r="AD680"/>
  <c r="P681"/>
  <c r="W681"/>
  <c r="Y681"/>
  <c r="AB681"/>
  <c r="AC681"/>
  <c r="AD681"/>
  <c r="P682"/>
  <c r="W682"/>
  <c r="Y682"/>
  <c r="AB682"/>
  <c r="AC682"/>
  <c r="AD682"/>
  <c r="P683"/>
  <c r="W683"/>
  <c r="Y683"/>
  <c r="AB683"/>
  <c r="AC683"/>
  <c r="AD683"/>
  <c r="P684"/>
  <c r="W684"/>
  <c r="Y684"/>
  <c r="AB684"/>
  <c r="AC684"/>
  <c r="AD684"/>
  <c r="P685"/>
  <c r="W685"/>
  <c r="Y685"/>
  <c r="AB685"/>
  <c r="AC685"/>
  <c r="AD685"/>
  <c r="P686"/>
  <c r="W686"/>
  <c r="Y686"/>
  <c r="AB686"/>
  <c r="AC686"/>
  <c r="AD686"/>
  <c r="P687"/>
  <c r="W687"/>
  <c r="Y687"/>
  <c r="AB687"/>
  <c r="AC687"/>
  <c r="AD687"/>
  <c r="P688"/>
  <c r="W688"/>
  <c r="Y688"/>
  <c r="AB688"/>
  <c r="AC688"/>
  <c r="AD688"/>
  <c r="P689"/>
  <c r="W689"/>
  <c r="Y689"/>
  <c r="AB689"/>
  <c r="AC689"/>
  <c r="AD689"/>
  <c r="P690"/>
  <c r="W690"/>
  <c r="Y690"/>
  <c r="AB690"/>
  <c r="AC690"/>
  <c r="AD690"/>
  <c r="P691"/>
  <c r="W691"/>
  <c r="Y691"/>
  <c r="AB691"/>
  <c r="AC691"/>
  <c r="AD691"/>
  <c r="P692"/>
  <c r="W692"/>
  <c r="Y692"/>
  <c r="AB692"/>
  <c r="AC692"/>
  <c r="AD692"/>
  <c r="P693"/>
  <c r="W693"/>
  <c r="Y693"/>
  <c r="AB693"/>
  <c r="AC693"/>
  <c r="AD693"/>
  <c r="P694"/>
  <c r="W694"/>
  <c r="Y694"/>
  <c r="AB694"/>
  <c r="AC694"/>
  <c r="AD694"/>
  <c r="P695"/>
  <c r="W695"/>
  <c r="Y695"/>
  <c r="AB695"/>
  <c r="AC695"/>
  <c r="AD695"/>
  <c r="P696"/>
  <c r="W696"/>
  <c r="Y696"/>
  <c r="AB696"/>
  <c r="AC696"/>
  <c r="AD696"/>
  <c r="P697"/>
  <c r="W697"/>
  <c r="Y697"/>
  <c r="AB697"/>
  <c r="AC697"/>
  <c r="AD697"/>
  <c r="P698"/>
  <c r="W698"/>
  <c r="Y698"/>
  <c r="AB698"/>
  <c r="AC698"/>
  <c r="AD698"/>
  <c r="P699"/>
  <c r="W699"/>
  <c r="Y699"/>
  <c r="AB699"/>
  <c r="AC699"/>
  <c r="AD699"/>
  <c r="P700"/>
  <c r="W700"/>
  <c r="Y700"/>
  <c r="AB700"/>
  <c r="AC700"/>
  <c r="AD700"/>
  <c r="P701"/>
  <c r="W701"/>
  <c r="Y701"/>
  <c r="AB701"/>
  <c r="AC701"/>
  <c r="AD701"/>
  <c r="P702"/>
  <c r="W702"/>
  <c r="Y702"/>
  <c r="AB702"/>
  <c r="AC702"/>
  <c r="AD702"/>
  <c r="P703"/>
  <c r="W703"/>
  <c r="Y703"/>
  <c r="AB703"/>
  <c r="AC703"/>
  <c r="AD703"/>
  <c r="P704"/>
  <c r="W704"/>
  <c r="Y704"/>
  <c r="AB704"/>
  <c r="AC704"/>
  <c r="AD704"/>
  <c r="P705"/>
  <c r="W705"/>
  <c r="Y705"/>
  <c r="AB705"/>
  <c r="AC705"/>
  <c r="AD705"/>
  <c r="P706"/>
  <c r="W706"/>
  <c r="Y706"/>
  <c r="AB706"/>
  <c r="AC706"/>
  <c r="AD706"/>
  <c r="P707"/>
  <c r="W707"/>
  <c r="Y707"/>
  <c r="AB707"/>
  <c r="AC707"/>
  <c r="AD707"/>
  <c r="P708"/>
  <c r="W708"/>
  <c r="Y708"/>
  <c r="AB708"/>
  <c r="AC708"/>
  <c r="AD708"/>
  <c r="P709"/>
  <c r="W709"/>
  <c r="Y709"/>
  <c r="AB709"/>
  <c r="AC709"/>
  <c r="AD709"/>
  <c r="P710"/>
  <c r="W710"/>
  <c r="Y710"/>
  <c r="AB710"/>
  <c r="AC710"/>
  <c r="AD710"/>
  <c r="P711"/>
  <c r="W711"/>
  <c r="Y711"/>
  <c r="AB711"/>
  <c r="AC711"/>
  <c r="AD711"/>
  <c r="P712"/>
  <c r="W712"/>
  <c r="Y712"/>
  <c r="AB712"/>
  <c r="AC712"/>
  <c r="AD712"/>
  <c r="P713"/>
  <c r="W713"/>
  <c r="Y713"/>
  <c r="AB713"/>
  <c r="AC713"/>
  <c r="AD713"/>
  <c r="P714"/>
  <c r="W714"/>
  <c r="Y714"/>
  <c r="AB714"/>
  <c r="AC714"/>
  <c r="AD714"/>
  <c r="P715"/>
  <c r="W715"/>
  <c r="Y715"/>
  <c r="AB715"/>
  <c r="AC715"/>
  <c r="AD715"/>
  <c r="P716"/>
  <c r="W716"/>
  <c r="Y716"/>
  <c r="AB716"/>
  <c r="AC716"/>
  <c r="AD716"/>
  <c r="P717"/>
  <c r="W717"/>
  <c r="Y717"/>
  <c r="AB717"/>
  <c r="AC717"/>
  <c r="AD717"/>
  <c r="P718"/>
  <c r="W718"/>
  <c r="Y718"/>
  <c r="AB718"/>
  <c r="AC718"/>
  <c r="AD718"/>
  <c r="P719"/>
  <c r="W719"/>
  <c r="Y719"/>
  <c r="AB719"/>
  <c r="AC719"/>
  <c r="AD719"/>
  <c r="P720"/>
  <c r="W720"/>
  <c r="Y720"/>
  <c r="AB720"/>
  <c r="AC720"/>
  <c r="AD720"/>
  <c r="P721"/>
  <c r="W721"/>
  <c r="Y721"/>
  <c r="AB721"/>
  <c r="AC721"/>
  <c r="AD721"/>
  <c r="P722"/>
  <c r="W722"/>
  <c r="Y722"/>
  <c r="AB722"/>
  <c r="AC722"/>
  <c r="AD722"/>
  <c r="P723"/>
  <c r="W723"/>
  <c r="Y723"/>
  <c r="AB723"/>
  <c r="AC723"/>
  <c r="AD723"/>
  <c r="P724"/>
  <c r="W724"/>
  <c r="Y724"/>
  <c r="AB724"/>
  <c r="AC724"/>
  <c r="AD724"/>
  <c r="P725"/>
  <c r="W725"/>
  <c r="Y725"/>
  <c r="AB725"/>
  <c r="AC725"/>
  <c r="AD725"/>
  <c r="P726"/>
  <c r="W726"/>
  <c r="Y726"/>
  <c r="AB726"/>
  <c r="AC726"/>
  <c r="AD726"/>
  <c r="P727"/>
  <c r="W727"/>
  <c r="Y727"/>
  <c r="AB727"/>
  <c r="AC727"/>
  <c r="AD727"/>
  <c r="P728"/>
  <c r="W728"/>
  <c r="Y728"/>
  <c r="AB728"/>
  <c r="AC728"/>
  <c r="AD728"/>
  <c r="P729"/>
  <c r="W729"/>
  <c r="Y729"/>
  <c r="AB729"/>
  <c r="AC729"/>
  <c r="AD729"/>
  <c r="P730"/>
  <c r="W730"/>
  <c r="Y730"/>
  <c r="AB730"/>
  <c r="AC730"/>
  <c r="AD730"/>
  <c r="P731"/>
  <c r="W731"/>
  <c r="Y731"/>
  <c r="AB731"/>
  <c r="AC731"/>
  <c r="AD731"/>
  <c r="P732"/>
  <c r="W732"/>
  <c r="Y732"/>
  <c r="AB732"/>
  <c r="AC732"/>
  <c r="AD732"/>
  <c r="P733"/>
  <c r="W733"/>
  <c r="Y733"/>
  <c r="AB733"/>
  <c r="AC733"/>
  <c r="AD733"/>
  <c r="P734"/>
  <c r="W734"/>
  <c r="Y734"/>
  <c r="AB734"/>
  <c r="AC734"/>
  <c r="AD734"/>
  <c r="P735"/>
  <c r="W735"/>
  <c r="Y735"/>
  <c r="AB735"/>
  <c r="AC735"/>
  <c r="AD735"/>
  <c r="P736"/>
  <c r="W736"/>
  <c r="Y736"/>
  <c r="AB736"/>
  <c r="AC736"/>
  <c r="AD736"/>
  <c r="P737"/>
  <c r="W737"/>
  <c r="Y737"/>
  <c r="AB737"/>
  <c r="AC737"/>
  <c r="AD737"/>
  <c r="P738"/>
  <c r="W738"/>
  <c r="Y738"/>
  <c r="AB738"/>
  <c r="AC738"/>
  <c r="AD738"/>
  <c r="P739"/>
  <c r="W739"/>
  <c r="Y739"/>
  <c r="AB739"/>
  <c r="AC739"/>
  <c r="AD739"/>
  <c r="P740"/>
  <c r="W740"/>
  <c r="Y740"/>
  <c r="AB740"/>
  <c r="AC740"/>
  <c r="AD740"/>
  <c r="P741"/>
  <c r="W741"/>
  <c r="Y741"/>
  <c r="AB741"/>
  <c r="AC741"/>
  <c r="AD741"/>
  <c r="P742"/>
  <c r="W742"/>
  <c r="Y742"/>
  <c r="AB742"/>
  <c r="AC742"/>
  <c r="AD742"/>
  <c r="P743"/>
  <c r="W743"/>
  <c r="Y743"/>
  <c r="AB743"/>
  <c r="AC743"/>
  <c r="AD743"/>
  <c r="P744"/>
  <c r="W744"/>
  <c r="Y744"/>
  <c r="AB744"/>
  <c r="AC744"/>
  <c r="AD744"/>
  <c r="P745"/>
  <c r="W745"/>
  <c r="Y745"/>
  <c r="AB745"/>
  <c r="AC745"/>
  <c r="AD745"/>
  <c r="P746"/>
  <c r="W746"/>
  <c r="Y746"/>
  <c r="AB746"/>
  <c r="AC746"/>
  <c r="AD746"/>
  <c r="P747"/>
  <c r="W747"/>
  <c r="Y747"/>
  <c r="AB747"/>
  <c r="AC747"/>
  <c r="AD747"/>
  <c r="P748"/>
  <c r="W748"/>
  <c r="Y748"/>
  <c r="AB748"/>
  <c r="AC748"/>
  <c r="AD748"/>
  <c r="P749"/>
  <c r="W749"/>
  <c r="Y749"/>
  <c r="AB749"/>
  <c r="AC749"/>
  <c r="AD749"/>
  <c r="P750"/>
  <c r="W750"/>
  <c r="Y750"/>
  <c r="AB750"/>
  <c r="AC750"/>
  <c r="AD750"/>
  <c r="P751"/>
  <c r="W751"/>
  <c r="Y751"/>
  <c r="AB751"/>
  <c r="AC751"/>
  <c r="AD751"/>
  <c r="P752"/>
  <c r="W752"/>
  <c r="Y752"/>
  <c r="AB752"/>
  <c r="AC752"/>
  <c r="AD752"/>
  <c r="P753"/>
  <c r="W753"/>
  <c r="Y753"/>
  <c r="AB753"/>
  <c r="AC753"/>
  <c r="AD753"/>
  <c r="P754"/>
  <c r="W754"/>
  <c r="Y754"/>
  <c r="AB754"/>
  <c r="AC754"/>
  <c r="AD754"/>
  <c r="P755"/>
  <c r="W755"/>
  <c r="Y755"/>
  <c r="AB755"/>
  <c r="AC755"/>
  <c r="AD755"/>
  <c r="P756"/>
  <c r="W756"/>
  <c r="Y756"/>
  <c r="AB756"/>
  <c r="AC756"/>
  <c r="AD756"/>
  <c r="P757"/>
  <c r="W757"/>
  <c r="Y757"/>
  <c r="AB757"/>
  <c r="AC757"/>
  <c r="AD757"/>
  <c r="P758"/>
  <c r="W758"/>
  <c r="Y758"/>
  <c r="AB758"/>
  <c r="AC758"/>
  <c r="AD758"/>
  <c r="P759"/>
  <c r="W759"/>
  <c r="Y759"/>
  <c r="AB759"/>
  <c r="AC759"/>
  <c r="AD759"/>
  <c r="P760"/>
  <c r="W760"/>
  <c r="Y760"/>
  <c r="AB760"/>
  <c r="AC760"/>
  <c r="AD760"/>
  <c r="P761"/>
  <c r="W761"/>
  <c r="Y761"/>
  <c r="AB761"/>
  <c r="AC761"/>
  <c r="AD761"/>
  <c r="P762"/>
  <c r="W762"/>
  <c r="Y762"/>
  <c r="AB762"/>
  <c r="AC762"/>
  <c r="AD762"/>
  <c r="P763"/>
  <c r="W763"/>
  <c r="Y763"/>
  <c r="AB763"/>
  <c r="AC763"/>
  <c r="AD763"/>
  <c r="P764"/>
  <c r="W764"/>
  <c r="Y764"/>
  <c r="AB764"/>
  <c r="AC764"/>
  <c r="AD764"/>
  <c r="P765"/>
  <c r="W765"/>
  <c r="Y765"/>
  <c r="AB765"/>
  <c r="AC765"/>
  <c r="AD765"/>
  <c r="P766"/>
  <c r="W766"/>
  <c r="Y766"/>
  <c r="AB766"/>
  <c r="AC766"/>
  <c r="AD766"/>
  <c r="P767"/>
  <c r="W767"/>
  <c r="Y767"/>
  <c r="AB767"/>
  <c r="AC767"/>
  <c r="AD767"/>
  <c r="P768"/>
  <c r="W768"/>
  <c r="Y768"/>
  <c r="AB768"/>
  <c r="AC768"/>
  <c r="AD768"/>
  <c r="P769"/>
  <c r="W769"/>
  <c r="Y769"/>
  <c r="AB769"/>
  <c r="AC769"/>
  <c r="AD769"/>
  <c r="P770"/>
  <c r="W770"/>
  <c r="Y770"/>
  <c r="AB770"/>
  <c r="AC770"/>
  <c r="AD770"/>
  <c r="P771"/>
  <c r="W771"/>
  <c r="Y771"/>
  <c r="AB771"/>
  <c r="AC771"/>
  <c r="AD771"/>
  <c r="P772"/>
  <c r="W772"/>
  <c r="Y772"/>
  <c r="AB772"/>
  <c r="AC772"/>
  <c r="AD772"/>
  <c r="P773"/>
  <c r="W773"/>
  <c r="Y773"/>
  <c r="AB773"/>
  <c r="AC773"/>
  <c r="AD773"/>
  <c r="P774"/>
  <c r="W774"/>
  <c r="Y774"/>
  <c r="AB774"/>
  <c r="AC774"/>
  <c r="AD774"/>
  <c r="P775"/>
  <c r="W775"/>
  <c r="Y775"/>
  <c r="AB775"/>
  <c r="AC775"/>
  <c r="AD775"/>
  <c r="P776"/>
  <c r="W776"/>
  <c r="Y776"/>
  <c r="AB776"/>
  <c r="AC776"/>
  <c r="AD776"/>
  <c r="P777"/>
  <c r="W777"/>
  <c r="Y777"/>
  <c r="AB777"/>
  <c r="AC777"/>
  <c r="AD777"/>
  <c r="P778"/>
  <c r="W778"/>
  <c r="Y778"/>
  <c r="AB778"/>
  <c r="AC778"/>
  <c r="AD778"/>
  <c r="P779"/>
  <c r="W779"/>
  <c r="Y779"/>
  <c r="AB779"/>
  <c r="AC779"/>
  <c r="AD779"/>
  <c r="P780"/>
  <c r="W780"/>
  <c r="Y780"/>
  <c r="AB780"/>
  <c r="AC780"/>
  <c r="AD780"/>
  <c r="P781"/>
  <c r="W781"/>
  <c r="Y781"/>
  <c r="AB781"/>
  <c r="AC781"/>
  <c r="AD781"/>
  <c r="P782"/>
  <c r="W782"/>
  <c r="Y782"/>
  <c r="AB782"/>
  <c r="AC782"/>
  <c r="AD782"/>
  <c r="P783"/>
  <c r="W783"/>
  <c r="Y783"/>
  <c r="AB783"/>
  <c r="AC783"/>
  <c r="AD783"/>
  <c r="P784"/>
  <c r="T784"/>
  <c r="U784"/>
  <c r="V784"/>
  <c r="W784"/>
  <c r="Y784"/>
  <c r="AA784"/>
  <c r="AB784"/>
  <c r="AC784"/>
  <c r="AD784"/>
  <c r="P785"/>
  <c r="T785"/>
  <c r="U785"/>
  <c r="V785"/>
  <c r="W785"/>
  <c r="Y785"/>
  <c r="AA785"/>
  <c r="AB785"/>
  <c r="AC785"/>
  <c r="AD785"/>
  <c r="P786"/>
  <c r="T786"/>
  <c r="U786"/>
  <c r="V786"/>
  <c r="W786"/>
  <c r="Y786"/>
  <c r="AA786"/>
  <c r="AB786"/>
  <c r="AC786"/>
  <c r="AD786"/>
  <c r="P787"/>
  <c r="T787"/>
  <c r="U787"/>
  <c r="V787"/>
  <c r="W787"/>
  <c r="Y787"/>
  <c r="AA787"/>
  <c r="AB787"/>
  <c r="AC787"/>
  <c r="AD787"/>
  <c r="P788"/>
  <c r="T788"/>
  <c r="U788"/>
  <c r="V788"/>
  <c r="W788"/>
  <c r="Y788"/>
  <c r="AA788"/>
  <c r="AB788"/>
  <c r="AC788"/>
  <c r="AD788"/>
  <c r="P789"/>
  <c r="T789"/>
  <c r="U789"/>
  <c r="V789"/>
  <c r="W789"/>
  <c r="Y789"/>
  <c r="AA789"/>
  <c r="AB789"/>
  <c r="AC789"/>
  <c r="AD789"/>
  <c r="P790"/>
  <c r="T790"/>
  <c r="U790"/>
  <c r="V790"/>
  <c r="W790"/>
  <c r="Y790"/>
  <c r="AA790"/>
  <c r="AB790"/>
  <c r="AC790"/>
  <c r="AD790"/>
  <c r="P791"/>
  <c r="T791"/>
  <c r="U791"/>
  <c r="V791"/>
  <c r="W791"/>
  <c r="Y791"/>
  <c r="AA791"/>
  <c r="AB791"/>
  <c r="AC791"/>
  <c r="AD791"/>
  <c r="P792"/>
  <c r="T792"/>
  <c r="U792"/>
  <c r="V792"/>
  <c r="W792"/>
  <c r="Y792"/>
  <c r="AA792"/>
  <c r="AB792"/>
  <c r="AC792"/>
  <c r="AD792"/>
  <c r="P793"/>
  <c r="T793"/>
  <c r="U793"/>
  <c r="V793"/>
  <c r="W793"/>
  <c r="Y793"/>
  <c r="AA793"/>
  <c r="AB793"/>
  <c r="AC793"/>
  <c r="AD793"/>
  <c r="P794"/>
  <c r="T794"/>
  <c r="U794"/>
  <c r="V794"/>
  <c r="W794"/>
  <c r="Y794"/>
  <c r="AA794"/>
  <c r="AB794"/>
  <c r="AC794"/>
  <c r="AD794"/>
  <c r="P795"/>
  <c r="T795"/>
  <c r="U795"/>
  <c r="V795"/>
  <c r="W795"/>
  <c r="Y795"/>
  <c r="AA795"/>
  <c r="AB795"/>
  <c r="AC795"/>
  <c r="AD795"/>
  <c r="P796"/>
  <c r="T796"/>
  <c r="U796"/>
  <c r="V796"/>
  <c r="W796"/>
  <c r="Y796"/>
  <c r="AA796"/>
  <c r="AB796"/>
  <c r="AC796"/>
  <c r="AD796"/>
  <c r="P797"/>
  <c r="T797"/>
  <c r="U797"/>
  <c r="V797"/>
  <c r="W797"/>
  <c r="Y797"/>
  <c r="AA797"/>
  <c r="AB797"/>
  <c r="AC797"/>
  <c r="AD797"/>
  <c r="P798"/>
  <c r="T798"/>
  <c r="U798"/>
  <c r="V798"/>
  <c r="W798"/>
  <c r="Y798"/>
  <c r="AA798"/>
  <c r="AB798"/>
  <c r="AC798"/>
  <c r="AD798"/>
  <c r="P799"/>
  <c r="T799"/>
  <c r="U799"/>
  <c r="V799"/>
  <c r="W799"/>
  <c r="Y799"/>
  <c r="AA799"/>
  <c r="AB799"/>
  <c r="AC799"/>
  <c r="AD799"/>
  <c r="P800"/>
  <c r="T800"/>
  <c r="U800"/>
  <c r="V800"/>
  <c r="W800"/>
  <c r="Y800"/>
  <c r="AA800"/>
  <c r="AB800"/>
  <c r="AC800"/>
  <c r="AD800"/>
  <c r="P801"/>
  <c r="T801"/>
  <c r="U801"/>
  <c r="V801"/>
  <c r="W801"/>
  <c r="Y801"/>
  <c r="AA801"/>
  <c r="AB801"/>
  <c r="AC801"/>
  <c r="AD801"/>
  <c r="P802"/>
  <c r="T802"/>
  <c r="U802"/>
  <c r="V802"/>
  <c r="W802"/>
  <c r="Y802"/>
  <c r="AA802"/>
  <c r="AB802"/>
  <c r="AC802"/>
  <c r="AD802"/>
  <c r="P803"/>
  <c r="T803"/>
  <c r="U803"/>
  <c r="V803"/>
  <c r="W803"/>
  <c r="Y803"/>
  <c r="AA803"/>
  <c r="AB803"/>
  <c r="AC803"/>
  <c r="AD803"/>
  <c r="P804"/>
  <c r="T804"/>
  <c r="U804"/>
  <c r="V804"/>
  <c r="W804"/>
  <c r="Y804"/>
  <c r="AA804"/>
  <c r="AB804"/>
  <c r="AC804"/>
  <c r="AD804"/>
  <c r="P805"/>
  <c r="T805"/>
  <c r="U805"/>
  <c r="V805"/>
  <c r="W805"/>
  <c r="Y805"/>
  <c r="AA805"/>
  <c r="AB805"/>
  <c r="AC805"/>
  <c r="AD805"/>
  <c r="P806"/>
  <c r="T806"/>
  <c r="U806"/>
  <c r="V806"/>
  <c r="W806"/>
  <c r="Y806"/>
  <c r="AA806"/>
  <c r="AB806"/>
  <c r="AC806"/>
  <c r="AD806"/>
  <c r="P807"/>
  <c r="T807"/>
  <c r="U807"/>
  <c r="V807"/>
  <c r="W807"/>
  <c r="Y807"/>
  <c r="AA807"/>
  <c r="AB807"/>
  <c r="AC807"/>
  <c r="AD807"/>
  <c r="P808"/>
  <c r="T808"/>
  <c r="U808"/>
  <c r="V808"/>
  <c r="W808"/>
  <c r="Y808"/>
  <c r="AA808"/>
  <c r="AB808"/>
  <c r="AC808"/>
  <c r="AD808"/>
  <c r="P809"/>
  <c r="T809"/>
  <c r="U809"/>
  <c r="V809"/>
  <c r="W809"/>
  <c r="Y809"/>
  <c r="AA809"/>
  <c r="AB809"/>
  <c r="AC809"/>
  <c r="AD809"/>
  <c r="P810"/>
  <c r="T810"/>
  <c r="U810"/>
  <c r="V810"/>
  <c r="W810"/>
  <c r="Y810"/>
  <c r="AA810"/>
  <c r="AB810"/>
  <c r="AC810"/>
  <c r="AD810"/>
  <c r="P811"/>
  <c r="T811"/>
  <c r="U811"/>
  <c r="V811"/>
  <c r="W811"/>
  <c r="Y811"/>
  <c r="AA811"/>
  <c r="AB811"/>
  <c r="AC811"/>
  <c r="AD811"/>
  <c r="P812"/>
  <c r="T812"/>
  <c r="U812"/>
  <c r="V812"/>
  <c r="W812"/>
  <c r="Y812"/>
  <c r="AA812"/>
  <c r="AB812"/>
  <c r="AC812"/>
  <c r="AD812"/>
  <c r="P813"/>
  <c r="T813"/>
  <c r="U813"/>
  <c r="V813"/>
  <c r="W813"/>
  <c r="Y813"/>
  <c r="AA813"/>
  <c r="AB813"/>
  <c r="AC813"/>
  <c r="AD813"/>
  <c r="P814"/>
  <c r="T814"/>
  <c r="U814"/>
  <c r="V814"/>
  <c r="W814"/>
  <c r="Y814"/>
  <c r="AA814"/>
  <c r="AB814"/>
  <c r="AC814"/>
  <c r="AD814"/>
  <c r="P815"/>
  <c r="T815"/>
  <c r="U815"/>
  <c r="V815"/>
  <c r="W815"/>
  <c r="Y815"/>
  <c r="AA815"/>
  <c r="AB815"/>
  <c r="AC815"/>
  <c r="AD815"/>
  <c r="P816"/>
  <c r="T816"/>
  <c r="U816"/>
  <c r="V816"/>
  <c r="W816"/>
  <c r="Y816"/>
  <c r="AA816"/>
  <c r="AB816"/>
  <c r="AC816"/>
  <c r="AD816"/>
  <c r="P817"/>
  <c r="T817"/>
  <c r="U817"/>
  <c r="V817"/>
  <c r="W817"/>
  <c r="Y817"/>
  <c r="AA817"/>
  <c r="AB817"/>
  <c r="AC817"/>
  <c r="AD817"/>
  <c r="P818"/>
  <c r="T818"/>
  <c r="U818"/>
  <c r="V818"/>
  <c r="W818"/>
  <c r="Y818"/>
  <c r="AA818"/>
  <c r="AB818"/>
  <c r="AC818"/>
  <c r="AD818"/>
  <c r="P819"/>
  <c r="T819"/>
  <c r="U819"/>
  <c r="V819"/>
  <c r="W819"/>
  <c r="Y819"/>
  <c r="AA819"/>
  <c r="AB819"/>
  <c r="AC819"/>
  <c r="AD819"/>
  <c r="P820"/>
  <c r="T820"/>
  <c r="U820"/>
  <c r="V820"/>
  <c r="W820"/>
  <c r="Y820"/>
  <c r="AA820"/>
  <c r="AB820"/>
  <c r="AC820"/>
  <c r="AD820"/>
  <c r="P821"/>
  <c r="T821"/>
  <c r="U821"/>
  <c r="V821"/>
  <c r="W821"/>
  <c r="Y821"/>
  <c r="AA821"/>
  <c r="AB821"/>
  <c r="AC821"/>
  <c r="AD821"/>
  <c r="P822"/>
  <c r="T822"/>
  <c r="U822"/>
  <c r="V822"/>
  <c r="W822"/>
  <c r="Y822"/>
  <c r="AA822"/>
  <c r="AB822"/>
  <c r="AC822"/>
  <c r="AD822"/>
  <c r="P823"/>
  <c r="T823"/>
  <c r="U823"/>
  <c r="V823"/>
  <c r="W823"/>
  <c r="Y823"/>
  <c r="AA823"/>
  <c r="AB823"/>
  <c r="AC823"/>
  <c r="AD823"/>
  <c r="P824"/>
  <c r="T824"/>
  <c r="U824"/>
  <c r="V824"/>
  <c r="W824"/>
  <c r="Y824"/>
  <c r="AA824"/>
  <c r="AB824"/>
  <c r="AC824"/>
  <c r="AD824"/>
  <c r="P825"/>
  <c r="T825"/>
  <c r="U825"/>
  <c r="V825"/>
  <c r="W825"/>
  <c r="Y825"/>
  <c r="AA825"/>
  <c r="AB825"/>
  <c r="AC825"/>
  <c r="AD825"/>
  <c r="P826"/>
  <c r="T826"/>
  <c r="U826"/>
  <c r="V826"/>
  <c r="W826"/>
  <c r="Y826"/>
  <c r="AA826"/>
  <c r="AB826"/>
  <c r="AC826"/>
  <c r="AD826"/>
  <c r="P827"/>
  <c r="T827"/>
  <c r="U827"/>
  <c r="V827"/>
  <c r="W827"/>
  <c r="Y827"/>
  <c r="AA827"/>
  <c r="AB827"/>
  <c r="AC827"/>
  <c r="AD827"/>
  <c r="P828"/>
  <c r="T828"/>
  <c r="U828"/>
  <c r="V828"/>
  <c r="W828"/>
  <c r="Y828"/>
  <c r="AA828"/>
  <c r="AB828"/>
  <c r="AC828"/>
  <c r="AD828"/>
  <c r="P829"/>
  <c r="T829"/>
  <c r="U829"/>
  <c r="V829"/>
  <c r="W829"/>
  <c r="Y829"/>
  <c r="AA829"/>
  <c r="AB829"/>
  <c r="AC829"/>
  <c r="AD829"/>
  <c r="P830"/>
  <c r="T830"/>
  <c r="U830"/>
  <c r="V830"/>
  <c r="W830"/>
  <c r="Y830"/>
  <c r="AA830"/>
  <c r="AB830"/>
  <c r="AC830"/>
  <c r="AD830"/>
  <c r="P831"/>
  <c r="T831"/>
  <c r="U831"/>
  <c r="V831"/>
  <c r="W831"/>
  <c r="Y831"/>
  <c r="AA831"/>
  <c r="AB831"/>
  <c r="AC831"/>
  <c r="AD831"/>
  <c r="P832"/>
  <c r="T832"/>
  <c r="U832"/>
  <c r="V832"/>
  <c r="W832"/>
  <c r="Y832"/>
  <c r="AA832"/>
  <c r="AB832"/>
  <c r="AC832"/>
  <c r="AD832"/>
  <c r="P833"/>
  <c r="T833"/>
  <c r="U833"/>
  <c r="V833"/>
  <c r="W833"/>
  <c r="Y833"/>
  <c r="AA833"/>
  <c r="AB833"/>
  <c r="AC833"/>
  <c r="AD833"/>
  <c r="P834"/>
  <c r="T834"/>
  <c r="U834"/>
  <c r="V834"/>
  <c r="W834"/>
  <c r="Y834"/>
  <c r="AA834"/>
  <c r="AB834"/>
  <c r="AC834"/>
  <c r="AD834"/>
  <c r="P835"/>
  <c r="T835"/>
  <c r="U835"/>
  <c r="V835"/>
  <c r="W835"/>
  <c r="Y835"/>
  <c r="AA835"/>
  <c r="AB835"/>
  <c r="AC835"/>
  <c r="AD835"/>
  <c r="P836"/>
  <c r="T836"/>
  <c r="U836"/>
  <c r="V836"/>
  <c r="W836"/>
  <c r="Y836"/>
  <c r="AA836"/>
  <c r="AB836"/>
  <c r="AC836"/>
  <c r="AD836"/>
  <c r="P837"/>
  <c r="T837"/>
  <c r="U837"/>
  <c r="V837"/>
  <c r="W837"/>
  <c r="Y837"/>
  <c r="AA837"/>
  <c r="AB837"/>
  <c r="AC837"/>
  <c r="AD837"/>
  <c r="P838"/>
  <c r="T838"/>
  <c r="U838"/>
  <c r="V838"/>
  <c r="W838"/>
  <c r="Y838"/>
  <c r="AA838"/>
  <c r="AB838"/>
  <c r="AC838"/>
  <c r="AD838"/>
  <c r="P839"/>
  <c r="T839"/>
  <c r="U839"/>
  <c r="V839"/>
  <c r="W839"/>
  <c r="Y839"/>
  <c r="AA839"/>
  <c r="AB839"/>
  <c r="AC839"/>
  <c r="AD839"/>
  <c r="P840"/>
  <c r="T840"/>
  <c r="U840"/>
  <c r="V840"/>
  <c r="W840"/>
  <c r="Y840"/>
  <c r="AA840"/>
  <c r="AB840"/>
  <c r="AC840"/>
  <c r="AD840"/>
  <c r="P841"/>
  <c r="T841"/>
  <c r="U841"/>
  <c r="V841"/>
  <c r="W841"/>
  <c r="Y841"/>
  <c r="AA841"/>
  <c r="AB841"/>
  <c r="AC841"/>
  <c r="AD841"/>
  <c r="P842"/>
  <c r="T842"/>
  <c r="U842"/>
  <c r="V842"/>
  <c r="W842"/>
  <c r="Y842"/>
  <c r="AA842"/>
  <c r="AB842"/>
  <c r="AC842"/>
  <c r="AD842"/>
  <c r="P843"/>
  <c r="T843"/>
  <c r="U843"/>
  <c r="V843"/>
  <c r="W843"/>
  <c r="Y843"/>
  <c r="AA843"/>
  <c r="AB843"/>
  <c r="AC843"/>
  <c r="AD843"/>
  <c r="P844"/>
  <c r="T844"/>
  <c r="U844"/>
  <c r="V844"/>
  <c r="W844"/>
  <c r="Y844"/>
  <c r="AA844"/>
  <c r="AB844"/>
  <c r="AC844"/>
  <c r="AD844"/>
  <c r="P845"/>
  <c r="T845"/>
  <c r="U845"/>
  <c r="V845"/>
  <c r="W845"/>
  <c r="Y845"/>
  <c r="AA845"/>
  <c r="AB845"/>
  <c r="AC845"/>
  <c r="AD845"/>
  <c r="P846"/>
  <c r="T846"/>
  <c r="U846"/>
  <c r="V846"/>
  <c r="W846"/>
  <c r="Y846"/>
  <c r="AA846"/>
  <c r="AB846"/>
  <c r="AC846"/>
  <c r="AD846"/>
  <c r="P847"/>
  <c r="T847"/>
  <c r="U847"/>
  <c r="V847"/>
  <c r="W847"/>
  <c r="Y847"/>
  <c r="AA847"/>
  <c r="AB847"/>
  <c r="AC847"/>
  <c r="AD847"/>
  <c r="P848"/>
  <c r="T848"/>
  <c r="U848"/>
  <c r="V848"/>
  <c r="W848"/>
  <c r="Y848"/>
  <c r="AA848"/>
  <c r="AB848"/>
  <c r="AC848"/>
  <c r="AD848"/>
  <c r="P849"/>
  <c r="T849"/>
  <c r="U849"/>
  <c r="V849"/>
  <c r="W849"/>
  <c r="Y849"/>
  <c r="AA849"/>
  <c r="AB849"/>
  <c r="AC849"/>
  <c r="AD849"/>
  <c r="P850"/>
  <c r="T850"/>
  <c r="U850"/>
  <c r="V850"/>
  <c r="W850"/>
  <c r="Y850"/>
  <c r="AA850"/>
  <c r="AB850"/>
  <c r="AC850"/>
  <c r="AD850"/>
  <c r="P851"/>
  <c r="T851"/>
  <c r="U851"/>
  <c r="V851"/>
  <c r="W851"/>
  <c r="Y851"/>
  <c r="AA851"/>
  <c r="AB851"/>
  <c r="AC851"/>
  <c r="AD851"/>
  <c r="P852"/>
  <c r="T852"/>
  <c r="U852"/>
  <c r="V852"/>
  <c r="W852"/>
  <c r="Y852"/>
  <c r="AA852"/>
  <c r="AB852"/>
  <c r="AC852"/>
  <c r="AD852"/>
  <c r="P853"/>
  <c r="T853"/>
  <c r="U853"/>
  <c r="V853"/>
  <c r="W853"/>
  <c r="Y853"/>
  <c r="AA853"/>
  <c r="AB853"/>
  <c r="AC853"/>
  <c r="AD853"/>
  <c r="P854"/>
  <c r="T854"/>
  <c r="U854"/>
  <c r="V854"/>
  <c r="W854"/>
  <c r="Y854"/>
  <c r="AA854"/>
  <c r="AB854"/>
  <c r="AC854"/>
  <c r="AD854"/>
  <c r="P855"/>
  <c r="T855"/>
  <c r="U855"/>
  <c r="V855"/>
  <c r="W855"/>
  <c r="Y855"/>
  <c r="AA855"/>
  <c r="AB855"/>
  <c r="AC855"/>
  <c r="AD855"/>
  <c r="P856"/>
  <c r="T856"/>
  <c r="U856"/>
  <c r="V856"/>
  <c r="W856"/>
  <c r="Y856"/>
  <c r="AA856"/>
  <c r="AB856"/>
  <c r="AC856"/>
  <c r="AD856"/>
  <c r="P857"/>
  <c r="T857"/>
  <c r="U857"/>
  <c r="V857"/>
  <c r="W857"/>
  <c r="Y857"/>
  <c r="AA857"/>
  <c r="AB857"/>
  <c r="AC857"/>
  <c r="AD857"/>
  <c r="P858"/>
  <c r="T858"/>
  <c r="U858"/>
  <c r="V858"/>
  <c r="W858"/>
  <c r="Y858"/>
  <c r="AA858"/>
  <c r="AB858"/>
  <c r="AC858"/>
  <c r="AD858"/>
  <c r="P859"/>
  <c r="T859"/>
  <c r="U859"/>
  <c r="V859"/>
  <c r="W859"/>
  <c r="Y859"/>
  <c r="AA859"/>
  <c r="AB859"/>
  <c r="AC859"/>
  <c r="AD859"/>
  <c r="P860"/>
  <c r="T860"/>
  <c r="U860"/>
  <c r="V860"/>
  <c r="W860"/>
  <c r="Y860"/>
  <c r="AA860"/>
  <c r="AB860"/>
  <c r="AC860"/>
  <c r="AD860"/>
  <c r="P861"/>
  <c r="T861"/>
  <c r="U861"/>
  <c r="V861"/>
  <c r="W861"/>
  <c r="Y861"/>
  <c r="AA861"/>
  <c r="AB861"/>
  <c r="AC861"/>
  <c r="AD861"/>
  <c r="P862"/>
  <c r="T862"/>
  <c r="U862"/>
  <c r="V862"/>
  <c r="W862"/>
  <c r="Y862"/>
  <c r="AA862"/>
  <c r="AB862"/>
  <c r="AC862"/>
  <c r="AD862"/>
  <c r="P863"/>
  <c r="T863"/>
  <c r="U863"/>
  <c r="V863"/>
  <c r="W863"/>
  <c r="Y863"/>
  <c r="AA863"/>
  <c r="AB863"/>
  <c r="AC863"/>
  <c r="AD863"/>
  <c r="P864"/>
  <c r="T864"/>
  <c r="U864"/>
  <c r="V864"/>
  <c r="W864"/>
  <c r="Y864"/>
  <c r="AA864"/>
  <c r="AB864"/>
  <c r="AC864"/>
  <c r="AD864"/>
  <c r="P865"/>
  <c r="T865"/>
  <c r="U865"/>
  <c r="V865"/>
  <c r="W865"/>
  <c r="Y865"/>
  <c r="AA865"/>
  <c r="AB865"/>
  <c r="AC865"/>
  <c r="AD865"/>
  <c r="P866"/>
  <c r="T866"/>
  <c r="U866"/>
  <c r="V866"/>
  <c r="W866"/>
  <c r="Y866"/>
  <c r="AA866"/>
  <c r="AB866"/>
  <c r="AC866"/>
  <c r="AD866"/>
  <c r="P867"/>
  <c r="T867"/>
  <c r="U867"/>
  <c r="V867"/>
  <c r="W867"/>
  <c r="Y867"/>
  <c r="AA867"/>
  <c r="AB867"/>
  <c r="AC867"/>
  <c r="AD867"/>
  <c r="P868"/>
  <c r="T868"/>
  <c r="U868"/>
  <c r="V868"/>
  <c r="W868"/>
  <c r="Y868"/>
  <c r="AA868"/>
  <c r="AB868"/>
  <c r="AC868"/>
  <c r="AD868"/>
  <c r="P869"/>
  <c r="T869"/>
  <c r="U869"/>
  <c r="V869"/>
  <c r="W869"/>
  <c r="Y869"/>
  <c r="AA869"/>
  <c r="AB869"/>
  <c r="AC869"/>
  <c r="AD869"/>
  <c r="P870"/>
  <c r="T870"/>
  <c r="U870"/>
  <c r="V870"/>
  <c r="W870"/>
  <c r="Y870"/>
  <c r="AA870"/>
  <c r="AB870"/>
  <c r="AC870"/>
  <c r="AD870"/>
  <c r="P871"/>
  <c r="T871"/>
  <c r="U871"/>
  <c r="V871"/>
  <c r="W871"/>
  <c r="Y871"/>
  <c r="AA871"/>
  <c r="AB871"/>
  <c r="AC871"/>
  <c r="AD871"/>
  <c r="P872"/>
  <c r="T872"/>
  <c r="U872"/>
  <c r="V872"/>
  <c r="W872"/>
  <c r="Y872"/>
  <c r="AA872"/>
  <c r="AB872"/>
  <c r="AC872"/>
  <c r="AD872"/>
  <c r="P873"/>
  <c r="T873"/>
  <c r="U873"/>
  <c r="V873"/>
  <c r="W873"/>
  <c r="Y873"/>
  <c r="AA873"/>
  <c r="AB873"/>
  <c r="AC873"/>
  <c r="AD873"/>
  <c r="P874"/>
  <c r="T874"/>
  <c r="U874"/>
  <c r="V874"/>
  <c r="W874"/>
  <c r="Y874"/>
  <c r="AA874"/>
  <c r="AB874"/>
  <c r="AC874"/>
  <c r="AD874"/>
  <c r="P875"/>
  <c r="T875"/>
  <c r="U875"/>
  <c r="V875"/>
  <c r="W875"/>
  <c r="Y875"/>
  <c r="AA875"/>
  <c r="AB875"/>
  <c r="AC875"/>
  <c r="AD875"/>
  <c r="P876"/>
  <c r="T876"/>
  <c r="U876"/>
  <c r="V876"/>
  <c r="W876"/>
  <c r="Y876"/>
  <c r="AA876"/>
  <c r="AB876"/>
  <c r="AC876"/>
  <c r="AD876"/>
  <c r="P877"/>
  <c r="T877"/>
  <c r="U877"/>
  <c r="V877"/>
  <c r="W877"/>
  <c r="Y877"/>
  <c r="AA877"/>
  <c r="AB877"/>
  <c r="AC877"/>
  <c r="AD877"/>
  <c r="P878"/>
  <c r="T878"/>
  <c r="U878"/>
  <c r="V878"/>
  <c r="W878"/>
  <c r="Y878"/>
  <c r="AA878"/>
  <c r="AB878"/>
  <c r="AC878"/>
  <c r="AD878"/>
  <c r="P879"/>
  <c r="T879"/>
  <c r="U879"/>
  <c r="V879"/>
  <c r="W879"/>
  <c r="Y879"/>
  <c r="AA879"/>
  <c r="AB879"/>
  <c r="AC879"/>
  <c r="AD879"/>
  <c r="P880"/>
  <c r="T880"/>
  <c r="U880"/>
  <c r="V880"/>
  <c r="W880"/>
  <c r="Y880"/>
  <c r="AA880"/>
  <c r="AB880"/>
  <c r="AC880"/>
  <c r="AD880"/>
  <c r="P881"/>
  <c r="T881"/>
  <c r="U881"/>
  <c r="V881"/>
  <c r="W881"/>
  <c r="Y881"/>
  <c r="AA881"/>
  <c r="AB881"/>
  <c r="AC881"/>
  <c r="AD881"/>
  <c r="P882"/>
  <c r="T882"/>
  <c r="U882"/>
  <c r="V882"/>
  <c r="W882"/>
  <c r="Y882"/>
  <c r="AA882"/>
  <c r="AB882"/>
  <c r="AC882"/>
  <c r="AD882"/>
  <c r="P883"/>
  <c r="T883"/>
  <c r="U883"/>
  <c r="V883"/>
  <c r="W883"/>
  <c r="Y883"/>
  <c r="AA883"/>
  <c r="AB883"/>
  <c r="AC883"/>
  <c r="AD883"/>
  <c r="P884"/>
  <c r="T884"/>
  <c r="U884"/>
  <c r="V884"/>
  <c r="W884"/>
  <c r="Y884"/>
  <c r="AA884"/>
  <c r="AB884"/>
  <c r="AC884"/>
  <c r="AD884"/>
  <c r="P885"/>
  <c r="T885"/>
  <c r="U885"/>
  <c r="V885"/>
  <c r="W885"/>
  <c r="Y885"/>
  <c r="AA885"/>
  <c r="AB885"/>
  <c r="AC885"/>
  <c r="AD885"/>
  <c r="P886"/>
  <c r="T886"/>
  <c r="U886"/>
  <c r="V886"/>
  <c r="W886"/>
  <c r="Y886"/>
  <c r="AA886"/>
  <c r="AB886"/>
  <c r="AC886"/>
  <c r="AD886"/>
  <c r="P887"/>
  <c r="T887"/>
  <c r="U887"/>
  <c r="V887"/>
  <c r="W887"/>
  <c r="Y887"/>
  <c r="AA887"/>
  <c r="AB887"/>
  <c r="AC887"/>
  <c r="AD887"/>
  <c r="P888"/>
  <c r="T888"/>
  <c r="U888"/>
  <c r="V888"/>
  <c r="W888"/>
  <c r="Y888"/>
  <c r="AA888"/>
  <c r="AB888"/>
  <c r="AC888"/>
  <c r="AD888"/>
  <c r="P889"/>
  <c r="T889"/>
  <c r="U889"/>
  <c r="V889"/>
  <c r="W889"/>
  <c r="Y889"/>
  <c r="AA889"/>
  <c r="AB889"/>
  <c r="AC889"/>
  <c r="AD889"/>
  <c r="P890"/>
  <c r="T890"/>
  <c r="U890"/>
  <c r="V890"/>
  <c r="W890"/>
  <c r="Y890"/>
  <c r="AA890"/>
  <c r="AB890"/>
  <c r="AC890"/>
  <c r="AD890"/>
  <c r="P891"/>
  <c r="T891"/>
  <c r="U891"/>
  <c r="V891"/>
  <c r="W891"/>
  <c r="Y891"/>
  <c r="AA891"/>
  <c r="AB891"/>
  <c r="AC891"/>
  <c r="AD891"/>
  <c r="P892"/>
  <c r="T892"/>
  <c r="U892"/>
  <c r="V892"/>
  <c r="W892"/>
  <c r="Y892"/>
  <c r="AA892"/>
  <c r="AB892"/>
  <c r="AC892"/>
  <c r="AD892"/>
  <c r="P893"/>
  <c r="T893"/>
  <c r="U893"/>
  <c r="V893"/>
  <c r="W893"/>
  <c r="Y893"/>
  <c r="AA893"/>
  <c r="AB893"/>
  <c r="AC893"/>
  <c r="AD893"/>
  <c r="P894"/>
  <c r="T894"/>
  <c r="U894"/>
  <c r="V894"/>
  <c r="W894"/>
  <c r="Y894"/>
  <c r="AA894"/>
  <c r="AB894"/>
  <c r="AC894"/>
  <c r="AD894"/>
  <c r="P895"/>
  <c r="T895"/>
  <c r="U895"/>
  <c r="V895"/>
  <c r="W895"/>
  <c r="Y895"/>
  <c r="AA895"/>
  <c r="AB895"/>
  <c r="AC895"/>
  <c r="AD895"/>
  <c r="P896"/>
  <c r="T896"/>
  <c r="U896"/>
  <c r="V896"/>
  <c r="W896"/>
  <c r="Y896"/>
  <c r="AA896"/>
  <c r="AB896"/>
  <c r="AC896"/>
  <c r="AD896"/>
  <c r="P897"/>
  <c r="T897"/>
  <c r="U897"/>
  <c r="V897"/>
  <c r="W897"/>
  <c r="Y897"/>
  <c r="AA897"/>
  <c r="AB897"/>
  <c r="AC897"/>
  <c r="AD897"/>
  <c r="P898"/>
  <c r="T898"/>
  <c r="U898"/>
  <c r="V898"/>
  <c r="W898"/>
  <c r="Y898"/>
  <c r="AA898"/>
  <c r="AB898"/>
  <c r="AC898"/>
  <c r="AD898"/>
  <c r="P899"/>
  <c r="T899"/>
  <c r="U899"/>
  <c r="V899"/>
  <c r="W899"/>
  <c r="Y899"/>
  <c r="AA899"/>
  <c r="AB899"/>
  <c r="AC899"/>
  <c r="AD899"/>
  <c r="P900"/>
  <c r="T900"/>
  <c r="U900"/>
  <c r="V900"/>
  <c r="W900"/>
  <c r="Y900"/>
  <c r="AA900"/>
  <c r="AB900"/>
  <c r="AC900"/>
  <c r="AD900"/>
  <c r="P901"/>
  <c r="T901"/>
  <c r="U901"/>
  <c r="V901"/>
  <c r="W901"/>
  <c r="Y901"/>
  <c r="AA901"/>
  <c r="AB901"/>
  <c r="AC901"/>
  <c r="AD901"/>
  <c r="P902"/>
  <c r="T902"/>
  <c r="U902"/>
  <c r="V902"/>
  <c r="W902"/>
  <c r="Y902"/>
  <c r="AA902"/>
  <c r="AB902"/>
  <c r="AC902"/>
  <c r="AD902"/>
  <c r="P903"/>
  <c r="T903"/>
  <c r="U903"/>
  <c r="V903"/>
  <c r="W903"/>
  <c r="Y903"/>
  <c r="AA903"/>
  <c r="AB903"/>
  <c r="AC903"/>
  <c r="AD903"/>
  <c r="P904"/>
  <c r="T904"/>
  <c r="U904"/>
  <c r="V904"/>
  <c r="W904"/>
  <c r="Y904"/>
  <c r="AA904"/>
  <c r="AB904"/>
  <c r="AC904"/>
  <c r="AD904"/>
  <c r="P905"/>
  <c r="T905"/>
  <c r="U905"/>
  <c r="V905"/>
  <c r="W905"/>
  <c r="Y905"/>
  <c r="AA905"/>
  <c r="AB905"/>
  <c r="AC905"/>
  <c r="AD905"/>
  <c r="P906"/>
  <c r="T906"/>
  <c r="U906"/>
  <c r="V906"/>
  <c r="W906"/>
  <c r="Y906"/>
  <c r="AA906"/>
  <c r="AB906"/>
  <c r="AC906"/>
  <c r="AD906"/>
  <c r="P907"/>
  <c r="T907"/>
  <c r="U907"/>
  <c r="V907"/>
  <c r="W907"/>
  <c r="Y907"/>
  <c r="AA907"/>
  <c r="AB907"/>
  <c r="AC907"/>
  <c r="AD907"/>
  <c r="P908"/>
  <c r="T908"/>
  <c r="U908"/>
  <c r="V908"/>
  <c r="W908"/>
  <c r="Y908"/>
  <c r="AA908"/>
  <c r="AB908"/>
  <c r="AC908"/>
  <c r="AD908"/>
  <c r="P909"/>
  <c r="T909"/>
  <c r="U909"/>
  <c r="V909"/>
  <c r="W909"/>
  <c r="Y909"/>
  <c r="AA909"/>
  <c r="AB909"/>
  <c r="AC909"/>
  <c r="AD909"/>
  <c r="P910"/>
  <c r="T910"/>
  <c r="U910"/>
  <c r="V910"/>
  <c r="W910"/>
  <c r="Y910"/>
  <c r="AA910"/>
  <c r="AB910"/>
  <c r="AC910"/>
  <c r="AD910"/>
  <c r="P911"/>
  <c r="T911"/>
  <c r="U911"/>
  <c r="V911"/>
  <c r="W911"/>
  <c r="Y911"/>
  <c r="AA911"/>
  <c r="AB911"/>
  <c r="AC911"/>
  <c r="AD911"/>
  <c r="P912"/>
  <c r="T912"/>
  <c r="U912"/>
  <c r="V912"/>
  <c r="W912"/>
  <c r="Y912"/>
  <c r="AA912"/>
  <c r="AB912"/>
  <c r="AC912"/>
  <c r="AD912"/>
  <c r="P913"/>
  <c r="T913"/>
  <c r="U913"/>
  <c r="V913"/>
  <c r="W913"/>
  <c r="Y913"/>
  <c r="AA913"/>
  <c r="AB913"/>
  <c r="AC913"/>
  <c r="AD913"/>
  <c r="P914"/>
  <c r="T914"/>
  <c r="U914"/>
  <c r="V914"/>
  <c r="W914"/>
  <c r="Y914"/>
  <c r="AA914"/>
  <c r="AB914"/>
  <c r="AC914"/>
  <c r="AD914"/>
  <c r="P915"/>
  <c r="T915"/>
  <c r="U915"/>
  <c r="V915"/>
  <c r="W915"/>
  <c r="Y915"/>
  <c r="AA915"/>
  <c r="AB915"/>
  <c r="AC915"/>
  <c r="AD915"/>
  <c r="P916"/>
  <c r="T916"/>
  <c r="U916"/>
  <c r="V916"/>
  <c r="W916"/>
  <c r="Y916"/>
  <c r="AA916"/>
  <c r="AB916"/>
  <c r="AC916"/>
  <c r="AD916"/>
  <c r="P917"/>
  <c r="T917"/>
  <c r="U917"/>
  <c r="V917"/>
  <c r="W917"/>
  <c r="Y917"/>
  <c r="AA917"/>
  <c r="AB917"/>
  <c r="AC917"/>
  <c r="AD917"/>
  <c r="P918"/>
  <c r="T918"/>
  <c r="U918"/>
  <c r="V918"/>
  <c r="W918"/>
  <c r="Y918"/>
  <c r="AA918"/>
  <c r="AB918"/>
  <c r="AC918"/>
  <c r="AD918"/>
  <c r="P919"/>
  <c r="T919"/>
  <c r="U919"/>
  <c r="V919"/>
  <c r="W919"/>
  <c r="Y919"/>
  <c r="AA919"/>
  <c r="AB919"/>
  <c r="AC919"/>
  <c r="AD919"/>
  <c r="P920"/>
  <c r="T920"/>
  <c r="U920"/>
  <c r="V920"/>
  <c r="W920"/>
  <c r="Y920"/>
  <c r="AA920"/>
  <c r="AB920"/>
  <c r="AC920"/>
  <c r="AD920"/>
  <c r="P921"/>
  <c r="T921"/>
  <c r="U921"/>
  <c r="V921"/>
  <c r="W921"/>
  <c r="Y921"/>
  <c r="AA921"/>
  <c r="AB921"/>
  <c r="AC921"/>
  <c r="AD921"/>
  <c r="P922"/>
  <c r="T922"/>
  <c r="U922"/>
  <c r="V922"/>
  <c r="W922"/>
  <c r="Y922"/>
  <c r="AA922"/>
  <c r="AB922"/>
  <c r="AC922"/>
  <c r="AD922"/>
  <c r="P923"/>
  <c r="T923"/>
  <c r="U923"/>
  <c r="V923"/>
  <c r="W923"/>
  <c r="Y923"/>
  <c r="AA923"/>
  <c r="AB923"/>
  <c r="AC923"/>
  <c r="AD923"/>
  <c r="P924"/>
  <c r="T924"/>
  <c r="U924"/>
  <c r="V924"/>
  <c r="W924"/>
  <c r="Y924"/>
  <c r="AA924"/>
  <c r="AB924"/>
  <c r="AC924"/>
  <c r="AD924"/>
  <c r="P925"/>
  <c r="T925"/>
  <c r="U925"/>
  <c r="V925"/>
  <c r="W925"/>
  <c r="Y925"/>
  <c r="AA925"/>
  <c r="AB925"/>
  <c r="AC925"/>
  <c r="AD925"/>
  <c r="P926"/>
  <c r="T926"/>
  <c r="U926"/>
  <c r="V926"/>
  <c r="W926"/>
  <c r="Y926"/>
  <c r="AA926"/>
  <c r="AB926"/>
  <c r="AC926"/>
  <c r="AD926"/>
  <c r="P927"/>
  <c r="T927"/>
  <c r="U927"/>
  <c r="V927"/>
  <c r="W927"/>
  <c r="Y927"/>
  <c r="AA927"/>
  <c r="AB927"/>
  <c r="AC927"/>
  <c r="AD927"/>
  <c r="P928"/>
  <c r="T928"/>
  <c r="U928"/>
  <c r="V928"/>
  <c r="W928"/>
  <c r="Y928"/>
  <c r="AA928"/>
  <c r="AB928"/>
  <c r="AC928"/>
  <c r="AD928"/>
  <c r="P929"/>
  <c r="T929"/>
  <c r="U929"/>
  <c r="V929"/>
  <c r="W929"/>
  <c r="Y929"/>
  <c r="AA929"/>
  <c r="AB929"/>
  <c r="AC929"/>
  <c r="AD929"/>
  <c r="P930"/>
  <c r="T930"/>
  <c r="U930"/>
  <c r="V930"/>
  <c r="W930"/>
  <c r="Y930"/>
  <c r="AA930"/>
  <c r="AB930"/>
  <c r="AC930"/>
  <c r="AD930"/>
  <c r="P931"/>
  <c r="T931"/>
  <c r="U931"/>
  <c r="V931"/>
  <c r="W931"/>
  <c r="Y931"/>
  <c r="AA931"/>
  <c r="AB931"/>
  <c r="AC931"/>
  <c r="AD931"/>
  <c r="P932"/>
  <c r="T932"/>
  <c r="U932"/>
  <c r="V932"/>
  <c r="W932"/>
  <c r="Y932"/>
  <c r="AA932"/>
  <c r="AB932"/>
  <c r="AC932"/>
  <c r="AD932"/>
  <c r="P933"/>
  <c r="T933"/>
  <c r="U933"/>
  <c r="V933"/>
  <c r="W933"/>
  <c r="Y933"/>
  <c r="AA933"/>
  <c r="AB933"/>
  <c r="AC933"/>
  <c r="AD933"/>
  <c r="P934"/>
  <c r="T934"/>
  <c r="U934"/>
  <c r="V934"/>
  <c r="W934"/>
  <c r="Y934"/>
  <c r="AA934"/>
  <c r="AB934"/>
  <c r="AC934"/>
  <c r="AD934"/>
  <c r="P935"/>
  <c r="T935"/>
  <c r="U935"/>
  <c r="V935"/>
  <c r="W935"/>
  <c r="Y935"/>
  <c r="AA935"/>
  <c r="AB935"/>
  <c r="AC935"/>
  <c r="AD935"/>
  <c r="P936"/>
  <c r="T936"/>
  <c r="U936"/>
  <c r="V936"/>
  <c r="W936"/>
  <c r="Y936"/>
  <c r="AA936"/>
  <c r="AB936"/>
  <c r="AC936"/>
  <c r="AD936"/>
  <c r="P937"/>
  <c r="T937"/>
  <c r="U937"/>
  <c r="V937"/>
  <c r="W937"/>
  <c r="Y937"/>
  <c r="AA937"/>
  <c r="AB937"/>
  <c r="AC937"/>
  <c r="AD937"/>
  <c r="P938"/>
  <c r="T938"/>
  <c r="U938"/>
  <c r="V938"/>
  <c r="W938"/>
  <c r="Y938"/>
  <c r="AA938"/>
  <c r="AB938"/>
  <c r="AC938"/>
  <c r="AD938"/>
  <c r="P939"/>
  <c r="T939"/>
  <c r="U939"/>
  <c r="V939"/>
  <c r="W939"/>
  <c r="Y939"/>
  <c r="AA939"/>
  <c r="AB939"/>
  <c r="AC939"/>
  <c r="AD939"/>
  <c r="P940"/>
  <c r="T940"/>
  <c r="U940"/>
  <c r="V940"/>
  <c r="W940"/>
  <c r="Y940"/>
  <c r="AA940"/>
  <c r="AB940"/>
  <c r="AC940"/>
  <c r="AD940"/>
  <c r="P941"/>
  <c r="T941"/>
  <c r="U941"/>
  <c r="V941"/>
  <c r="W941"/>
  <c r="Y941"/>
  <c r="AA941"/>
  <c r="AB941"/>
  <c r="AC941"/>
  <c r="AD941"/>
  <c r="P942"/>
  <c r="T942"/>
  <c r="U942"/>
  <c r="V942"/>
  <c r="W942"/>
  <c r="Y942"/>
  <c r="AA942"/>
  <c r="AB942"/>
  <c r="AC942"/>
  <c r="AD942"/>
  <c r="P943"/>
  <c r="T943"/>
  <c r="U943"/>
  <c r="V943"/>
  <c r="W943"/>
  <c r="Y943"/>
  <c r="AA943"/>
  <c r="AB943"/>
  <c r="AC943"/>
  <c r="AD943"/>
  <c r="P944"/>
  <c r="T944"/>
  <c r="U944"/>
  <c r="V944"/>
  <c r="W944"/>
  <c r="Y944"/>
  <c r="AA944"/>
  <c r="AB944"/>
  <c r="AC944"/>
  <c r="AD944"/>
  <c r="P945"/>
  <c r="T945"/>
  <c r="U945"/>
  <c r="V945"/>
  <c r="W945"/>
  <c r="Y945"/>
  <c r="AA945"/>
  <c r="AB945"/>
  <c r="AC945"/>
  <c r="AD945"/>
  <c r="P946"/>
  <c r="T946"/>
  <c r="U946"/>
  <c r="V946"/>
  <c r="W946"/>
  <c r="Y946"/>
  <c r="AA946"/>
  <c r="AB946"/>
  <c r="AC946"/>
  <c r="AD946"/>
  <c r="P947"/>
  <c r="T947"/>
  <c r="U947"/>
  <c r="V947"/>
  <c r="W947"/>
  <c r="Y947"/>
  <c r="AA947"/>
  <c r="AB947"/>
  <c r="AC947"/>
  <c r="AD947"/>
  <c r="P948"/>
  <c r="T948"/>
  <c r="U948"/>
  <c r="V948"/>
  <c r="W948"/>
  <c r="Y948"/>
  <c r="AA948"/>
  <c r="AB948"/>
  <c r="AC948"/>
  <c r="AD948"/>
  <c r="P949"/>
  <c r="T949"/>
  <c r="U949"/>
  <c r="V949"/>
  <c r="W949"/>
  <c r="Y949"/>
  <c r="AA949"/>
  <c r="AB949"/>
  <c r="AC949"/>
  <c r="AD949"/>
  <c r="P950"/>
  <c r="T950"/>
  <c r="U950"/>
  <c r="V950"/>
  <c r="W950"/>
  <c r="Y950"/>
  <c r="AA950"/>
  <c r="AB950"/>
  <c r="AC950"/>
  <c r="AD950"/>
  <c r="P951"/>
  <c r="T951"/>
  <c r="U951"/>
  <c r="V951"/>
  <c r="W951"/>
  <c r="Y951"/>
  <c r="AA951"/>
  <c r="AB951"/>
  <c r="AC951"/>
  <c r="AD951"/>
  <c r="P952"/>
  <c r="T952"/>
  <c r="U952"/>
  <c r="V952"/>
  <c r="W952"/>
  <c r="Y952"/>
  <c r="AA952"/>
  <c r="AB952"/>
  <c r="AC952"/>
  <c r="AD952"/>
  <c r="P953"/>
  <c r="T953"/>
  <c r="U953"/>
  <c r="V953"/>
  <c r="W953"/>
  <c r="Y953"/>
  <c r="AA953"/>
  <c r="AB953"/>
  <c r="AC953"/>
  <c r="AD953"/>
  <c r="P954"/>
  <c r="T954"/>
  <c r="U954"/>
  <c r="V954"/>
  <c r="W954"/>
  <c r="Y954"/>
  <c r="AA954"/>
  <c r="AB954"/>
  <c r="AC954"/>
  <c r="AD954"/>
  <c r="P955"/>
  <c r="T955"/>
  <c r="U955"/>
  <c r="V955"/>
  <c r="W955"/>
  <c r="Y955"/>
  <c r="AA955"/>
  <c r="AB955"/>
  <c r="AC955"/>
  <c r="AD955"/>
  <c r="P956"/>
  <c r="T956"/>
  <c r="U956"/>
  <c r="V956"/>
  <c r="W956"/>
  <c r="Y956"/>
  <c r="AA956"/>
  <c r="AB956"/>
  <c r="AC956"/>
  <c r="AD956"/>
  <c r="P957"/>
  <c r="T957"/>
  <c r="U957"/>
  <c r="V957"/>
  <c r="W957"/>
  <c r="Y957"/>
  <c r="AA957"/>
  <c r="AB957"/>
  <c r="AC957"/>
  <c r="AD957"/>
  <c r="P958"/>
  <c r="T958"/>
  <c r="U958"/>
  <c r="V958"/>
  <c r="W958"/>
  <c r="Y958"/>
  <c r="AA958"/>
  <c r="AB958"/>
  <c r="AC958"/>
  <c r="AD958"/>
  <c r="P959"/>
  <c r="T959"/>
  <c r="U959"/>
  <c r="V959"/>
  <c r="W959"/>
  <c r="Y959"/>
  <c r="AA959"/>
  <c r="AB959"/>
  <c r="AC959"/>
  <c r="AD959"/>
  <c r="P960"/>
  <c r="T960"/>
  <c r="U960"/>
  <c r="V960"/>
  <c r="W960"/>
  <c r="Y960"/>
  <c r="AA960"/>
  <c r="AB960"/>
  <c r="AC960"/>
  <c r="AD960"/>
  <c r="P961"/>
  <c r="T961"/>
  <c r="U961"/>
  <c r="V961"/>
  <c r="W961"/>
  <c r="Y961"/>
  <c r="AA961"/>
  <c r="AB961"/>
  <c r="AC961"/>
  <c r="AD961"/>
  <c r="P962"/>
  <c r="T962"/>
  <c r="U962"/>
  <c r="V962"/>
  <c r="W962"/>
  <c r="Y962"/>
  <c r="AA962"/>
  <c r="AB962"/>
  <c r="AC962"/>
  <c r="AD962"/>
  <c r="P963"/>
  <c r="T963"/>
  <c r="U963"/>
  <c r="V963"/>
  <c r="W963"/>
  <c r="Y963"/>
  <c r="AA963"/>
  <c r="AB963"/>
  <c r="AC963"/>
  <c r="AD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A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Q976"/>
  <c r="R976"/>
  <c r="S976"/>
  <c r="T976"/>
  <c r="U976"/>
  <c r="V976"/>
  <c r="W976"/>
  <c r="Y976"/>
  <c r="AA976"/>
  <c r="AB976"/>
  <c r="AC976"/>
  <c r="AD976"/>
  <c r="P977"/>
  <c r="Q977"/>
  <c r="R977"/>
  <c r="S977"/>
  <c r="T977"/>
  <c r="U977"/>
  <c r="V977"/>
  <c r="W977"/>
  <c r="Y977"/>
  <c r="AA977"/>
  <c r="AB977"/>
  <c r="AC977"/>
  <c r="AD977"/>
  <c r="P978"/>
  <c r="Q978"/>
  <c r="R978"/>
  <c r="S978"/>
  <c r="T978"/>
  <c r="U978"/>
  <c r="V978"/>
  <c r="W978"/>
  <c r="Y978"/>
  <c r="AA978"/>
  <c r="AB978"/>
  <c r="AC978"/>
  <c r="AD978"/>
  <c r="P979"/>
  <c r="Q979"/>
  <c r="R979"/>
  <c r="S979"/>
  <c r="T979"/>
  <c r="U979"/>
  <c r="V979"/>
  <c r="W979"/>
  <c r="Y979"/>
  <c r="AA979"/>
  <c r="AB979"/>
  <c r="AC979"/>
  <c r="AD979"/>
  <c r="P980"/>
  <c r="Q980"/>
  <c r="R980"/>
  <c r="S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A989"/>
  <c r="AB989"/>
  <c r="AC989"/>
  <c r="AD989"/>
  <c r="P990"/>
  <c r="T990"/>
  <c r="U990"/>
  <c r="V990"/>
  <c r="W990"/>
  <c r="Y990"/>
  <c r="AA990"/>
  <c r="AB990"/>
  <c r="AC990"/>
  <c r="AD990"/>
  <c r="P991"/>
  <c r="T991"/>
  <c r="U991"/>
  <c r="V991"/>
  <c r="W991"/>
  <c r="Y991"/>
  <c r="AA991"/>
  <c r="AB991"/>
  <c r="AC991"/>
  <c r="AD991"/>
  <c r="P992"/>
  <c r="T992"/>
  <c r="U992"/>
  <c r="V992"/>
  <c r="W992"/>
  <c r="Y992"/>
  <c r="AA992"/>
  <c r="AB992"/>
  <c r="AC992"/>
  <c r="AD992"/>
  <c r="P993"/>
  <c r="T993"/>
  <c r="U993"/>
  <c r="V993"/>
  <c r="W993"/>
  <c r="Y993"/>
  <c r="AA993"/>
  <c r="AB993"/>
  <c r="AC993"/>
  <c r="AD993"/>
  <c r="P994"/>
  <c r="T994"/>
  <c r="U994"/>
  <c r="V994"/>
  <c r="W994"/>
  <c r="Y994"/>
  <c r="AA994"/>
  <c r="AB994"/>
  <c r="AC994"/>
  <c r="AD994"/>
  <c r="P995"/>
  <c r="T995"/>
  <c r="U995"/>
  <c r="V995"/>
  <c r="W995"/>
  <c r="Y995"/>
  <c r="AA995"/>
  <c r="AB995"/>
  <c r="AC995"/>
  <c r="AD995"/>
  <c r="P996"/>
  <c r="T996"/>
  <c r="U996"/>
  <c r="V996"/>
  <c r="W996"/>
  <c r="Y996"/>
  <c r="AA996"/>
  <c r="AB996"/>
  <c r="AC996"/>
  <c r="AD996"/>
  <c r="P997"/>
  <c r="T997"/>
  <c r="U997"/>
  <c r="V997"/>
  <c r="W997"/>
  <c r="Y997"/>
  <c r="AA997"/>
  <c r="AB997"/>
  <c r="AC997"/>
  <c r="AD997"/>
  <c r="P998"/>
  <c r="T998"/>
  <c r="U998"/>
  <c r="V998"/>
  <c r="W998"/>
  <c r="Y998"/>
  <c r="AA998"/>
  <c r="AB998"/>
  <c r="AC998"/>
  <c r="AD998"/>
  <c r="P999"/>
  <c r="T999"/>
  <c r="U999"/>
  <c r="V999"/>
  <c r="W999"/>
  <c r="Y999"/>
  <c r="AA999"/>
  <c r="AB999"/>
  <c r="AC999"/>
  <c r="AD999"/>
  <c r="P1000"/>
  <c r="T1000"/>
  <c r="U1000"/>
  <c r="V1000"/>
  <c r="W1000"/>
  <c r="Y1000"/>
  <c r="AA1000"/>
  <c r="AB1000"/>
  <c r="AC1000"/>
  <c r="AD1000"/>
  <c r="P1001"/>
  <c r="T1001"/>
  <c r="U1001"/>
  <c r="V1001"/>
  <c r="W1001"/>
  <c r="Y1001"/>
  <c r="AA1001"/>
  <c r="AB1001"/>
  <c r="AC1001"/>
  <c r="AD1001"/>
  <c r="P1002"/>
  <c r="T1002"/>
  <c r="U1002"/>
  <c r="V1002"/>
  <c r="W1002"/>
  <c r="Y1002"/>
  <c r="AA1002"/>
  <c r="AB1002"/>
  <c r="AC1002"/>
  <c r="AD1002"/>
  <c r="P1003"/>
  <c r="T1003"/>
  <c r="U1003"/>
  <c r="V1003"/>
  <c r="W1003"/>
  <c r="Y1003"/>
  <c r="AA1003"/>
  <c r="AB1003"/>
  <c r="AC1003"/>
  <c r="AD1003"/>
  <c r="P1004"/>
  <c r="T1004"/>
  <c r="U1004"/>
  <c r="V1004"/>
  <c r="W1004"/>
  <c r="Y1004"/>
  <c r="AA1004"/>
  <c r="AB1004"/>
  <c r="AC1004"/>
  <c r="AD1004"/>
  <c r="P1005"/>
  <c r="T1005"/>
  <c r="U1005"/>
  <c r="V1005"/>
  <c r="W1005"/>
  <c r="Y1005"/>
  <c r="AA1005"/>
  <c r="AB1005"/>
  <c r="AC1005"/>
  <c r="AD1005"/>
  <c r="P1006"/>
  <c r="T1006"/>
  <c r="U1006"/>
  <c r="V1006"/>
  <c r="W1006"/>
  <c r="Y1006"/>
  <c r="AA1006"/>
  <c r="AB1006"/>
  <c r="AC1006"/>
  <c r="AD1006"/>
  <c r="P1007"/>
  <c r="T1007"/>
  <c r="U1007"/>
  <c r="V1007"/>
  <c r="W1007"/>
  <c r="Y1007"/>
  <c r="AA1007"/>
  <c r="AB1007"/>
  <c r="AC1007"/>
  <c r="AD1007"/>
  <c r="P1008"/>
  <c r="T1008"/>
  <c r="U1008"/>
  <c r="V1008"/>
  <c r="W1008"/>
  <c r="Y1008"/>
  <c r="AA1008"/>
  <c r="AB1008"/>
  <c r="AC1008"/>
  <c r="AD1008"/>
  <c r="P1009"/>
  <c r="T1009"/>
  <c r="U1009"/>
  <c r="V1009"/>
  <c r="W1009"/>
  <c r="Y1009"/>
  <c r="AA1009"/>
  <c r="AB1009"/>
  <c r="AC1009"/>
  <c r="AD1009"/>
  <c r="P1010"/>
  <c r="T1010"/>
  <c r="U1010"/>
  <c r="V1010"/>
  <c r="W1010"/>
  <c r="Y1010"/>
  <c r="AA1010"/>
  <c r="AB1010"/>
  <c r="AC1010"/>
  <c r="AD1010"/>
  <c r="P1011"/>
  <c r="T1011"/>
  <c r="U1011"/>
  <c r="V1011"/>
  <c r="W1011"/>
  <c r="Y1011"/>
  <c r="AA1011"/>
  <c r="AB1011"/>
  <c r="AC1011"/>
  <c r="AD1011"/>
  <c r="P1012"/>
  <c r="T1012"/>
  <c r="U1012"/>
  <c r="V1012"/>
  <c r="W1012"/>
  <c r="Y1012"/>
  <c r="AA1012"/>
  <c r="AB1012"/>
  <c r="AC1012"/>
  <c r="AD1012"/>
  <c r="P1013"/>
  <c r="T1013"/>
  <c r="U1013"/>
  <c r="V1013"/>
  <c r="W1013"/>
  <c r="Y1013"/>
  <c r="AA1013"/>
  <c r="AB1013"/>
  <c r="AC1013"/>
  <c r="AD1013"/>
  <c r="P1014"/>
  <c r="T1014"/>
  <c r="U1014"/>
  <c r="V1014"/>
  <c r="W1014"/>
  <c r="Y1014"/>
  <c r="AA1014"/>
  <c r="AB1014"/>
  <c r="AC1014"/>
  <c r="AD1014"/>
  <c r="P1015"/>
  <c r="T1015"/>
  <c r="U1015"/>
  <c r="V1015"/>
  <c r="W1015"/>
  <c r="Y1015"/>
  <c r="AA1015"/>
  <c r="AB1015"/>
  <c r="AC1015"/>
  <c r="AD1015"/>
  <c r="P1016"/>
  <c r="T1016"/>
  <c r="U1016"/>
  <c r="V1016"/>
  <c r="W1016"/>
  <c r="Y1016"/>
  <c r="AA1016"/>
  <c r="AB1016"/>
  <c r="AC1016"/>
  <c r="AD1016"/>
  <c r="P1017"/>
  <c r="T1017"/>
  <c r="U1017"/>
  <c r="V1017"/>
  <c r="W1017"/>
  <c r="Y1017"/>
  <c r="AA1017"/>
  <c r="AB1017"/>
  <c r="AC1017"/>
  <c r="AD1017"/>
  <c r="P1018"/>
  <c r="T1018"/>
  <c r="U1018"/>
  <c r="V1018"/>
  <c r="W1018"/>
  <c r="Y1018"/>
  <c r="AA1018"/>
  <c r="AB1018"/>
  <c r="AC1018"/>
  <c r="AD1018"/>
  <c r="P1019"/>
  <c r="T1019"/>
  <c r="U1019"/>
  <c r="V1019"/>
  <c r="W1019"/>
  <c r="Y1019"/>
  <c r="AA1019"/>
  <c r="AB1019"/>
  <c r="AC1019"/>
  <c r="AD1019"/>
  <c r="P1020"/>
  <c r="T1020"/>
  <c r="U1020"/>
  <c r="V1020"/>
  <c r="W1020"/>
  <c r="Y1020"/>
  <c r="AA1020"/>
  <c r="AB1020"/>
  <c r="AC1020"/>
  <c r="AD1020"/>
  <c r="P1021"/>
  <c r="T1021"/>
  <c r="U1021"/>
  <c r="V1021"/>
  <c r="W1021"/>
  <c r="Y1021"/>
  <c r="AA1021"/>
  <c r="AB1021"/>
  <c r="AC1021"/>
  <c r="AD1021"/>
  <c r="P1022"/>
  <c r="T1022"/>
  <c r="U1022"/>
  <c r="V1022"/>
  <c r="W1022"/>
  <c r="Y1022"/>
  <c r="AA1022"/>
  <c r="AB1022"/>
  <c r="AC1022"/>
  <c r="AD1022"/>
  <c r="P1023"/>
  <c r="T1023"/>
  <c r="U1023"/>
  <c r="V1023"/>
  <c r="W1023"/>
  <c r="Y1023"/>
  <c r="AA1023"/>
  <c r="AB1023"/>
  <c r="AC1023"/>
  <c r="AD1023"/>
  <c r="P1024"/>
  <c r="T1024"/>
  <c r="U1024"/>
  <c r="V1024"/>
  <c r="W1024"/>
  <c r="Y1024"/>
  <c r="AA1024"/>
  <c r="AB1024"/>
  <c r="AC1024"/>
  <c r="AD1024"/>
  <c r="P1025"/>
  <c r="T1025"/>
  <c r="U1025"/>
  <c r="V1025"/>
  <c r="W1025"/>
  <c r="Y1025"/>
  <c r="AA1025"/>
  <c r="AB1025"/>
  <c r="AC1025"/>
  <c r="AD1025"/>
  <c r="P1026"/>
  <c r="T1026"/>
  <c r="U1026"/>
  <c r="V1026"/>
  <c r="W1026"/>
  <c r="Y1026"/>
  <c r="AA1026"/>
  <c r="AB1026"/>
  <c r="AC1026"/>
  <c r="AD1026"/>
  <c r="P1027"/>
  <c r="T1027"/>
  <c r="U1027"/>
  <c r="V1027"/>
  <c r="W1027"/>
  <c r="Y1027"/>
  <c r="AA1027"/>
  <c r="AB1027"/>
  <c r="AC1027"/>
  <c r="AD1027"/>
  <c r="P1028"/>
  <c r="T1028"/>
  <c r="U1028"/>
  <c r="V1028"/>
  <c r="W1028"/>
  <c r="Y1028"/>
  <c r="AA1028"/>
  <c r="AB1028"/>
  <c r="AC1028"/>
  <c r="AD1028"/>
  <c r="P1029"/>
  <c r="T1029"/>
  <c r="U1029"/>
  <c r="V1029"/>
  <c r="W1029"/>
  <c r="Y1029"/>
  <c r="AA1029"/>
  <c r="AB1029"/>
  <c r="AC1029"/>
  <c r="AD1029"/>
  <c r="P1030"/>
  <c r="T1030"/>
  <c r="U1030"/>
  <c r="V1030"/>
  <c r="W1030"/>
  <c r="Y1030"/>
  <c r="AA1030"/>
  <c r="AB1030"/>
  <c r="AC1030"/>
  <c r="AD1030"/>
  <c r="P1031"/>
  <c r="T1031"/>
  <c r="U1031"/>
  <c r="V1031"/>
  <c r="W1031"/>
  <c r="Y1031"/>
  <c r="AA1031"/>
  <c r="AB1031"/>
  <c r="AC1031"/>
  <c r="AD1031"/>
  <c r="P1032"/>
  <c r="T1032"/>
  <c r="U1032"/>
  <c r="V1032"/>
  <c r="W1032"/>
  <c r="Y1032"/>
  <c r="AA1032"/>
  <c r="AB1032"/>
  <c r="AC1032"/>
  <c r="AD1032"/>
  <c r="P1033"/>
  <c r="T1033"/>
  <c r="U1033"/>
  <c r="V1033"/>
  <c r="W1033"/>
  <c r="Y1033"/>
  <c r="AA1033"/>
  <c r="AB1033"/>
  <c r="AC1033"/>
  <c r="AD1033"/>
  <c r="P1034"/>
  <c r="T1034"/>
  <c r="U1034"/>
  <c r="V1034"/>
  <c r="W1034"/>
  <c r="Y1034"/>
  <c r="AA1034"/>
  <c r="AB1034"/>
  <c r="AC1034"/>
  <c r="AD1034"/>
  <c r="P1035"/>
  <c r="T1035"/>
  <c r="U1035"/>
  <c r="V1035"/>
  <c r="W1035"/>
  <c r="Y1035"/>
  <c r="AA1035"/>
  <c r="AB1035"/>
  <c r="AC1035"/>
  <c r="AD1035"/>
  <c r="P1036"/>
  <c r="T1036"/>
  <c r="U1036"/>
  <c r="V1036"/>
  <c r="W1036"/>
  <c r="Y1036"/>
  <c r="AA1036"/>
  <c r="AB1036"/>
  <c r="AC1036"/>
  <c r="AD1036"/>
  <c r="P1037"/>
  <c r="T1037"/>
  <c r="U1037"/>
  <c r="V1037"/>
  <c r="W1037"/>
  <c r="Y1037"/>
  <c r="AA1037"/>
  <c r="AB1037"/>
  <c r="AC1037"/>
  <c r="AD1037"/>
  <c r="P1038"/>
  <c r="T1038"/>
  <c r="U1038"/>
  <c r="V1038"/>
  <c r="W1038"/>
  <c r="Y1038"/>
  <c r="AA1038"/>
  <c r="AB1038"/>
  <c r="AC1038"/>
  <c r="AD1038"/>
  <c r="P1039"/>
  <c r="T1039"/>
  <c r="U1039"/>
  <c r="V1039"/>
  <c r="W1039"/>
  <c r="Y1039"/>
  <c r="AA1039"/>
  <c r="AB1039"/>
  <c r="AC1039"/>
  <c r="AD1039"/>
  <c r="P1040"/>
  <c r="T1040"/>
  <c r="U1040"/>
  <c r="V1040"/>
  <c r="W1040"/>
  <c r="Y1040"/>
  <c r="AA1040"/>
  <c r="AB1040"/>
  <c r="AC1040"/>
  <c r="AD1040"/>
  <c r="P1041"/>
  <c r="T1041"/>
  <c r="U1041"/>
  <c r="V1041"/>
  <c r="W1041"/>
  <c r="Y1041"/>
  <c r="AA1041"/>
  <c r="AB1041"/>
  <c r="AC1041"/>
  <c r="AD1041"/>
  <c r="P1042"/>
  <c r="T1042"/>
  <c r="U1042"/>
  <c r="V1042"/>
  <c r="W1042"/>
  <c r="Y1042"/>
  <c r="AA1042"/>
  <c r="AB1042"/>
  <c r="AC1042"/>
  <c r="AD1042"/>
  <c r="P1043"/>
  <c r="T1043"/>
  <c r="U1043"/>
  <c r="V1043"/>
  <c r="W1043"/>
  <c r="Y1043"/>
  <c r="AA1043"/>
  <c r="AB1043"/>
  <c r="AC1043"/>
  <c r="AD1043"/>
  <c r="P1044"/>
  <c r="T1044"/>
  <c r="U1044"/>
  <c r="V1044"/>
  <c r="W1044"/>
  <c r="Y1044"/>
  <c r="AA1044"/>
  <c r="AB1044"/>
  <c r="AC1044"/>
  <c r="AD1044"/>
  <c r="P1045"/>
  <c r="T1045"/>
  <c r="U1045"/>
  <c r="V1045"/>
  <c r="W1045"/>
  <c r="Y1045"/>
  <c r="AA1045"/>
  <c r="AB1045"/>
  <c r="AC1045"/>
  <c r="AD1045"/>
  <c r="P1046"/>
  <c r="T1046"/>
  <c r="U1046"/>
  <c r="V1046"/>
  <c r="W1046"/>
  <c r="Y1046"/>
  <c r="AA1046"/>
  <c r="AB1046"/>
  <c r="AC1046"/>
  <c r="AD1046"/>
  <c r="P1047"/>
  <c r="T1047"/>
  <c r="U1047"/>
  <c r="V1047"/>
  <c r="W1047"/>
  <c r="Y1047"/>
  <c r="AA1047"/>
  <c r="AB1047"/>
  <c r="AC1047"/>
  <c r="AD1047"/>
  <c r="P1048"/>
  <c r="T1048"/>
  <c r="U1048"/>
  <c r="V1048"/>
  <c r="W1048"/>
  <c r="Y1048"/>
  <c r="AA1048"/>
  <c r="AB1048"/>
  <c r="AC1048"/>
  <c r="AD1048"/>
  <c r="P1049"/>
  <c r="T1049"/>
  <c r="U1049"/>
  <c r="V1049"/>
  <c r="W1049"/>
  <c r="Y1049"/>
  <c r="AA1049"/>
  <c r="AB1049"/>
  <c r="AC1049"/>
  <c r="AD1049"/>
  <c r="P1050"/>
  <c r="T1050"/>
  <c r="U1050"/>
  <c r="V1050"/>
  <c r="W1050"/>
  <c r="Y1050"/>
  <c r="AA1050"/>
  <c r="AB1050"/>
  <c r="AC1050"/>
  <c r="AD1050"/>
  <c r="P1051"/>
  <c r="T1051"/>
  <c r="U1051"/>
  <c r="V1051"/>
  <c r="W1051"/>
  <c r="Y1051"/>
  <c r="AA1051"/>
  <c r="AB1051"/>
  <c r="AC1051"/>
  <c r="AD1051"/>
  <c r="P1052"/>
  <c r="T1052"/>
  <c r="U1052"/>
  <c r="V1052"/>
  <c r="W1052"/>
  <c r="Y1052"/>
  <c r="AA1052"/>
  <c r="AB1052"/>
  <c r="AC1052"/>
  <c r="AD1052"/>
  <c r="P1053"/>
  <c r="T1053"/>
  <c r="U1053"/>
  <c r="V1053"/>
  <c r="W1053"/>
  <c r="Y1053"/>
  <c r="AA1053"/>
  <c r="AB1053"/>
  <c r="AC1053"/>
  <c r="AD1053"/>
  <c r="P1054"/>
  <c r="T1054"/>
  <c r="U1054"/>
  <c r="V1054"/>
  <c r="W1054"/>
  <c r="Y1054"/>
  <c r="AA1054"/>
  <c r="AB1054"/>
  <c r="AC1054"/>
  <c r="AD1054"/>
  <c r="P1055"/>
  <c r="T1055"/>
  <c r="U1055"/>
  <c r="V1055"/>
  <c r="W1055"/>
  <c r="Y1055"/>
  <c r="AA1055"/>
  <c r="AB1055"/>
  <c r="AC1055"/>
  <c r="AD1055"/>
  <c r="P1056"/>
  <c r="T1056"/>
  <c r="U1056"/>
  <c r="V1056"/>
  <c r="W1056"/>
  <c r="Y1056"/>
  <c r="AA1056"/>
  <c r="AB1056"/>
  <c r="AC1056"/>
  <c r="AD1056"/>
  <c r="P1057"/>
  <c r="T1057"/>
  <c r="U1057"/>
  <c r="V1057"/>
  <c r="W1057"/>
  <c r="Y1057"/>
  <c r="AA1057"/>
  <c r="AB1057"/>
  <c r="AC1057"/>
  <c r="AD1057"/>
  <c r="P1058"/>
  <c r="T1058"/>
  <c r="U1058"/>
  <c r="V1058"/>
  <c r="W1058"/>
  <c r="Y1058"/>
  <c r="AA1058"/>
  <c r="AB1058"/>
  <c r="AC1058"/>
  <c r="AD1058"/>
  <c r="P1059"/>
  <c r="T1059"/>
  <c r="U1059"/>
  <c r="V1059"/>
  <c r="W1059"/>
  <c r="Y1059"/>
  <c r="AA1059"/>
  <c r="AB1059"/>
  <c r="AC1059"/>
  <c r="AD1059"/>
  <c r="P1060"/>
  <c r="T1060"/>
  <c r="U1060"/>
  <c r="V1060"/>
  <c r="W1060"/>
  <c r="Y1060"/>
  <c r="AA1060"/>
  <c r="AB1060"/>
  <c r="AC1060"/>
  <c r="AD1060"/>
  <c r="P1061"/>
  <c r="T1061"/>
  <c r="U1061"/>
  <c r="V1061"/>
  <c r="W1061"/>
  <c r="Y1061"/>
  <c r="AA1061"/>
  <c r="AB1061"/>
  <c r="AC1061"/>
  <c r="AD1061"/>
  <c r="P1062"/>
  <c r="T1062"/>
  <c r="U1062"/>
  <c r="V1062"/>
  <c r="W1062"/>
  <c r="Y1062"/>
  <c r="AA1062"/>
  <c r="AB1062"/>
  <c r="AC1062"/>
  <c r="AD1062"/>
  <c r="P1063"/>
  <c r="T1063"/>
  <c r="U1063"/>
  <c r="V1063"/>
  <c r="W1063"/>
  <c r="Y1063"/>
  <c r="AA1063"/>
  <c r="AB1063"/>
  <c r="AC1063"/>
  <c r="AD1063"/>
  <c r="P1064"/>
  <c r="T1064"/>
  <c r="U1064"/>
  <c r="V1064"/>
  <c r="W1064"/>
  <c r="Y1064"/>
  <c r="AA1064"/>
  <c r="AB1064"/>
  <c r="AC1064"/>
  <c r="AD1064"/>
  <c r="P1065"/>
  <c r="T1065"/>
  <c r="U1065"/>
  <c r="V1065"/>
  <c r="W1065"/>
  <c r="Y1065"/>
  <c r="AA1065"/>
  <c r="AB1065"/>
  <c r="AC1065"/>
  <c r="AD1065"/>
  <c r="P1066"/>
  <c r="T1066"/>
  <c r="U1066"/>
  <c r="V1066"/>
  <c r="W1066"/>
  <c r="Y1066"/>
  <c r="AA1066"/>
  <c r="AB1066"/>
  <c r="AC1066"/>
  <c r="AD1066"/>
  <c r="P1067"/>
  <c r="T1067"/>
  <c r="U1067"/>
  <c r="V1067"/>
  <c r="W1067"/>
  <c r="Y1067"/>
  <c r="AA1067"/>
  <c r="AB1067"/>
  <c r="AC1067"/>
  <c r="AD1067"/>
  <c r="P1068"/>
  <c r="T1068"/>
  <c r="U1068"/>
  <c r="V1068"/>
  <c r="W1068"/>
  <c r="Y1068"/>
  <c r="AA1068"/>
  <c r="AB1068"/>
  <c r="AC1068"/>
  <c r="AD1068"/>
  <c r="P1069"/>
  <c r="T1069"/>
  <c r="U1069"/>
  <c r="V1069"/>
  <c r="W1069"/>
  <c r="Y1069"/>
  <c r="AA1069"/>
  <c r="AB1069"/>
  <c r="AC1069"/>
  <c r="AD1069"/>
  <c r="P1070"/>
  <c r="T1070"/>
  <c r="U1070"/>
  <c r="V1070"/>
  <c r="W1070"/>
  <c r="Y1070"/>
  <c r="AA1070"/>
  <c r="AB1070"/>
  <c r="AC1070"/>
  <c r="AD1070"/>
  <c r="P1071"/>
  <c r="T1071"/>
  <c r="U1071"/>
  <c r="V1071"/>
  <c r="W1071"/>
  <c r="Y1071"/>
  <c r="AA1071"/>
  <c r="AB1071"/>
  <c r="AC1071"/>
  <c r="AD1071"/>
  <c r="P1072"/>
  <c r="T1072"/>
  <c r="U1072"/>
  <c r="V1072"/>
  <c r="W1072"/>
  <c r="Y1072"/>
  <c r="AA1072"/>
  <c r="AB1072"/>
  <c r="AC1072"/>
  <c r="AD1072"/>
  <c r="P1073"/>
  <c r="T1073"/>
  <c r="U1073"/>
  <c r="V1073"/>
  <c r="W1073"/>
  <c r="Y1073"/>
  <c r="AA1073"/>
  <c r="AB1073"/>
  <c r="AC1073"/>
  <c r="AD1073"/>
  <c r="P1074"/>
  <c r="T1074"/>
  <c r="U1074"/>
  <c r="V1074"/>
  <c r="W1074"/>
  <c r="Y1074"/>
  <c r="AA1074"/>
  <c r="AB1074"/>
  <c r="AC1074"/>
  <c r="AD1074"/>
  <c r="P1075"/>
  <c r="T1075"/>
  <c r="U1075"/>
  <c r="V1075"/>
  <c r="W1075"/>
  <c r="Y1075"/>
  <c r="AA1075"/>
  <c r="AB1075"/>
  <c r="AC1075"/>
  <c r="AD1075"/>
  <c r="P1076"/>
  <c r="T1076"/>
  <c r="U1076"/>
  <c r="V1076"/>
  <c r="W1076"/>
  <c r="Y1076"/>
  <c r="AA1076"/>
  <c r="AB1076"/>
  <c r="AC1076"/>
  <c r="AD1076"/>
  <c r="P1077"/>
  <c r="T1077"/>
  <c r="U1077"/>
  <c r="V1077"/>
  <c r="W1077"/>
  <c r="Y1077"/>
  <c r="AA1077"/>
  <c r="AB1077"/>
  <c r="AC1077"/>
  <c r="AD1077"/>
  <c r="P1078"/>
  <c r="T1078"/>
  <c r="U1078"/>
  <c r="V1078"/>
  <c r="W1078"/>
  <c r="Y1078"/>
  <c r="AA1078"/>
  <c r="AB1078"/>
  <c r="AC1078"/>
  <c r="AD1078"/>
  <c r="P1079"/>
  <c r="T1079"/>
  <c r="U1079"/>
  <c r="V1079"/>
  <c r="W1079"/>
  <c r="Y1079"/>
  <c r="AA1079"/>
  <c r="AB1079"/>
  <c r="AC1079"/>
  <c r="AD1079"/>
  <c r="P1080"/>
  <c r="T1080"/>
  <c r="U1080"/>
  <c r="V1080"/>
  <c r="W1080"/>
  <c r="Y1080"/>
  <c r="AA1080"/>
  <c r="AB1080"/>
  <c r="AC1080"/>
  <c r="AD1080"/>
  <c r="P1081"/>
  <c r="T1081"/>
  <c r="U1081"/>
  <c r="V1081"/>
  <c r="W1081"/>
  <c r="Y1081"/>
  <c r="AA1081"/>
  <c r="AB1081"/>
  <c r="AC1081"/>
  <c r="AD1081"/>
  <c r="P1082"/>
  <c r="T1082"/>
  <c r="U1082"/>
  <c r="V1082"/>
  <c r="W1082"/>
  <c r="Y1082"/>
  <c r="AA1082"/>
  <c r="AB1082"/>
  <c r="AC1082"/>
  <c r="AD1082"/>
  <c r="P1083"/>
  <c r="T1083"/>
  <c r="U1083"/>
  <c r="V1083"/>
  <c r="W1083"/>
  <c r="Y1083"/>
  <c r="AA1083"/>
  <c r="AB1083"/>
  <c r="AC1083"/>
  <c r="AD1083"/>
  <c r="P1084"/>
  <c r="T1084"/>
  <c r="U1084"/>
  <c r="V1084"/>
  <c r="W1084"/>
  <c r="Y1084"/>
  <c r="AA1084"/>
  <c r="AB1084"/>
  <c r="AC1084"/>
  <c r="AD1084"/>
  <c r="P1085"/>
  <c r="T1085"/>
  <c r="U1085"/>
  <c r="V1085"/>
  <c r="W1085"/>
  <c r="Y1085"/>
  <c r="AA1085"/>
  <c r="AB1085"/>
  <c r="AC1085"/>
  <c r="AD1085"/>
  <c r="P1086"/>
  <c r="T1086"/>
  <c r="U1086"/>
  <c r="V1086"/>
  <c r="W1086"/>
  <c r="Y1086"/>
  <c r="AA1086"/>
  <c r="AB1086"/>
  <c r="AC1086"/>
  <c r="AD1086"/>
  <c r="P1087"/>
  <c r="T1087"/>
  <c r="U1087"/>
  <c r="V1087"/>
  <c r="W1087"/>
  <c r="Y1087"/>
  <c r="AA1087"/>
  <c r="AB1087"/>
  <c r="AC1087"/>
  <c r="AD1087"/>
  <c r="P1088"/>
  <c r="T1088"/>
  <c r="U1088"/>
  <c r="V1088"/>
  <c r="W1088"/>
  <c r="Y1088"/>
  <c r="AA1088"/>
  <c r="AB1088"/>
  <c r="AC1088"/>
  <c r="AD1088"/>
  <c r="P1089"/>
  <c r="T1089"/>
  <c r="U1089"/>
  <c r="V1089"/>
  <c r="W1089"/>
  <c r="Y1089"/>
  <c r="AA1089"/>
  <c r="AB1089"/>
  <c r="AC1089"/>
  <c r="AD1089"/>
  <c r="P1090"/>
  <c r="T1090"/>
  <c r="U1090"/>
  <c r="V1090"/>
  <c r="W1090"/>
  <c r="Y1090"/>
  <c r="AA1090"/>
  <c r="AB1090"/>
  <c r="AC1090"/>
  <c r="AD1090"/>
  <c r="P1091"/>
  <c r="T1091"/>
  <c r="U1091"/>
  <c r="V1091"/>
  <c r="W1091"/>
  <c r="Y1091"/>
  <c r="AA1091"/>
  <c r="AB1091"/>
  <c r="AC1091"/>
  <c r="AD1091"/>
  <c r="P1092"/>
  <c r="T1092"/>
  <c r="U1092"/>
  <c r="V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T1096"/>
  <c r="U1096"/>
  <c r="V1096"/>
  <c r="W1096"/>
  <c r="Y1096"/>
  <c r="AA1096"/>
  <c r="AB1096"/>
  <c r="AC1096"/>
  <c r="AD1096"/>
  <c r="P1097"/>
  <c r="T1097"/>
  <c r="U1097"/>
  <c r="V1097"/>
  <c r="W1097"/>
  <c r="Y1097"/>
  <c r="AA1097"/>
  <c r="AB1097"/>
  <c r="AC1097"/>
  <c r="AD1097"/>
  <c r="P1098"/>
  <c r="T1098"/>
  <c r="U1098"/>
  <c r="V1098"/>
  <c r="W1098"/>
  <c r="Y1098"/>
  <c r="AA1098"/>
  <c r="AB1098"/>
  <c r="AC1098"/>
  <c r="AD1098"/>
  <c r="P1099"/>
  <c r="T1099"/>
  <c r="U1099"/>
  <c r="V1099"/>
  <c r="W1099"/>
  <c r="Y1099"/>
  <c r="AA1099"/>
  <c r="AB1099"/>
  <c r="AC1099"/>
  <c r="AD1099"/>
  <c r="P1100"/>
  <c r="T1100"/>
  <c r="U1100"/>
  <c r="V1100"/>
  <c r="W1100"/>
  <c r="Y1100"/>
  <c r="AA1100"/>
  <c r="AB1100"/>
  <c r="AC1100"/>
  <c r="AD1100"/>
  <c r="P1101"/>
  <c r="T1101"/>
  <c r="U1101"/>
  <c r="V1101"/>
  <c r="W1101"/>
  <c r="Y1101"/>
  <c r="AA1101"/>
  <c r="AB1101"/>
  <c r="AC1101"/>
  <c r="AD1101"/>
  <c r="P1102"/>
  <c r="T1102"/>
  <c r="U1102"/>
  <c r="V1102"/>
  <c r="W1102"/>
  <c r="Y1102"/>
  <c r="AA1102"/>
  <c r="AB1102"/>
  <c r="AC1102"/>
  <c r="AD1102"/>
  <c r="P1103"/>
  <c r="T1103"/>
  <c r="U1103"/>
  <c r="V1103"/>
  <c r="W1103"/>
  <c r="Y1103"/>
  <c r="AA1103"/>
  <c r="AB1103"/>
  <c r="AC1103"/>
  <c r="AD1103"/>
  <c r="P1104"/>
  <c r="T1104"/>
  <c r="U1104"/>
  <c r="V1104"/>
  <c r="W1104"/>
  <c r="Y1104"/>
  <c r="AA1104"/>
  <c r="AB1104"/>
  <c r="AC1104"/>
  <c r="AD1104"/>
  <c r="P1105"/>
  <c r="T1105"/>
  <c r="U1105"/>
  <c r="V1105"/>
  <c r="W1105"/>
  <c r="Y1105"/>
  <c r="AA1105"/>
  <c r="AB1105"/>
  <c r="AC1105"/>
  <c r="AD1105"/>
  <c r="P1106"/>
  <c r="T1106"/>
  <c r="U1106"/>
  <c r="V1106"/>
  <c r="W1106"/>
  <c r="Y1106"/>
  <c r="AA1106"/>
  <c r="AB1106"/>
  <c r="AC1106"/>
  <c r="AD1106"/>
  <c r="P1107"/>
  <c r="T1107"/>
  <c r="U1107"/>
  <c r="V1107"/>
  <c r="W1107"/>
  <c r="Y1107"/>
  <c r="AA1107"/>
  <c r="AB1107"/>
  <c r="AC1107"/>
  <c r="AD1107"/>
  <c r="P1108"/>
  <c r="T1108"/>
  <c r="U1108"/>
  <c r="V1108"/>
  <c r="W1108"/>
  <c r="Y1108"/>
  <c r="AA1108"/>
  <c r="AB1108"/>
  <c r="AC1108"/>
  <c r="AD1108"/>
  <c r="P1109"/>
  <c r="T1109"/>
  <c r="U1109"/>
  <c r="V1109"/>
  <c r="W1109"/>
  <c r="Y1109"/>
  <c r="AA1109"/>
  <c r="AB1109"/>
  <c r="AC1109"/>
  <c r="AD1109"/>
  <c r="P1110"/>
  <c r="T1110"/>
  <c r="U1110"/>
  <c r="V1110"/>
  <c r="W1110"/>
  <c r="Y1110"/>
  <c r="AA1110"/>
  <c r="AB1110"/>
  <c r="AC1110"/>
  <c r="AD1110"/>
  <c r="P1111"/>
  <c r="T1111"/>
  <c r="U1111"/>
  <c r="V1111"/>
  <c r="W1111"/>
  <c r="Y1111"/>
  <c r="AA1111"/>
  <c r="AB1111"/>
  <c r="AC1111"/>
  <c r="AD1111"/>
  <c r="P1112"/>
  <c r="T1112"/>
  <c r="U1112"/>
  <c r="V1112"/>
  <c r="W1112"/>
  <c r="Y1112"/>
  <c r="AA1112"/>
  <c r="AB1112"/>
  <c r="AC1112"/>
  <c r="AD1112"/>
  <c r="P1113"/>
  <c r="T1113"/>
  <c r="U1113"/>
  <c r="V1113"/>
  <c r="W1113"/>
  <c r="Y1113"/>
  <c r="AA1113"/>
  <c r="AB1113"/>
  <c r="AC1113"/>
  <c r="AD1113"/>
  <c r="P1114"/>
  <c r="T1114"/>
  <c r="U1114"/>
  <c r="V1114"/>
  <c r="W1114"/>
  <c r="Y1114"/>
  <c r="AA1114"/>
  <c r="AB1114"/>
  <c r="AC1114"/>
  <c r="AD1114"/>
  <c r="P1115"/>
  <c r="T1115"/>
  <c r="U1115"/>
  <c r="V1115"/>
  <c r="W1115"/>
  <c r="Y1115"/>
  <c r="AA1115"/>
  <c r="AB1115"/>
  <c r="AC1115"/>
  <c r="AD1115"/>
  <c r="P1116"/>
  <c r="T1116"/>
  <c r="U1116"/>
  <c r="V1116"/>
  <c r="W1116"/>
  <c r="Y1116"/>
  <c r="AA1116"/>
  <c r="AB1116"/>
  <c r="AC1116"/>
  <c r="AD1116"/>
  <c r="P1117"/>
  <c r="T1117"/>
  <c r="U1117"/>
  <c r="V1117"/>
  <c r="W1117"/>
  <c r="Y1117"/>
  <c r="AA1117"/>
  <c r="AB1117"/>
  <c r="AC1117"/>
  <c r="AD1117"/>
  <c r="P1118"/>
  <c r="T1118"/>
  <c r="U1118"/>
  <c r="V1118"/>
  <c r="W1118"/>
  <c r="Y1118"/>
  <c r="AA1118"/>
  <c r="AB1118"/>
  <c r="AC1118"/>
  <c r="AD1118"/>
  <c r="P1119"/>
  <c r="T1119"/>
  <c r="U1119"/>
  <c r="V1119"/>
  <c r="W1119"/>
  <c r="Y1119"/>
  <c r="AA1119"/>
  <c r="AB1119"/>
  <c r="AC1119"/>
  <c r="AD1119"/>
  <c r="P1120"/>
  <c r="T1120"/>
  <c r="U1120"/>
  <c r="V1120"/>
  <c r="W1120"/>
  <c r="Y1120"/>
  <c r="AA1120"/>
  <c r="AB1120"/>
  <c r="AC1120"/>
  <c r="AD1120"/>
  <c r="P1121"/>
  <c r="T1121"/>
  <c r="U1121"/>
  <c r="V1121"/>
  <c r="W1121"/>
  <c r="Y1121"/>
  <c r="AA1121"/>
  <c r="AB1121"/>
  <c r="AC1121"/>
  <c r="AD1121"/>
  <c r="P1122"/>
  <c r="T1122"/>
  <c r="U1122"/>
  <c r="V1122"/>
  <c r="W1122"/>
  <c r="Y1122"/>
  <c r="AA1122"/>
  <c r="AB1122"/>
  <c r="AC1122"/>
  <c r="AD1122"/>
  <c r="P1123"/>
  <c r="T1123"/>
  <c r="U1123"/>
  <c r="V1123"/>
  <c r="W1123"/>
  <c r="Y1123"/>
  <c r="AA1123"/>
  <c r="AB1123"/>
  <c r="AC1123"/>
  <c r="AD1123"/>
  <c r="P1124"/>
  <c r="T1124"/>
  <c r="U1124"/>
  <c r="V1124"/>
  <c r="W1124"/>
  <c r="Y1124"/>
  <c r="AA1124"/>
  <c r="AB1124"/>
  <c r="AC1124"/>
  <c r="AD1124"/>
  <c r="P1125"/>
  <c r="T1125"/>
  <c r="U1125"/>
  <c r="V1125"/>
  <c r="W1125"/>
  <c r="Y1125"/>
  <c r="AA1125"/>
  <c r="AB1125"/>
  <c r="AC1125"/>
  <c r="AD1125"/>
  <c r="P1126"/>
  <c r="T1126"/>
  <c r="U1126"/>
  <c r="V1126"/>
  <c r="W1126"/>
  <c r="Y1126"/>
  <c r="AA1126"/>
  <c r="AB1126"/>
  <c r="AC1126"/>
  <c r="AD1126"/>
  <c r="P1127"/>
  <c r="T1127"/>
  <c r="U1127"/>
  <c r="V1127"/>
  <c r="W1127"/>
  <c r="Y1127"/>
  <c r="AA1127"/>
  <c r="AB1127"/>
  <c r="AC1127"/>
  <c r="AD1127"/>
  <c r="P1128"/>
  <c r="T1128"/>
  <c r="U1128"/>
  <c r="V1128"/>
  <c r="W1128"/>
  <c r="Y1128"/>
  <c r="AA1128"/>
  <c r="AB1128"/>
  <c r="AC1128"/>
  <c r="AD1128"/>
  <c r="P1129"/>
  <c r="T1129"/>
  <c r="U1129"/>
  <c r="V1129"/>
  <c r="W1129"/>
  <c r="Y1129"/>
  <c r="AA1129"/>
  <c r="AB1129"/>
  <c r="AC1129"/>
  <c r="AD1129"/>
  <c r="P1130"/>
  <c r="T1130"/>
  <c r="U1130"/>
  <c r="V1130"/>
  <c r="W1130"/>
  <c r="Y1130"/>
  <c r="AA1130"/>
  <c r="AB1130"/>
  <c r="AC1130"/>
  <c r="AD1130"/>
  <c r="P1131"/>
  <c r="T1131"/>
  <c r="U1131"/>
  <c r="V1131"/>
  <c r="W1131"/>
  <c r="Y1131"/>
  <c r="AA1131"/>
  <c r="AB1131"/>
  <c r="AC1131"/>
  <c r="AD1131"/>
  <c r="P1132"/>
  <c r="T1132"/>
  <c r="U1132"/>
  <c r="V1132"/>
  <c r="W1132"/>
  <c r="Y1132"/>
  <c r="AA1132"/>
  <c r="AB1132"/>
  <c r="AC1132"/>
  <c r="AD1132"/>
  <c r="P1133"/>
  <c r="T1133"/>
  <c r="U1133"/>
  <c r="V1133"/>
  <c r="W1133"/>
  <c r="Y1133"/>
  <c r="AA1133"/>
  <c r="AB1133"/>
  <c r="AC1133"/>
  <c r="AD1133"/>
  <c r="P1134"/>
  <c r="T1134"/>
  <c r="U1134"/>
  <c r="V1134"/>
  <c r="W1134"/>
  <c r="Y1134"/>
  <c r="AA1134"/>
  <c r="AB1134"/>
  <c r="AC1134"/>
  <c r="AD1134"/>
  <c r="P1135"/>
  <c r="T1135"/>
  <c r="U1135"/>
  <c r="V1135"/>
  <c r="W1135"/>
  <c r="Y1135"/>
  <c r="AA1135"/>
  <c r="AB1135"/>
  <c r="AC1135"/>
  <c r="AD1135"/>
  <c r="P1136"/>
  <c r="T1136"/>
  <c r="U1136"/>
  <c r="V1136"/>
  <c r="W1136"/>
  <c r="Y1136"/>
  <c r="AA1136"/>
  <c r="AB1136"/>
  <c r="AC1136"/>
  <c r="AD1136"/>
  <c r="P1137"/>
  <c r="T1137"/>
  <c r="U1137"/>
  <c r="V1137"/>
  <c r="W1137"/>
  <c r="Y1137"/>
  <c r="AA1137"/>
  <c r="AB1137"/>
  <c r="AC1137"/>
  <c r="AD1137"/>
  <c r="P1138"/>
  <c r="T1138"/>
  <c r="U1138"/>
  <c r="V1138"/>
  <c r="W1138"/>
  <c r="Y1138"/>
  <c r="AA1138"/>
  <c r="AB1138"/>
  <c r="AC1138"/>
  <c r="AD1138"/>
  <c r="P1139"/>
  <c r="T1139"/>
  <c r="U1139"/>
  <c r="V1139"/>
  <c r="W1139"/>
  <c r="Y1139"/>
  <c r="AA1139"/>
  <c r="AB1139"/>
  <c r="AC1139"/>
  <c r="AD1139"/>
  <c r="P1140"/>
  <c r="T1140"/>
  <c r="U1140"/>
  <c r="V1140"/>
  <c r="W1140"/>
  <c r="Y1140"/>
  <c r="AA1140"/>
  <c r="AB1140"/>
  <c r="AC1140"/>
  <c r="AD1140"/>
  <c r="P1141"/>
  <c r="T1141"/>
  <c r="U1141"/>
  <c r="V1141"/>
  <c r="W1141"/>
  <c r="Y1141"/>
  <c r="AA1141"/>
  <c r="AB1141"/>
  <c r="AC1141"/>
  <c r="AD1141"/>
  <c r="P1142"/>
  <c r="T1142"/>
  <c r="U1142"/>
  <c r="V1142"/>
  <c r="W1142"/>
  <c r="Y1142"/>
  <c r="AA1142"/>
  <c r="AB1142"/>
  <c r="AC1142"/>
  <c r="AD1142"/>
  <c r="P1143"/>
  <c r="T1143"/>
  <c r="U1143"/>
  <c r="V1143"/>
  <c r="W1143"/>
  <c r="Y1143"/>
  <c r="AA1143"/>
  <c r="AB1143"/>
  <c r="AC1143"/>
  <c r="AD1143"/>
  <c r="P1144"/>
  <c r="T1144"/>
  <c r="U1144"/>
  <c r="V1144"/>
  <c r="W1144"/>
  <c r="Y1144"/>
  <c r="AA1144"/>
  <c r="AB1144"/>
  <c r="AC1144"/>
  <c r="AD1144"/>
  <c r="P1145"/>
  <c r="T1145"/>
  <c r="U1145"/>
  <c r="V1145"/>
  <c r="W1145"/>
  <c r="Y1145"/>
  <c r="AA1145"/>
  <c r="AB1145"/>
  <c r="AC1145"/>
  <c r="AD1145"/>
  <c r="P1146"/>
  <c r="T1146"/>
  <c r="U1146"/>
  <c r="V1146"/>
  <c r="W1146"/>
  <c r="Y1146"/>
  <c r="AA1146"/>
  <c r="AB1146"/>
  <c r="AC1146"/>
  <c r="AD1146"/>
  <c r="P1147"/>
  <c r="T1147"/>
  <c r="U1147"/>
  <c r="V1147"/>
  <c r="W1147"/>
  <c r="Y1147"/>
  <c r="AA1147"/>
  <c r="AB1147"/>
  <c r="AC1147"/>
  <c r="AD1147"/>
  <c r="P1148"/>
  <c r="T1148"/>
  <c r="U1148"/>
  <c r="V1148"/>
  <c r="W1148"/>
  <c r="Y1148"/>
  <c r="AA1148"/>
  <c r="AB1148"/>
  <c r="AC1148"/>
  <c r="AD1148"/>
  <c r="P1149"/>
  <c r="T1149"/>
  <c r="U1149"/>
  <c r="V1149"/>
  <c r="W1149"/>
  <c r="Y1149"/>
  <c r="AA1149"/>
  <c r="AB1149"/>
  <c r="AC1149"/>
  <c r="AD1149"/>
  <c r="P1150"/>
  <c r="T1150"/>
  <c r="U1150"/>
  <c r="V1150"/>
  <c r="W1150"/>
  <c r="Y1150"/>
  <c r="AA1150"/>
  <c r="AB1150"/>
  <c r="AC1150"/>
  <c r="AD1150"/>
  <c r="P1151"/>
  <c r="T1151"/>
  <c r="U1151"/>
  <c r="V1151"/>
  <c r="W1151"/>
  <c r="Y1151"/>
  <c r="AA1151"/>
  <c r="AB1151"/>
  <c r="AC1151"/>
  <c r="AD1151"/>
  <c r="P1152"/>
  <c r="T1152"/>
  <c r="U1152"/>
  <c r="V1152"/>
  <c r="W1152"/>
  <c r="Y1152"/>
  <c r="AA1152"/>
  <c r="AB1152"/>
  <c r="AC1152"/>
  <c r="AD1152"/>
  <c r="P1153"/>
  <c r="T1153"/>
  <c r="U1153"/>
  <c r="V1153"/>
  <c r="W1153"/>
  <c r="Y1153"/>
  <c r="AA1153"/>
  <c r="AB1153"/>
  <c r="AC1153"/>
  <c r="AD1153"/>
  <c r="P1154"/>
  <c r="T1154"/>
  <c r="U1154"/>
  <c r="V1154"/>
  <c r="W1154"/>
  <c r="Y1154"/>
  <c r="AA1154"/>
  <c r="AB1154"/>
  <c r="AC1154"/>
  <c r="AD1154"/>
  <c r="P1155"/>
  <c r="T1155"/>
  <c r="U1155"/>
  <c r="V1155"/>
  <c r="W1155"/>
  <c r="Y1155"/>
  <c r="AA1155"/>
  <c r="AB1155"/>
  <c r="AC1155"/>
  <c r="AD1155"/>
  <c r="P1156"/>
  <c r="T1156"/>
  <c r="U1156"/>
  <c r="V1156"/>
  <c r="W1156"/>
  <c r="Y1156"/>
  <c r="AA1156"/>
  <c r="AB1156"/>
  <c r="AC1156"/>
  <c r="AD1156"/>
  <c r="P1157"/>
  <c r="T1157"/>
  <c r="U1157"/>
  <c r="V1157"/>
  <c r="W1157"/>
  <c r="Y1157"/>
  <c r="AA1157"/>
  <c r="AB1157"/>
  <c r="AC1157"/>
  <c r="AD1157"/>
  <c r="P1158"/>
  <c r="T1158"/>
  <c r="U1158"/>
  <c r="V1158"/>
  <c r="W1158"/>
  <c r="Y1158"/>
  <c r="AA1158"/>
  <c r="AB1158"/>
  <c r="AC1158"/>
  <c r="AD1158"/>
  <c r="P1159"/>
  <c r="T1159"/>
  <c r="U1159"/>
  <c r="V1159"/>
  <c r="W1159"/>
  <c r="Y1159"/>
  <c r="AA1159"/>
  <c r="AB1159"/>
  <c r="AC1159"/>
  <c r="AD1159"/>
  <c r="P1160"/>
  <c r="T1160"/>
  <c r="U1160"/>
  <c r="V1160"/>
  <c r="W1160"/>
  <c r="Y1160"/>
  <c r="AA1160"/>
  <c r="AB1160"/>
  <c r="AC1160"/>
  <c r="AD1160"/>
  <c r="P1161"/>
  <c r="T1161"/>
  <c r="U1161"/>
  <c r="V1161"/>
  <c r="W1161"/>
  <c r="Y1161"/>
  <c r="AA1161"/>
  <c r="AB1161"/>
  <c r="AC1161"/>
  <c r="AD1161"/>
  <c r="P1162"/>
  <c r="T1162"/>
  <c r="U1162"/>
  <c r="V1162"/>
  <c r="W1162"/>
  <c r="Y1162"/>
  <c r="AA1162"/>
  <c r="AB1162"/>
  <c r="AC1162"/>
  <c r="AD1162"/>
  <c r="P1163"/>
  <c r="T1163"/>
  <c r="U1163"/>
  <c r="V1163"/>
  <c r="W1163"/>
  <c r="Y1163"/>
  <c r="AA1163"/>
  <c r="AB1163"/>
  <c r="AC1163"/>
  <c r="AD1163"/>
  <c r="P1164"/>
  <c r="T1164"/>
  <c r="U1164"/>
  <c r="V1164"/>
  <c r="W1164"/>
  <c r="Y1164"/>
  <c r="AA1164"/>
  <c r="AB1164"/>
  <c r="AC1164"/>
  <c r="AD1164"/>
  <c r="P1165"/>
  <c r="T1165"/>
  <c r="U1165"/>
  <c r="V1165"/>
  <c r="W1165"/>
  <c r="Y1165"/>
  <c r="AA1165"/>
  <c r="AB1165"/>
  <c r="AC1165"/>
  <c r="AD1165"/>
  <c r="P1166"/>
  <c r="T1166"/>
  <c r="U1166"/>
  <c r="V1166"/>
  <c r="W1166"/>
  <c r="Y1166"/>
  <c r="AA1166"/>
  <c r="AB1166"/>
  <c r="AC1166"/>
  <c r="AD1166"/>
  <c r="P1167"/>
  <c r="T1167"/>
  <c r="U1167"/>
  <c r="V1167"/>
  <c r="W1167"/>
  <c r="Y1167"/>
  <c r="AA1167"/>
  <c r="AB1167"/>
  <c r="AC1167"/>
  <c r="AD1167"/>
  <c r="P1168"/>
  <c r="T1168"/>
  <c r="U1168"/>
  <c r="V1168"/>
  <c r="W1168"/>
  <c r="Y1168"/>
  <c r="AA1168"/>
  <c r="AB1168"/>
  <c r="AC1168"/>
  <c r="AD1168"/>
  <c r="P1169"/>
  <c r="T1169"/>
  <c r="U1169"/>
  <c r="V1169"/>
  <c r="W1169"/>
  <c r="Y1169"/>
  <c r="AA1169"/>
  <c r="AB1169"/>
  <c r="AC1169"/>
  <c r="AD1169"/>
  <c r="P1170"/>
  <c r="T1170"/>
  <c r="U1170"/>
  <c r="V1170"/>
  <c r="W1170"/>
  <c r="Y1170"/>
  <c r="AA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T1176"/>
  <c r="U1176"/>
  <c r="V1176"/>
  <c r="W1176"/>
  <c r="Y1176"/>
  <c r="AA1176"/>
  <c r="AB1176"/>
  <c r="AC1176"/>
  <c r="AD1176"/>
  <c r="P1177"/>
  <c r="T1177"/>
  <c r="U1177"/>
  <c r="V1177"/>
  <c r="W1177"/>
  <c r="Y1177"/>
  <c r="AA1177"/>
  <c r="AB1177"/>
  <c r="AC1177"/>
  <c r="AD1177"/>
  <c r="P1178"/>
  <c r="T1178"/>
  <c r="U1178"/>
  <c r="V1178"/>
  <c r="W1178"/>
  <c r="Y1178"/>
  <c r="AA1178"/>
  <c r="AB1178"/>
  <c r="AC1178"/>
  <c r="AD1178"/>
  <c r="P1179"/>
  <c r="T1179"/>
  <c r="U1179"/>
  <c r="V1179"/>
  <c r="W1179"/>
  <c r="Y1179"/>
  <c r="AA1179"/>
  <c r="AB1179"/>
  <c r="AC1179"/>
  <c r="AD1179"/>
  <c r="P1180"/>
  <c r="T1180"/>
  <c r="U1180"/>
  <c r="V1180"/>
  <c r="W1180"/>
  <c r="Y1180"/>
  <c r="AA1180"/>
  <c r="AB1180"/>
  <c r="AC1180"/>
  <c r="AD1180"/>
  <c r="P1181"/>
  <c r="T1181"/>
  <c r="U1181"/>
  <c r="V1181"/>
  <c r="W1181"/>
  <c r="Y1181"/>
  <c r="AA1181"/>
  <c r="AB1181"/>
  <c r="AC1181"/>
  <c r="AD1181"/>
  <c r="P1182"/>
  <c r="T1182"/>
  <c r="U1182"/>
  <c r="V1182"/>
  <c r="W1182"/>
  <c r="Y1182"/>
  <c r="AA1182"/>
  <c r="AB1182"/>
  <c r="AC1182"/>
  <c r="AD1182"/>
  <c r="P1183"/>
  <c r="T1183"/>
  <c r="U1183"/>
  <c r="V1183"/>
  <c r="W1183"/>
  <c r="Y1183"/>
  <c r="AA1183"/>
  <c r="AB1183"/>
  <c r="AC1183"/>
  <c r="AD1183"/>
  <c r="P1184"/>
  <c r="T1184"/>
  <c r="U1184"/>
  <c r="V1184"/>
  <c r="W1184"/>
  <c r="Y1184"/>
  <c r="AA1184"/>
  <c r="AB1184"/>
  <c r="AC1184"/>
  <c r="AD1184"/>
  <c r="P1185"/>
  <c r="T1185"/>
  <c r="U1185"/>
  <c r="V1185"/>
  <c r="W1185"/>
  <c r="Y1185"/>
  <c r="AA1185"/>
  <c r="AB1185"/>
  <c r="AC1185"/>
  <c r="AD1185"/>
  <c r="P1186"/>
  <c r="T1186"/>
  <c r="U1186"/>
  <c r="V1186"/>
  <c r="W1186"/>
  <c r="Y1186"/>
  <c r="AA1186"/>
  <c r="AB1186"/>
  <c r="AC1186"/>
  <c r="AD1186"/>
  <c r="P1187"/>
  <c r="T1187"/>
  <c r="U1187"/>
  <c r="V1187"/>
  <c r="W1187"/>
  <c r="Y1187"/>
  <c r="AA1187"/>
  <c r="AB1187"/>
  <c r="AC1187"/>
  <c r="AD1187"/>
  <c r="P1188"/>
  <c r="T1188"/>
  <c r="U1188"/>
  <c r="V1188"/>
  <c r="W1188"/>
  <c r="Y1188"/>
  <c r="AA1188"/>
  <c r="AB1188"/>
  <c r="AC1188"/>
  <c r="AD1188"/>
  <c r="P1189"/>
  <c r="T1189"/>
  <c r="U1189"/>
  <c r="V1189"/>
  <c r="W1189"/>
  <c r="Y1189"/>
  <c r="AA1189"/>
  <c r="AB1189"/>
  <c r="AC1189"/>
  <c r="AD1189"/>
  <c r="P1190"/>
  <c r="T1190"/>
  <c r="U1190"/>
  <c r="V1190"/>
  <c r="W1190"/>
  <c r="Y1190"/>
  <c r="AA1190"/>
  <c r="AB1190"/>
  <c r="AC1190"/>
  <c r="AD1190"/>
  <c r="P1191"/>
  <c r="T1191"/>
  <c r="U1191"/>
  <c r="V1191"/>
  <c r="W1191"/>
  <c r="Y1191"/>
  <c r="AA1191"/>
  <c r="AB1191"/>
  <c r="AC1191"/>
  <c r="AD1191"/>
  <c r="P1192"/>
  <c r="T1192"/>
  <c r="U1192"/>
  <c r="V1192"/>
  <c r="W1192"/>
  <c r="Y1192"/>
  <c r="AA1192"/>
  <c r="AB1192"/>
  <c r="AC1192"/>
  <c r="AD1192"/>
  <c r="P1193"/>
  <c r="T1193"/>
  <c r="U1193"/>
  <c r="V1193"/>
  <c r="W1193"/>
  <c r="Y1193"/>
  <c r="AA1193"/>
  <c r="AB1193"/>
  <c r="AC1193"/>
  <c r="AD1193"/>
  <c r="P1194"/>
  <c r="T1194"/>
  <c r="U1194"/>
  <c r="V1194"/>
  <c r="W1194"/>
  <c r="Y1194"/>
  <c r="AA1194"/>
  <c r="AB1194"/>
  <c r="AC1194"/>
  <c r="AD1194"/>
  <c r="P1195"/>
  <c r="T1195"/>
  <c r="U1195"/>
  <c r="V1195"/>
  <c r="W1195"/>
  <c r="Y1195"/>
  <c r="AA1195"/>
  <c r="AB1195"/>
  <c r="AC1195"/>
  <c r="AD1195"/>
  <c r="P1196"/>
  <c r="T1196"/>
  <c r="U1196"/>
  <c r="V1196"/>
  <c r="W1196"/>
  <c r="Y1196"/>
  <c r="AA1196"/>
  <c r="AB1196"/>
  <c r="AC1196"/>
  <c r="AD1196"/>
  <c r="P1197"/>
  <c r="T1197"/>
  <c r="U1197"/>
  <c r="V1197"/>
  <c r="W1197"/>
  <c r="Y1197"/>
  <c r="AA1197"/>
  <c r="AB1197"/>
  <c r="AC1197"/>
  <c r="AD1197"/>
  <c r="P1198"/>
  <c r="T1198"/>
  <c r="U1198"/>
  <c r="V1198"/>
  <c r="W1198"/>
  <c r="Y1198"/>
  <c r="AA1198"/>
  <c r="AB1198"/>
  <c r="AC1198"/>
  <c r="AD1198"/>
  <c r="P1199"/>
  <c r="T1199"/>
  <c r="U1199"/>
  <c r="V1199"/>
  <c r="W1199"/>
  <c r="Y1199"/>
  <c r="AA1199"/>
  <c r="AB1199"/>
  <c r="AC1199"/>
  <c r="AD1199"/>
  <c r="P1200"/>
  <c r="T1200"/>
  <c r="U1200"/>
  <c r="V1200"/>
  <c r="W1200"/>
  <c r="Y1200"/>
  <c r="AA1200"/>
  <c r="AB1200"/>
  <c r="AC1200"/>
  <c r="AD1200"/>
  <c r="P1201"/>
  <c r="T1201"/>
  <c r="U1201"/>
  <c r="V1201"/>
  <c r="W1201"/>
  <c r="Y1201"/>
  <c r="AA1201"/>
  <c r="AB1201"/>
  <c r="AC1201"/>
  <c r="AD1201"/>
  <c r="P1202"/>
  <c r="T1202"/>
  <c r="U1202"/>
  <c r="V1202"/>
  <c r="W1202"/>
  <c r="Y1202"/>
  <c r="AA1202"/>
  <c r="AB1202"/>
  <c r="AC1202"/>
  <c r="AD1202"/>
  <c r="P1203"/>
  <c r="T1203"/>
  <c r="U1203"/>
  <c r="V1203"/>
  <c r="W1203"/>
  <c r="Y1203"/>
  <c r="AA1203"/>
  <c r="AB1203"/>
  <c r="AC1203"/>
  <c r="AD1203"/>
  <c r="P1204"/>
  <c r="T1204"/>
  <c r="U1204"/>
  <c r="V1204"/>
  <c r="W1204"/>
  <c r="Y1204"/>
  <c r="AA1204"/>
  <c r="AB1204"/>
  <c r="AC1204"/>
  <c r="AD1204"/>
  <c r="P1205"/>
  <c r="T1205"/>
  <c r="U1205"/>
  <c r="V1205"/>
  <c r="W1205"/>
  <c r="Y1205"/>
  <c r="AA1205"/>
  <c r="AB1205"/>
  <c r="AC1205"/>
  <c r="AD1205"/>
  <c r="P1206"/>
  <c r="T1206"/>
  <c r="U1206"/>
  <c r="V1206"/>
  <c r="W1206"/>
  <c r="Y1206"/>
  <c r="AA1206"/>
  <c r="AB1206"/>
  <c r="AC1206"/>
  <c r="AD1206"/>
  <c r="P1207"/>
  <c r="T1207"/>
  <c r="U1207"/>
  <c r="V1207"/>
  <c r="W1207"/>
  <c r="Y1207"/>
  <c r="AA1207"/>
  <c r="AB1207"/>
  <c r="AC1207"/>
  <c r="AD1207"/>
  <c r="P1208"/>
  <c r="T1208"/>
  <c r="U1208"/>
  <c r="V1208"/>
  <c r="W1208"/>
  <c r="Y1208"/>
  <c r="AA1208"/>
  <c r="AB1208"/>
  <c r="AC1208"/>
  <c r="AD1208"/>
  <c r="P1209"/>
  <c r="T1209"/>
  <c r="U1209"/>
  <c r="V1209"/>
  <c r="W1209"/>
  <c r="Y1209"/>
  <c r="AA1209"/>
  <c r="AB1209"/>
  <c r="AC1209"/>
  <c r="AD1209"/>
  <c r="P1210"/>
  <c r="T1210"/>
  <c r="U1210"/>
  <c r="V1210"/>
  <c r="W1210"/>
  <c r="Y1210"/>
  <c r="AA1210"/>
  <c r="AB1210"/>
  <c r="AC1210"/>
  <c r="AD1210"/>
  <c r="P1211"/>
  <c r="T1211"/>
  <c r="U1211"/>
  <c r="V1211"/>
  <c r="W1211"/>
  <c r="Y1211"/>
  <c r="AA1211"/>
  <c r="AB1211"/>
  <c r="AC1211"/>
  <c r="AD1211"/>
  <c r="P1212"/>
  <c r="T1212"/>
  <c r="U1212"/>
  <c r="V1212"/>
  <c r="W1212"/>
  <c r="Y1212"/>
  <c r="AA1212"/>
  <c r="AB1212"/>
  <c r="AC1212"/>
  <c r="AD1212"/>
  <c r="P1213"/>
  <c r="T1213"/>
  <c r="U1213"/>
  <c r="V1213"/>
  <c r="W1213"/>
  <c r="Y1213"/>
  <c r="AA1213"/>
  <c r="AB1213"/>
  <c r="AC1213"/>
  <c r="AD1213"/>
  <c r="P1214"/>
  <c r="T1214"/>
  <c r="U1214"/>
  <c r="V1214"/>
  <c r="W1214"/>
  <c r="Y1214"/>
  <c r="AA1214"/>
  <c r="AB1214"/>
  <c r="AC1214"/>
  <c r="AD1214"/>
  <c r="P1215"/>
  <c r="T1215"/>
  <c r="U1215"/>
  <c r="V1215"/>
  <c r="W1215"/>
  <c r="Y1215"/>
  <c r="AA1215"/>
  <c r="AB1215"/>
  <c r="AC1215"/>
  <c r="AD1215"/>
  <c r="P1216"/>
  <c r="T1216"/>
  <c r="U1216"/>
  <c r="V1216"/>
  <c r="W1216"/>
  <c r="Y1216"/>
  <c r="AA1216"/>
  <c r="AB1216"/>
  <c r="AC1216"/>
  <c r="AD1216"/>
  <c r="P1217"/>
  <c r="T1217"/>
  <c r="U1217"/>
  <c r="V1217"/>
  <c r="W1217"/>
  <c r="Y1217"/>
  <c r="AA1217"/>
  <c r="AB1217"/>
  <c r="AC1217"/>
  <c r="AD1217"/>
  <c r="P1218"/>
  <c r="T1218"/>
  <c r="U1218"/>
  <c r="V1218"/>
  <c r="W1218"/>
  <c r="Y1218"/>
  <c r="AA1218"/>
  <c r="AB1218"/>
  <c r="AC1218"/>
  <c r="AD1218"/>
  <c r="P1219"/>
  <c r="T1219"/>
  <c r="U1219"/>
  <c r="V1219"/>
  <c r="W1219"/>
  <c r="Y1219"/>
  <c r="AA1219"/>
  <c r="AB1219"/>
  <c r="AC1219"/>
  <c r="AD1219"/>
  <c r="P1220"/>
  <c r="T1220"/>
  <c r="U1220"/>
  <c r="V1220"/>
  <c r="W1220"/>
  <c r="Y1220"/>
  <c r="AA1220"/>
  <c r="AB1220"/>
  <c r="AC1220"/>
  <c r="AD1220"/>
  <c r="P1221"/>
  <c r="T1221"/>
  <c r="U1221"/>
  <c r="V1221"/>
  <c r="W1221"/>
  <c r="Y1221"/>
  <c r="AA1221"/>
  <c r="AB1221"/>
  <c r="AC1221"/>
  <c r="AD1221"/>
  <c r="P1222"/>
  <c r="T1222"/>
  <c r="U1222"/>
  <c r="V1222"/>
  <c r="W1222"/>
  <c r="Y1222"/>
  <c r="AA1222"/>
  <c r="AB1222"/>
  <c r="AC1222"/>
  <c r="AD1222"/>
  <c r="P1223"/>
  <c r="T1223"/>
  <c r="U1223"/>
  <c r="V1223"/>
  <c r="W1223"/>
  <c r="Y1223"/>
  <c r="AA1223"/>
  <c r="AB1223"/>
  <c r="AC1223"/>
  <c r="AD1223"/>
  <c r="P1224"/>
  <c r="T1224"/>
  <c r="U1224"/>
  <c r="V1224"/>
  <c r="W1224"/>
  <c r="Y1224"/>
  <c r="AA1224"/>
  <c r="AB1224"/>
  <c r="AC1224"/>
  <c r="AD1224"/>
  <c r="P1225"/>
  <c r="T1225"/>
  <c r="U1225"/>
  <c r="V1225"/>
  <c r="W1225"/>
  <c r="Y1225"/>
  <c r="AA1225"/>
  <c r="AB1225"/>
  <c r="AC1225"/>
  <c r="AD1225"/>
  <c r="P1226"/>
  <c r="T1226"/>
  <c r="U1226"/>
  <c r="V1226"/>
  <c r="W1226"/>
  <c r="Y1226"/>
  <c r="AA1226"/>
  <c r="AB1226"/>
  <c r="AC1226"/>
  <c r="AD1226"/>
  <c r="P1227"/>
  <c r="T1227"/>
  <c r="U1227"/>
  <c r="V1227"/>
  <c r="W1227"/>
  <c r="Y1227"/>
  <c r="AA1227"/>
  <c r="AB1227"/>
  <c r="AC1227"/>
  <c r="AD1227"/>
  <c r="P1228"/>
  <c r="T1228"/>
  <c r="U1228"/>
  <c r="V1228"/>
  <c r="W1228"/>
  <c r="Y1228"/>
  <c r="AA1228"/>
  <c r="AB1228"/>
  <c r="AC1228"/>
  <c r="AD1228"/>
  <c r="P1229"/>
  <c r="T1229"/>
  <c r="U1229"/>
  <c r="V1229"/>
  <c r="W1229"/>
  <c r="Y1229"/>
  <c r="AA1229"/>
  <c r="AB1229"/>
  <c r="AC1229"/>
  <c r="AD1229"/>
  <c r="P1230"/>
  <c r="T1230"/>
  <c r="U1230"/>
  <c r="V1230"/>
  <c r="W1230"/>
  <c r="Y1230"/>
  <c r="AA1230"/>
  <c r="AB1230"/>
  <c r="AC1230"/>
  <c r="AD1230"/>
  <c r="P1231"/>
  <c r="T1231"/>
  <c r="U1231"/>
  <c r="V1231"/>
  <c r="W1231"/>
  <c r="Y1231"/>
  <c r="AA1231"/>
  <c r="AB1231"/>
  <c r="AC1231"/>
  <c r="AD1231"/>
  <c r="P1232"/>
  <c r="T1232"/>
  <c r="U1232"/>
  <c r="V1232"/>
  <c r="W1232"/>
  <c r="Y1232"/>
  <c r="AA1232"/>
  <c r="AB1232"/>
  <c r="AC1232"/>
  <c r="AD1232"/>
  <c r="P1233"/>
  <c r="T1233"/>
  <c r="U1233"/>
  <c r="V1233"/>
  <c r="W1233"/>
  <c r="Y1233"/>
  <c r="AA1233"/>
  <c r="AB1233"/>
  <c r="AC1233"/>
  <c r="AD1233"/>
  <c r="P1234"/>
  <c r="T1234"/>
  <c r="U1234"/>
  <c r="V1234"/>
  <c r="W1234"/>
  <c r="Y1234"/>
  <c r="AA1234"/>
  <c r="AB1234"/>
  <c r="AC1234"/>
  <c r="AD1234"/>
  <c r="P1235"/>
  <c r="T1235"/>
  <c r="U1235"/>
  <c r="V1235"/>
  <c r="W1235"/>
  <c r="Y1235"/>
  <c r="AA1235"/>
  <c r="AB1235"/>
  <c r="AC1235"/>
  <c r="AD1235"/>
  <c r="P1236"/>
  <c r="T1236"/>
  <c r="U1236"/>
  <c r="V1236"/>
  <c r="W1236"/>
  <c r="Y1236"/>
  <c r="AA1236"/>
  <c r="AB1236"/>
  <c r="AC1236"/>
  <c r="AD1236"/>
  <c r="P1237"/>
  <c r="T1237"/>
  <c r="U1237"/>
  <c r="V1237"/>
  <c r="W1237"/>
  <c r="Y1237"/>
  <c r="AA1237"/>
  <c r="AB1237"/>
  <c r="AC1237"/>
  <c r="AD1237"/>
  <c r="P1238"/>
  <c r="T1238"/>
  <c r="U1238"/>
  <c r="V1238"/>
  <c r="W1238"/>
  <c r="Y1238"/>
  <c r="AA1238"/>
  <c r="AB1238"/>
  <c r="AC1238"/>
  <c r="AD1238"/>
  <c r="P1239"/>
  <c r="T1239"/>
  <c r="U1239"/>
  <c r="V1239"/>
  <c r="W1239"/>
  <c r="Y1239"/>
  <c r="AA1239"/>
  <c r="AB1239"/>
  <c r="AC1239"/>
  <c r="AD1239"/>
  <c r="P1240"/>
  <c r="T1240"/>
  <c r="U1240"/>
  <c r="V1240"/>
  <c r="W1240"/>
  <c r="Y1240"/>
  <c r="AA1240"/>
  <c r="AB1240"/>
  <c r="AC1240"/>
  <c r="AD1240"/>
  <c r="P1241"/>
  <c r="T1241"/>
  <c r="U1241"/>
  <c r="V1241"/>
  <c r="W1241"/>
  <c r="Y1241"/>
  <c r="AA1241"/>
  <c r="AB1241"/>
  <c r="AC1241"/>
  <c r="AD1241"/>
  <c r="P1242"/>
  <c r="T1242"/>
  <c r="U1242"/>
  <c r="V1242"/>
  <c r="W1242"/>
  <c r="Y1242"/>
  <c r="AA1242"/>
  <c r="AB1242"/>
  <c r="AC1242"/>
  <c r="AD1242"/>
  <c r="P1243"/>
  <c r="T1243"/>
  <c r="U1243"/>
  <c r="V1243"/>
  <c r="W1243"/>
  <c r="Y1243"/>
  <c r="AA1243"/>
  <c r="AB1243"/>
  <c r="AC1243"/>
  <c r="AD1243"/>
  <c r="P1244"/>
  <c r="T1244"/>
  <c r="U1244"/>
  <c r="V1244"/>
  <c r="W1244"/>
  <c r="Y1244"/>
  <c r="AA1244"/>
  <c r="AB1244"/>
  <c r="AC1244"/>
  <c r="AD1244"/>
  <c r="P1245"/>
  <c r="T1245"/>
  <c r="U1245"/>
  <c r="V1245"/>
  <c r="W1245"/>
  <c r="Y1245"/>
  <c r="AA1245"/>
  <c r="AB1245"/>
  <c r="AC1245"/>
  <c r="AD1245"/>
  <c r="P1246"/>
  <c r="T1246"/>
  <c r="U1246"/>
  <c r="V1246"/>
  <c r="W1246"/>
  <c r="Y1246"/>
  <c r="AA1246"/>
  <c r="AB1246"/>
  <c r="AC1246"/>
  <c r="AD1246"/>
  <c r="P1247"/>
  <c r="T1247"/>
  <c r="U1247"/>
  <c r="V1247"/>
  <c r="W1247"/>
  <c r="Y1247"/>
  <c r="AA1247"/>
  <c r="AB1247"/>
  <c r="AC1247"/>
  <c r="AD1247"/>
  <c r="P1248"/>
  <c r="T1248"/>
  <c r="U1248"/>
  <c r="V1248"/>
  <c r="W1248"/>
  <c r="Y1248"/>
  <c r="AA1248"/>
  <c r="AB1248"/>
  <c r="AC1248"/>
  <c r="AD1248"/>
  <c r="P1249"/>
  <c r="T1249"/>
  <c r="U1249"/>
  <c r="V1249"/>
  <c r="W1249"/>
  <c r="Y1249"/>
  <c r="AA1249"/>
  <c r="AB1249"/>
  <c r="AC1249"/>
  <c r="AD1249"/>
  <c r="P1250"/>
  <c r="T1250"/>
  <c r="U1250"/>
  <c r="V1250"/>
  <c r="W1250"/>
  <c r="Y1250"/>
  <c r="AA1250"/>
  <c r="AB1250"/>
  <c r="AC1250"/>
  <c r="AD1250"/>
  <c r="P1251"/>
  <c r="T1251"/>
  <c r="U1251"/>
  <c r="V1251"/>
  <c r="W1251"/>
  <c r="Y1251"/>
  <c r="AA1251"/>
  <c r="AB1251"/>
  <c r="AC1251"/>
  <c r="AD1251"/>
  <c r="P1252"/>
  <c r="T1252"/>
  <c r="U1252"/>
  <c r="V1252"/>
  <c r="W1252"/>
  <c r="Y1252"/>
  <c r="AA1252"/>
  <c r="AB1252"/>
  <c r="AC1252"/>
  <c r="AD1252"/>
  <c r="P1253"/>
  <c r="T1253"/>
  <c r="U1253"/>
  <c r="V1253"/>
  <c r="W1253"/>
  <c r="Y1253"/>
  <c r="AA1253"/>
  <c r="AB1253"/>
  <c r="AC1253"/>
  <c r="AD1253"/>
  <c r="P1254"/>
  <c r="T1254"/>
  <c r="U1254"/>
  <c r="V1254"/>
  <c r="W1254"/>
  <c r="Y1254"/>
  <c r="AA1254"/>
  <c r="AB1254"/>
  <c r="AC1254"/>
  <c r="AD1254"/>
  <c r="P1255"/>
  <c r="T1255"/>
  <c r="U1255"/>
  <c r="V1255"/>
  <c r="W1255"/>
  <c r="Y1255"/>
  <c r="AA1255"/>
  <c r="AB1255"/>
  <c r="AC1255"/>
  <c r="AD1255"/>
  <c r="P1256"/>
  <c r="T1256"/>
  <c r="U1256"/>
  <c r="V1256"/>
  <c r="W1256"/>
  <c r="Y1256"/>
  <c r="AA1256"/>
  <c r="AB1256"/>
  <c r="AC1256"/>
  <c r="AD1256"/>
  <c r="P1257"/>
  <c r="T1257"/>
  <c r="U1257"/>
  <c r="V1257"/>
  <c r="W1257"/>
  <c r="Y1257"/>
  <c r="AA1257"/>
  <c r="AB1257"/>
  <c r="AC1257"/>
  <c r="AD1257"/>
  <c r="P1258"/>
  <c r="T1258"/>
  <c r="U1258"/>
  <c r="V1258"/>
  <c r="W1258"/>
  <c r="Y1258"/>
  <c r="AA1258"/>
  <c r="AB1258"/>
  <c r="AC1258"/>
  <c r="AD1258"/>
  <c r="P1259"/>
  <c r="T1259"/>
  <c r="U1259"/>
  <c r="V1259"/>
  <c r="W1259"/>
  <c r="Y1259"/>
  <c r="AA1259"/>
  <c r="AB1259"/>
  <c r="AC1259"/>
  <c r="AD1259"/>
  <c r="P1260"/>
  <c r="T1260"/>
  <c r="U1260"/>
  <c r="V1260"/>
  <c r="W1260"/>
  <c r="Y1260"/>
  <c r="AA1260"/>
  <c r="AB1260"/>
  <c r="AC1260"/>
  <c r="AD1260"/>
  <c r="P1261"/>
  <c r="T1261"/>
  <c r="U1261"/>
  <c r="V1261"/>
  <c r="W1261"/>
  <c r="Y1261"/>
  <c r="AA1261"/>
  <c r="AB1261"/>
  <c r="AC1261"/>
  <c r="AD1261"/>
  <c r="P1262"/>
  <c r="T1262"/>
  <c r="U1262"/>
  <c r="V1262"/>
  <c r="W1262"/>
  <c r="Y1262"/>
  <c r="AA1262"/>
  <c r="AB1262"/>
  <c r="AC1262"/>
  <c r="AD1262"/>
  <c r="P1263"/>
  <c r="T1263"/>
  <c r="U1263"/>
  <c r="V1263"/>
  <c r="W1263"/>
  <c r="Y1263"/>
  <c r="AA1263"/>
  <c r="AB1263"/>
  <c r="AC1263"/>
  <c r="AD1263"/>
  <c r="P1264"/>
  <c r="T1264"/>
  <c r="U1264"/>
  <c r="V1264"/>
  <c r="W1264"/>
  <c r="Y1264"/>
  <c r="AA1264"/>
  <c r="AB1264"/>
  <c r="AC1264"/>
  <c r="AD1264"/>
  <c r="P1265"/>
  <c r="T1265"/>
  <c r="U1265"/>
  <c r="V1265"/>
  <c r="W1265"/>
  <c r="Y1265"/>
  <c r="AA1265"/>
  <c r="AB1265"/>
  <c r="AC1265"/>
  <c r="AD1265"/>
  <c r="P1266"/>
  <c r="T1266"/>
  <c r="U1266"/>
  <c r="V1266"/>
  <c r="W1266"/>
  <c r="Y1266"/>
  <c r="AA1266"/>
  <c r="AB1266"/>
  <c r="AC1266"/>
  <c r="AD1266"/>
  <c r="P1267"/>
  <c r="T1267"/>
  <c r="U1267"/>
  <c r="V1267"/>
  <c r="W1267"/>
  <c r="Y1267"/>
  <c r="AA1267"/>
  <c r="AB1267"/>
  <c r="AC1267"/>
  <c r="AD1267"/>
  <c r="P1268"/>
  <c r="T1268"/>
  <c r="U1268"/>
  <c r="V1268"/>
  <c r="W1268"/>
  <c r="Y1268"/>
  <c r="AA1268"/>
  <c r="AB1268"/>
  <c r="AC1268"/>
  <c r="AD1268"/>
  <c r="P1269"/>
  <c r="T1269"/>
  <c r="U1269"/>
  <c r="V1269"/>
  <c r="W1269"/>
  <c r="Y1269"/>
  <c r="AA1269"/>
  <c r="AB1269"/>
  <c r="AC1269"/>
  <c r="AD1269"/>
  <c r="P1270"/>
  <c r="T1270"/>
  <c r="U1270"/>
  <c r="V1270"/>
  <c r="W1270"/>
  <c r="Y1270"/>
  <c r="AA1270"/>
  <c r="AB1270"/>
  <c r="AC1270"/>
  <c r="AD1270"/>
  <c r="P1271"/>
  <c r="T1271"/>
  <c r="U1271"/>
  <c r="V1271"/>
  <c r="W1271"/>
  <c r="Y1271"/>
  <c r="AA1271"/>
  <c r="AB1271"/>
  <c r="AC1271"/>
  <c r="AD1271"/>
  <c r="P1272"/>
  <c r="T1272"/>
  <c r="U1272"/>
  <c r="V1272"/>
  <c r="W1272"/>
  <c r="Y1272"/>
  <c r="AA1272"/>
  <c r="AB1272"/>
  <c r="AC1272"/>
  <c r="AD1272"/>
  <c r="P1273"/>
  <c r="T1273"/>
  <c r="U1273"/>
  <c r="V1273"/>
  <c r="W1273"/>
  <c r="Y1273"/>
  <c r="AA1273"/>
  <c r="AB1273"/>
  <c r="AC1273"/>
  <c r="AD1273"/>
  <c r="P1274"/>
  <c r="T1274"/>
  <c r="U1274"/>
  <c r="V1274"/>
  <c r="W1274"/>
  <c r="Y1274"/>
  <c r="AA1274"/>
  <c r="AB1274"/>
  <c r="AC1274"/>
  <c r="AD1274"/>
  <c r="P1275"/>
  <c r="T1275"/>
  <c r="U1275"/>
  <c r="V1275"/>
  <c r="W1275"/>
  <c r="Y1275"/>
  <c r="AA1275"/>
  <c r="AB1275"/>
  <c r="AC1275"/>
  <c r="AD1275"/>
  <c r="P1276"/>
  <c r="T1276"/>
  <c r="U1276"/>
  <c r="V1276"/>
  <c r="W1276"/>
  <c r="Y1276"/>
  <c r="AA1276"/>
  <c r="AB1276"/>
  <c r="AC1276"/>
  <c r="AD1276"/>
  <c r="P1277"/>
  <c r="T1277"/>
  <c r="U1277"/>
  <c r="V1277"/>
  <c r="W1277"/>
  <c r="Y1277"/>
  <c r="AA1277"/>
  <c r="AB1277"/>
  <c r="AC1277"/>
  <c r="AD1277"/>
  <c r="P1278"/>
  <c r="T1278"/>
  <c r="U1278"/>
  <c r="V1278"/>
  <c r="W1278"/>
  <c r="Y1278"/>
  <c r="AA1278"/>
  <c r="AB1278"/>
  <c r="AC1278"/>
  <c r="AD1278"/>
  <c r="P1279"/>
  <c r="T1279"/>
  <c r="U1279"/>
  <c r="V1279"/>
  <c r="W1279"/>
  <c r="Y1279"/>
  <c r="AA1279"/>
  <c r="AB1279"/>
  <c r="AC1279"/>
  <c r="AD1279"/>
  <c r="P1280"/>
  <c r="T1280"/>
  <c r="U1280"/>
  <c r="V1280"/>
  <c r="W1280"/>
  <c r="Y1280"/>
  <c r="AA1280"/>
  <c r="AB1280"/>
  <c r="AC1280"/>
  <c r="AD1280"/>
  <c r="P1281"/>
  <c r="T1281"/>
  <c r="U1281"/>
  <c r="V1281"/>
  <c r="W1281"/>
  <c r="Y1281"/>
  <c r="AA1281"/>
  <c r="AB1281"/>
  <c r="AC1281"/>
  <c r="AD1281"/>
  <c r="P1282"/>
  <c r="T1282"/>
  <c r="U1282"/>
  <c r="V1282"/>
  <c r="W1282"/>
  <c r="Y1282"/>
  <c r="AA1282"/>
  <c r="AB1282"/>
  <c r="AC1282"/>
  <c r="AD1282"/>
  <c r="P1283"/>
  <c r="T1283"/>
  <c r="U1283"/>
  <c r="V1283"/>
  <c r="W1283"/>
  <c r="Y1283"/>
  <c r="AA1283"/>
  <c r="AB1283"/>
  <c r="AC1283"/>
  <c r="AD1283"/>
  <c r="P1284"/>
  <c r="T1284"/>
  <c r="U1284"/>
  <c r="V1284"/>
  <c r="W1284"/>
  <c r="Y1284"/>
  <c r="AA1284"/>
  <c r="AB1284"/>
  <c r="AC1284"/>
  <c r="AD1284"/>
  <c r="P1285"/>
  <c r="T1285"/>
  <c r="U1285"/>
  <c r="V1285"/>
  <c r="W1285"/>
  <c r="Y1285"/>
  <c r="AA1285"/>
  <c r="AB1285"/>
  <c r="AC1285"/>
  <c r="AD1285"/>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1"/>
  <c r="T1291"/>
  <c r="U1291"/>
  <c r="V1291"/>
  <c r="W1291"/>
  <c r="Y1291"/>
  <c r="AA1291"/>
  <c r="AB1291"/>
  <c r="AC1291"/>
  <c r="AD1291"/>
  <c r="P1292"/>
  <c r="T1292"/>
  <c r="U1292"/>
  <c r="V1292"/>
  <c r="W1292"/>
  <c r="Y1292"/>
  <c r="AA1292"/>
  <c r="AB1292"/>
  <c r="AC1292"/>
  <c r="AD1292"/>
  <c r="P1293"/>
  <c r="T1293"/>
  <c r="U1293"/>
  <c r="V1293"/>
  <c r="W1293"/>
  <c r="Y1293"/>
  <c r="AA1293"/>
  <c r="AB1293"/>
  <c r="AC1293"/>
  <c r="AD1293"/>
  <c r="P1294"/>
  <c r="T1294"/>
  <c r="U1294"/>
  <c r="V1294"/>
  <c r="W1294"/>
  <c r="Y1294"/>
  <c r="AA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30"/>
  <c r="T1330"/>
  <c r="U1330"/>
  <c r="V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T1341"/>
  <c r="U1341"/>
  <c r="V1341"/>
  <c r="W1341"/>
  <c r="Y1341"/>
  <c r="AA1341"/>
  <c r="AB1341"/>
  <c r="AC1341"/>
  <c r="AD1341"/>
  <c r="P1342"/>
  <c r="T1342"/>
  <c r="U1342"/>
  <c r="V1342"/>
  <c r="W1342"/>
  <c r="Y1342"/>
  <c r="AA1342"/>
  <c r="AB1342"/>
  <c r="AC1342"/>
  <c r="AD1342"/>
  <c r="P1343"/>
  <c r="T1343"/>
  <c r="U1343"/>
  <c r="V1343"/>
  <c r="W1343"/>
  <c r="Y1343"/>
  <c r="AA1343"/>
  <c r="AB1343"/>
  <c r="AC1343"/>
  <c r="AD1343"/>
  <c r="P1344"/>
  <c r="T1344"/>
  <c r="U1344"/>
  <c r="V1344"/>
  <c r="W1344"/>
  <c r="Y1344"/>
  <c r="AA1344"/>
  <c r="AB1344"/>
  <c r="AC1344"/>
  <c r="AD1344"/>
  <c r="P1345"/>
  <c r="T1345"/>
  <c r="U1345"/>
  <c r="V1345"/>
  <c r="W1345"/>
  <c r="Y1345"/>
  <c r="AA1345"/>
  <c r="AB1345"/>
  <c r="AC1345"/>
  <c r="AD1345"/>
  <c r="P1346"/>
  <c r="T1346"/>
  <c r="U1346"/>
  <c r="V1346"/>
  <c r="W1346"/>
  <c r="Y1346"/>
  <c r="AA1346"/>
  <c r="AB1346"/>
  <c r="AC1346"/>
  <c r="AD1346"/>
  <c r="P1347"/>
  <c r="T1347"/>
  <c r="U1347"/>
  <c r="V1347"/>
  <c r="W1347"/>
  <c r="Y1347"/>
  <c r="AA1347"/>
  <c r="AB1347"/>
  <c r="AC1347"/>
  <c r="AD1347"/>
  <c r="P1348"/>
  <c r="T1348"/>
  <c r="U1348"/>
  <c r="V1348"/>
  <c r="W1348"/>
  <c r="Y1348"/>
  <c r="AA1348"/>
  <c r="AB1348"/>
  <c r="AC1348"/>
  <c r="AD1348"/>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T1354"/>
  <c r="U1354"/>
  <c r="V1354"/>
  <c r="W1354"/>
  <c r="Y1354"/>
  <c r="AA1354"/>
  <c r="AB1354"/>
  <c r="AC1354"/>
  <c r="AD1354"/>
  <c r="P1355"/>
  <c r="T1355"/>
  <c r="U1355"/>
  <c r="V1355"/>
  <c r="W1355"/>
  <c r="Y1355"/>
  <c r="AA1355"/>
  <c r="AB1355"/>
  <c r="AC1355"/>
  <c r="AD1355"/>
  <c r="P1356"/>
  <c r="T1356"/>
  <c r="U1356"/>
  <c r="V1356"/>
  <c r="W1356"/>
  <c r="Y1356"/>
  <c r="AA1356"/>
  <c r="AB1356"/>
  <c r="AC1356"/>
  <c r="AD1356"/>
  <c r="P1357"/>
  <c r="T1357"/>
  <c r="U1357"/>
  <c r="V1357"/>
  <c r="W1357"/>
  <c r="Y1357"/>
  <c r="AA1357"/>
  <c r="AB1357"/>
  <c r="AC1357"/>
  <c r="AD1357"/>
  <c r="P1358"/>
  <c r="T1358"/>
  <c r="U1358"/>
  <c r="V1358"/>
  <c r="W1358"/>
  <c r="Y1358"/>
  <c r="AA1358"/>
  <c r="AB1358"/>
  <c r="AC1358"/>
  <c r="AD1358"/>
  <c r="P1359"/>
  <c r="T1359"/>
  <c r="U1359"/>
  <c r="V1359"/>
  <c r="W1359"/>
  <c r="Y1359"/>
  <c r="AA1359"/>
  <c r="AB1359"/>
  <c r="AC1359"/>
  <c r="AD1359"/>
  <c r="P1360"/>
  <c r="T1360"/>
  <c r="U1360"/>
  <c r="V1360"/>
  <c r="W1360"/>
  <c r="Y1360"/>
  <c r="AA1360"/>
  <c r="AB1360"/>
  <c r="AC1360"/>
  <c r="AD1360"/>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AD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A1423"/>
  <c r="AB1423"/>
  <c r="AC1423"/>
  <c r="AD1423"/>
  <c r="P1424"/>
  <c r="T1424"/>
  <c r="U1424"/>
  <c r="V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AD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T1442"/>
  <c r="U1442"/>
  <c r="V1442"/>
  <c r="W1442"/>
  <c r="Y1442"/>
  <c r="AA1442"/>
  <c r="AB1442"/>
  <c r="AC1442"/>
  <c r="AD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T1458"/>
  <c r="U1458"/>
  <c r="V1458"/>
  <c r="W1458"/>
  <c r="Y1458"/>
  <c r="AA1458"/>
  <c r="AB1458"/>
  <c r="AC1458"/>
  <c r="AD1458"/>
  <c r="P1459"/>
  <c r="T1459"/>
  <c r="U1459"/>
  <c r="V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64"/>
  <c r="T1464"/>
  <c r="U1464"/>
  <c r="V1464"/>
  <c r="W1464"/>
  <c r="Y1464"/>
  <c r="AA1464"/>
  <c r="AB1464"/>
  <c r="AC1464"/>
  <c r="AD1464"/>
  <c r="P1465"/>
  <c r="T1465"/>
  <c r="U1465"/>
  <c r="V1465"/>
  <c r="W1465"/>
  <c r="Y1465"/>
  <c r="AA1465"/>
  <c r="AB1465"/>
  <c r="AC1465"/>
  <c r="AD1465"/>
  <c r="P1466"/>
  <c r="T1466"/>
  <c r="U1466"/>
  <c r="V1466"/>
  <c r="W1466"/>
  <c r="Y1466"/>
  <c r="AA1466"/>
  <c r="AB1466"/>
  <c r="AC1466"/>
  <c r="AD1466"/>
  <c r="P1467"/>
  <c r="T1467"/>
  <c r="U1467"/>
  <c r="V1467"/>
  <c r="W1467"/>
  <c r="Y1467"/>
  <c r="AA1467"/>
  <c r="AB1467"/>
  <c r="AC1467"/>
  <c r="AD1467"/>
  <c r="P1468"/>
  <c r="T1468"/>
  <c r="U1468"/>
  <c r="V1468"/>
  <c r="W1468"/>
  <c r="Y1468"/>
  <c r="AA1468"/>
  <c r="AB1468"/>
  <c r="AC1468"/>
  <c r="AD1468"/>
  <c r="P1469"/>
  <c r="T1469"/>
  <c r="U1469"/>
  <c r="V1469"/>
  <c r="W1469"/>
  <c r="Y1469"/>
  <c r="AA1469"/>
  <c r="AB1469"/>
  <c r="AC1469"/>
  <c r="AD1469"/>
  <c r="P1470"/>
  <c r="T1470"/>
  <c r="U1470"/>
  <c r="V1470"/>
  <c r="W1470"/>
  <c r="Y1470"/>
  <c r="AA1470"/>
  <c r="AB1470"/>
  <c r="AC1470"/>
  <c r="AD1470"/>
  <c r="P1471"/>
  <c r="T1471"/>
  <c r="U1471"/>
  <c r="V1471"/>
  <c r="W1471"/>
  <c r="Y1471"/>
  <c r="AA1471"/>
  <c r="AB1471"/>
  <c r="AC1471"/>
  <c r="AD1471"/>
  <c r="P1472"/>
  <c r="T1472"/>
  <c r="U1472"/>
  <c r="V1472"/>
  <c r="W1472"/>
  <c r="Y1472"/>
  <c r="AA1472"/>
  <c r="AB1472"/>
  <c r="AC1472"/>
  <c r="AD1472"/>
  <c r="P1473"/>
  <c r="T1473"/>
  <c r="U1473"/>
  <c r="V1473"/>
  <c r="W1473"/>
  <c r="Y1473"/>
  <c r="AA1473"/>
  <c r="AB1473"/>
  <c r="AC1473"/>
  <c r="AD1473"/>
  <c r="P1474"/>
  <c r="T1474"/>
  <c r="U1474"/>
  <c r="V1474"/>
  <c r="W1474"/>
  <c r="Y1474"/>
  <c r="AA1474"/>
  <c r="AB1474"/>
  <c r="AC1474"/>
  <c r="AD1474"/>
  <c r="P1475"/>
  <c r="T1475"/>
  <c r="U1475"/>
  <c r="V1475"/>
  <c r="W1475"/>
  <c r="Y1475"/>
  <c r="AA1475"/>
  <c r="AB1475"/>
  <c r="AC1475"/>
  <c r="AD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5"/>
  <c r="T1485"/>
  <c r="U1485"/>
  <c r="V1485"/>
  <c r="W1485"/>
  <c r="Y1485"/>
  <c r="AA1485"/>
  <c r="AB1485"/>
  <c r="AC1485"/>
  <c r="AD1485"/>
  <c r="P1486"/>
  <c r="T1486"/>
  <c r="U1486"/>
  <c r="V1486"/>
  <c r="W1486"/>
  <c r="Y1486"/>
  <c r="AA1486"/>
  <c r="AB1486"/>
  <c r="AC1486"/>
  <c r="AD1486"/>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A1514"/>
  <c r="AB1514"/>
  <c r="AC1514"/>
  <c r="AD1514"/>
  <c r="P1515"/>
  <c r="T1515"/>
  <c r="U1515"/>
  <c r="V1515"/>
  <c r="W1515"/>
  <c r="Y1515"/>
  <c r="AA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A1539"/>
  <c r="AB1539"/>
  <c r="AC1539"/>
  <c r="AD1539"/>
  <c r="P1540"/>
  <c r="T1540"/>
  <c r="U1540"/>
  <c r="V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AD1548"/>
  <c r="P1549"/>
  <c r="T1549"/>
  <c r="U1549"/>
  <c r="V1549"/>
  <c r="W1549"/>
  <c r="Y1549"/>
  <c r="AA1549"/>
  <c r="AB1549"/>
  <c r="AC1549"/>
  <c r="AD1549"/>
  <c r="P1550"/>
  <c r="T1550"/>
  <c r="U1550"/>
  <c r="V1550"/>
  <c r="W1550"/>
  <c r="Y1550"/>
  <c r="AA1550"/>
  <c r="AB1550"/>
  <c r="AC1550"/>
  <c r="AD1550"/>
  <c r="P1551"/>
  <c r="T1551"/>
  <c r="U1551"/>
  <c r="V1551"/>
  <c r="W1551"/>
  <c r="Y1551"/>
  <c r="AA1551"/>
  <c r="AB1551"/>
  <c r="AC1551"/>
  <c r="AD1551"/>
  <c r="P1552"/>
  <c r="T1552"/>
  <c r="U1552"/>
  <c r="V1552"/>
  <c r="W1552"/>
  <c r="Y1552"/>
  <c r="AA1552"/>
  <c r="AB1552"/>
  <c r="AC1552"/>
  <c r="AD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T1566"/>
  <c r="U1566"/>
  <c r="V1566"/>
  <c r="W1566"/>
  <c r="Y1566"/>
  <c r="AA1566"/>
  <c r="AB1566"/>
  <c r="AC1566"/>
  <c r="AD1566"/>
  <c r="P1567"/>
  <c r="T1567"/>
  <c r="U1567"/>
  <c r="V1567"/>
  <c r="W1567"/>
  <c r="Y1567"/>
  <c r="AA1567"/>
  <c r="AB1567"/>
  <c r="AC1567"/>
  <c r="AD1567"/>
  <c r="P1568"/>
  <c r="T1568"/>
  <c r="U1568"/>
  <c r="V1568"/>
  <c r="W1568"/>
  <c r="Y1568"/>
  <c r="AA1568"/>
  <c r="AB1568"/>
  <c r="AC1568"/>
  <c r="AD1568"/>
  <c r="P1569"/>
  <c r="T1569"/>
  <c r="U1569"/>
  <c r="V1569"/>
  <c r="W1569"/>
  <c r="Y1569"/>
  <c r="AA1569"/>
  <c r="AB1569"/>
  <c r="AC1569"/>
  <c r="AD1569"/>
  <c r="P1570"/>
  <c r="T1570"/>
  <c r="U1570"/>
  <c r="V1570"/>
  <c r="W1570"/>
  <c r="Y1570"/>
  <c r="AA1570"/>
  <c r="AB1570"/>
  <c r="AC1570"/>
  <c r="AD1570"/>
  <c r="P1571"/>
  <c r="T1571"/>
  <c r="U1571"/>
  <c r="V1571"/>
  <c r="W1571"/>
  <c r="Y1571"/>
  <c r="AA1571"/>
  <c r="AB1571"/>
  <c r="AC1571"/>
  <c r="AD1571"/>
  <c r="P1572"/>
  <c r="T1572"/>
  <c r="U1572"/>
  <c r="V1572"/>
  <c r="W1572"/>
  <c r="Y1572"/>
  <c r="AA1572"/>
  <c r="AB1572"/>
  <c r="AC1572"/>
  <c r="AD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T1579"/>
  <c r="U1579"/>
  <c r="V1579"/>
  <c r="W1579"/>
  <c r="Y1579"/>
  <c r="AA1579"/>
  <c r="AB1579"/>
  <c r="AC1579"/>
  <c r="AD1579"/>
  <c r="P1580"/>
  <c r="T1580"/>
  <c r="U1580"/>
  <c r="V1580"/>
  <c r="W1580"/>
  <c r="Y1580"/>
  <c r="AA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A1583"/>
  <c r="AB1583"/>
  <c r="AC1583"/>
  <c r="AD1583"/>
  <c r="P1584"/>
  <c r="T1584"/>
  <c r="U1584"/>
  <c r="V1584"/>
  <c r="W1584"/>
  <c r="Y1584"/>
  <c r="AA1584"/>
  <c r="AB1584"/>
  <c r="AC1584"/>
  <c r="AD1584"/>
  <c r="P1585"/>
  <c r="T1585"/>
  <c r="U1585"/>
  <c r="V1585"/>
  <c r="W1585"/>
  <c r="Y1585"/>
  <c r="AA1585"/>
  <c r="AB1585"/>
  <c r="AC1585"/>
  <c r="AD1585"/>
  <c r="P1586"/>
  <c r="T1586"/>
  <c r="U1586"/>
  <c r="V1586"/>
  <c r="W1586"/>
  <c r="Y1586"/>
  <c r="AA1586"/>
  <c r="AB1586"/>
  <c r="AC1586"/>
  <c r="AD1586"/>
  <c r="P1587"/>
  <c r="T1587"/>
  <c r="U1587"/>
  <c r="V1587"/>
  <c r="W1587"/>
  <c r="Y1587"/>
  <c r="AA1587"/>
  <c r="AB1587"/>
  <c r="AC1587"/>
  <c r="AD1587"/>
  <c r="P1588"/>
  <c r="T1588"/>
  <c r="U1588"/>
  <c r="V1588"/>
  <c r="W1588"/>
  <c r="Y1588"/>
  <c r="AA1588"/>
  <c r="AB1588"/>
  <c r="AC1588"/>
  <c r="AD1588"/>
  <c r="P1589"/>
  <c r="T1589"/>
  <c r="U1589"/>
  <c r="V1589"/>
  <c r="W1589"/>
  <c r="Y1589"/>
  <c r="AA1589"/>
  <c r="AB1589"/>
  <c r="AC1589"/>
  <c r="AD1589"/>
  <c r="P1590"/>
  <c r="T1590"/>
  <c r="U1590"/>
  <c r="V1590"/>
  <c r="W1590"/>
  <c r="Y1590"/>
  <c r="AA1590"/>
  <c r="AB1590"/>
  <c r="AC1590"/>
  <c r="AD1590"/>
  <c r="P1591"/>
  <c r="T1591"/>
  <c r="U1591"/>
  <c r="V1591"/>
  <c r="W1591"/>
  <c r="Y1591"/>
  <c r="AA1591"/>
  <c r="AB1591"/>
  <c r="AC1591"/>
  <c r="AD1591"/>
  <c r="P1592"/>
  <c r="T1592"/>
  <c r="U1592"/>
  <c r="V1592"/>
  <c r="W1592"/>
  <c r="Y1592"/>
  <c r="AA1592"/>
  <c r="AB1592"/>
  <c r="AC1592"/>
  <c r="AD1592"/>
  <c r="P1593"/>
  <c r="T1593"/>
  <c r="U1593"/>
  <c r="V1593"/>
  <c r="W1593"/>
  <c r="Y1593"/>
  <c r="AA1593"/>
  <c r="AB1593"/>
  <c r="AC1593"/>
  <c r="AD1593"/>
  <c r="P1594"/>
  <c r="T1594"/>
  <c r="U1594"/>
  <c r="V1594"/>
  <c r="W1594"/>
  <c r="Y1594"/>
  <c r="AA1594"/>
  <c r="AB1594"/>
  <c r="AC1594"/>
  <c r="AD1594"/>
  <c r="P1595"/>
  <c r="T1595"/>
  <c r="U1595"/>
  <c r="V1595"/>
  <c r="W1595"/>
  <c r="Y1595"/>
  <c r="AA1595"/>
  <c r="AB1595"/>
  <c r="AC1595"/>
  <c r="AD1595"/>
  <c r="P1596"/>
  <c r="T1596"/>
  <c r="U1596"/>
  <c r="V1596"/>
  <c r="W1596"/>
  <c r="Y1596"/>
  <c r="AA1596"/>
  <c r="AB1596"/>
  <c r="AC1596"/>
  <c r="AD1596"/>
  <c r="P1597"/>
  <c r="T1597"/>
  <c r="U1597"/>
  <c r="V1597"/>
  <c r="W1597"/>
  <c r="Y1597"/>
  <c r="AA1597"/>
  <c r="AB1597"/>
  <c r="AC1597"/>
  <c r="AD1597"/>
  <c r="P1598"/>
  <c r="T1598"/>
  <c r="U1598"/>
  <c r="V1598"/>
  <c r="W1598"/>
  <c r="Y1598"/>
  <c r="AA1598"/>
  <c r="AB1598"/>
  <c r="AC1598"/>
  <c r="AD1598"/>
  <c r="P1599"/>
  <c r="T1599"/>
  <c r="U1599"/>
  <c r="V1599"/>
  <c r="W1599"/>
  <c r="Y1599"/>
  <c r="AA1599"/>
  <c r="AB1599"/>
  <c r="AC1599"/>
  <c r="AD1599"/>
  <c r="P1600"/>
  <c r="T1600"/>
  <c r="U1600"/>
  <c r="V1600"/>
  <c r="W1600"/>
  <c r="Y1600"/>
  <c r="AA1600"/>
  <c r="AB1600"/>
  <c r="AC1600"/>
  <c r="AD1600"/>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A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A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A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A1698"/>
  <c r="AB1698"/>
  <c r="AC1698"/>
  <c r="AD1698"/>
  <c r="P1699"/>
  <c r="T1699"/>
  <c r="U1699"/>
  <c r="V1699"/>
  <c r="W1699"/>
  <c r="Y1699"/>
  <c r="AA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P1704"/>
  <c r="T1704"/>
  <c r="U1704"/>
  <c r="V1704"/>
  <c r="W1704"/>
  <c r="Y1704"/>
  <c r="AA1704"/>
  <c r="AB1704"/>
  <c r="AC1704"/>
  <c r="AD1704"/>
  <c r="P1705"/>
  <c r="T1705"/>
  <c r="U1705"/>
  <c r="V1705"/>
  <c r="W1705"/>
  <c r="Y1705"/>
  <c r="AA1705"/>
  <c r="AB1705"/>
  <c r="AC1705"/>
  <c r="AD1705"/>
  <c r="P1706"/>
  <c r="T1706"/>
  <c r="U1706"/>
  <c r="V1706"/>
  <c r="W1706"/>
  <c r="Y1706"/>
  <c r="AA1706"/>
  <c r="AB1706"/>
  <c r="AC1706"/>
  <c r="AD1706"/>
  <c r="P1707"/>
  <c r="T1707"/>
  <c r="U1707"/>
  <c r="V1707"/>
  <c r="W1707"/>
  <c r="Y1707"/>
  <c r="AA1707"/>
  <c r="AB1707"/>
  <c r="AC1707"/>
  <c r="AD1707"/>
  <c r="P1708"/>
  <c r="T1708"/>
  <c r="U1708"/>
  <c r="V1708"/>
  <c r="W1708"/>
  <c r="Y1708"/>
  <c r="AA1708"/>
  <c r="AB1708"/>
  <c r="AC1708"/>
  <c r="AD1708"/>
  <c r="P1709"/>
  <c r="T1709"/>
  <c r="U1709"/>
  <c r="V1709"/>
  <c r="W1709"/>
  <c r="Y1709"/>
  <c r="AA1709"/>
  <c r="AB1709"/>
  <c r="AC1709"/>
  <c r="AD1709"/>
  <c r="P1710"/>
  <c r="T1710"/>
  <c r="U1710"/>
  <c r="V1710"/>
  <c r="W1710"/>
  <c r="Y1710"/>
  <c r="AA1710"/>
  <c r="AB1710"/>
  <c r="AC1710"/>
  <c r="AD1710"/>
  <c r="P1711"/>
  <c r="T1711"/>
  <c r="U1711"/>
  <c r="V1711"/>
  <c r="W1711"/>
  <c r="Y1711"/>
  <c r="AA1711"/>
  <c r="AB1711"/>
  <c r="AC1711"/>
  <c r="AD1711"/>
  <c r="P1712"/>
  <c r="T1712"/>
  <c r="U1712"/>
  <c r="V1712"/>
  <c r="W1712"/>
  <c r="Y1712"/>
  <c r="AA1712"/>
  <c r="AB1712"/>
  <c r="AC1712"/>
  <c r="AD1712"/>
  <c r="P1713"/>
  <c r="T1713"/>
  <c r="U1713"/>
  <c r="V1713"/>
  <c r="W1713"/>
  <c r="Y1713"/>
  <c r="AA1713"/>
  <c r="AB1713"/>
  <c r="AC1713"/>
  <c r="AD1713"/>
  <c r="P1714"/>
  <c r="T1714"/>
  <c r="U1714"/>
  <c r="V1714"/>
  <c r="W1714"/>
  <c r="Y1714"/>
  <c r="AA1714"/>
  <c r="AB1714"/>
  <c r="AC1714"/>
  <c r="AD1714"/>
  <c r="P1715"/>
  <c r="T1715"/>
  <c r="U1715"/>
  <c r="V1715"/>
  <c r="W1715"/>
  <c r="Y1715"/>
  <c r="AA1715"/>
  <c r="AB1715"/>
  <c r="AC1715"/>
  <c r="AD1715"/>
  <c r="P1716"/>
  <c r="T1716"/>
  <c r="U1716"/>
  <c r="V1716"/>
  <c r="W1716"/>
  <c r="Y1716"/>
  <c r="AA1716"/>
  <c r="AB1716"/>
  <c r="AC1716"/>
  <c r="AD1716"/>
  <c r="P1717"/>
  <c r="T1717"/>
  <c r="U1717"/>
  <c r="V1717"/>
  <c r="W1717"/>
  <c r="Y1717"/>
  <c r="AA1717"/>
  <c r="AB1717"/>
  <c r="AC1717"/>
  <c r="AD1717"/>
  <c r="P1718"/>
  <c r="T1718"/>
  <c r="U1718"/>
  <c r="V1718"/>
  <c r="W1718"/>
  <c r="Y1718"/>
  <c r="AA1718"/>
  <c r="AB1718"/>
  <c r="AC1718"/>
  <c r="AD1718"/>
  <c r="P1719"/>
  <c r="T1719"/>
  <c r="U1719"/>
  <c r="V1719"/>
  <c r="W1719"/>
  <c r="Y1719"/>
  <c r="AA1719"/>
  <c r="AB1719"/>
  <c r="AC1719"/>
  <c r="AD1719"/>
  <c r="P1720"/>
  <c r="T1720"/>
  <c r="U1720"/>
  <c r="V1720"/>
  <c r="W1720"/>
  <c r="Y1720"/>
  <c r="AA1720"/>
  <c r="AB1720"/>
  <c r="AC1720"/>
  <c r="AD1720"/>
  <c r="P1721"/>
  <c r="T1721"/>
  <c r="U1721"/>
  <c r="V1721"/>
  <c r="W1721"/>
  <c r="Y1721"/>
  <c r="AA1721"/>
  <c r="AB1721"/>
  <c r="AC1721"/>
  <c r="AD1721"/>
  <c r="P1722"/>
  <c r="T1722"/>
  <c r="U1722"/>
  <c r="V1722"/>
  <c r="W1722"/>
  <c r="Y1722"/>
  <c r="AA1722"/>
  <c r="AB1722"/>
  <c r="AC1722"/>
  <c r="AD1722"/>
  <c r="P1723"/>
  <c r="T1723"/>
  <c r="U1723"/>
  <c r="V1723"/>
  <c r="W1723"/>
  <c r="Y1723"/>
  <c r="AA1723"/>
  <c r="AB1723"/>
  <c r="AC1723"/>
  <c r="AD1723"/>
  <c r="P1724"/>
  <c r="T1724"/>
  <c r="U1724"/>
  <c r="V1724"/>
  <c r="W1724"/>
  <c r="Y1724"/>
  <c r="AA1724"/>
  <c r="AB1724"/>
  <c r="AC1724"/>
  <c r="AD1724"/>
  <c r="P1725"/>
  <c r="T1725"/>
  <c r="U1725"/>
  <c r="V1725"/>
  <c r="W1725"/>
  <c r="Y1725"/>
  <c r="AA1725"/>
  <c r="AB1725"/>
  <c r="AC1725"/>
  <c r="AD1725"/>
  <c r="P1726"/>
  <c r="T1726"/>
  <c r="U1726"/>
  <c r="V1726"/>
  <c r="W1726"/>
  <c r="Y1726"/>
  <c r="AA1726"/>
  <c r="AB1726"/>
  <c r="AC1726"/>
  <c r="AD1726"/>
  <c r="P1727"/>
  <c r="T1727"/>
  <c r="U1727"/>
  <c r="V1727"/>
  <c r="W1727"/>
  <c r="Y1727"/>
  <c r="AA1727"/>
  <c r="AB1727"/>
  <c r="AC1727"/>
  <c r="AD1727"/>
  <c r="P1728"/>
  <c r="T1728"/>
  <c r="U1728"/>
  <c r="V1728"/>
  <c r="W1728"/>
  <c r="Y1728"/>
  <c r="AA1728"/>
  <c r="AB1728"/>
  <c r="AC1728"/>
  <c r="AD1728"/>
  <c r="P1729"/>
  <c r="T1729"/>
  <c r="U1729"/>
  <c r="V1729"/>
  <c r="W1729"/>
  <c r="Y1729"/>
  <c r="AA1729"/>
  <c r="AB1729"/>
  <c r="AC1729"/>
  <c r="AD1729"/>
  <c r="P1730"/>
  <c r="T1730"/>
  <c r="U1730"/>
  <c r="V1730"/>
  <c r="W1730"/>
  <c r="Y1730"/>
  <c r="AA1730"/>
  <c r="AB1730"/>
  <c r="AC1730"/>
  <c r="AD1730"/>
  <c r="P1731"/>
  <c r="T1731"/>
  <c r="U1731"/>
  <c r="V1731"/>
  <c r="W1731"/>
  <c r="Y1731"/>
  <c r="AA1731"/>
  <c r="AB1731"/>
  <c r="AC1731"/>
  <c r="AD1731"/>
  <c r="P1732"/>
  <c r="T1732"/>
  <c r="U1732"/>
  <c r="V1732"/>
  <c r="W1732"/>
  <c r="Y1732"/>
  <c r="AA1732"/>
  <c r="AB1732"/>
  <c r="AC1732"/>
  <c r="AD1732"/>
  <c r="P1733"/>
  <c r="T1733"/>
  <c r="U1733"/>
  <c r="V1733"/>
  <c r="W1733"/>
  <c r="Y1733"/>
  <c r="AA1733"/>
  <c r="AB1733"/>
  <c r="AC1733"/>
  <c r="AD1733"/>
  <c r="P1734"/>
  <c r="T1734"/>
  <c r="U1734"/>
  <c r="V1734"/>
  <c r="W1734"/>
  <c r="Y1734"/>
  <c r="AA1734"/>
  <c r="AB1734"/>
  <c r="AC1734"/>
  <c r="AD1734"/>
  <c r="P1735"/>
  <c r="T1735"/>
  <c r="U1735"/>
  <c r="V1735"/>
  <c r="W1735"/>
  <c r="Y1735"/>
  <c r="AA1735"/>
  <c r="AB1735"/>
  <c r="AC1735"/>
  <c r="AD1735"/>
  <c r="P1736"/>
  <c r="T1736"/>
  <c r="U1736"/>
  <c r="V1736"/>
  <c r="W1736"/>
  <c r="Y1736"/>
  <c r="AA1736"/>
  <c r="AB1736"/>
  <c r="AC1736"/>
  <c r="AD1736"/>
  <c r="P1737"/>
  <c r="T1737"/>
  <c r="U1737"/>
  <c r="V1737"/>
  <c r="W1737"/>
  <c r="Y1737"/>
  <c r="AA1737"/>
  <c r="AB1737"/>
  <c r="AC1737"/>
  <c r="AD1737"/>
  <c r="P1738"/>
  <c r="T1738"/>
  <c r="U1738"/>
  <c r="V1738"/>
  <c r="W1738"/>
  <c r="Y1738"/>
  <c r="AA1738"/>
  <c r="AB1738"/>
  <c r="AC1738"/>
  <c r="AD1738"/>
  <c r="P1739"/>
  <c r="T1739"/>
  <c r="U1739"/>
  <c r="V1739"/>
  <c r="W1739"/>
  <c r="Y1739"/>
  <c r="AA1739"/>
  <c r="AB1739"/>
  <c r="AC1739"/>
  <c r="AD1739"/>
  <c r="P1740"/>
  <c r="T1740"/>
  <c r="U1740"/>
  <c r="V1740"/>
  <c r="W1740"/>
  <c r="Y1740"/>
  <c r="AA1740"/>
  <c r="AB1740"/>
  <c r="AC1740"/>
  <c r="AD1740"/>
  <c r="P1741"/>
  <c r="T1741"/>
  <c r="U1741"/>
  <c r="V1741"/>
  <c r="W1741"/>
  <c r="Y1741"/>
  <c r="AA1741"/>
  <c r="AB1741"/>
  <c r="AC1741"/>
  <c r="AD1741"/>
  <c r="P1742"/>
  <c r="T1742"/>
  <c r="U1742"/>
  <c r="V1742"/>
  <c r="W1742"/>
  <c r="Y1742"/>
  <c r="AA1742"/>
  <c r="AB1742"/>
  <c r="AC1742"/>
  <c r="AD1742"/>
  <c r="P1743"/>
  <c r="T1743"/>
  <c r="U1743"/>
  <c r="V1743"/>
  <c r="W1743"/>
  <c r="Y1743"/>
  <c r="AA1743"/>
  <c r="AB1743"/>
  <c r="AC1743"/>
  <c r="AD1743"/>
  <c r="P1744"/>
  <c r="T1744"/>
  <c r="U1744"/>
  <c r="V1744"/>
  <c r="W1744"/>
  <c r="Y1744"/>
  <c r="AA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A1750"/>
  <c r="AB1750"/>
  <c r="AC1750"/>
  <c r="AD1750"/>
  <c r="P1751"/>
  <c r="T1751"/>
  <c r="U1751"/>
  <c r="V1751"/>
  <c r="W1751"/>
  <c r="Y1751"/>
  <c r="AA1751"/>
  <c r="AB1751"/>
  <c r="AC1751"/>
  <c r="AD1751"/>
  <c r="P1752"/>
  <c r="T1752"/>
  <c r="U1752"/>
  <c r="V1752"/>
  <c r="W1752"/>
  <c r="Y1752"/>
  <c r="AA1752"/>
  <c r="AB1752"/>
  <c r="AC1752"/>
  <c r="AD1752"/>
  <c r="P1753"/>
  <c r="T1753"/>
  <c r="U1753"/>
  <c r="V1753"/>
  <c r="W1753"/>
  <c r="Y1753"/>
  <c r="AA1753"/>
  <c r="AB1753"/>
  <c r="AC1753"/>
  <c r="AD1753"/>
  <c r="P1754"/>
  <c r="T1754"/>
  <c r="U1754"/>
  <c r="V1754"/>
  <c r="W1754"/>
  <c r="Y1754"/>
  <c r="AA1754"/>
  <c r="AB1754"/>
  <c r="AC1754"/>
  <c r="AD1754"/>
  <c r="P1755"/>
  <c r="T1755"/>
  <c r="U1755"/>
  <c r="V1755"/>
  <c r="W1755"/>
  <c r="Y1755"/>
  <c r="AA1755"/>
  <c r="AB1755"/>
  <c r="AC1755"/>
  <c r="AD1755"/>
  <c r="P1756"/>
  <c r="T1756"/>
  <c r="U1756"/>
  <c r="V1756"/>
  <c r="W1756"/>
  <c r="Y1756"/>
  <c r="AA1756"/>
  <c r="AB1756"/>
  <c r="AC1756"/>
  <c r="AD1756"/>
  <c r="P1757"/>
  <c r="T1757"/>
  <c r="U1757"/>
  <c r="V1757"/>
  <c r="W1757"/>
  <c r="Y1757"/>
  <c r="AA1757"/>
  <c r="AB1757"/>
  <c r="AC1757"/>
  <c r="AD1757"/>
  <c r="P1758"/>
  <c r="T1758"/>
  <c r="U1758"/>
  <c r="V1758"/>
  <c r="W1758"/>
  <c r="Y1758"/>
  <c r="AA1758"/>
  <c r="AB1758"/>
  <c r="AC1758"/>
  <c r="AD1758"/>
  <c r="P1759"/>
  <c r="T1759"/>
  <c r="U1759"/>
  <c r="V1759"/>
  <c r="W1759"/>
  <c r="Y1759"/>
  <c r="AA1759"/>
  <c r="AB1759"/>
  <c r="AC1759"/>
  <c r="AD1759"/>
  <c r="P1760"/>
  <c r="T1760"/>
  <c r="U1760"/>
  <c r="V1760"/>
  <c r="W1760"/>
  <c r="Y1760"/>
  <c r="AA1760"/>
  <c r="AB1760"/>
  <c r="AC1760"/>
  <c r="AD1760"/>
  <c r="P1761"/>
  <c r="T1761"/>
  <c r="U1761"/>
  <c r="V1761"/>
  <c r="W1761"/>
  <c r="Y1761"/>
  <c r="AA1761"/>
  <c r="AB1761"/>
  <c r="AC1761"/>
  <c r="AD1761"/>
  <c r="P1762"/>
  <c r="T1762"/>
  <c r="U1762"/>
  <c r="V1762"/>
  <c r="W1762"/>
  <c r="Y1762"/>
  <c r="AA1762"/>
  <c r="AB1762"/>
  <c r="AC1762"/>
  <c r="AD1762"/>
  <c r="P1763"/>
  <c r="T1763"/>
  <c r="U1763"/>
  <c r="V1763"/>
  <c r="W1763"/>
  <c r="Y1763"/>
  <c r="AA1763"/>
  <c r="AB1763"/>
  <c r="AC1763"/>
  <c r="AD1763"/>
  <c r="P1764"/>
  <c r="T1764"/>
  <c r="U1764"/>
  <c r="V1764"/>
  <c r="W1764"/>
  <c r="Y1764"/>
  <c r="AA1764"/>
  <c r="AB1764"/>
  <c r="AC1764"/>
  <c r="AD1764"/>
  <c r="P1765"/>
  <c r="T1765"/>
  <c r="U1765"/>
  <c r="V1765"/>
  <c r="W1765"/>
  <c r="Y1765"/>
  <c r="AA1765"/>
  <c r="AB1765"/>
  <c r="AC1765"/>
  <c r="AD1765"/>
  <c r="P1766"/>
  <c r="T1766"/>
  <c r="U1766"/>
  <c r="V1766"/>
  <c r="W1766"/>
  <c r="Y1766"/>
  <c r="AA1766"/>
  <c r="AB1766"/>
  <c r="AC1766"/>
  <c r="AD1766"/>
  <c r="P1767"/>
  <c r="T1767"/>
  <c r="U1767"/>
  <c r="V1767"/>
  <c r="W1767"/>
  <c r="Y1767"/>
  <c r="AA1767"/>
  <c r="AB1767"/>
  <c r="AC1767"/>
  <c r="AD1767"/>
  <c r="P1768"/>
  <c r="T1768"/>
  <c r="U1768"/>
  <c r="V1768"/>
  <c r="W1768"/>
  <c r="Y1768"/>
  <c r="AA1768"/>
  <c r="AB1768"/>
  <c r="AC1768"/>
  <c r="AD1768"/>
  <c r="P1769"/>
  <c r="T1769"/>
  <c r="U1769"/>
  <c r="V1769"/>
  <c r="W1769"/>
  <c r="Y1769"/>
  <c r="AA1769"/>
  <c r="AB1769"/>
  <c r="AC1769"/>
  <c r="AD1769"/>
  <c r="P1770"/>
  <c r="T1770"/>
  <c r="U1770"/>
  <c r="V1770"/>
  <c r="W1770"/>
  <c r="Y1770"/>
  <c r="AA1770"/>
  <c r="AB1770"/>
  <c r="AC1770"/>
  <c r="AD1770"/>
  <c r="P1771"/>
  <c r="T1771"/>
  <c r="U1771"/>
  <c r="V1771"/>
  <c r="W1771"/>
  <c r="Y1771"/>
  <c r="AA1771"/>
  <c r="AB1771"/>
  <c r="AC1771"/>
  <c r="AD1771"/>
  <c r="P1772"/>
  <c r="T1772"/>
  <c r="U1772"/>
  <c r="V1772"/>
  <c r="W1772"/>
  <c r="Y1772"/>
  <c r="AA1772"/>
  <c r="AB1772"/>
  <c r="AC1772"/>
  <c r="AD1772"/>
  <c r="P1773"/>
  <c r="T1773"/>
  <c r="U1773"/>
  <c r="V1773"/>
  <c r="W1773"/>
  <c r="Y1773"/>
  <c r="AA1773"/>
  <c r="AB1773"/>
  <c r="AC1773"/>
  <c r="AD1773"/>
  <c r="P1774"/>
  <c r="T1774"/>
  <c r="U1774"/>
  <c r="V1774"/>
  <c r="W1774"/>
  <c r="Y1774"/>
  <c r="AA1774"/>
  <c r="AB1774"/>
  <c r="AC1774"/>
  <c r="AD1774"/>
  <c r="P1775"/>
  <c r="T1775"/>
  <c r="U1775"/>
  <c r="V1775"/>
  <c r="W1775"/>
  <c r="Y1775"/>
  <c r="AA1775"/>
  <c r="AB1775"/>
  <c r="AC1775"/>
  <c r="AD1775"/>
  <c r="P1776"/>
  <c r="T1776"/>
  <c r="U1776"/>
  <c r="V1776"/>
  <c r="W1776"/>
  <c r="Y1776"/>
  <c r="AA1776"/>
  <c r="AB1776"/>
  <c r="AC1776"/>
  <c r="AD1776"/>
  <c r="P1777"/>
  <c r="T1777"/>
  <c r="U1777"/>
  <c r="V1777"/>
  <c r="W1777"/>
  <c r="Y1777"/>
  <c r="AA1777"/>
  <c r="AB1777"/>
  <c r="AC1777"/>
  <c r="AD1777"/>
  <c r="P1778"/>
  <c r="T1778"/>
  <c r="U1778"/>
  <c r="V1778"/>
  <c r="W1778"/>
  <c r="Y1778"/>
  <c r="AA1778"/>
  <c r="AB1778"/>
  <c r="AC1778"/>
  <c r="AD1778"/>
  <c r="P1779"/>
  <c r="T1779"/>
  <c r="U1779"/>
  <c r="V1779"/>
  <c r="W1779"/>
  <c r="Y1779"/>
  <c r="AA1779"/>
  <c r="AB1779"/>
  <c r="AC1779"/>
  <c r="AD1779"/>
  <c r="P1780"/>
  <c r="T1780"/>
  <c r="U1780"/>
  <c r="V1780"/>
  <c r="W1780"/>
  <c r="Y1780"/>
  <c r="AA1780"/>
  <c r="AB1780"/>
  <c r="AC1780"/>
  <c r="AD1780"/>
  <c r="P1781"/>
  <c r="T1781"/>
  <c r="U1781"/>
  <c r="V1781"/>
  <c r="W1781"/>
  <c r="Y1781"/>
  <c r="AA1781"/>
  <c r="AB1781"/>
  <c r="AC1781"/>
  <c r="AD1781"/>
  <c r="P1782"/>
  <c r="T1782"/>
  <c r="U1782"/>
  <c r="V1782"/>
  <c r="W1782"/>
  <c r="Y1782"/>
  <c r="AA1782"/>
  <c r="AB1782"/>
  <c r="AC1782"/>
  <c r="AD1782"/>
  <c r="P1783"/>
  <c r="T1783"/>
  <c r="U1783"/>
  <c r="V1783"/>
  <c r="W1783"/>
  <c r="Y1783"/>
  <c r="AA1783"/>
  <c r="AB1783"/>
  <c r="AC1783"/>
  <c r="AD1783"/>
  <c r="P1784"/>
  <c r="T1784"/>
  <c r="U1784"/>
  <c r="V1784"/>
  <c r="W1784"/>
  <c r="Y1784"/>
  <c r="AA1784"/>
  <c r="AB1784"/>
  <c r="AC1784"/>
  <c r="AD1784"/>
  <c r="P1785"/>
  <c r="T1785"/>
  <c r="U1785"/>
  <c r="V1785"/>
  <c r="W1785"/>
  <c r="Y1785"/>
  <c r="AA1785"/>
  <c r="AB1785"/>
  <c r="AC1785"/>
  <c r="AD1785"/>
  <c r="P1786"/>
  <c r="T1786"/>
  <c r="U1786"/>
  <c r="V1786"/>
  <c r="W1786"/>
  <c r="Y1786"/>
  <c r="AA1786"/>
  <c r="AB1786"/>
  <c r="AC1786"/>
  <c r="AD1786"/>
  <c r="P1787"/>
  <c r="T1787"/>
  <c r="U1787"/>
  <c r="V1787"/>
  <c r="W1787"/>
  <c r="Y1787"/>
  <c r="AA1787"/>
  <c r="AB1787"/>
  <c r="AC1787"/>
  <c r="AD1787"/>
  <c r="P1788"/>
  <c r="T1788"/>
  <c r="U1788"/>
  <c r="V1788"/>
  <c r="W1788"/>
  <c r="Y1788"/>
  <c r="AA1788"/>
  <c r="AB1788"/>
  <c r="AC1788"/>
  <c r="AD1788"/>
  <c r="P1789"/>
  <c r="T1789"/>
  <c r="U1789"/>
  <c r="V1789"/>
  <c r="W1789"/>
  <c r="Y1789"/>
  <c r="AA1789"/>
  <c r="AB1789"/>
  <c r="AC1789"/>
  <c r="AD1789"/>
  <c r="P1790"/>
  <c r="T1790"/>
  <c r="U1790"/>
  <c r="V1790"/>
  <c r="W1790"/>
  <c r="Y1790"/>
  <c r="AA1790"/>
  <c r="AB1790"/>
  <c r="AC1790"/>
  <c r="AD1790"/>
  <c r="P1791"/>
  <c r="T1791"/>
  <c r="U1791"/>
  <c r="V1791"/>
  <c r="W1791"/>
  <c r="Y1791"/>
  <c r="AA1791"/>
  <c r="AB1791"/>
  <c r="AC1791"/>
  <c r="AD1791"/>
  <c r="P1792"/>
  <c r="T1792"/>
  <c r="U1792"/>
  <c r="V1792"/>
  <c r="W1792"/>
  <c r="Y1792"/>
  <c r="AA1792"/>
  <c r="AB1792"/>
  <c r="AC1792"/>
  <c r="AD1792"/>
  <c r="P1793"/>
  <c r="T1793"/>
  <c r="U1793"/>
  <c r="V1793"/>
  <c r="W1793"/>
  <c r="Y1793"/>
  <c r="AA1793"/>
  <c r="AB1793"/>
  <c r="AC1793"/>
  <c r="AD1793"/>
  <c r="P1794"/>
  <c r="T1794"/>
  <c r="U1794"/>
  <c r="V1794"/>
  <c r="W1794"/>
  <c r="Y1794"/>
  <c r="AA1794"/>
  <c r="AB1794"/>
  <c r="AC1794"/>
  <c r="AD1794"/>
  <c r="P1795"/>
  <c r="T1795"/>
  <c r="U1795"/>
  <c r="V1795"/>
  <c r="W1795"/>
  <c r="Y1795"/>
  <c r="AA1795"/>
  <c r="AB1795"/>
  <c r="AC1795"/>
  <c r="AD1795"/>
  <c r="P1796"/>
  <c r="T1796"/>
  <c r="U1796"/>
  <c r="V1796"/>
  <c r="W1796"/>
  <c r="Y1796"/>
  <c r="AA1796"/>
  <c r="AB1796"/>
  <c r="AC1796"/>
  <c r="AD1796"/>
  <c r="P1797"/>
  <c r="T1797"/>
  <c r="U1797"/>
  <c r="V1797"/>
  <c r="W1797"/>
  <c r="Y1797"/>
  <c r="AA1797"/>
  <c r="AB1797"/>
  <c r="AC1797"/>
  <c r="AD1797"/>
  <c r="P1798"/>
  <c r="T1798"/>
  <c r="U1798"/>
  <c r="V1798"/>
  <c r="W1798"/>
  <c r="Y1798"/>
  <c r="AA1798"/>
  <c r="AB1798"/>
  <c r="AC1798"/>
  <c r="AD1798"/>
  <c r="P1799"/>
  <c r="T1799"/>
  <c r="U1799"/>
  <c r="V1799"/>
  <c r="W1799"/>
  <c r="Y1799"/>
  <c r="AA1799"/>
  <c r="AB1799"/>
  <c r="AC1799"/>
  <c r="AD1799"/>
  <c r="P1800"/>
  <c r="T1800"/>
  <c r="U1800"/>
  <c r="V1800"/>
  <c r="W1800"/>
  <c r="Y1800"/>
  <c r="AA1800"/>
  <c r="AB1800"/>
  <c r="AC1800"/>
  <c r="AD1800"/>
  <c r="P1801"/>
  <c r="T1801"/>
  <c r="U1801"/>
  <c r="V1801"/>
  <c r="W1801"/>
  <c r="Y1801"/>
  <c r="AA1801"/>
  <c r="AB1801"/>
  <c r="AC1801"/>
  <c r="AD1801"/>
  <c r="P1802"/>
  <c r="T1802"/>
  <c r="U1802"/>
  <c r="V1802"/>
  <c r="W1802"/>
  <c r="Y1802"/>
  <c r="AA1802"/>
  <c r="AB1802"/>
  <c r="AC1802"/>
  <c r="AD1802"/>
  <c r="P1803"/>
  <c r="T1803"/>
  <c r="U1803"/>
  <c r="V1803"/>
  <c r="W1803"/>
  <c r="Y1803"/>
  <c r="AA1803"/>
  <c r="AB1803"/>
  <c r="AC1803"/>
  <c r="AD1803"/>
  <c r="P1804"/>
  <c r="T1804"/>
  <c r="U1804"/>
  <c r="V1804"/>
  <c r="W1804"/>
  <c r="Y1804"/>
  <c r="AA1804"/>
  <c r="AB1804"/>
  <c r="AC1804"/>
  <c r="AD1804"/>
  <c r="P1805"/>
  <c r="T1805"/>
  <c r="U1805"/>
  <c r="V1805"/>
  <c r="W1805"/>
  <c r="Y1805"/>
  <c r="AA1805"/>
  <c r="AB1805"/>
  <c r="AC1805"/>
  <c r="AD1805"/>
  <c r="P1806"/>
  <c r="T1806"/>
  <c r="U1806"/>
  <c r="V1806"/>
  <c r="W1806"/>
  <c r="Y1806"/>
  <c r="AA1806"/>
  <c r="AB1806"/>
  <c r="AC1806"/>
  <c r="AD1806"/>
  <c r="P1807"/>
  <c r="T1807"/>
  <c r="U1807"/>
  <c r="V1807"/>
  <c r="W1807"/>
  <c r="Y1807"/>
  <c r="AA1807"/>
  <c r="AB1807"/>
  <c r="AC1807"/>
  <c r="AD1807"/>
  <c r="P1808"/>
  <c r="T1808"/>
  <c r="U1808"/>
  <c r="V1808"/>
  <c r="W1808"/>
  <c r="Y1808"/>
  <c r="AA1808"/>
  <c r="AB1808"/>
  <c r="AC1808"/>
  <c r="AD1808"/>
  <c r="P1809"/>
  <c r="T1809"/>
  <c r="U1809"/>
  <c r="V1809"/>
  <c r="W1809"/>
  <c r="Y1809"/>
  <c r="AA1809"/>
  <c r="AB1809"/>
  <c r="AC1809"/>
  <c r="AD1809"/>
  <c r="P1810"/>
  <c r="T1810"/>
  <c r="U1810"/>
  <c r="V1810"/>
  <c r="W1810"/>
  <c r="Y1810"/>
  <c r="AA1810"/>
  <c r="AB1810"/>
  <c r="AC1810"/>
  <c r="AD1810"/>
  <c r="P1811"/>
  <c r="T1811"/>
  <c r="U1811"/>
  <c r="V1811"/>
  <c r="W1811"/>
  <c r="Y1811"/>
  <c r="AA1811"/>
  <c r="AB1811"/>
  <c r="AC1811"/>
  <c r="AD1811"/>
  <c r="P1812"/>
  <c r="T1812"/>
  <c r="U1812"/>
  <c r="V1812"/>
  <c r="W1812"/>
  <c r="Y1812"/>
  <c r="AA1812"/>
  <c r="AB1812"/>
  <c r="AC1812"/>
  <c r="AD1812"/>
  <c r="P1813"/>
  <c r="T1813"/>
  <c r="U1813"/>
  <c r="V1813"/>
  <c r="W1813"/>
  <c r="Y1813"/>
  <c r="AA1813"/>
  <c r="AB1813"/>
  <c r="AC1813"/>
  <c r="AD1813"/>
  <c r="P1814"/>
  <c r="T1814"/>
  <c r="U1814"/>
  <c r="V1814"/>
  <c r="W1814"/>
  <c r="Y1814"/>
  <c r="AA1814"/>
  <c r="AB1814"/>
  <c r="AC1814"/>
  <c r="AD1814"/>
  <c r="P1815"/>
  <c r="T1815"/>
  <c r="U1815"/>
  <c r="V1815"/>
  <c r="W1815"/>
  <c r="Y1815"/>
  <c r="AA1815"/>
  <c r="AB1815"/>
  <c r="AC1815"/>
  <c r="AD1815"/>
  <c r="P1816"/>
  <c r="T1816"/>
  <c r="U1816"/>
  <c r="V1816"/>
  <c r="W1816"/>
  <c r="Y1816"/>
  <c r="AA1816"/>
  <c r="AB1816"/>
  <c r="AC1816"/>
  <c r="AD1816"/>
  <c r="P1817"/>
  <c r="T1817"/>
  <c r="U1817"/>
  <c r="V1817"/>
  <c r="W1817"/>
  <c r="Y1817"/>
  <c r="AA1817"/>
  <c r="AB1817"/>
  <c r="AC1817"/>
  <c r="AD1817"/>
  <c r="P1818"/>
  <c r="T1818"/>
  <c r="U1818"/>
  <c r="V1818"/>
  <c r="W1818"/>
  <c r="Y1818"/>
  <c r="AA1818"/>
  <c r="AB1818"/>
  <c r="AC1818"/>
  <c r="AD1818"/>
  <c r="P1819"/>
  <c r="T1819"/>
  <c r="U1819"/>
  <c r="V1819"/>
  <c r="W1819"/>
  <c r="Y1819"/>
  <c r="AA1819"/>
  <c r="AB1819"/>
  <c r="AC1819"/>
  <c r="AD1819"/>
  <c r="P1820"/>
  <c r="T1820"/>
  <c r="U1820"/>
  <c r="V1820"/>
  <c r="W1820"/>
  <c r="Y1820"/>
  <c r="AA1820"/>
  <c r="AB1820"/>
  <c r="AC1820"/>
  <c r="AD1820"/>
  <c r="P1821"/>
  <c r="T1821"/>
  <c r="U1821"/>
  <c r="V1821"/>
  <c r="W1821"/>
  <c r="Y1821"/>
  <c r="AA1821"/>
  <c r="AB1821"/>
  <c r="AC1821"/>
  <c r="AD1821"/>
  <c r="P1822"/>
  <c r="T1822"/>
  <c r="U1822"/>
  <c r="V1822"/>
  <c r="W1822"/>
  <c r="Y1822"/>
  <c r="AA1822"/>
  <c r="AB1822"/>
  <c r="AC1822"/>
  <c r="AD1822"/>
  <c r="P1823"/>
  <c r="T1823"/>
  <c r="U1823"/>
  <c r="V1823"/>
  <c r="W1823"/>
  <c r="Y1823"/>
  <c r="AA1823"/>
  <c r="AB1823"/>
  <c r="AC1823"/>
  <c r="AD1823"/>
  <c r="P1824"/>
  <c r="T1824"/>
  <c r="U1824"/>
  <c r="V1824"/>
  <c r="W1824"/>
  <c r="Y1824"/>
  <c r="AA1824"/>
  <c r="AB1824"/>
  <c r="AC1824"/>
  <c r="AD1824"/>
  <c r="P1825"/>
  <c r="T1825"/>
  <c r="U1825"/>
  <c r="V1825"/>
  <c r="W1825"/>
  <c r="Y1825"/>
  <c r="AA1825"/>
  <c r="AB1825"/>
  <c r="AC1825"/>
  <c r="AD1825"/>
  <c r="P1826"/>
  <c r="T1826"/>
  <c r="U1826"/>
  <c r="V1826"/>
  <c r="W1826"/>
  <c r="Y1826"/>
  <c r="AA1826"/>
  <c r="AB1826"/>
  <c r="AC1826"/>
  <c r="AD1826"/>
  <c r="P1827"/>
  <c r="T1827"/>
  <c r="U1827"/>
  <c r="V1827"/>
  <c r="W1827"/>
  <c r="Y1827"/>
  <c r="AA1827"/>
  <c r="AB1827"/>
  <c r="AC1827"/>
  <c r="AD1827"/>
  <c r="P1828"/>
  <c r="T1828"/>
  <c r="U1828"/>
  <c r="V1828"/>
  <c r="W1828"/>
  <c r="Y1828"/>
  <c r="AA1828"/>
  <c r="AB1828"/>
  <c r="AC1828"/>
  <c r="AD1828"/>
  <c r="P1829"/>
  <c r="T1829"/>
  <c r="U1829"/>
  <c r="V1829"/>
  <c r="W1829"/>
  <c r="Y1829"/>
  <c r="AA1829"/>
  <c r="AB1829"/>
  <c r="AC1829"/>
  <c r="AD1829"/>
  <c r="P1830"/>
  <c r="T1830"/>
  <c r="U1830"/>
  <c r="V1830"/>
  <c r="W1830"/>
  <c r="Y1830"/>
  <c r="AA1830"/>
  <c r="AB1830"/>
  <c r="AC1830"/>
  <c r="AD1830"/>
  <c r="P1831"/>
  <c r="T1831"/>
  <c r="U1831"/>
  <c r="V1831"/>
  <c r="W1831"/>
  <c r="Y1831"/>
  <c r="AA1831"/>
  <c r="AB1831"/>
  <c r="AC1831"/>
  <c r="AD1831"/>
  <c r="P1832"/>
  <c r="T1832"/>
  <c r="U1832"/>
  <c r="V1832"/>
  <c r="W1832"/>
  <c r="Y1832"/>
  <c r="AA1832"/>
  <c r="AB1832"/>
  <c r="AC1832"/>
  <c r="AD1832"/>
  <c r="P1833"/>
  <c r="T1833"/>
  <c r="U1833"/>
  <c r="V1833"/>
  <c r="W1833"/>
  <c r="Y1833"/>
  <c r="AA1833"/>
  <c r="AB1833"/>
  <c r="AC1833"/>
  <c r="AD1833"/>
  <c r="P1834"/>
  <c r="T1834"/>
  <c r="U1834"/>
  <c r="V1834"/>
  <c r="W1834"/>
  <c r="Y1834"/>
  <c r="AA1834"/>
  <c r="AB1834"/>
  <c r="AC1834"/>
  <c r="AD1834"/>
  <c r="P1835"/>
  <c r="T1835"/>
  <c r="U1835"/>
  <c r="V1835"/>
  <c r="W1835"/>
  <c r="Y1835"/>
  <c r="AA1835"/>
  <c r="AB1835"/>
  <c r="AC1835"/>
  <c r="AD1835"/>
  <c r="P1836"/>
  <c r="T1836"/>
  <c r="U1836"/>
  <c r="V1836"/>
  <c r="W1836"/>
  <c r="Y1836"/>
  <c r="AA1836"/>
  <c r="AB1836"/>
  <c r="AC1836"/>
  <c r="AD1836"/>
  <c r="P1837"/>
  <c r="T1837"/>
  <c r="U1837"/>
  <c r="V1837"/>
  <c r="W1837"/>
  <c r="Y1837"/>
  <c r="AA1837"/>
  <c r="AB1837"/>
  <c r="AC1837"/>
  <c r="AD1837"/>
  <c r="P1838"/>
  <c r="T1838"/>
  <c r="U1838"/>
  <c r="V1838"/>
  <c r="W1838"/>
  <c r="Y1838"/>
  <c r="AA1838"/>
  <c r="AB1838"/>
  <c r="AC1838"/>
  <c r="AD1838"/>
  <c r="P1839"/>
  <c r="T1839"/>
  <c r="U1839"/>
  <c r="V1839"/>
  <c r="W1839"/>
  <c r="Y1839"/>
  <c r="AA1839"/>
  <c r="AB1839"/>
  <c r="AC1839"/>
  <c r="AD1839"/>
  <c r="P1840"/>
  <c r="T1840"/>
  <c r="U1840"/>
  <c r="V1840"/>
  <c r="W1840"/>
  <c r="Y1840"/>
  <c r="AA1840"/>
  <c r="AB1840"/>
  <c r="AC1840"/>
  <c r="AD1840"/>
  <c r="P1841"/>
  <c r="T1841"/>
  <c r="U1841"/>
  <c r="V1841"/>
  <c r="W1841"/>
  <c r="Y1841"/>
  <c r="AA1841"/>
  <c r="AB1841"/>
  <c r="AC1841"/>
  <c r="AD1841"/>
  <c r="P1842"/>
  <c r="T1842"/>
  <c r="U1842"/>
  <c r="V1842"/>
  <c r="W1842"/>
  <c r="Y1842"/>
  <c r="AA1842"/>
  <c r="AB1842"/>
  <c r="AC1842"/>
  <c r="AD1842"/>
  <c r="P1843"/>
  <c r="T1843"/>
  <c r="U1843"/>
  <c r="V1843"/>
  <c r="W1843"/>
  <c r="Y1843"/>
  <c r="AA1843"/>
  <c r="AB1843"/>
  <c r="AC1843"/>
  <c r="AD1843"/>
  <c r="P1844"/>
  <c r="T1844"/>
  <c r="U1844"/>
  <c r="V1844"/>
  <c r="W1844"/>
  <c r="Y1844"/>
  <c r="AA1844"/>
  <c r="AB1844"/>
  <c r="AC1844"/>
  <c r="AD1844"/>
  <c r="P1845"/>
  <c r="T1845"/>
  <c r="U1845"/>
  <c r="V1845"/>
  <c r="W1845"/>
  <c r="Y1845"/>
  <c r="AA1845"/>
  <c r="AB1845"/>
  <c r="AC1845"/>
  <c r="AD1845"/>
  <c r="P1846"/>
  <c r="T1846"/>
  <c r="U1846"/>
  <c r="V1846"/>
  <c r="W1846"/>
  <c r="Y1846"/>
  <c r="AA1846"/>
  <c r="AB1846"/>
  <c r="AC1846"/>
  <c r="AD1846"/>
  <c r="P1847"/>
  <c r="T1847"/>
  <c r="U1847"/>
  <c r="V1847"/>
  <c r="W1847"/>
  <c r="Y1847"/>
  <c r="AA1847"/>
  <c r="AB1847"/>
  <c r="AC1847"/>
  <c r="AD1847"/>
  <c r="P1848"/>
  <c r="T1848"/>
  <c r="U1848"/>
  <c r="V1848"/>
  <c r="W1848"/>
  <c r="Y1848"/>
  <c r="AA1848"/>
  <c r="AB1848"/>
  <c r="AC1848"/>
  <c r="AD1848"/>
  <c r="P1849"/>
  <c r="T1849"/>
  <c r="U1849"/>
  <c r="V1849"/>
  <c r="W1849"/>
  <c r="Y1849"/>
  <c r="AA1849"/>
  <c r="AB1849"/>
  <c r="AC1849"/>
  <c r="AD1849"/>
  <c r="P1850"/>
  <c r="T1850"/>
  <c r="U1850"/>
  <c r="V1850"/>
  <c r="W1850"/>
  <c r="Y1850"/>
  <c r="AA1850"/>
  <c r="AB1850"/>
  <c r="AC1850"/>
  <c r="AD1850"/>
  <c r="P1851"/>
  <c r="T1851"/>
  <c r="U1851"/>
  <c r="V1851"/>
  <c r="W1851"/>
  <c r="Y1851"/>
  <c r="AA1851"/>
  <c r="AB1851"/>
  <c r="AC1851"/>
  <c r="AD1851"/>
  <c r="P1852"/>
  <c r="T1852"/>
  <c r="U1852"/>
  <c r="V1852"/>
  <c r="W1852"/>
  <c r="Y1852"/>
  <c r="AA1852"/>
  <c r="AB1852"/>
  <c r="AC1852"/>
  <c r="AD1852"/>
  <c r="P1853"/>
  <c r="T1853"/>
  <c r="U1853"/>
  <c r="V1853"/>
  <c r="W1853"/>
  <c r="Y1853"/>
  <c r="AA1853"/>
  <c r="AB1853"/>
  <c r="AC1853"/>
  <c r="AD1853"/>
  <c r="P1854"/>
  <c r="T1854"/>
  <c r="U1854"/>
  <c r="V1854"/>
  <c r="W1854"/>
  <c r="Y1854"/>
  <c r="AA1854"/>
  <c r="AB1854"/>
  <c r="AC1854"/>
  <c r="AD1854"/>
  <c r="P1855"/>
  <c r="T1855"/>
  <c r="U1855"/>
  <c r="V1855"/>
  <c r="W1855"/>
  <c r="Y1855"/>
  <c r="AA1855"/>
  <c r="AB1855"/>
  <c r="AC1855"/>
  <c r="AD1855"/>
  <c r="P1856"/>
  <c r="T1856"/>
  <c r="U1856"/>
  <c r="V1856"/>
  <c r="W1856"/>
  <c r="Y1856"/>
  <c r="AA1856"/>
  <c r="AB1856"/>
  <c r="AC1856"/>
  <c r="AD1856"/>
  <c r="P1857"/>
  <c r="T1857"/>
  <c r="U1857"/>
  <c r="V1857"/>
  <c r="W1857"/>
  <c r="Y1857"/>
  <c r="AA1857"/>
  <c r="AB1857"/>
  <c r="AC1857"/>
  <c r="AD1857"/>
  <c r="P1858"/>
  <c r="T1858"/>
  <c r="U1858"/>
  <c r="V1858"/>
  <c r="W1858"/>
  <c r="Y1858"/>
  <c r="AA1858"/>
  <c r="AB1858"/>
  <c r="AC1858"/>
  <c r="AD1858"/>
  <c r="P1859"/>
  <c r="T1859"/>
  <c r="U1859"/>
  <c r="V1859"/>
  <c r="W1859"/>
  <c r="Y1859"/>
  <c r="AA1859"/>
  <c r="AB1859"/>
  <c r="AC1859"/>
  <c r="AD1859"/>
  <c r="P1860"/>
  <c r="T1860"/>
  <c r="U1860"/>
  <c r="V1860"/>
  <c r="W1860"/>
  <c r="Y1860"/>
  <c r="AA1860"/>
  <c r="AB1860"/>
  <c r="AC1860"/>
  <c r="AD1860"/>
  <c r="P1861"/>
  <c r="T1861"/>
  <c r="U1861"/>
  <c r="V1861"/>
  <c r="W1861"/>
  <c r="Y1861"/>
  <c r="AA1861"/>
  <c r="AB1861"/>
  <c r="AC1861"/>
  <c r="AD1861"/>
  <c r="P1862"/>
  <c r="T1862"/>
  <c r="U1862"/>
  <c r="V1862"/>
  <c r="W1862"/>
  <c r="Y1862"/>
  <c r="AA1862"/>
  <c r="AB1862"/>
  <c r="AC1862"/>
  <c r="AD1862"/>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77"/>
  <c r="T1877"/>
  <c r="U1877"/>
  <c r="V1877"/>
  <c r="W1877"/>
  <c r="Y1877"/>
  <c r="AA1877"/>
  <c r="AB1877"/>
  <c r="AC1877"/>
  <c r="AD1877"/>
  <c r="P1878"/>
  <c r="T1878"/>
  <c r="U1878"/>
  <c r="V1878"/>
  <c r="W1878"/>
  <c r="Y1878"/>
  <c r="AA1878"/>
  <c r="AB1878"/>
  <c r="AC1878"/>
  <c r="AD1878"/>
  <c r="P1879"/>
  <c r="T1879"/>
  <c r="U1879"/>
  <c r="V1879"/>
  <c r="W1879"/>
  <c r="Y1879"/>
  <c r="AA1879"/>
  <c r="AB1879"/>
  <c r="AC1879"/>
  <c r="AD1879"/>
  <c r="P1880"/>
  <c r="T1880"/>
  <c r="U1880"/>
  <c r="V1880"/>
  <c r="W1880"/>
  <c r="Y1880"/>
  <c r="AA1880"/>
  <c r="AB1880"/>
  <c r="AC1880"/>
  <c r="AD1880"/>
  <c r="P1881"/>
  <c r="T1881"/>
  <c r="U1881"/>
  <c r="V1881"/>
  <c r="W1881"/>
  <c r="Y1881"/>
  <c r="AA1881"/>
  <c r="AB1881"/>
  <c r="AC1881"/>
  <c r="AD1881"/>
  <c r="P1882"/>
  <c r="T1882"/>
  <c r="U1882"/>
  <c r="V1882"/>
  <c r="W1882"/>
  <c r="Y1882"/>
  <c r="AA1882"/>
  <c r="AB1882"/>
  <c r="AC1882"/>
  <c r="AD1882"/>
  <c r="P1883"/>
  <c r="T1883"/>
  <c r="U1883"/>
  <c r="V1883"/>
  <c r="W1883"/>
  <c r="Y1883"/>
  <c r="AA1883"/>
  <c r="AB1883"/>
  <c r="AC1883"/>
  <c r="AD1883"/>
  <c r="P1884"/>
  <c r="T1884"/>
  <c r="U1884"/>
  <c r="V1884"/>
  <c r="W1884"/>
  <c r="Y1884"/>
  <c r="AA1884"/>
  <c r="AB1884"/>
  <c r="AC1884"/>
  <c r="AD1884"/>
  <c r="P1885"/>
  <c r="T1885"/>
  <c r="U1885"/>
  <c r="V1885"/>
  <c r="W1885"/>
  <c r="Y1885"/>
  <c r="AA1885"/>
  <c r="AB1885"/>
  <c r="AC1885"/>
  <c r="AD1885"/>
  <c r="P1886"/>
  <c r="T1886"/>
  <c r="U1886"/>
  <c r="V1886"/>
  <c r="W1886"/>
  <c r="Y1886"/>
  <c r="AA1886"/>
  <c r="AB1886"/>
  <c r="AC1886"/>
  <c r="AD1886"/>
  <c r="P1887"/>
  <c r="T1887"/>
  <c r="U1887"/>
  <c r="V1887"/>
  <c r="W1887"/>
  <c r="Y1887"/>
  <c r="AA1887"/>
  <c r="AB1887"/>
  <c r="AC1887"/>
  <c r="AD1887"/>
  <c r="P1888"/>
  <c r="T1888"/>
  <c r="U1888"/>
  <c r="V1888"/>
  <c r="W1888"/>
  <c r="Y1888"/>
  <c r="AA1888"/>
  <c r="AB1888"/>
  <c r="AC1888"/>
  <c r="AD1888"/>
  <c r="P1889"/>
  <c r="T1889"/>
  <c r="U1889"/>
  <c r="V1889"/>
  <c r="W1889"/>
  <c r="Y1889"/>
  <c r="AA1889"/>
  <c r="AB1889"/>
  <c r="AC1889"/>
  <c r="AD1889"/>
  <c r="P1890"/>
  <c r="T1890"/>
  <c r="U1890"/>
  <c r="V1890"/>
  <c r="W1890"/>
  <c r="Y1890"/>
  <c r="AA1890"/>
  <c r="AB1890"/>
  <c r="AC1890"/>
  <c r="AD1890"/>
  <c r="P1891"/>
  <c r="T1891"/>
  <c r="U1891"/>
  <c r="V1891"/>
  <c r="W1891"/>
  <c r="Y1891"/>
  <c r="AA1891"/>
  <c r="AB1891"/>
  <c r="AC1891"/>
  <c r="AD1891"/>
  <c r="P1892"/>
  <c r="T1892"/>
  <c r="U1892"/>
  <c r="V1892"/>
  <c r="W1892"/>
  <c r="Y1892"/>
  <c r="AA1892"/>
  <c r="AB1892"/>
  <c r="AC1892"/>
  <c r="AD1892"/>
  <c r="P1893"/>
  <c r="T1893"/>
  <c r="U1893"/>
  <c r="V1893"/>
  <c r="W1893"/>
  <c r="Y1893"/>
  <c r="AA1893"/>
  <c r="AB1893"/>
  <c r="AC1893"/>
  <c r="AD1893"/>
  <c r="P1894"/>
  <c r="T1894"/>
  <c r="U1894"/>
  <c r="V1894"/>
  <c r="W1894"/>
  <c r="Y1894"/>
  <c r="AA1894"/>
  <c r="AB1894"/>
  <c r="AC1894"/>
  <c r="AD1894"/>
  <c r="P1895"/>
  <c r="T1895"/>
  <c r="U1895"/>
  <c r="V1895"/>
  <c r="W1895"/>
  <c r="Y1895"/>
  <c r="AA1895"/>
  <c r="AB1895"/>
  <c r="AC1895"/>
  <c r="AD1895"/>
  <c r="P1896"/>
  <c r="T1896"/>
  <c r="U1896"/>
  <c r="V1896"/>
  <c r="W1896"/>
  <c r="Y1896"/>
  <c r="AA1896"/>
  <c r="AB1896"/>
  <c r="AC1896"/>
  <c r="AD1896"/>
  <c r="P1897"/>
  <c r="T1897"/>
  <c r="U1897"/>
  <c r="V1897"/>
  <c r="W1897"/>
  <c r="Y1897"/>
  <c r="AA1897"/>
  <c r="AB1897"/>
  <c r="AC1897"/>
  <c r="AD1897"/>
  <c r="P1898"/>
  <c r="T1898"/>
  <c r="U1898"/>
  <c r="V1898"/>
  <c r="W1898"/>
  <c r="Y1898"/>
  <c r="AA1898"/>
  <c r="AB1898"/>
  <c r="AC1898"/>
  <c r="AD1898"/>
  <c r="P1899"/>
  <c r="T1899"/>
  <c r="U1899"/>
  <c r="V1899"/>
  <c r="W1899"/>
  <c r="Y1899"/>
  <c r="AA1899"/>
  <c r="AB1899"/>
  <c r="AC1899"/>
  <c r="AD1899"/>
  <c r="P1900"/>
  <c r="T1900"/>
  <c r="U1900"/>
  <c r="V1900"/>
  <c r="W1900"/>
  <c r="Y1900"/>
  <c r="AA1900"/>
  <c r="AB1900"/>
  <c r="AC1900"/>
  <c r="AD1900"/>
  <c r="P1901"/>
  <c r="T1901"/>
  <c r="U1901"/>
  <c r="V1901"/>
  <c r="W1901"/>
  <c r="Y1901"/>
  <c r="AA1901"/>
  <c r="AB1901"/>
  <c r="AC1901"/>
  <c r="AD1901"/>
  <c r="P1902"/>
  <c r="T1902"/>
  <c r="U1902"/>
  <c r="V1902"/>
  <c r="W1902"/>
  <c r="Y1902"/>
  <c r="AA1902"/>
  <c r="AB1902"/>
  <c r="AC1902"/>
  <c r="AD1902"/>
  <c r="P1903"/>
  <c r="T1903"/>
  <c r="U1903"/>
  <c r="V1903"/>
  <c r="W1903"/>
  <c r="Y1903"/>
  <c r="AA1903"/>
  <c r="AB1903"/>
  <c r="AC1903"/>
  <c r="AD1903"/>
  <c r="P1904"/>
  <c r="T1904"/>
  <c r="U1904"/>
  <c r="V1904"/>
  <c r="W1904"/>
  <c r="Y1904"/>
  <c r="AA1904"/>
  <c r="AB1904"/>
  <c r="AC1904"/>
  <c r="AD1904"/>
  <c r="P1905"/>
  <c r="T1905"/>
  <c r="U1905"/>
  <c r="V1905"/>
  <c r="W1905"/>
  <c r="Y1905"/>
  <c r="AA1905"/>
  <c r="AB1905"/>
  <c r="AC1905"/>
  <c r="AD1905"/>
  <c r="P1906"/>
  <c r="T1906"/>
  <c r="U1906"/>
  <c r="V1906"/>
  <c r="W1906"/>
  <c r="Y1906"/>
  <c r="AA1906"/>
  <c r="AB1906"/>
  <c r="AC1906"/>
  <c r="AD1906"/>
  <c r="P1907"/>
  <c r="T1907"/>
  <c r="U1907"/>
  <c r="V1907"/>
  <c r="W1907"/>
  <c r="Y1907"/>
  <c r="AA1907"/>
  <c r="AB1907"/>
  <c r="AC1907"/>
  <c r="AD1907"/>
  <c r="P1908"/>
  <c r="T1908"/>
  <c r="U1908"/>
  <c r="V1908"/>
  <c r="W1908"/>
  <c r="Y1908"/>
  <c r="AA1908"/>
  <c r="AB1908"/>
  <c r="AC1908"/>
  <c r="AD1908"/>
  <c r="P1909"/>
  <c r="T1909"/>
  <c r="U1909"/>
  <c r="V1909"/>
  <c r="W1909"/>
  <c r="Y1909"/>
  <c r="AA1909"/>
  <c r="AB1909"/>
  <c r="AC1909"/>
  <c r="AD1909"/>
  <c r="P1910"/>
  <c r="T1910"/>
  <c r="U1910"/>
  <c r="V1910"/>
  <c r="W1910"/>
  <c r="Y1910"/>
  <c r="AA1910"/>
  <c r="AB1910"/>
  <c r="AC1910"/>
  <c r="AD1910"/>
  <c r="P1911"/>
  <c r="T1911"/>
  <c r="U1911"/>
  <c r="V1911"/>
  <c r="W1911"/>
  <c r="Y1911"/>
  <c r="AA1911"/>
  <c r="AB1911"/>
  <c r="AC1911"/>
  <c r="AD1911"/>
  <c r="P1912"/>
  <c r="T1912"/>
  <c r="U1912"/>
  <c r="V1912"/>
  <c r="W1912"/>
  <c r="Y1912"/>
  <c r="AA1912"/>
  <c r="AB1912"/>
  <c r="AC1912"/>
  <c r="AD1912"/>
  <c r="P1913"/>
  <c r="T1913"/>
  <c r="U1913"/>
  <c r="V1913"/>
  <c r="W1913"/>
  <c r="Y1913"/>
  <c r="AA1913"/>
  <c r="AB1913"/>
  <c r="AC1913"/>
  <c r="AD1913"/>
  <c r="P1914"/>
  <c r="T1914"/>
  <c r="U1914"/>
  <c r="V1914"/>
  <c r="W1914"/>
  <c r="Y1914"/>
  <c r="AA1914"/>
  <c r="AB1914"/>
  <c r="AC1914"/>
  <c r="AD1914"/>
  <c r="P1915"/>
  <c r="T1915"/>
  <c r="U1915"/>
  <c r="V1915"/>
  <c r="W1915"/>
  <c r="Y1915"/>
  <c r="AA1915"/>
  <c r="AB1915"/>
  <c r="AC1915"/>
  <c r="AD1915"/>
  <c r="P1916"/>
  <c r="T1916"/>
  <c r="U1916"/>
  <c r="V1916"/>
  <c r="W1916"/>
  <c r="Y1916"/>
  <c r="AA1916"/>
  <c r="AB1916"/>
  <c r="AC1916"/>
  <c r="AD1916"/>
  <c r="P1917"/>
  <c r="T1917"/>
  <c r="U1917"/>
  <c r="V1917"/>
  <c r="W1917"/>
  <c r="Y1917"/>
  <c r="AA1917"/>
  <c r="AB1917"/>
  <c r="AC1917"/>
  <c r="AD1917"/>
  <c r="P1918"/>
  <c r="T1918"/>
  <c r="U1918"/>
  <c r="V1918"/>
  <c r="W1918"/>
  <c r="Y1918"/>
  <c r="AA1918"/>
  <c r="AB1918"/>
  <c r="AC1918"/>
  <c r="AD1918"/>
  <c r="P1919"/>
  <c r="T1919"/>
  <c r="U1919"/>
  <c r="V1919"/>
  <c r="W1919"/>
  <c r="Y1919"/>
  <c r="AA1919"/>
  <c r="AB1919"/>
  <c r="AC1919"/>
  <c r="AD1919"/>
  <c r="P1920"/>
  <c r="T1920"/>
  <c r="U1920"/>
  <c r="V1920"/>
  <c r="W1920"/>
  <c r="Y1920"/>
  <c r="AA1920"/>
  <c r="AB1920"/>
  <c r="AC1920"/>
  <c r="AD1920"/>
  <c r="P1921"/>
  <c r="T1921"/>
  <c r="U1921"/>
  <c r="V1921"/>
  <c r="W1921"/>
  <c r="Y1921"/>
  <c r="AA1921"/>
  <c r="AB1921"/>
  <c r="AC1921"/>
  <c r="AD1921"/>
  <c r="P1922"/>
  <c r="T1922"/>
  <c r="U1922"/>
  <c r="V1922"/>
  <c r="W1922"/>
  <c r="Y1922"/>
  <c r="AA1922"/>
  <c r="AB1922"/>
  <c r="AC1922"/>
  <c r="AD1922"/>
  <c r="P1923"/>
  <c r="T1923"/>
  <c r="U1923"/>
  <c r="V1923"/>
  <c r="W1923"/>
  <c r="Y1923"/>
  <c r="AA1923"/>
  <c r="AB1923"/>
  <c r="AC1923"/>
  <c r="AD1923"/>
  <c r="P1924"/>
  <c r="T1924"/>
  <c r="U1924"/>
  <c r="V1924"/>
  <c r="W1924"/>
  <c r="Y1924"/>
  <c r="AA1924"/>
  <c r="AB1924"/>
  <c r="AC1924"/>
  <c r="AD1924"/>
  <c r="P1925"/>
  <c r="T1925"/>
  <c r="U1925"/>
  <c r="V1925"/>
  <c r="W1925"/>
  <c r="Y1925"/>
  <c r="AA1925"/>
  <c r="AB1925"/>
  <c r="AC1925"/>
  <c r="AD1925"/>
  <c r="P1926"/>
  <c r="T1926"/>
  <c r="U1926"/>
  <c r="V1926"/>
  <c r="W1926"/>
  <c r="Y1926"/>
  <c r="AA1926"/>
  <c r="AB1926"/>
  <c r="AC1926"/>
  <c r="AD1926"/>
  <c r="P1927"/>
  <c r="T1927"/>
  <c r="U1927"/>
  <c r="V1927"/>
  <c r="W1927"/>
  <c r="Y1927"/>
  <c r="AA1927"/>
  <c r="AB1927"/>
  <c r="AC1927"/>
  <c r="AD1927"/>
  <c r="P1928"/>
  <c r="T1928"/>
  <c r="U1928"/>
  <c r="V1928"/>
  <c r="W1928"/>
  <c r="Y1928"/>
  <c r="AA1928"/>
  <c r="AB1928"/>
  <c r="AC1928"/>
  <c r="AD1928"/>
  <c r="P1929"/>
  <c r="T1929"/>
  <c r="U1929"/>
  <c r="V1929"/>
  <c r="W1929"/>
  <c r="Y1929"/>
  <c r="AA1929"/>
  <c r="AB1929"/>
  <c r="AC1929"/>
  <c r="AD1929"/>
  <c r="P1930"/>
  <c r="T1930"/>
  <c r="U1930"/>
  <c r="V1930"/>
  <c r="W1930"/>
  <c r="Y1930"/>
  <c r="AA1930"/>
  <c r="AB1930"/>
  <c r="AC1930"/>
  <c r="AD1930"/>
  <c r="P1931"/>
  <c r="T1931"/>
  <c r="U1931"/>
  <c r="V1931"/>
  <c r="W1931"/>
  <c r="Y1931"/>
  <c r="AA1931"/>
  <c r="AB1931"/>
  <c r="AC1931"/>
  <c r="AD1931"/>
  <c r="P1932"/>
  <c r="T1932"/>
  <c r="U1932"/>
  <c r="V1932"/>
  <c r="W1932"/>
  <c r="Y1932"/>
  <c r="AA1932"/>
  <c r="AB1932"/>
  <c r="AC1932"/>
  <c r="AD1932"/>
  <c r="P1933"/>
  <c r="T1933"/>
  <c r="U1933"/>
  <c r="V1933"/>
  <c r="W1933"/>
  <c r="Y1933"/>
  <c r="AA1933"/>
  <c r="AB1933"/>
  <c r="AC1933"/>
  <c r="AD1933"/>
  <c r="P1934"/>
  <c r="T1934"/>
  <c r="U1934"/>
  <c r="V1934"/>
  <c r="W1934"/>
  <c r="Y1934"/>
  <c r="AA1934"/>
  <c r="AB1934"/>
  <c r="AC1934"/>
  <c r="AD1934"/>
  <c r="P1935"/>
  <c r="T1935"/>
  <c r="U1935"/>
  <c r="V1935"/>
  <c r="W1935"/>
  <c r="Y1935"/>
  <c r="AA1935"/>
  <c r="AB1935"/>
  <c r="AC1935"/>
  <c r="AD1935"/>
  <c r="P1936"/>
  <c r="T1936"/>
  <c r="U1936"/>
  <c r="V1936"/>
  <c r="W1936"/>
  <c r="Y1936"/>
  <c r="AA1936"/>
  <c r="AB1936"/>
  <c r="AC1936"/>
  <c r="AD1936"/>
  <c r="P1937"/>
  <c r="T1937"/>
  <c r="U1937"/>
  <c r="V1937"/>
  <c r="W1937"/>
  <c r="Y1937"/>
  <c r="AA1937"/>
  <c r="AB1937"/>
  <c r="AC1937"/>
  <c r="AD1937"/>
  <c r="P1938"/>
  <c r="T1938"/>
  <c r="U1938"/>
  <c r="V1938"/>
  <c r="W1938"/>
  <c r="Y1938"/>
  <c r="AA1938"/>
  <c r="AB1938"/>
  <c r="AC1938"/>
  <c r="AD1938"/>
  <c r="P1939"/>
  <c r="T1939"/>
  <c r="U1939"/>
  <c r="V1939"/>
  <c r="W1939"/>
  <c r="Y1939"/>
  <c r="AA1939"/>
  <c r="AB1939"/>
  <c r="AC1939"/>
  <c r="AD1939"/>
  <c r="P1940"/>
  <c r="T1940"/>
  <c r="U1940"/>
  <c r="V1940"/>
  <c r="W1940"/>
  <c r="Y1940"/>
  <c r="AA1940"/>
  <c r="AB1940"/>
  <c r="AC1940"/>
  <c r="AD1940"/>
  <c r="P1941"/>
  <c r="T1941"/>
  <c r="U1941"/>
  <c r="V1941"/>
  <c r="W1941"/>
  <c r="Y1941"/>
  <c r="AA1941"/>
  <c r="AB1941"/>
  <c r="AC1941"/>
  <c r="AD1941"/>
  <c r="P1942"/>
  <c r="T1942"/>
  <c r="U1942"/>
  <c r="V1942"/>
  <c r="W1942"/>
  <c r="Y1942"/>
  <c r="AA1942"/>
  <c r="AB1942"/>
  <c r="AC1942"/>
  <c r="AD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AD1948"/>
  <c r="P1949"/>
  <c r="T1949"/>
  <c r="U1949"/>
  <c r="V1949"/>
  <c r="W1949"/>
  <c r="Y1949"/>
  <c r="AA1949"/>
  <c r="AB1949"/>
  <c r="AC1949"/>
  <c r="AD1949"/>
  <c r="P1950"/>
  <c r="T1950"/>
  <c r="U1950"/>
  <c r="V1950"/>
  <c r="W1950"/>
  <c r="Y1950"/>
  <c r="AA1950"/>
  <c r="AB1950"/>
  <c r="AC1950"/>
  <c r="AD1950"/>
  <c r="P1951"/>
  <c r="T1951"/>
  <c r="U1951"/>
  <c r="V1951"/>
  <c r="W1951"/>
  <c r="Y1951"/>
  <c r="AA1951"/>
  <c r="AB1951"/>
  <c r="AC1951"/>
  <c r="AD1951"/>
  <c r="P1952"/>
  <c r="T1952"/>
  <c r="U1952"/>
  <c r="V1952"/>
  <c r="W1952"/>
  <c r="Y1952"/>
  <c r="AA1952"/>
  <c r="AB1952"/>
  <c r="AC1952"/>
  <c r="AD1952"/>
  <c r="P1953"/>
  <c r="T1953"/>
  <c r="U1953"/>
  <c r="V1953"/>
  <c r="W1953"/>
  <c r="Y1953"/>
  <c r="AA1953"/>
  <c r="AB1953"/>
  <c r="AC1953"/>
  <c r="AD1953"/>
  <c r="P1954"/>
  <c r="T1954"/>
  <c r="U1954"/>
  <c r="V1954"/>
  <c r="W1954"/>
  <c r="Y1954"/>
  <c r="AA1954"/>
  <c r="AB1954"/>
  <c r="AC1954"/>
  <c r="AD1954"/>
  <c r="P1955"/>
  <c r="T1955"/>
  <c r="U1955"/>
  <c r="V1955"/>
  <c r="W1955"/>
  <c r="Y1955"/>
  <c r="AA1955"/>
  <c r="AB1955"/>
  <c r="AC1955"/>
  <c r="AD1955"/>
  <c r="P1956"/>
  <c r="T1956"/>
  <c r="U1956"/>
  <c r="V1956"/>
  <c r="W1956"/>
  <c r="Y1956"/>
  <c r="AA1956"/>
  <c r="AB1956"/>
  <c r="AC1956"/>
  <c r="AD1956"/>
  <c r="P1957"/>
  <c r="T1957"/>
  <c r="U1957"/>
  <c r="V1957"/>
  <c r="W1957"/>
  <c r="Y1957"/>
  <c r="AA1957"/>
  <c r="AB1957"/>
  <c r="AC1957"/>
  <c r="AD1957"/>
  <c r="P1958"/>
  <c r="T1958"/>
  <c r="U1958"/>
  <c r="V1958"/>
  <c r="W1958"/>
  <c r="Y1958"/>
  <c r="AA1958"/>
  <c r="AB1958"/>
  <c r="AC1958"/>
  <c r="AD1958"/>
  <c r="P1959"/>
  <c r="T1959"/>
  <c r="U1959"/>
  <c r="V1959"/>
  <c r="W1959"/>
  <c r="Y1959"/>
  <c r="AA1959"/>
  <c r="AB1959"/>
  <c r="AC1959"/>
  <c r="AD1959"/>
  <c r="P1960"/>
  <c r="T1960"/>
  <c r="U1960"/>
  <c r="V1960"/>
  <c r="W1960"/>
  <c r="Y1960"/>
  <c r="AA1960"/>
  <c r="AB1960"/>
  <c r="AC1960"/>
  <c r="AD1960"/>
  <c r="P1961"/>
  <c r="T1961"/>
  <c r="U1961"/>
  <c r="V1961"/>
  <c r="W1961"/>
  <c r="Y1961"/>
  <c r="AA1961"/>
  <c r="AB1961"/>
  <c r="AC1961"/>
  <c r="AD1961"/>
  <c r="P1962"/>
  <c r="T1962"/>
  <c r="U1962"/>
  <c r="V1962"/>
  <c r="W1962"/>
  <c r="Y1962"/>
  <c r="AA1962"/>
  <c r="AB1962"/>
  <c r="AC1962"/>
  <c r="AD1962"/>
  <c r="P1963"/>
  <c r="T1963"/>
  <c r="U1963"/>
  <c r="V1963"/>
  <c r="W1963"/>
  <c r="Y1963"/>
  <c r="AA1963"/>
  <c r="AB1963"/>
  <c r="AC1963"/>
  <c r="AD1963"/>
  <c r="P1964"/>
  <c r="T1964"/>
  <c r="U1964"/>
  <c r="V1964"/>
  <c r="W1964"/>
  <c r="Y1964"/>
  <c r="AA1964"/>
  <c r="AB1964"/>
  <c r="AC1964"/>
  <c r="AD1964"/>
  <c r="P1965"/>
  <c r="T1965"/>
  <c r="U1965"/>
  <c r="V1965"/>
  <c r="W1965"/>
  <c r="Y1965"/>
  <c r="AA1965"/>
  <c r="AB1965"/>
  <c r="AC1965"/>
  <c r="AD1965"/>
  <c r="P1966"/>
  <c r="T1966"/>
  <c r="U1966"/>
  <c r="V1966"/>
  <c r="W1966"/>
  <c r="Y1966"/>
  <c r="AA1966"/>
  <c r="AB1966"/>
  <c r="AC1966"/>
  <c r="AD1966"/>
  <c r="P1967"/>
  <c r="T1967"/>
  <c r="U1967"/>
  <c r="V1967"/>
  <c r="W1967"/>
  <c r="Y1967"/>
  <c r="AA1967"/>
  <c r="AB1967"/>
  <c r="AC1967"/>
  <c r="AD1967"/>
  <c r="P1968"/>
  <c r="T1968"/>
  <c r="U1968"/>
  <c r="V1968"/>
  <c r="W1968"/>
  <c r="Y1968"/>
  <c r="AA1968"/>
  <c r="AB1968"/>
  <c r="AC1968"/>
  <c r="AD1968"/>
  <c r="P1969"/>
  <c r="T1969"/>
  <c r="U1969"/>
  <c r="V1969"/>
  <c r="W1969"/>
  <c r="Y1969"/>
  <c r="AA1969"/>
  <c r="AB1969"/>
  <c r="AC1969"/>
  <c r="AD1969"/>
  <c r="P1970"/>
  <c r="T1970"/>
  <c r="U1970"/>
  <c r="V1970"/>
  <c r="W1970"/>
  <c r="Y1970"/>
  <c r="AA1970"/>
  <c r="AB1970"/>
  <c r="AC1970"/>
  <c r="AD1970"/>
  <c r="P1971"/>
  <c r="T1971"/>
  <c r="U1971"/>
  <c r="V1971"/>
  <c r="W1971"/>
  <c r="Y1971"/>
  <c r="AA1971"/>
  <c r="AB1971"/>
  <c r="AC1971"/>
  <c r="AD1971"/>
  <c r="P1972"/>
  <c r="T1972"/>
  <c r="U1972"/>
  <c r="V1972"/>
  <c r="W1972"/>
  <c r="Y1972"/>
  <c r="AA1972"/>
  <c r="AB1972"/>
  <c r="AC1972"/>
  <c r="AD1972"/>
  <c r="P1973"/>
  <c r="T1973"/>
  <c r="U1973"/>
  <c r="V1973"/>
  <c r="W1973"/>
  <c r="Y1973"/>
  <c r="AA1973"/>
  <c r="AB1973"/>
  <c r="AC1973"/>
  <c r="AD1973"/>
  <c r="P1974"/>
  <c r="T1974"/>
  <c r="U1974"/>
  <c r="V1974"/>
  <c r="W1974"/>
  <c r="Y1974"/>
  <c r="AA1974"/>
  <c r="AB1974"/>
  <c r="AC1974"/>
  <c r="AD1974"/>
  <c r="P1975"/>
  <c r="T1975"/>
  <c r="U1975"/>
  <c r="V1975"/>
  <c r="W1975"/>
  <c r="Y1975"/>
  <c r="AA1975"/>
  <c r="AB1975"/>
  <c r="AC1975"/>
  <c r="AD1975"/>
  <c r="P1976"/>
  <c r="T1976"/>
  <c r="U1976"/>
  <c r="V1976"/>
  <c r="W1976"/>
  <c r="Y1976"/>
  <c r="AA1976"/>
  <c r="AB1976"/>
  <c r="AC1976"/>
  <c r="AD1976"/>
  <c r="P1977"/>
  <c r="T1977"/>
  <c r="U1977"/>
  <c r="V1977"/>
  <c r="W1977"/>
  <c r="Y1977"/>
  <c r="AA1977"/>
  <c r="AB1977"/>
  <c r="AC1977"/>
  <c r="AD1977"/>
  <c r="P1978"/>
  <c r="T1978"/>
  <c r="U1978"/>
  <c r="V1978"/>
  <c r="W1978"/>
  <c r="Y1978"/>
  <c r="AA1978"/>
  <c r="AB1978"/>
  <c r="AC1978"/>
  <c r="AD1978"/>
  <c r="P1979"/>
  <c r="T1979"/>
  <c r="U1979"/>
  <c r="V1979"/>
  <c r="W1979"/>
  <c r="Y1979"/>
  <c r="AA1979"/>
  <c r="AB1979"/>
  <c r="AC1979"/>
  <c r="AD1979"/>
  <c r="P1980"/>
  <c r="T1980"/>
  <c r="U1980"/>
  <c r="V1980"/>
  <c r="W1980"/>
  <c r="Y1980"/>
  <c r="AA1980"/>
  <c r="AB1980"/>
  <c r="AC1980"/>
  <c r="AD1980"/>
  <c r="P1981"/>
  <c r="T1981"/>
  <c r="U1981"/>
  <c r="V1981"/>
  <c r="W1981"/>
  <c r="Y1981"/>
  <c r="AA1981"/>
  <c r="AB1981"/>
  <c r="AC1981"/>
  <c r="AD1981"/>
  <c r="P1982"/>
  <c r="T1982"/>
  <c r="U1982"/>
  <c r="V1982"/>
  <c r="W1982"/>
  <c r="Y1982"/>
  <c r="AA1982"/>
  <c r="AB1982"/>
  <c r="AC1982"/>
  <c r="AD1982"/>
  <c r="P1983"/>
  <c r="T1983"/>
  <c r="U1983"/>
  <c r="V1983"/>
  <c r="W1983"/>
  <c r="Y1983"/>
  <c r="AA1983"/>
  <c r="AB1983"/>
  <c r="AC1983"/>
  <c r="AD1983"/>
  <c r="P1984"/>
  <c r="T1984"/>
  <c r="U1984"/>
  <c r="V1984"/>
  <c r="W1984"/>
  <c r="Y1984"/>
  <c r="AA1984"/>
  <c r="AB1984"/>
  <c r="AC1984"/>
  <c r="AD1984"/>
  <c r="P1985"/>
  <c r="T1985"/>
  <c r="U1985"/>
  <c r="V1985"/>
  <c r="W1985"/>
  <c r="Y1985"/>
  <c r="AA1985"/>
  <c r="AB1985"/>
  <c r="AC1985"/>
  <c r="AD1985"/>
  <c r="P1986"/>
  <c r="T1986"/>
  <c r="U1986"/>
  <c r="V1986"/>
  <c r="W1986"/>
  <c r="Y1986"/>
  <c r="AA1986"/>
  <c r="AB1986"/>
  <c r="AC1986"/>
  <c r="AD1986"/>
  <c r="P1987"/>
  <c r="T1987"/>
  <c r="U1987"/>
  <c r="V1987"/>
  <c r="W1987"/>
  <c r="Y1987"/>
  <c r="AA1987"/>
  <c r="AB1987"/>
  <c r="AC1987"/>
  <c r="AD1987"/>
  <c r="P1988"/>
  <c r="T1988"/>
  <c r="U1988"/>
  <c r="V1988"/>
  <c r="W1988"/>
  <c r="Y1988"/>
  <c r="AA1988"/>
  <c r="AB1988"/>
  <c r="AC1988"/>
  <c r="AD1988"/>
  <c r="P1989"/>
  <c r="T1989"/>
  <c r="U1989"/>
  <c r="V1989"/>
  <c r="W1989"/>
  <c r="Y1989"/>
  <c r="AA1989"/>
  <c r="AB1989"/>
  <c r="AC1989"/>
  <c r="AD1989"/>
  <c r="P1990"/>
  <c r="T1990"/>
  <c r="U1990"/>
  <c r="V1990"/>
  <c r="W1990"/>
  <c r="Y1990"/>
  <c r="AA1990"/>
  <c r="AB1990"/>
  <c r="AC1990"/>
  <c r="AD1990"/>
  <c r="P1991"/>
  <c r="T1991"/>
  <c r="U1991"/>
  <c r="V1991"/>
  <c r="W1991"/>
  <c r="Y1991"/>
  <c r="AA1991"/>
  <c r="AB1991"/>
  <c r="AC1991"/>
  <c r="AD1991"/>
  <c r="P1992"/>
  <c r="T1992"/>
  <c r="U1992"/>
  <c r="V1992"/>
  <c r="W1992"/>
  <c r="Y1992"/>
  <c r="AA1992"/>
  <c r="AB1992"/>
  <c r="AC1992"/>
  <c r="AD1992"/>
  <c r="P1993"/>
  <c r="T1993"/>
  <c r="U1993"/>
  <c r="V1993"/>
  <c r="W1993"/>
  <c r="Y1993"/>
  <c r="AA1993"/>
  <c r="AB1993"/>
  <c r="AC1993"/>
  <c r="AD1993"/>
  <c r="P1994"/>
  <c r="T1994"/>
  <c r="U1994"/>
  <c r="V1994"/>
  <c r="W1994"/>
  <c r="Y1994"/>
  <c r="AA1994"/>
  <c r="AB1994"/>
  <c r="AC1994"/>
  <c r="AD1994"/>
  <c r="P1995"/>
  <c r="T1995"/>
  <c r="U1995"/>
  <c r="V1995"/>
  <c r="W1995"/>
  <c r="Y1995"/>
  <c r="AA1995"/>
  <c r="AB1995"/>
  <c r="AC1995"/>
  <c r="AD1995"/>
  <c r="P1996"/>
  <c r="T1996"/>
  <c r="U1996"/>
  <c r="V1996"/>
  <c r="W1996"/>
  <c r="Y1996"/>
  <c r="AA1996"/>
  <c r="AB1996"/>
  <c r="AC1996"/>
  <c r="AD1996"/>
  <c r="P1997"/>
  <c r="T1997"/>
  <c r="U1997"/>
  <c r="V1997"/>
  <c r="W1997"/>
  <c r="Y1997"/>
  <c r="AA1997"/>
  <c r="AB1997"/>
  <c r="AC1997"/>
  <c r="AD1997"/>
  <c r="P1998"/>
  <c r="T1998"/>
  <c r="U1998"/>
  <c r="V1998"/>
  <c r="W1998"/>
  <c r="Y1998"/>
  <c r="AA1998"/>
  <c r="AB1998"/>
  <c r="AC1998"/>
  <c r="AD1998"/>
  <c r="P1999"/>
  <c r="T1999"/>
  <c r="U1999"/>
  <c r="V1999"/>
  <c r="W1999"/>
  <c r="Y1999"/>
  <c r="AA1999"/>
  <c r="AB1999"/>
  <c r="AC1999"/>
  <c r="AD1999"/>
  <c r="P2000"/>
  <c r="T2000"/>
  <c r="U2000"/>
  <c r="V2000"/>
  <c r="W2000"/>
  <c r="Y2000"/>
  <c r="AA2000"/>
  <c r="AB2000"/>
  <c r="AC2000"/>
  <c r="AD2000"/>
  <c r="P2001"/>
  <c r="T2001"/>
  <c r="U2001"/>
  <c r="V2001"/>
  <c r="W2001"/>
  <c r="Y2001"/>
  <c r="AA2001"/>
  <c r="AB2001"/>
  <c r="AC2001"/>
  <c r="AD2001"/>
  <c r="P2002"/>
  <c r="T2002"/>
  <c r="U2002"/>
  <c r="V2002"/>
  <c r="W2002"/>
  <c r="Y2002"/>
  <c r="AA2002"/>
  <c r="AB2002"/>
  <c r="AC2002"/>
  <c r="AD2002"/>
  <c r="P2003"/>
  <c r="T2003"/>
  <c r="U2003"/>
  <c r="V2003"/>
  <c r="W2003"/>
  <c r="Y2003"/>
  <c r="AA2003"/>
  <c r="AB2003"/>
  <c r="AC2003"/>
  <c r="AD2003"/>
  <c r="P2004"/>
  <c r="T2004"/>
  <c r="U2004"/>
  <c r="V2004"/>
  <c r="W2004"/>
  <c r="Y2004"/>
  <c r="AA2004"/>
  <c r="AB2004"/>
  <c r="AC2004"/>
  <c r="AD2004"/>
  <c r="P2005"/>
  <c r="T2005"/>
  <c r="U2005"/>
  <c r="V2005"/>
  <c r="W2005"/>
  <c r="Y2005"/>
  <c r="AA2005"/>
  <c r="AB2005"/>
  <c r="AC2005"/>
  <c r="AD2005"/>
  <c r="P2006"/>
  <c r="T2006"/>
  <c r="U2006"/>
  <c r="V2006"/>
  <c r="W2006"/>
  <c r="Y2006"/>
  <c r="AA2006"/>
  <c r="AB2006"/>
  <c r="AC2006"/>
  <c r="AD2006"/>
  <c r="P2007"/>
  <c r="T2007"/>
  <c r="U2007"/>
  <c r="V2007"/>
  <c r="W2007"/>
  <c r="Y2007"/>
  <c r="AA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AD2011"/>
  <c r="P2012"/>
  <c r="T2012"/>
  <c r="U2012"/>
  <c r="V2012"/>
  <c r="W2012"/>
  <c r="Y2012"/>
  <c r="AA2012"/>
  <c r="AB2012"/>
  <c r="AC2012"/>
  <c r="AD2012"/>
  <c r="P2013"/>
  <c r="T2013"/>
  <c r="U2013"/>
  <c r="V2013"/>
  <c r="W2013"/>
  <c r="Y2013"/>
  <c r="AA2013"/>
  <c r="AB2013"/>
  <c r="AC2013"/>
  <c r="AD2013"/>
  <c r="P2014"/>
  <c r="T2014"/>
  <c r="U2014"/>
  <c r="V2014"/>
  <c r="W2014"/>
  <c r="Y2014"/>
  <c r="AA2014"/>
  <c r="AB2014"/>
  <c r="AC2014"/>
  <c r="AD2014"/>
  <c r="P2015"/>
  <c r="T2015"/>
  <c r="U2015"/>
  <c r="V2015"/>
  <c r="W2015"/>
  <c r="Y2015"/>
  <c r="AA2015"/>
  <c r="AB2015"/>
  <c r="AC2015"/>
  <c r="AD2015"/>
  <c r="P2016"/>
  <c r="T2016"/>
  <c r="U2016"/>
  <c r="V2016"/>
  <c r="W2016"/>
  <c r="Y2016"/>
  <c r="AA2016"/>
  <c r="AB2016"/>
  <c r="AC2016"/>
  <c r="AD2016"/>
  <c r="P2017"/>
  <c r="T2017"/>
  <c r="U2017"/>
  <c r="V2017"/>
  <c r="W2017"/>
  <c r="Y2017"/>
  <c r="AA2017"/>
  <c r="AB2017"/>
  <c r="AC2017"/>
  <c r="AD2017"/>
  <c r="P2018"/>
  <c r="T2018"/>
  <c r="U2018"/>
  <c r="V2018"/>
  <c r="W2018"/>
  <c r="Y2018"/>
  <c r="AA2018"/>
  <c r="AB2018"/>
  <c r="AC2018"/>
  <c r="AD2018"/>
  <c r="P2019"/>
  <c r="T2019"/>
  <c r="U2019"/>
  <c r="V2019"/>
  <c r="W2019"/>
  <c r="Y2019"/>
  <c r="AA2019"/>
  <c r="AB2019"/>
  <c r="AC2019"/>
  <c r="AD2019"/>
  <c r="P2020"/>
  <c r="T2020"/>
  <c r="U2020"/>
  <c r="V2020"/>
  <c r="W2020"/>
  <c r="Y2020"/>
  <c r="AA2020"/>
  <c r="AB2020"/>
  <c r="AC2020"/>
  <c r="AD2020"/>
  <c r="P2021"/>
  <c r="T2021"/>
  <c r="U2021"/>
  <c r="V2021"/>
  <c r="W2021"/>
  <c r="Y2021"/>
  <c r="AA2021"/>
  <c r="AB2021"/>
  <c r="AC2021"/>
  <c r="AD2021"/>
  <c r="P2022"/>
  <c r="T2022"/>
  <c r="U2022"/>
  <c r="V2022"/>
  <c r="W2022"/>
  <c r="Y2022"/>
  <c r="AA2022"/>
  <c r="AB2022"/>
  <c r="AC2022"/>
  <c r="AD2022"/>
  <c r="P2023"/>
  <c r="T2023"/>
  <c r="U2023"/>
  <c r="V2023"/>
  <c r="W2023"/>
  <c r="Y2023"/>
  <c r="AA2023"/>
  <c r="AB2023"/>
  <c r="AC2023"/>
  <c r="AD2023"/>
  <c r="P2024"/>
  <c r="T2024"/>
  <c r="U2024"/>
  <c r="V2024"/>
  <c r="W2024"/>
  <c r="Y2024"/>
  <c r="AA2024"/>
  <c r="AB2024"/>
  <c r="AC2024"/>
  <c r="AD2024"/>
  <c r="P2025"/>
  <c r="T2025"/>
  <c r="U2025"/>
  <c r="V2025"/>
  <c r="W2025"/>
  <c r="Y2025"/>
  <c r="AA2025"/>
  <c r="AB2025"/>
  <c r="AC2025"/>
  <c r="AD2025"/>
  <c r="P2026"/>
  <c r="T2026"/>
  <c r="U2026"/>
  <c r="V2026"/>
  <c r="W2026"/>
  <c r="Y2026"/>
  <c r="AA2026"/>
  <c r="AB2026"/>
  <c r="AC2026"/>
  <c r="AD2026"/>
  <c r="P2027"/>
  <c r="T2027"/>
  <c r="U2027"/>
  <c r="V2027"/>
  <c r="W2027"/>
  <c r="Y2027"/>
  <c r="AA2027"/>
  <c r="AB2027"/>
  <c r="AC2027"/>
  <c r="AD2027"/>
  <c r="P2028"/>
  <c r="T2028"/>
  <c r="U2028"/>
  <c r="V2028"/>
  <c r="W2028"/>
  <c r="Y2028"/>
  <c r="AA2028"/>
  <c r="AB2028"/>
  <c r="AC2028"/>
  <c r="AD2028"/>
  <c r="P2029"/>
  <c r="T2029"/>
  <c r="U2029"/>
  <c r="V2029"/>
  <c r="W2029"/>
  <c r="Y2029"/>
  <c r="AA2029"/>
  <c r="AB2029"/>
  <c r="AC2029"/>
  <c r="AD2029"/>
  <c r="P2030"/>
  <c r="T2030"/>
  <c r="U2030"/>
  <c r="V2030"/>
  <c r="W2030"/>
  <c r="Y2030"/>
  <c r="AA2030"/>
  <c r="AB2030"/>
  <c r="AC2030"/>
  <c r="AD2030"/>
  <c r="P2031"/>
  <c r="T2031"/>
  <c r="U2031"/>
  <c r="V2031"/>
  <c r="W2031"/>
  <c r="Y2031"/>
  <c r="AA2031"/>
  <c r="AB2031"/>
  <c r="AC2031"/>
  <c r="AD2031"/>
  <c r="P2032"/>
  <c r="T2032"/>
  <c r="U2032"/>
  <c r="V2032"/>
  <c r="W2032"/>
  <c r="Y2032"/>
  <c r="AA2032"/>
  <c r="AB2032"/>
  <c r="AC2032"/>
  <c r="AD2032"/>
  <c r="P2033"/>
  <c r="T2033"/>
  <c r="U2033"/>
  <c r="V2033"/>
  <c r="W2033"/>
  <c r="Y2033"/>
  <c r="AA2033"/>
  <c r="AB2033"/>
  <c r="AC2033"/>
  <c r="AD2033"/>
  <c r="P2034"/>
  <c r="T2034"/>
  <c r="U2034"/>
  <c r="V2034"/>
  <c r="W2034"/>
  <c r="Y2034"/>
  <c r="AA2034"/>
  <c r="AB2034"/>
  <c r="AC2034"/>
  <c r="AD2034"/>
  <c r="P2035"/>
  <c r="T2035"/>
  <c r="U2035"/>
  <c r="V2035"/>
  <c r="W2035"/>
  <c r="Y2035"/>
  <c r="AA2035"/>
  <c r="AB2035"/>
  <c r="AC2035"/>
  <c r="AD2035"/>
  <c r="P2036"/>
  <c r="T2036"/>
  <c r="U2036"/>
  <c r="V2036"/>
  <c r="W2036"/>
  <c r="Y2036"/>
  <c r="AA2036"/>
  <c r="AB2036"/>
  <c r="AC2036"/>
  <c r="AD2036"/>
  <c r="P2037"/>
  <c r="T2037"/>
  <c r="U2037"/>
  <c r="V2037"/>
  <c r="W2037"/>
  <c r="Y2037"/>
  <c r="AA2037"/>
  <c r="AB2037"/>
  <c r="AC2037"/>
  <c r="AD2037"/>
  <c r="P2038"/>
  <c r="T2038"/>
  <c r="U2038"/>
  <c r="V2038"/>
  <c r="W2038"/>
  <c r="Y2038"/>
  <c r="AA2038"/>
  <c r="AB2038"/>
  <c r="AC2038"/>
  <c r="AD2038"/>
  <c r="P2039"/>
  <c r="T2039"/>
  <c r="U2039"/>
  <c r="V2039"/>
  <c r="W2039"/>
  <c r="Y2039"/>
  <c r="AA2039"/>
  <c r="AB2039"/>
  <c r="AC2039"/>
  <c r="AD2039"/>
  <c r="P2040"/>
  <c r="T2040"/>
  <c r="U2040"/>
  <c r="V2040"/>
  <c r="W2040"/>
  <c r="Y2040"/>
  <c r="AA2040"/>
  <c r="AB2040"/>
  <c r="AC2040"/>
  <c r="AD2040"/>
  <c r="P2041"/>
  <c r="T2041"/>
  <c r="U2041"/>
  <c r="V2041"/>
  <c r="W2041"/>
  <c r="Y2041"/>
  <c r="AA2041"/>
  <c r="AB2041"/>
  <c r="AC2041"/>
  <c r="AD2041"/>
  <c r="P2042"/>
  <c r="T2042"/>
  <c r="U2042"/>
  <c r="V2042"/>
  <c r="W2042"/>
  <c r="Y2042"/>
  <c r="AA2042"/>
  <c r="AB2042"/>
  <c r="AC2042"/>
  <c r="AD2042"/>
  <c r="P2043"/>
  <c r="T2043"/>
  <c r="U2043"/>
  <c r="V2043"/>
  <c r="W2043"/>
  <c r="Y2043"/>
  <c r="AA2043"/>
  <c r="AB2043"/>
  <c r="AC2043"/>
  <c r="AD2043"/>
  <c r="P2044"/>
  <c r="T2044"/>
  <c r="U2044"/>
  <c r="V2044"/>
  <c r="W2044"/>
  <c r="Y2044"/>
  <c r="AA2044"/>
  <c r="AB2044"/>
  <c r="AC2044"/>
  <c r="AD2044"/>
  <c r="P2045"/>
  <c r="T2045"/>
  <c r="U2045"/>
  <c r="V2045"/>
  <c r="W2045"/>
  <c r="Y2045"/>
  <c r="AA2045"/>
  <c r="AB2045"/>
  <c r="AC2045"/>
  <c r="AD2045"/>
  <c r="P2046"/>
  <c r="T2046"/>
  <c r="U2046"/>
  <c r="V2046"/>
  <c r="W2046"/>
  <c r="Y2046"/>
  <c r="AA2046"/>
  <c r="AB2046"/>
  <c r="AC2046"/>
  <c r="AD2046"/>
  <c r="P2047"/>
  <c r="T2047"/>
  <c r="U2047"/>
  <c r="V2047"/>
  <c r="W2047"/>
  <c r="Y2047"/>
  <c r="AA2047"/>
  <c r="AB2047"/>
  <c r="AC2047"/>
  <c r="AD2047"/>
  <c r="P2048"/>
  <c r="T2048"/>
  <c r="U2048"/>
  <c r="V2048"/>
  <c r="W2048"/>
  <c r="Y2048"/>
  <c r="AA2048"/>
  <c r="AB2048"/>
  <c r="AC2048"/>
  <c r="AD2048"/>
  <c r="P2049"/>
  <c r="T2049"/>
  <c r="U2049"/>
  <c r="V2049"/>
  <c r="W2049"/>
  <c r="Y2049"/>
  <c r="AA2049"/>
  <c r="AB2049"/>
  <c r="AC2049"/>
  <c r="AD2049"/>
  <c r="P2050"/>
  <c r="T2050"/>
  <c r="U2050"/>
  <c r="V2050"/>
  <c r="W2050"/>
  <c r="Y2050"/>
  <c r="AA2050"/>
  <c r="AB2050"/>
  <c r="AC2050"/>
  <c r="AD2050"/>
  <c r="P2051"/>
  <c r="T2051"/>
  <c r="U2051"/>
  <c r="V2051"/>
  <c r="W2051"/>
  <c r="Y2051"/>
  <c r="AA2051"/>
  <c r="AB2051"/>
  <c r="AC2051"/>
  <c r="AD2051"/>
  <c r="P2052"/>
  <c r="T2052"/>
  <c r="U2052"/>
  <c r="V2052"/>
  <c r="W2052"/>
  <c r="Y2052"/>
  <c r="AA2052"/>
  <c r="AB2052"/>
  <c r="AC2052"/>
  <c r="AD2052"/>
  <c r="P2053"/>
  <c r="T2053"/>
  <c r="U2053"/>
  <c r="V2053"/>
  <c r="W2053"/>
  <c r="Y2053"/>
  <c r="AA2053"/>
  <c r="AB2053"/>
  <c r="AC2053"/>
  <c r="AD2053"/>
  <c r="P2054"/>
  <c r="T2054"/>
  <c r="U2054"/>
  <c r="V2054"/>
  <c r="W2054"/>
  <c r="Y2054"/>
  <c r="AA2054"/>
  <c r="AB2054"/>
  <c r="AC2054"/>
  <c r="AD2054"/>
  <c r="P2055"/>
  <c r="T2055"/>
  <c r="U2055"/>
  <c r="V2055"/>
  <c r="W2055"/>
  <c r="Y2055"/>
  <c r="AA2055"/>
  <c r="AB2055"/>
  <c r="AC2055"/>
  <c r="AD2055"/>
  <c r="P2056"/>
  <c r="T2056"/>
  <c r="U2056"/>
  <c r="V2056"/>
  <c r="W2056"/>
  <c r="Y2056"/>
  <c r="AA2056"/>
  <c r="AB2056"/>
  <c r="AC2056"/>
  <c r="AD2056"/>
  <c r="P2057"/>
  <c r="T2057"/>
  <c r="U2057"/>
  <c r="V2057"/>
  <c r="W2057"/>
  <c r="Y2057"/>
  <c r="AA2057"/>
  <c r="AB2057"/>
  <c r="AC2057"/>
  <c r="AD2057"/>
  <c r="P2058"/>
  <c r="T2058"/>
  <c r="U2058"/>
  <c r="V2058"/>
  <c r="W2058"/>
  <c r="Y2058"/>
  <c r="AA2058"/>
  <c r="AB2058"/>
  <c r="AC2058"/>
  <c r="AD2058"/>
  <c r="P2059"/>
  <c r="T2059"/>
  <c r="U2059"/>
  <c r="V2059"/>
  <c r="W2059"/>
  <c r="Y2059"/>
  <c r="AA2059"/>
  <c r="AB2059"/>
  <c r="AC2059"/>
  <c r="AD2059"/>
  <c r="P2060"/>
  <c r="T2060"/>
  <c r="U2060"/>
  <c r="V2060"/>
  <c r="W2060"/>
  <c r="Y2060"/>
  <c r="AA2060"/>
  <c r="AB2060"/>
  <c r="AC2060"/>
  <c r="AD2060"/>
  <c r="P2061"/>
  <c r="T2061"/>
  <c r="U2061"/>
  <c r="V2061"/>
  <c r="W2061"/>
  <c r="Y2061"/>
  <c r="AA2061"/>
  <c r="AB2061"/>
  <c r="AC2061"/>
  <c r="AD2061"/>
  <c r="P2062"/>
  <c r="T2062"/>
  <c r="U2062"/>
  <c r="V2062"/>
  <c r="W2062"/>
  <c r="Y2062"/>
  <c r="AA2062"/>
  <c r="AB2062"/>
  <c r="AC2062"/>
  <c r="AD2062"/>
  <c r="P2063"/>
  <c r="T2063"/>
  <c r="U2063"/>
  <c r="V2063"/>
  <c r="W2063"/>
  <c r="Y2063"/>
  <c r="AA2063"/>
  <c r="AB2063"/>
  <c r="AC2063"/>
  <c r="AD2063"/>
  <c r="P2064"/>
  <c r="T2064"/>
  <c r="U2064"/>
  <c r="V2064"/>
  <c r="W2064"/>
  <c r="Y2064"/>
  <c r="AA2064"/>
  <c r="AB2064"/>
  <c r="AC2064"/>
  <c r="AD2064"/>
  <c r="P2065"/>
  <c r="T2065"/>
  <c r="U2065"/>
  <c r="V2065"/>
  <c r="W2065"/>
  <c r="Y2065"/>
  <c r="AA2065"/>
  <c r="AB2065"/>
  <c r="AC2065"/>
  <c r="AD2065"/>
  <c r="P2066"/>
  <c r="T2066"/>
  <c r="U2066"/>
  <c r="V2066"/>
  <c r="W2066"/>
  <c r="Y2066"/>
  <c r="AA2066"/>
  <c r="AB2066"/>
  <c r="AC2066"/>
  <c r="AD2066"/>
  <c r="P2067"/>
  <c r="T2067"/>
  <c r="U2067"/>
  <c r="V2067"/>
  <c r="W2067"/>
  <c r="Y2067"/>
  <c r="AA2067"/>
  <c r="AB2067"/>
  <c r="AC2067"/>
  <c r="AD2067"/>
  <c r="P2068"/>
  <c r="T2068"/>
  <c r="U2068"/>
  <c r="V2068"/>
  <c r="W2068"/>
  <c r="Y2068"/>
  <c r="AA2068"/>
  <c r="AB2068"/>
  <c r="AC2068"/>
  <c r="AD2068"/>
  <c r="P2069"/>
  <c r="T2069"/>
  <c r="U2069"/>
  <c r="V2069"/>
  <c r="W2069"/>
  <c r="Y2069"/>
  <c r="AA2069"/>
  <c r="AB2069"/>
  <c r="AC2069"/>
  <c r="AD2069"/>
  <c r="P2070"/>
  <c r="T2070"/>
  <c r="U2070"/>
  <c r="V2070"/>
  <c r="W2070"/>
  <c r="Y2070"/>
  <c r="AA2070"/>
  <c r="AB2070"/>
  <c r="AC2070"/>
  <c r="AD2070"/>
  <c r="P2071"/>
  <c r="T2071"/>
  <c r="U2071"/>
  <c r="V2071"/>
  <c r="W2071"/>
  <c r="Y2071"/>
  <c r="AA2071"/>
  <c r="AB2071"/>
  <c r="AC2071"/>
  <c r="AD2071"/>
  <c r="P2072"/>
  <c r="T2072"/>
  <c r="U2072"/>
  <c r="V2072"/>
  <c r="W2072"/>
  <c r="Y2072"/>
  <c r="AA2072"/>
  <c r="AB2072"/>
  <c r="AC2072"/>
  <c r="AD2072"/>
  <c r="P2073"/>
  <c r="T2073"/>
  <c r="U2073"/>
  <c r="V2073"/>
  <c r="W2073"/>
  <c r="Y2073"/>
  <c r="AA2073"/>
  <c r="AB2073"/>
  <c r="AC2073"/>
  <c r="AD2073"/>
  <c r="P2074"/>
  <c r="T2074"/>
  <c r="U2074"/>
  <c r="V2074"/>
  <c r="W2074"/>
  <c r="Y2074"/>
  <c r="AA2074"/>
  <c r="AB2074"/>
  <c r="AC2074"/>
  <c r="AD2074"/>
  <c r="P2075"/>
  <c r="T2075"/>
  <c r="U2075"/>
  <c r="V2075"/>
  <c r="W2075"/>
  <c r="Y2075"/>
  <c r="AA2075"/>
  <c r="AB2075"/>
  <c r="AC2075"/>
  <c r="AD2075"/>
  <c r="P2076"/>
  <c r="T2076"/>
  <c r="U2076"/>
  <c r="V2076"/>
  <c r="W2076"/>
  <c r="Y2076"/>
  <c r="AA2076"/>
  <c r="AB2076"/>
  <c r="AC2076"/>
  <c r="AD2076"/>
  <c r="P2077"/>
  <c r="T2077"/>
  <c r="U2077"/>
  <c r="V2077"/>
  <c r="W2077"/>
  <c r="Y2077"/>
  <c r="AA2077"/>
  <c r="AB2077"/>
  <c r="AC2077"/>
  <c r="AD2077"/>
  <c r="P2078"/>
  <c r="T2078"/>
  <c r="U2078"/>
  <c r="V2078"/>
  <c r="W2078"/>
  <c r="Y2078"/>
  <c r="AA2078"/>
  <c r="AB2078"/>
  <c r="AC2078"/>
  <c r="AD2078"/>
  <c r="P2079"/>
  <c r="T2079"/>
  <c r="U2079"/>
  <c r="V2079"/>
  <c r="W2079"/>
  <c r="Y2079"/>
  <c r="AA2079"/>
  <c r="AB2079"/>
  <c r="AC2079"/>
  <c r="AD2079"/>
  <c r="P2080"/>
  <c r="T2080"/>
  <c r="U2080"/>
  <c r="V2080"/>
  <c r="W2080"/>
  <c r="Y2080"/>
  <c r="AA2080"/>
  <c r="AB2080"/>
  <c r="AC2080"/>
  <c r="AD2080"/>
  <c r="P2081"/>
  <c r="T2081"/>
  <c r="U2081"/>
  <c r="V2081"/>
  <c r="W2081"/>
  <c r="Y2081"/>
  <c r="AA2081"/>
  <c r="AB2081"/>
  <c r="AC2081"/>
  <c r="AD2081"/>
  <c r="P2082"/>
  <c r="T2082"/>
  <c r="U2082"/>
  <c r="V2082"/>
  <c r="W2082"/>
  <c r="Y2082"/>
  <c r="AA2082"/>
  <c r="AB2082"/>
  <c r="AC2082"/>
  <c r="AD2082"/>
  <c r="P2083"/>
  <c r="T2083"/>
  <c r="U2083"/>
  <c r="V2083"/>
  <c r="W2083"/>
  <c r="Y2083"/>
  <c r="AA2083"/>
  <c r="AB2083"/>
  <c r="AC2083"/>
  <c r="AD2083"/>
  <c r="P2084"/>
  <c r="T2084"/>
  <c r="U2084"/>
  <c r="V2084"/>
  <c r="W2084"/>
  <c r="Y2084"/>
  <c r="AA2084"/>
  <c r="AB2084"/>
  <c r="AC2084"/>
  <c r="AD2084"/>
  <c r="P2085"/>
  <c r="T2085"/>
  <c r="U2085"/>
  <c r="V2085"/>
  <c r="W2085"/>
  <c r="Y2085"/>
  <c r="AA2085"/>
  <c r="AB2085"/>
  <c r="AC2085"/>
  <c r="AD2085"/>
  <c r="P2086"/>
  <c r="T2086"/>
  <c r="U2086"/>
  <c r="V2086"/>
  <c r="W2086"/>
  <c r="Y2086"/>
  <c r="AA2086"/>
  <c r="AB2086"/>
  <c r="AC2086"/>
  <c r="AD2086"/>
  <c r="P2087"/>
  <c r="T2087"/>
  <c r="U2087"/>
  <c r="V2087"/>
  <c r="W2087"/>
  <c r="Y2087"/>
  <c r="AA2087"/>
  <c r="AB2087"/>
  <c r="AC2087"/>
  <c r="AD2087"/>
  <c r="P2088"/>
  <c r="T2088"/>
  <c r="U2088"/>
  <c r="V2088"/>
  <c r="W2088"/>
  <c r="Y2088"/>
  <c r="AA2088"/>
  <c r="AB2088"/>
  <c r="AC2088"/>
  <c r="AD2088"/>
  <c r="P2089"/>
  <c r="T2089"/>
  <c r="U2089"/>
  <c r="V2089"/>
  <c r="W2089"/>
  <c r="Y2089"/>
  <c r="AA2089"/>
  <c r="AB2089"/>
  <c r="AC2089"/>
  <c r="AD2089"/>
  <c r="P2090"/>
  <c r="T2090"/>
  <c r="U2090"/>
  <c r="V2090"/>
  <c r="W2090"/>
  <c r="Y2090"/>
  <c r="AA2090"/>
  <c r="AB2090"/>
  <c r="AC2090"/>
  <c r="AD2090"/>
  <c r="P2091"/>
  <c r="T2091"/>
  <c r="U2091"/>
  <c r="V2091"/>
  <c r="W2091"/>
  <c r="Y2091"/>
  <c r="AA2091"/>
  <c r="AB2091"/>
  <c r="AC2091"/>
  <c r="AD2091"/>
  <c r="P2092"/>
  <c r="T2092"/>
  <c r="U2092"/>
  <c r="V2092"/>
  <c r="W2092"/>
  <c r="Y2092"/>
  <c r="AA2092"/>
  <c r="AB2092"/>
  <c r="AC2092"/>
  <c r="AD2092"/>
  <c r="P2093"/>
  <c r="T2093"/>
  <c r="U2093"/>
  <c r="V2093"/>
  <c r="W2093"/>
  <c r="Y2093"/>
  <c r="AA2093"/>
  <c r="AB2093"/>
  <c r="AC2093"/>
  <c r="AD2093"/>
  <c r="P2094"/>
  <c r="T2094"/>
  <c r="U2094"/>
  <c r="V2094"/>
  <c r="W2094"/>
  <c r="Y2094"/>
  <c r="AA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AD2097"/>
  <c r="P2098"/>
  <c r="T2098"/>
  <c r="U2098"/>
  <c r="V2098"/>
  <c r="W2098"/>
  <c r="Y2098"/>
  <c r="AA2098"/>
  <c r="AB2098"/>
  <c r="AC2098"/>
  <c r="AD2098"/>
  <c r="P2099"/>
  <c r="T2099"/>
  <c r="U2099"/>
  <c r="V2099"/>
  <c r="W2099"/>
  <c r="Y2099"/>
  <c r="AA2099"/>
  <c r="AB2099"/>
  <c r="AC2099"/>
  <c r="AD2099"/>
  <c r="P2100"/>
  <c r="T2100"/>
  <c r="U2100"/>
  <c r="V2100"/>
  <c r="W2100"/>
  <c r="Y2100"/>
  <c r="AA2100"/>
  <c r="AB2100"/>
  <c r="AC2100"/>
  <c r="AD2100"/>
  <c r="P2101"/>
  <c r="T2101"/>
  <c r="U2101"/>
  <c r="V2101"/>
  <c r="W2101"/>
  <c r="Y2101"/>
  <c r="AA2101"/>
  <c r="AB2101"/>
  <c r="AC2101"/>
  <c r="AD2101"/>
  <c r="P2102"/>
  <c r="T2102"/>
  <c r="U2102"/>
  <c r="V2102"/>
  <c r="W2102"/>
  <c r="Y2102"/>
  <c r="AA2102"/>
  <c r="AB2102"/>
  <c r="AC2102"/>
  <c r="AD2102"/>
  <c r="P2103"/>
  <c r="T2103"/>
  <c r="U2103"/>
  <c r="V2103"/>
  <c r="W2103"/>
  <c r="Y2103"/>
  <c r="AA2103"/>
  <c r="AB2103"/>
  <c r="AC2103"/>
  <c r="AD2103"/>
  <c r="P2104"/>
  <c r="T2104"/>
  <c r="U2104"/>
  <c r="V2104"/>
  <c r="W2104"/>
  <c r="Y2104"/>
  <c r="AA2104"/>
  <c r="AB2104"/>
  <c r="AC2104"/>
  <c r="AD2104"/>
  <c r="P2105"/>
  <c r="T2105"/>
  <c r="U2105"/>
  <c r="V2105"/>
  <c r="W2105"/>
  <c r="Y2105"/>
  <c r="AA2105"/>
  <c r="AB2105"/>
  <c r="AC2105"/>
  <c r="AD2105"/>
  <c r="P2106"/>
  <c r="T2106"/>
  <c r="U2106"/>
  <c r="V2106"/>
  <c r="W2106"/>
  <c r="Y2106"/>
  <c r="AA2106"/>
  <c r="AB2106"/>
  <c r="AC2106"/>
  <c r="AD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A2134"/>
  <c r="AB2134"/>
  <c r="AC2134"/>
  <c r="AD2134"/>
  <c r="P2135"/>
  <c r="T2135"/>
  <c r="U2135"/>
  <c r="V2135"/>
  <c r="W2135"/>
  <c r="Y2135"/>
  <c r="AA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A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A2183"/>
  <c r="AB2183"/>
  <c r="AC2183"/>
  <c r="AD2183"/>
  <c r="P2184"/>
  <c r="T2184"/>
  <c r="U2184"/>
  <c r="V2184"/>
  <c r="W2184"/>
  <c r="Y2184"/>
  <c r="AA2184"/>
  <c r="AB2184"/>
  <c r="AC2184"/>
  <c r="AD2184"/>
  <c r="P2185"/>
  <c r="T2185"/>
  <c r="U2185"/>
  <c r="V2185"/>
  <c r="W2185"/>
  <c r="Y2185"/>
  <c r="AA2185"/>
  <c r="AB2185"/>
  <c r="AC2185"/>
  <c r="AD2185"/>
  <c r="P2186"/>
  <c r="T2186"/>
  <c r="U2186"/>
  <c r="V2186"/>
  <c r="W2186"/>
  <c r="Y2186"/>
  <c r="AA2186"/>
  <c r="AB2186"/>
  <c r="AC2186"/>
  <c r="AD2186"/>
  <c r="P2187"/>
  <c r="T2187"/>
  <c r="U2187"/>
  <c r="V2187"/>
  <c r="W2187"/>
  <c r="Y2187"/>
  <c r="AA2187"/>
  <c r="AB2187"/>
  <c r="AC2187"/>
  <c r="AD2187"/>
  <c r="P2188"/>
  <c r="T2188"/>
  <c r="U2188"/>
  <c r="V2188"/>
  <c r="W2188"/>
  <c r="Y2188"/>
  <c r="AA2188"/>
  <c r="AB2188"/>
  <c r="AC2188"/>
  <c r="AD2188"/>
  <c r="P2189"/>
  <c r="T2189"/>
  <c r="U2189"/>
  <c r="V2189"/>
  <c r="W2189"/>
  <c r="Y2189"/>
  <c r="AA2189"/>
  <c r="AB2189"/>
  <c r="AC2189"/>
  <c r="AD2189"/>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8"/>
  <c r="T2198"/>
  <c r="U2198"/>
  <c r="V2198"/>
  <c r="W2198"/>
  <c r="Y2198"/>
  <c r="AA2198"/>
  <c r="AB2198"/>
  <c r="AC2198"/>
  <c r="AD2198"/>
  <c r="P2199"/>
  <c r="T2199"/>
  <c r="U2199"/>
  <c r="V2199"/>
  <c r="W2199"/>
  <c r="Y2199"/>
  <c r="AA2199"/>
  <c r="AB2199"/>
  <c r="AC2199"/>
  <c r="AD2199"/>
  <c r="P2200"/>
  <c r="T2200"/>
  <c r="U2200"/>
  <c r="V2200"/>
  <c r="W2200"/>
  <c r="Y2200"/>
  <c r="AA2200"/>
  <c r="AB2200"/>
  <c r="AC2200"/>
  <c r="AD2200"/>
  <c r="P2201"/>
  <c r="T2201"/>
  <c r="U2201"/>
  <c r="V2201"/>
  <c r="W2201"/>
  <c r="Y2201"/>
  <c r="AA2201"/>
  <c r="AB2201"/>
  <c r="AC2201"/>
  <c r="AD2201"/>
  <c r="P2202"/>
  <c r="T2202"/>
  <c r="U2202"/>
  <c r="V2202"/>
  <c r="W2202"/>
  <c r="Y2202"/>
  <c r="AA2202"/>
  <c r="AB2202"/>
  <c r="AC2202"/>
  <c r="AD2202"/>
  <c r="P2203"/>
  <c r="T2203"/>
  <c r="U2203"/>
  <c r="V2203"/>
  <c r="W2203"/>
  <c r="Y2203"/>
  <c r="AA2203"/>
  <c r="AB2203"/>
  <c r="AC2203"/>
  <c r="AD2203"/>
  <c r="P2204"/>
  <c r="T2204"/>
  <c r="U2204"/>
  <c r="V2204"/>
  <c r="W2204"/>
  <c r="Y2204"/>
  <c r="AA2204"/>
  <c r="AB2204"/>
  <c r="AC2204"/>
  <c r="AD2204"/>
  <c r="P2205"/>
  <c r="T2205"/>
  <c r="U2205"/>
  <c r="V2205"/>
  <c r="W2205"/>
  <c r="Y2205"/>
  <c r="AA2205"/>
  <c r="AB2205"/>
  <c r="AC2205"/>
  <c r="AD2205"/>
  <c r="P2206"/>
  <c r="T2206"/>
  <c r="U2206"/>
  <c r="V2206"/>
  <c r="W2206"/>
  <c r="Y2206"/>
  <c r="AA2206"/>
  <c r="AB2206"/>
  <c r="AC2206"/>
  <c r="AD2206"/>
  <c r="P2207"/>
  <c r="T2207"/>
  <c r="U2207"/>
  <c r="V2207"/>
  <c r="W2207"/>
  <c r="Y2207"/>
  <c r="AA2207"/>
  <c r="AB2207"/>
  <c r="AC2207"/>
  <c r="AD2207"/>
  <c r="P2208"/>
  <c r="T2208"/>
  <c r="U2208"/>
  <c r="V2208"/>
  <c r="W2208"/>
  <c r="Y2208"/>
  <c r="AA2208"/>
  <c r="AB2208"/>
  <c r="AC2208"/>
  <c r="AD2208"/>
  <c r="P2209"/>
  <c r="T2209"/>
  <c r="U2209"/>
  <c r="V2209"/>
  <c r="W2209"/>
  <c r="Y2209"/>
  <c r="AA2209"/>
  <c r="AB2209"/>
  <c r="AC2209"/>
  <c r="AD2209"/>
  <c r="P2210"/>
  <c r="T2210"/>
  <c r="U2210"/>
  <c r="V2210"/>
  <c r="W2210"/>
  <c r="Y2210"/>
  <c r="AA2210"/>
  <c r="AB2210"/>
  <c r="AC2210"/>
  <c r="AD2210"/>
  <c r="P2211"/>
  <c r="T2211"/>
  <c r="U2211"/>
  <c r="V2211"/>
  <c r="W2211"/>
  <c r="Y2211"/>
  <c r="AA2211"/>
  <c r="AB2211"/>
  <c r="AC2211"/>
  <c r="AD2211"/>
  <c r="P2212"/>
  <c r="T2212"/>
  <c r="U2212"/>
  <c r="V2212"/>
  <c r="W2212"/>
  <c r="Y2212"/>
  <c r="AA2212"/>
  <c r="AB2212"/>
  <c r="AC2212"/>
  <c r="AD2212"/>
  <c r="P2213"/>
  <c r="T2213"/>
  <c r="U2213"/>
  <c r="V2213"/>
  <c r="W2213"/>
  <c r="Y2213"/>
  <c r="AA2213"/>
  <c r="AB2213"/>
  <c r="AC2213"/>
  <c r="AD2213"/>
  <c r="P2214"/>
  <c r="T2214"/>
  <c r="U2214"/>
  <c r="V2214"/>
  <c r="W2214"/>
  <c r="Y2214"/>
  <c r="AA2214"/>
  <c r="AB2214"/>
  <c r="AC2214"/>
  <c r="AD2214"/>
  <c r="P2215"/>
  <c r="T2215"/>
  <c r="U2215"/>
  <c r="V2215"/>
  <c r="W2215"/>
  <c r="Y2215"/>
  <c r="AA2215"/>
  <c r="AB2215"/>
  <c r="AC2215"/>
  <c r="AD2215"/>
  <c r="P2216"/>
  <c r="T2216"/>
  <c r="U2216"/>
  <c r="V2216"/>
  <c r="W2216"/>
  <c r="Y2216"/>
  <c r="AA2216"/>
  <c r="AB2216"/>
  <c r="AC2216"/>
  <c r="AD2216"/>
  <c r="P2217"/>
  <c r="T2217"/>
  <c r="U2217"/>
  <c r="V2217"/>
  <c r="W2217"/>
  <c r="Y2217"/>
  <c r="AA2217"/>
  <c r="AB2217"/>
  <c r="AC2217"/>
  <c r="AD2217"/>
  <c r="P2218"/>
  <c r="T2218"/>
  <c r="U2218"/>
  <c r="V2218"/>
  <c r="W2218"/>
  <c r="Y2218"/>
  <c r="AA2218"/>
  <c r="AB2218"/>
  <c r="AC2218"/>
  <c r="AD2218"/>
  <c r="P2219"/>
  <c r="T2219"/>
  <c r="U2219"/>
  <c r="V2219"/>
  <c r="W2219"/>
  <c r="Y2219"/>
  <c r="AA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A2223"/>
  <c r="AB2223"/>
  <c r="AC2223"/>
  <c r="AD2223"/>
  <c r="P2224"/>
  <c r="T2224"/>
  <c r="U2224"/>
  <c r="V2224"/>
  <c r="W2224"/>
  <c r="Y2224"/>
  <c r="AA2224"/>
  <c r="AB2224"/>
  <c r="AC2224"/>
  <c r="AD2224"/>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A2229"/>
  <c r="AB2229"/>
  <c r="AC2229"/>
  <c r="AD2229"/>
  <c r="P2230"/>
  <c r="T2230"/>
  <c r="U2230"/>
  <c r="V2230"/>
  <c r="W2230"/>
  <c r="Y2230"/>
  <c r="AA2230"/>
  <c r="AB2230"/>
  <c r="AC2230"/>
  <c r="AD2230"/>
  <c r="P2231"/>
  <c r="T2231"/>
  <c r="U2231"/>
  <c r="V2231"/>
  <c r="W2231"/>
  <c r="Y2231"/>
  <c r="AA2231"/>
  <c r="AB2231"/>
  <c r="AC2231"/>
  <c r="AD2231"/>
  <c r="P2232"/>
  <c r="T2232"/>
  <c r="U2232"/>
  <c r="V2232"/>
  <c r="W2232"/>
  <c r="Y2232"/>
  <c r="AA2232"/>
  <c r="AB2232"/>
  <c r="AC2232"/>
  <c r="AD2232"/>
  <c r="P2233"/>
  <c r="T2233"/>
  <c r="U2233"/>
  <c r="V2233"/>
  <c r="W2233"/>
  <c r="Y2233"/>
  <c r="AA2233"/>
  <c r="AB2233"/>
  <c r="AC2233"/>
  <c r="AD2233"/>
  <c r="P2234"/>
  <c r="T2234"/>
  <c r="U2234"/>
  <c r="V2234"/>
  <c r="W2234"/>
  <c r="Y2234"/>
  <c r="AA2234"/>
  <c r="AB2234"/>
  <c r="AC2234"/>
  <c r="AD2234"/>
  <c r="P2235"/>
  <c r="T2235"/>
  <c r="U2235"/>
  <c r="V2235"/>
  <c r="W2235"/>
  <c r="Y2235"/>
  <c r="AA2235"/>
  <c r="AB2235"/>
  <c r="AC2235"/>
  <c r="AD2235"/>
  <c r="P2236"/>
  <c r="T2236"/>
  <c r="U2236"/>
  <c r="V2236"/>
  <c r="W2236"/>
  <c r="Y2236"/>
  <c r="AA2236"/>
  <c r="AB2236"/>
  <c r="AC2236"/>
  <c r="AD2236"/>
  <c r="P2237"/>
  <c r="T2237"/>
  <c r="U2237"/>
  <c r="V2237"/>
  <c r="W2237"/>
  <c r="Y2237"/>
  <c r="AA2237"/>
  <c r="AB2237"/>
  <c r="AC2237"/>
  <c r="AD2237"/>
  <c r="P2238"/>
  <c r="T2238"/>
  <c r="U2238"/>
  <c r="V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T2243"/>
  <c r="U2243"/>
  <c r="V2243"/>
  <c r="W2243"/>
  <c r="Y2243"/>
  <c r="AA2243"/>
  <c r="AB2243"/>
  <c r="AC2243"/>
  <c r="AD2243"/>
  <c r="P2244"/>
  <c r="T2244"/>
  <c r="U2244"/>
  <c r="V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AD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T2252"/>
  <c r="U2252"/>
  <c r="V2252"/>
  <c r="W2252"/>
  <c r="Y2252"/>
  <c r="AA2252"/>
  <c r="AB2252"/>
  <c r="AC2252"/>
  <c r="AD2252"/>
  <c r="P2253"/>
  <c r="T2253"/>
  <c r="U2253"/>
  <c r="V2253"/>
  <c r="W2253"/>
  <c r="Y2253"/>
  <c r="AA2253"/>
  <c r="AB2253"/>
  <c r="AC2253"/>
  <c r="AD2253"/>
  <c r="P2254"/>
  <c r="T2254"/>
  <c r="U2254"/>
  <c r="V2254"/>
  <c r="W2254"/>
  <c r="Y2254"/>
  <c r="AA2254"/>
  <c r="AB2254"/>
  <c r="AC2254"/>
  <c r="AD2254"/>
  <c r="P2255"/>
  <c r="T2255"/>
  <c r="U2255"/>
  <c r="V2255"/>
  <c r="W2255"/>
  <c r="Y2255"/>
  <c r="AA2255"/>
  <c r="AB2255"/>
  <c r="AC2255"/>
  <c r="AD2255"/>
  <c r="P2256"/>
  <c r="T2256"/>
  <c r="U2256"/>
  <c r="V2256"/>
  <c r="W2256"/>
  <c r="Y2256"/>
  <c r="AA2256"/>
  <c r="AB2256"/>
  <c r="AC2256"/>
  <c r="AD2256"/>
  <c r="P2257"/>
  <c r="T2257"/>
  <c r="U2257"/>
  <c r="V2257"/>
  <c r="W2257"/>
  <c r="Y2257"/>
  <c r="AA2257"/>
  <c r="AB2257"/>
  <c r="AC2257"/>
  <c r="AD2257"/>
  <c r="P2258"/>
  <c r="T2258"/>
  <c r="U2258"/>
  <c r="V2258"/>
  <c r="W2258"/>
  <c r="Y2258"/>
  <c r="AA2258"/>
  <c r="AB2258"/>
  <c r="AC2258"/>
  <c r="AD2258"/>
  <c r="P2259"/>
  <c r="T2259"/>
  <c r="U2259"/>
  <c r="V2259"/>
  <c r="W2259"/>
  <c r="Y2259"/>
  <c r="AA2259"/>
  <c r="AB2259"/>
  <c r="AC2259"/>
  <c r="AD2259"/>
  <c r="P2260"/>
  <c r="T2260"/>
  <c r="U2260"/>
  <c r="V2260"/>
  <c r="W2260"/>
  <c r="Y2260"/>
  <c r="AA2260"/>
  <c r="AB2260"/>
  <c r="AC2260"/>
  <c r="AD2260"/>
  <c r="P2261"/>
  <c r="T2261"/>
  <c r="U2261"/>
  <c r="V2261"/>
  <c r="W2261"/>
  <c r="Y2261"/>
  <c r="AA2261"/>
  <c r="AB2261"/>
  <c r="AC2261"/>
  <c r="AD2261"/>
  <c r="P2262"/>
  <c r="T2262"/>
  <c r="U2262"/>
  <c r="V2262"/>
  <c r="W2262"/>
  <c r="Y2262"/>
  <c r="AA2262"/>
  <c r="AB2262"/>
  <c r="AC2262"/>
  <c r="AD2262"/>
  <c r="P2263"/>
  <c r="T2263"/>
  <c r="U2263"/>
  <c r="V2263"/>
  <c r="W2263"/>
  <c r="Y2263"/>
  <c r="AA2263"/>
  <c r="AB2263"/>
  <c r="AC2263"/>
  <c r="AD2263"/>
  <c r="P2264"/>
  <c r="T2264"/>
  <c r="U2264"/>
  <c r="V2264"/>
  <c r="W2264"/>
  <c r="Y2264"/>
  <c r="AA2264"/>
  <c r="AB2264"/>
  <c r="AC2264"/>
  <c r="AD2264"/>
  <c r="P2265"/>
  <c r="T2265"/>
  <c r="U2265"/>
  <c r="V2265"/>
  <c r="W2265"/>
  <c r="Y2265"/>
  <c r="AA2265"/>
  <c r="AB2265"/>
  <c r="AC2265"/>
  <c r="AD2265"/>
  <c r="P2266"/>
  <c r="T2266"/>
  <c r="U2266"/>
  <c r="V2266"/>
  <c r="W2266"/>
  <c r="Y2266"/>
  <c r="AA2266"/>
  <c r="AB2266"/>
  <c r="AC2266"/>
  <c r="AD2266"/>
  <c r="P2267"/>
  <c r="T2267"/>
  <c r="U2267"/>
  <c r="V2267"/>
  <c r="W2267"/>
  <c r="Y2267"/>
  <c r="AA2267"/>
  <c r="AB2267"/>
  <c r="AC2267"/>
  <c r="AD2267"/>
  <c r="P2268"/>
  <c r="T2268"/>
  <c r="U2268"/>
  <c r="V2268"/>
  <c r="W2268"/>
  <c r="Y2268"/>
  <c r="AA2268"/>
  <c r="AB2268"/>
  <c r="AC2268"/>
  <c r="AD2268"/>
  <c r="P2269"/>
  <c r="T2269"/>
  <c r="U2269"/>
  <c r="V2269"/>
  <c r="W2269"/>
  <c r="Y2269"/>
  <c r="AA2269"/>
  <c r="AB2269"/>
  <c r="AC2269"/>
  <c r="AD2269"/>
  <c r="P2270"/>
  <c r="T2270"/>
  <c r="U2270"/>
  <c r="V2270"/>
  <c r="W2270"/>
  <c r="Y2270"/>
  <c r="AA2270"/>
  <c r="AB2270"/>
  <c r="AC2270"/>
  <c r="AD2270"/>
  <c r="P2271"/>
  <c r="T2271"/>
  <c r="U2271"/>
  <c r="V2271"/>
  <c r="W2271"/>
  <c r="Y2271"/>
  <c r="AA2271"/>
  <c r="AB2271"/>
  <c r="AC2271"/>
  <c r="AD2271"/>
  <c r="P2272"/>
  <c r="T2272"/>
  <c r="U2272"/>
  <c r="V2272"/>
  <c r="W2272"/>
  <c r="Y2272"/>
  <c r="AA2272"/>
  <c r="AB2272"/>
  <c r="AC2272"/>
  <c r="AD2272"/>
  <c r="P2273"/>
  <c r="T2273"/>
  <c r="U2273"/>
  <c r="V2273"/>
  <c r="W2273"/>
  <c r="Y2273"/>
  <c r="AA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A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A2280"/>
  <c r="AB2280"/>
  <c r="AC2280"/>
  <c r="AD2280"/>
  <c r="P2281"/>
  <c r="T2281"/>
  <c r="U2281"/>
  <c r="V2281"/>
  <c r="W2281"/>
  <c r="Y2281"/>
  <c r="AA2281"/>
  <c r="AB2281"/>
  <c r="AC2281"/>
  <c r="AD2281"/>
  <c r="P2282"/>
  <c r="T2282"/>
  <c r="U2282"/>
  <c r="V2282"/>
  <c r="W2282"/>
  <c r="Y2282"/>
  <c r="AA2282"/>
  <c r="AB2282"/>
  <c r="AC2282"/>
  <c r="AD2282"/>
  <c r="P2283"/>
  <c r="T2283"/>
  <c r="U2283"/>
  <c r="V2283"/>
  <c r="W2283"/>
  <c r="Y2283"/>
  <c r="AA2283"/>
  <c r="AB2283"/>
  <c r="AC2283"/>
  <c r="AD2283"/>
  <c r="P2284"/>
  <c r="T2284"/>
  <c r="U2284"/>
  <c r="V2284"/>
  <c r="W2284"/>
  <c r="Y2284"/>
  <c r="AA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A2287"/>
  <c r="AB2287"/>
  <c r="AC2287"/>
  <c r="AD2287"/>
  <c r="P2288"/>
  <c r="T2288"/>
  <c r="U2288"/>
  <c r="V2288"/>
  <c r="W2288"/>
  <c r="Y2288"/>
  <c r="AA2288"/>
  <c r="AB2288"/>
  <c r="AC2288"/>
  <c r="AD2288"/>
  <c r="P2289"/>
  <c r="T2289"/>
  <c r="U2289"/>
  <c r="V2289"/>
  <c r="W2289"/>
  <c r="Y2289"/>
  <c r="AA2289"/>
  <c r="AB2289"/>
  <c r="AC2289"/>
  <c r="AD2289"/>
  <c r="P2290"/>
  <c r="T2290"/>
  <c r="U2290"/>
  <c r="V2290"/>
  <c r="W2290"/>
  <c r="Y2290"/>
  <c r="AA2290"/>
  <c r="AB2290"/>
  <c r="AC2290"/>
  <c r="AD2290"/>
  <c r="P2291"/>
  <c r="T2291"/>
  <c r="U2291"/>
  <c r="V2291"/>
  <c r="W2291"/>
  <c r="Y2291"/>
  <c r="AA2291"/>
  <c r="AB2291"/>
  <c r="AC2291"/>
  <c r="AD2291"/>
  <c r="P2292"/>
  <c r="T2292"/>
  <c r="U2292"/>
  <c r="V2292"/>
  <c r="W2292"/>
  <c r="Y2292"/>
  <c r="AA2292"/>
  <c r="AB2292"/>
  <c r="AC2292"/>
  <c r="AD2292"/>
  <c r="P2293"/>
  <c r="T2293"/>
  <c r="U2293"/>
  <c r="V2293"/>
  <c r="W2293"/>
  <c r="Y2293"/>
  <c r="AA2293"/>
  <c r="AB2293"/>
  <c r="AC2293"/>
  <c r="AD2293"/>
  <c r="P2294"/>
  <c r="T2294"/>
  <c r="U2294"/>
  <c r="V2294"/>
  <c r="W2294"/>
  <c r="Y2294"/>
  <c r="AA2294"/>
  <c r="AB2294"/>
  <c r="AC2294"/>
  <c r="AD2294"/>
  <c r="P2295"/>
  <c r="T2295"/>
  <c r="U2295"/>
  <c r="V2295"/>
  <c r="W2295"/>
  <c r="Y2295"/>
  <c r="AA2295"/>
  <c r="AB2295"/>
  <c r="AC2295"/>
  <c r="AD2295"/>
  <c r="P2296"/>
  <c r="T2296"/>
  <c r="U2296"/>
  <c r="V2296"/>
  <c r="W2296"/>
  <c r="Y2296"/>
  <c r="AA2296"/>
  <c r="AB2296"/>
  <c r="AC2296"/>
  <c r="AD2296"/>
  <c r="P2297"/>
  <c r="T2297"/>
  <c r="U2297"/>
  <c r="V2297"/>
  <c r="W2297"/>
  <c r="Y2297"/>
  <c r="AA2297"/>
  <c r="AB2297"/>
  <c r="AC2297"/>
  <c r="AD2297"/>
  <c r="P2298"/>
  <c r="T2298"/>
  <c r="U2298"/>
  <c r="V2298"/>
  <c r="W2298"/>
  <c r="Y2298"/>
  <c r="AA2298"/>
  <c r="AB2298"/>
  <c r="AC2298"/>
  <c r="AD2298"/>
  <c r="P2299"/>
  <c r="T2299"/>
  <c r="U2299"/>
  <c r="V2299"/>
  <c r="W2299"/>
  <c r="Y2299"/>
  <c r="AA2299"/>
  <c r="AB2299"/>
  <c r="AC2299"/>
  <c r="AD2299"/>
  <c r="P2300"/>
  <c r="T2300"/>
  <c r="U2300"/>
  <c r="V2300"/>
  <c r="W2300"/>
  <c r="Y2300"/>
  <c r="AA2300"/>
  <c r="AB2300"/>
  <c r="AC2300"/>
  <c r="AD2300"/>
  <c r="P2301"/>
  <c r="T2301"/>
  <c r="U2301"/>
  <c r="V2301"/>
  <c r="W2301"/>
  <c r="Y2301"/>
  <c r="AA2301"/>
  <c r="AB2301"/>
  <c r="AC2301"/>
  <c r="AD2301"/>
  <c r="P2302"/>
  <c r="T2302"/>
  <c r="U2302"/>
  <c r="V2302"/>
  <c r="W2302"/>
  <c r="Y2302"/>
  <c r="AA2302"/>
  <c r="AB2302"/>
  <c r="AC2302"/>
  <c r="AD2302"/>
  <c r="P2303"/>
  <c r="T2303"/>
  <c r="U2303"/>
  <c r="V2303"/>
  <c r="W2303"/>
  <c r="Y2303"/>
  <c r="AA2303"/>
  <c r="AB2303"/>
  <c r="AC2303"/>
  <c r="AD2303"/>
  <c r="P2304"/>
  <c r="T2304"/>
  <c r="U2304"/>
  <c r="V2304"/>
  <c r="W2304"/>
  <c r="Y2304"/>
  <c r="AA2304"/>
  <c r="AB2304"/>
  <c r="AC2304"/>
  <c r="AD2304"/>
  <c r="P2305"/>
  <c r="T2305"/>
  <c r="U2305"/>
  <c r="V2305"/>
  <c r="W2305"/>
  <c r="Y2305"/>
  <c r="AA2305"/>
  <c r="AB2305"/>
  <c r="AC2305"/>
  <c r="AD2305"/>
  <c r="P2306"/>
  <c r="T2306"/>
  <c r="U2306"/>
  <c r="V2306"/>
  <c r="W2306"/>
  <c r="Y2306"/>
  <c r="AA2306"/>
  <c r="AB2306"/>
  <c r="AC2306"/>
  <c r="AD2306"/>
  <c r="P2307"/>
  <c r="T2307"/>
  <c r="U2307"/>
  <c r="V2307"/>
  <c r="W2307"/>
  <c r="Y2307"/>
  <c r="AA2307"/>
  <c r="AB2307"/>
  <c r="AC2307"/>
  <c r="AD2307"/>
  <c r="P2308"/>
  <c r="T2308"/>
  <c r="U2308"/>
  <c r="V2308"/>
  <c r="W2308"/>
  <c r="Y2308"/>
  <c r="AA2308"/>
  <c r="AB2308"/>
  <c r="AC2308"/>
  <c r="AD2308"/>
  <c r="P2309"/>
  <c r="T2309"/>
  <c r="U2309"/>
  <c r="V2309"/>
  <c r="W2309"/>
  <c r="Y2309"/>
  <c r="AA2309"/>
  <c r="AB2309"/>
  <c r="AC2309"/>
  <c r="AD2309"/>
  <c r="P2310"/>
  <c r="T2310"/>
  <c r="U2310"/>
  <c r="V2310"/>
  <c r="W2310"/>
  <c r="Y2310"/>
  <c r="AA2310"/>
  <c r="AB2310"/>
  <c r="AC2310"/>
  <c r="AD2310"/>
  <c r="P2311"/>
  <c r="T2311"/>
  <c r="U2311"/>
  <c r="V2311"/>
  <c r="W2311"/>
  <c r="Y2311"/>
  <c r="AA2311"/>
  <c r="AB2311"/>
  <c r="AC2311"/>
  <c r="AD2311"/>
  <c r="P2312"/>
  <c r="T2312"/>
  <c r="U2312"/>
  <c r="V2312"/>
  <c r="W2312"/>
  <c r="Y2312"/>
  <c r="AA2312"/>
  <c r="AB2312"/>
  <c r="AC2312"/>
  <c r="AD2312"/>
  <c r="P2313"/>
  <c r="T2313"/>
  <c r="U2313"/>
  <c r="V2313"/>
  <c r="W2313"/>
  <c r="Y2313"/>
  <c r="AA2313"/>
  <c r="AB2313"/>
  <c r="AC2313"/>
  <c r="AD2313"/>
  <c r="P2314"/>
  <c r="T2314"/>
  <c r="U2314"/>
  <c r="V2314"/>
  <c r="W2314"/>
  <c r="Y2314"/>
  <c r="AA2314"/>
  <c r="AB2314"/>
  <c r="AC2314"/>
  <c r="AD2314"/>
  <c r="P2315"/>
  <c r="T2315"/>
  <c r="U2315"/>
  <c r="V2315"/>
  <c r="W2315"/>
  <c r="Y2315"/>
  <c r="AA2315"/>
  <c r="AB2315"/>
  <c r="AC2315"/>
  <c r="AD2315"/>
  <c r="P2316"/>
  <c r="T2316"/>
  <c r="U2316"/>
  <c r="V2316"/>
  <c r="W2316"/>
  <c r="Y2316"/>
  <c r="AA2316"/>
  <c r="AB2316"/>
  <c r="AC2316"/>
  <c r="AD2316"/>
  <c r="P2317"/>
  <c r="T2317"/>
  <c r="U2317"/>
  <c r="V2317"/>
  <c r="W2317"/>
  <c r="Y2317"/>
  <c r="AA2317"/>
  <c r="AB2317"/>
  <c r="AC2317"/>
  <c r="AD2317"/>
  <c r="P2318"/>
  <c r="T2318"/>
  <c r="U2318"/>
  <c r="V2318"/>
  <c r="W2318"/>
  <c r="Y2318"/>
  <c r="AA2318"/>
  <c r="AB2318"/>
  <c r="AC2318"/>
  <c r="AD2318"/>
  <c r="P2319"/>
  <c r="T2319"/>
  <c r="U2319"/>
  <c r="V2319"/>
  <c r="W2319"/>
  <c r="Y2319"/>
  <c r="AA2319"/>
  <c r="AB2319"/>
  <c r="AC2319"/>
  <c r="AD2319"/>
  <c r="P2320"/>
  <c r="T2320"/>
  <c r="U2320"/>
  <c r="V2320"/>
  <c r="W2320"/>
  <c r="Y2320"/>
  <c r="AA2320"/>
  <c r="AB2320"/>
  <c r="AC2320"/>
  <c r="AD2320"/>
  <c r="P2321"/>
  <c r="T2321"/>
  <c r="U2321"/>
  <c r="V2321"/>
  <c r="W2321"/>
  <c r="Y2321"/>
  <c r="AA2321"/>
  <c r="AB2321"/>
  <c r="AC2321"/>
  <c r="AD2321"/>
  <c r="P2322"/>
  <c r="T2322"/>
  <c r="U2322"/>
  <c r="V2322"/>
  <c r="W2322"/>
  <c r="Y2322"/>
  <c r="AA2322"/>
  <c r="AB2322"/>
  <c r="AC2322"/>
  <c r="AD2322"/>
  <c r="P2323"/>
  <c r="T2323"/>
  <c r="U2323"/>
  <c r="V2323"/>
  <c r="W2323"/>
  <c r="Y2323"/>
  <c r="AA2323"/>
  <c r="AB2323"/>
  <c r="AC2323"/>
  <c r="AD2323"/>
  <c r="P2324"/>
  <c r="T2324"/>
  <c r="U2324"/>
  <c r="V2324"/>
  <c r="W2324"/>
  <c r="Y2324"/>
  <c r="AA2324"/>
  <c r="AB2324"/>
  <c r="AC2324"/>
  <c r="AD2324"/>
  <c r="P2325"/>
  <c r="T2325"/>
  <c r="U2325"/>
  <c r="V2325"/>
  <c r="W2325"/>
  <c r="Y2325"/>
  <c r="AA2325"/>
  <c r="AB2325"/>
  <c r="AC2325"/>
  <c r="AD2325"/>
  <c r="P2326"/>
  <c r="T2326"/>
  <c r="U2326"/>
  <c r="V2326"/>
  <c r="W2326"/>
  <c r="Y2326"/>
  <c r="AA2326"/>
  <c r="AB2326"/>
  <c r="AC2326"/>
  <c r="AD2326"/>
  <c r="P2327"/>
  <c r="T2327"/>
  <c r="U2327"/>
  <c r="V2327"/>
  <c r="W2327"/>
  <c r="Y2327"/>
  <c r="AA2327"/>
  <c r="AB2327"/>
  <c r="AC2327"/>
  <c r="AD2327"/>
  <c r="P2328"/>
  <c r="T2328"/>
  <c r="U2328"/>
  <c r="V2328"/>
  <c r="W2328"/>
  <c r="Y2328"/>
  <c r="AA2328"/>
  <c r="AB2328"/>
  <c r="AC2328"/>
  <c r="AD2328"/>
  <c r="P2329"/>
  <c r="T2329"/>
  <c r="U2329"/>
  <c r="V2329"/>
  <c r="W2329"/>
  <c r="Y2329"/>
  <c r="AA2329"/>
  <c r="AB2329"/>
  <c r="AC2329"/>
  <c r="AD2329"/>
  <c r="P2330"/>
  <c r="T2330"/>
  <c r="U2330"/>
  <c r="V2330"/>
  <c r="W2330"/>
  <c r="Y2330"/>
  <c r="AA2330"/>
  <c r="AB2330"/>
  <c r="AC2330"/>
  <c r="AD2330"/>
  <c r="P2331"/>
  <c r="T2331"/>
  <c r="U2331"/>
  <c r="V2331"/>
  <c r="W2331"/>
  <c r="Y2331"/>
  <c r="AA2331"/>
  <c r="AB2331"/>
  <c r="AC2331"/>
  <c r="AD2331"/>
  <c r="P2332"/>
  <c r="T2332"/>
  <c r="U2332"/>
  <c r="V2332"/>
  <c r="W2332"/>
  <c r="Y2332"/>
  <c r="AA2332"/>
  <c r="AB2332"/>
  <c r="AC2332"/>
  <c r="AD2332"/>
  <c r="P2333"/>
  <c r="T2333"/>
  <c r="U2333"/>
  <c r="V2333"/>
  <c r="W2333"/>
  <c r="Y2333"/>
  <c r="AA2333"/>
  <c r="AB2333"/>
  <c r="AC2333"/>
  <c r="AD2333"/>
  <c r="P2334"/>
  <c r="T2334"/>
  <c r="U2334"/>
  <c r="V2334"/>
  <c r="W2334"/>
  <c r="Y2334"/>
  <c r="AA2334"/>
  <c r="AB2334"/>
  <c r="AC2334"/>
  <c r="AD2334"/>
  <c r="P2335"/>
  <c r="T2335"/>
  <c r="U2335"/>
  <c r="V2335"/>
  <c r="W2335"/>
  <c r="Y2335"/>
  <c r="AA2335"/>
  <c r="AB2335"/>
  <c r="AC2335"/>
  <c r="AD2335"/>
  <c r="P2336"/>
  <c r="T2336"/>
  <c r="U2336"/>
  <c r="V2336"/>
  <c r="W2336"/>
  <c r="Y2336"/>
  <c r="AA2336"/>
  <c r="AB2336"/>
  <c r="AC2336"/>
  <c r="AD2336"/>
  <c r="P2337"/>
  <c r="T2337"/>
  <c r="U2337"/>
  <c r="V2337"/>
  <c r="W2337"/>
  <c r="Y2337"/>
  <c r="AA2337"/>
  <c r="AB2337"/>
  <c r="AC2337"/>
  <c r="AD2337"/>
  <c r="P2338"/>
  <c r="T2338"/>
  <c r="U2338"/>
  <c r="V2338"/>
  <c r="W2338"/>
  <c r="Y2338"/>
  <c r="AA2338"/>
  <c r="AB2338"/>
  <c r="AC2338"/>
  <c r="AD2338"/>
  <c r="P2339"/>
  <c r="T2339"/>
  <c r="U2339"/>
  <c r="V2339"/>
  <c r="W2339"/>
  <c r="Y2339"/>
  <c r="AA2339"/>
  <c r="AB2339"/>
  <c r="AC2339"/>
  <c r="AD2339"/>
  <c r="P2340"/>
  <c r="T2340"/>
  <c r="U2340"/>
  <c r="V2340"/>
  <c r="W2340"/>
  <c r="Y2340"/>
  <c r="AA2340"/>
  <c r="AB2340"/>
  <c r="AC2340"/>
  <c r="AD2340"/>
  <c r="P2341"/>
  <c r="T2341"/>
  <c r="U2341"/>
  <c r="V2341"/>
  <c r="W2341"/>
  <c r="Y2341"/>
  <c r="AA2341"/>
  <c r="AB2341"/>
  <c r="AC2341"/>
  <c r="AD2341"/>
  <c r="P2342"/>
  <c r="T2342"/>
  <c r="U2342"/>
  <c r="V2342"/>
  <c r="W2342"/>
  <c r="Y2342"/>
  <c r="AA2342"/>
  <c r="AB2342"/>
  <c r="AC2342"/>
  <c r="AD2342"/>
  <c r="P2343"/>
  <c r="T2343"/>
  <c r="U2343"/>
  <c r="V2343"/>
  <c r="W2343"/>
  <c r="Y2343"/>
  <c r="AA2343"/>
  <c r="AB2343"/>
  <c r="AC2343"/>
  <c r="AD2343"/>
  <c r="P2344"/>
  <c r="T2344"/>
  <c r="U2344"/>
  <c r="V2344"/>
  <c r="W2344"/>
  <c r="Y2344"/>
  <c r="AA2344"/>
  <c r="AB2344"/>
  <c r="AC2344"/>
  <c r="AD2344"/>
  <c r="P2345"/>
  <c r="T2345"/>
  <c r="U2345"/>
  <c r="V2345"/>
  <c r="W2345"/>
  <c r="Y2345"/>
  <c r="AA2345"/>
  <c r="AB2345"/>
  <c r="AC2345"/>
  <c r="AD2345"/>
  <c r="P2346"/>
  <c r="T2346"/>
  <c r="U2346"/>
  <c r="V2346"/>
  <c r="W2346"/>
  <c r="Y2346"/>
  <c r="AA2346"/>
  <c r="AB2346"/>
  <c r="AC2346"/>
  <c r="AD2346"/>
  <c r="P2347"/>
  <c r="T2347"/>
  <c r="U2347"/>
  <c r="V2347"/>
  <c r="W2347"/>
  <c r="Y2347"/>
  <c r="AA2347"/>
  <c r="AB2347"/>
  <c r="AC2347"/>
  <c r="AD2347"/>
  <c r="P2348"/>
  <c r="T2348"/>
  <c r="U2348"/>
  <c r="V2348"/>
  <c r="W2348"/>
  <c r="Y2348"/>
  <c r="AA2348"/>
  <c r="AB2348"/>
  <c r="AC2348"/>
  <c r="AD2348"/>
  <c r="P2349"/>
  <c r="T2349"/>
  <c r="U2349"/>
  <c r="V2349"/>
  <c r="W2349"/>
  <c r="Y2349"/>
  <c r="AA2349"/>
  <c r="AB2349"/>
  <c r="AC2349"/>
  <c r="AD2349"/>
  <c r="P2350"/>
  <c r="T2350"/>
  <c r="U2350"/>
  <c r="V2350"/>
  <c r="W2350"/>
  <c r="Y2350"/>
  <c r="AA2350"/>
  <c r="AB2350"/>
  <c r="AC2350"/>
  <c r="AD2350"/>
  <c r="P2351"/>
  <c r="T2351"/>
  <c r="U2351"/>
  <c r="V2351"/>
  <c r="W2351"/>
  <c r="Y2351"/>
  <c r="AA2351"/>
  <c r="AB2351"/>
  <c r="AC2351"/>
  <c r="AD2351"/>
  <c r="P2352"/>
  <c r="T2352"/>
  <c r="U2352"/>
  <c r="V2352"/>
  <c r="W2352"/>
  <c r="Y2352"/>
  <c r="AA2352"/>
  <c r="AB2352"/>
  <c r="AC2352"/>
  <c r="AD2352"/>
  <c r="P2353"/>
  <c r="T2353"/>
  <c r="U2353"/>
  <c r="V2353"/>
  <c r="W2353"/>
  <c r="Y2353"/>
  <c r="AA2353"/>
  <c r="AB2353"/>
  <c r="AC2353"/>
  <c r="AD2353"/>
  <c r="P2354"/>
  <c r="T2354"/>
  <c r="U2354"/>
  <c r="V2354"/>
  <c r="W2354"/>
  <c r="Y2354"/>
  <c r="AA2354"/>
  <c r="AB2354"/>
  <c r="AC2354"/>
  <c r="AD2354"/>
  <c r="P2355"/>
  <c r="T2355"/>
  <c r="U2355"/>
  <c r="V2355"/>
  <c r="W2355"/>
  <c r="Y2355"/>
  <c r="AA2355"/>
  <c r="AB2355"/>
  <c r="AC2355"/>
  <c r="AD2355"/>
  <c r="P2356"/>
  <c r="T2356"/>
  <c r="U2356"/>
  <c r="V2356"/>
  <c r="W2356"/>
  <c r="Y2356"/>
  <c r="AA2356"/>
  <c r="AB2356"/>
  <c r="AC2356"/>
  <c r="AD2356"/>
  <c r="P2357"/>
  <c r="T2357"/>
  <c r="U2357"/>
  <c r="V2357"/>
  <c r="W2357"/>
  <c r="Y2357"/>
  <c r="AA2357"/>
  <c r="AB2357"/>
  <c r="AC2357"/>
  <c r="AD2357"/>
  <c r="P2358"/>
  <c r="T2358"/>
  <c r="U2358"/>
  <c r="V2358"/>
  <c r="W2358"/>
  <c r="Y2358"/>
  <c r="AA2358"/>
  <c r="AB2358"/>
  <c r="AC2358"/>
  <c r="AD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A2362"/>
  <c r="AB2362"/>
  <c r="AC2362"/>
  <c r="AD2362"/>
  <c r="P2363"/>
  <c r="T2363"/>
  <c r="U2363"/>
  <c r="V2363"/>
  <c r="W2363"/>
  <c r="Y2363"/>
  <c r="AA2363"/>
  <c r="AB2363"/>
  <c r="AC2363"/>
  <c r="AD2363"/>
  <c r="P2364"/>
  <c r="T2364"/>
  <c r="U2364"/>
  <c r="V2364"/>
  <c r="W2364"/>
  <c r="Y2364"/>
  <c r="AA2364"/>
  <c r="AB2364"/>
  <c r="AC2364"/>
  <c r="AD2364"/>
  <c r="P2365"/>
  <c r="T2365"/>
  <c r="U2365"/>
  <c r="V2365"/>
  <c r="W2365"/>
  <c r="Y2365"/>
  <c r="AA2365"/>
  <c r="AB2365"/>
  <c r="AC2365"/>
  <c r="AD2365"/>
  <c r="P2366"/>
  <c r="T2366"/>
  <c r="U2366"/>
  <c r="V2366"/>
  <c r="W2366"/>
  <c r="Y2366"/>
  <c r="AA2366"/>
  <c r="AB2366"/>
  <c r="AC2366"/>
  <c r="AD2366"/>
  <c r="P2367"/>
  <c r="T2367"/>
  <c r="U2367"/>
  <c r="V2367"/>
  <c r="W2367"/>
  <c r="Y2367"/>
  <c r="AA2367"/>
  <c r="AB2367"/>
  <c r="AC2367"/>
  <c r="AD2367"/>
  <c r="P2368"/>
  <c r="T2368"/>
  <c r="U2368"/>
  <c r="V2368"/>
  <c r="W2368"/>
  <c r="Y2368"/>
  <c r="AA2368"/>
  <c r="AB2368"/>
  <c r="AC2368"/>
  <c r="AD2368"/>
  <c r="P2369"/>
  <c r="T2369"/>
  <c r="U2369"/>
  <c r="V2369"/>
  <c r="W2369"/>
  <c r="Y2369"/>
  <c r="AA2369"/>
  <c r="AB2369"/>
  <c r="AC2369"/>
  <c r="AD2369"/>
  <c r="P2370"/>
  <c r="T2370"/>
  <c r="U2370"/>
  <c r="V2370"/>
  <c r="W2370"/>
  <c r="Y2370"/>
  <c r="AA2370"/>
  <c r="AB2370"/>
  <c r="AC2370"/>
  <c r="AD2370"/>
  <c r="P2371"/>
  <c r="T2371"/>
  <c r="U2371"/>
  <c r="V2371"/>
  <c r="W2371"/>
  <c r="Y2371"/>
  <c r="AA2371"/>
  <c r="AB2371"/>
  <c r="AC2371"/>
  <c r="AD2371"/>
  <c r="P2372"/>
  <c r="T2372"/>
  <c r="U2372"/>
  <c r="V2372"/>
  <c r="W2372"/>
  <c r="Y2372"/>
  <c r="AA2372"/>
  <c r="AB2372"/>
  <c r="AC2372"/>
  <c r="AD2372"/>
  <c r="P2373"/>
  <c r="T2373"/>
  <c r="U2373"/>
  <c r="V2373"/>
  <c r="W2373"/>
  <c r="Y2373"/>
  <c r="AA2373"/>
  <c r="AB2373"/>
  <c r="AC2373"/>
  <c r="AD2373"/>
  <c r="P2374"/>
  <c r="T2374"/>
  <c r="U2374"/>
  <c r="V2374"/>
  <c r="W2374"/>
  <c r="Y2374"/>
  <c r="AA2374"/>
  <c r="AB2374"/>
  <c r="AC2374"/>
  <c r="AD2374"/>
  <c r="P2375"/>
  <c r="T2375"/>
  <c r="U2375"/>
  <c r="V2375"/>
  <c r="W2375"/>
  <c r="Y2375"/>
  <c r="AA2375"/>
  <c r="AB2375"/>
  <c r="AC2375"/>
  <c r="AD2375"/>
  <c r="P2376"/>
  <c r="T2376"/>
  <c r="U2376"/>
  <c r="V2376"/>
  <c r="W2376"/>
  <c r="Y2376"/>
  <c r="AA2376"/>
  <c r="AB2376"/>
  <c r="AC2376"/>
  <c r="AD2376"/>
  <c r="P2377"/>
  <c r="T2377"/>
  <c r="U2377"/>
  <c r="V2377"/>
  <c r="W2377"/>
  <c r="Y2377"/>
  <c r="AA2377"/>
  <c r="AB2377"/>
  <c r="AC2377"/>
  <c r="AD2377"/>
  <c r="P2378"/>
  <c r="T2378"/>
  <c r="U2378"/>
  <c r="V2378"/>
  <c r="W2378"/>
  <c r="Y2378"/>
  <c r="AA2378"/>
  <c r="AB2378"/>
  <c r="AC2378"/>
  <c r="AD2378"/>
  <c r="P2379"/>
  <c r="T2379"/>
  <c r="U2379"/>
  <c r="V2379"/>
  <c r="W2379"/>
  <c r="Y2379"/>
  <c r="AA2379"/>
  <c r="AB2379"/>
  <c r="AC2379"/>
  <c r="AD2379"/>
  <c r="P2380"/>
  <c r="T2380"/>
  <c r="U2380"/>
  <c r="V2380"/>
  <c r="W2380"/>
  <c r="Y2380"/>
  <c r="AA2380"/>
  <c r="AB2380"/>
  <c r="AC2380"/>
  <c r="AD2380"/>
  <c r="P2381"/>
  <c r="T2381"/>
  <c r="U2381"/>
  <c r="V2381"/>
  <c r="W2381"/>
  <c r="Y2381"/>
  <c r="AA2381"/>
  <c r="AB2381"/>
  <c r="AC2381"/>
  <c r="AD2381"/>
  <c r="P2382"/>
  <c r="T2382"/>
  <c r="U2382"/>
  <c r="V2382"/>
  <c r="W2382"/>
  <c r="Y2382"/>
  <c r="AA2382"/>
  <c r="AB2382"/>
  <c r="AC2382"/>
  <c r="AD2382"/>
  <c r="P2383"/>
  <c r="T2383"/>
  <c r="U2383"/>
  <c r="V2383"/>
  <c r="W2383"/>
  <c r="Y2383"/>
  <c r="AA2383"/>
  <c r="AB2383"/>
  <c r="AC2383"/>
  <c r="AD2383"/>
  <c r="P2384"/>
  <c r="T2384"/>
  <c r="U2384"/>
  <c r="V2384"/>
  <c r="W2384"/>
  <c r="Y2384"/>
  <c r="AA2384"/>
  <c r="AB2384"/>
  <c r="AC2384"/>
  <c r="AD2384"/>
  <c r="P2385"/>
  <c r="T2385"/>
  <c r="U2385"/>
  <c r="V2385"/>
  <c r="W2385"/>
  <c r="Y2385"/>
  <c r="AA2385"/>
  <c r="AB2385"/>
  <c r="AC2385"/>
  <c r="AD2385"/>
  <c r="P2386"/>
  <c r="T2386"/>
  <c r="U2386"/>
  <c r="V2386"/>
  <c r="W2386"/>
  <c r="Y2386"/>
  <c r="AA2386"/>
  <c r="AB2386"/>
  <c r="AC2386"/>
  <c r="AD2386"/>
  <c r="P2387"/>
  <c r="T2387"/>
  <c r="U2387"/>
  <c r="V2387"/>
  <c r="W2387"/>
  <c r="Y2387"/>
  <c r="AA2387"/>
  <c r="AB2387"/>
  <c r="AC2387"/>
  <c r="AD2387"/>
  <c r="P2388"/>
  <c r="T2388"/>
  <c r="U2388"/>
  <c r="V2388"/>
  <c r="W2388"/>
  <c r="Y2388"/>
  <c r="AA2388"/>
  <c r="AB2388"/>
  <c r="AC2388"/>
  <c r="AD2388"/>
  <c r="P2389"/>
  <c r="T2389"/>
  <c r="U2389"/>
  <c r="V2389"/>
  <c r="W2389"/>
  <c r="Y2389"/>
  <c r="AA2389"/>
  <c r="AB2389"/>
  <c r="AC2389"/>
  <c r="AD2389"/>
  <c r="P2390"/>
  <c r="T2390"/>
  <c r="U2390"/>
  <c r="V2390"/>
  <c r="W2390"/>
  <c r="Y2390"/>
  <c r="AA2390"/>
  <c r="AB2390"/>
  <c r="AC2390"/>
  <c r="AD2390"/>
  <c r="P2391"/>
  <c r="T2391"/>
  <c r="U2391"/>
  <c r="V2391"/>
  <c r="W2391"/>
  <c r="Y2391"/>
  <c r="AA2391"/>
  <c r="AB2391"/>
  <c r="AC2391"/>
  <c r="AD2391"/>
  <c r="P2392"/>
  <c r="T2392"/>
  <c r="U2392"/>
  <c r="V2392"/>
  <c r="W2392"/>
  <c r="Y2392"/>
  <c r="AA2392"/>
  <c r="AB2392"/>
  <c r="AC2392"/>
  <c r="AD2392"/>
  <c r="P2393"/>
  <c r="T2393"/>
  <c r="U2393"/>
  <c r="V2393"/>
  <c r="W2393"/>
  <c r="Y2393"/>
  <c r="AA2393"/>
  <c r="AB2393"/>
  <c r="AC2393"/>
  <c r="AD2393"/>
  <c r="P2394"/>
  <c r="T2394"/>
  <c r="U2394"/>
  <c r="V2394"/>
  <c r="W2394"/>
  <c r="Y2394"/>
  <c r="AA2394"/>
  <c r="AB2394"/>
  <c r="AC2394"/>
  <c r="AD2394"/>
  <c r="P2395"/>
  <c r="T2395"/>
  <c r="U2395"/>
  <c r="V2395"/>
  <c r="W2395"/>
  <c r="Y2395"/>
  <c r="AA2395"/>
  <c r="AB2395"/>
  <c r="AC2395"/>
  <c r="AD2395"/>
  <c r="P2396"/>
  <c r="T2396"/>
  <c r="U2396"/>
  <c r="V2396"/>
  <c r="W2396"/>
  <c r="Y2396"/>
  <c r="AA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A2399"/>
  <c r="AB2399"/>
  <c r="AC2399"/>
  <c r="AD2399"/>
  <c r="P2400"/>
  <c r="T2400"/>
  <c r="U2400"/>
  <c r="V2400"/>
  <c r="W2400"/>
  <c r="Y2400"/>
  <c r="AA2400"/>
  <c r="AB2400"/>
  <c r="AC2400"/>
  <c r="AD2400"/>
  <c r="P2401"/>
  <c r="T2401"/>
  <c r="U2401"/>
  <c r="V2401"/>
  <c r="W2401"/>
  <c r="Y2401"/>
  <c r="AA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5"/>
  <c r="T2405"/>
  <c r="U2405"/>
  <c r="V2405"/>
  <c r="W2405"/>
  <c r="Y2405"/>
  <c r="AA2405"/>
  <c r="AB2405"/>
  <c r="AC2405"/>
  <c r="AD2405"/>
  <c r="P2406"/>
  <c r="T2406"/>
  <c r="U2406"/>
  <c r="V2406"/>
  <c r="W2406"/>
  <c r="Y2406"/>
  <c r="AA2406"/>
  <c r="AB2406"/>
  <c r="AC2406"/>
  <c r="AD2406"/>
  <c r="P2407"/>
  <c r="T2407"/>
  <c r="U2407"/>
  <c r="V2407"/>
  <c r="W2407"/>
  <c r="Y2407"/>
  <c r="AA2407"/>
  <c r="AB2407"/>
  <c r="AC2407"/>
  <c r="AD2407"/>
  <c r="P2408"/>
  <c r="T2408"/>
  <c r="U2408"/>
  <c r="V2408"/>
  <c r="W2408"/>
  <c r="Y2408"/>
  <c r="AA2408"/>
  <c r="AB2408"/>
  <c r="AC2408"/>
  <c r="AD2408"/>
  <c r="P2409"/>
  <c r="T2409"/>
  <c r="U2409"/>
  <c r="V2409"/>
  <c r="W2409"/>
  <c r="Y2409"/>
  <c r="AA2409"/>
  <c r="AB2409"/>
  <c r="AC2409"/>
  <c r="AD2409"/>
  <c r="P2410"/>
  <c r="T2410"/>
  <c r="U2410"/>
  <c r="V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T2416"/>
  <c r="U2416"/>
  <c r="V2416"/>
  <c r="W2416"/>
  <c r="Y2416"/>
  <c r="AA2416"/>
  <c r="AB2416"/>
  <c r="AC2416"/>
  <c r="AD2416"/>
  <c r="P2417"/>
  <c r="T2417"/>
  <c r="U2417"/>
  <c r="V2417"/>
  <c r="W2417"/>
  <c r="Y2417"/>
  <c r="AA2417"/>
  <c r="AB2417"/>
  <c r="AC2417"/>
  <c r="AD2417"/>
  <c r="P2418"/>
  <c r="T2418"/>
  <c r="U2418"/>
  <c r="V2418"/>
  <c r="W2418"/>
  <c r="Y2418"/>
  <c r="AA2418"/>
  <c r="AB2418"/>
  <c r="AC2418"/>
  <c r="AD2418"/>
  <c r="P2419"/>
  <c r="T2419"/>
  <c r="U2419"/>
  <c r="V2419"/>
  <c r="W2419"/>
  <c r="Y2419"/>
  <c r="AA2419"/>
  <c r="AB2419"/>
  <c r="AC2419"/>
  <c r="AD2419"/>
  <c r="P2420"/>
  <c r="T2420"/>
  <c r="U2420"/>
  <c r="V2420"/>
  <c r="W2420"/>
  <c r="Y2420"/>
  <c r="AA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A2425"/>
  <c r="AB2425"/>
  <c r="AC2425"/>
  <c r="AD2425"/>
  <c r="P2426"/>
  <c r="T2426"/>
  <c r="U2426"/>
  <c r="V2426"/>
  <c r="W2426"/>
  <c r="Y2426"/>
  <c r="AA2426"/>
  <c r="AB2426"/>
  <c r="AC2426"/>
  <c r="AD2426"/>
  <c r="P2427"/>
  <c r="T2427"/>
  <c r="U2427"/>
  <c r="V2427"/>
  <c r="W2427"/>
  <c r="Y2427"/>
  <c r="AA2427"/>
  <c r="AB2427"/>
  <c r="AC2427"/>
  <c r="AD2427"/>
  <c r="P2428"/>
  <c r="T2428"/>
  <c r="U2428"/>
  <c r="V2428"/>
  <c r="W2428"/>
  <c r="Y2428"/>
  <c r="AA2428"/>
  <c r="AB2428"/>
  <c r="AC2428"/>
  <c r="AD2428"/>
  <c r="P2429"/>
  <c r="T2429"/>
  <c r="U2429"/>
  <c r="V2429"/>
  <c r="W2429"/>
  <c r="Y2429"/>
  <c r="AA2429"/>
  <c r="AB2429"/>
  <c r="AC2429"/>
  <c r="AD2429"/>
  <c r="P2430"/>
  <c r="T2430"/>
  <c r="U2430"/>
  <c r="V2430"/>
  <c r="W2430"/>
  <c r="Y2430"/>
  <c r="AA2430"/>
  <c r="AB2430"/>
  <c r="AC2430"/>
  <c r="AD2430"/>
  <c r="P2431"/>
  <c r="T2431"/>
  <c r="U2431"/>
  <c r="V2431"/>
  <c r="W2431"/>
  <c r="Y2431"/>
  <c r="AA2431"/>
  <c r="AB2431"/>
  <c r="AC2431"/>
  <c r="AD2431"/>
  <c r="P2432"/>
  <c r="T2432"/>
  <c r="U2432"/>
  <c r="V2432"/>
  <c r="W2432"/>
  <c r="Y2432"/>
  <c r="AA2432"/>
  <c r="AB2432"/>
  <c r="AC2432"/>
  <c r="AD2432"/>
  <c r="P2433"/>
  <c r="T2433"/>
  <c r="U2433"/>
  <c r="V2433"/>
  <c r="W2433"/>
  <c r="Y2433"/>
  <c r="AA2433"/>
  <c r="AB2433"/>
  <c r="AC2433"/>
  <c r="AD2433"/>
  <c r="P2434"/>
  <c r="T2434"/>
  <c r="U2434"/>
  <c r="V2434"/>
  <c r="W2434"/>
  <c r="Y2434"/>
  <c r="AA2434"/>
  <c r="AB2434"/>
  <c r="AC2434"/>
  <c r="AD2434"/>
  <c r="P2435"/>
  <c r="T2435"/>
  <c r="U2435"/>
  <c r="V2435"/>
  <c r="W2435"/>
  <c r="Y2435"/>
  <c r="AA2435"/>
  <c r="AB2435"/>
  <c r="AC2435"/>
  <c r="AD2435"/>
  <c r="P2436"/>
  <c r="T2436"/>
  <c r="U2436"/>
  <c r="V2436"/>
  <c r="W2436"/>
  <c r="Y2436"/>
  <c r="AA2436"/>
  <c r="AB2436"/>
  <c r="AC2436"/>
  <c r="AD2436"/>
  <c r="P2437"/>
  <c r="T2437"/>
  <c r="U2437"/>
  <c r="V2437"/>
  <c r="W2437"/>
  <c r="Y2437"/>
  <c r="AA2437"/>
  <c r="AB2437"/>
  <c r="AC2437"/>
  <c r="AD2437"/>
  <c r="P2438"/>
  <c r="T2438"/>
  <c r="U2438"/>
  <c r="V2438"/>
  <c r="W2438"/>
  <c r="Y2438"/>
  <c r="AA2438"/>
  <c r="AB2438"/>
  <c r="AC2438"/>
  <c r="AD2438"/>
  <c r="P2439"/>
  <c r="T2439"/>
  <c r="U2439"/>
  <c r="V2439"/>
  <c r="W2439"/>
  <c r="Y2439"/>
  <c r="AA2439"/>
  <c r="AB2439"/>
  <c r="AC2439"/>
  <c r="AD2439"/>
  <c r="P2440"/>
  <c r="T2440"/>
  <c r="U2440"/>
  <c r="V2440"/>
  <c r="W2440"/>
  <c r="Y2440"/>
  <c r="AA2440"/>
  <c r="AB2440"/>
  <c r="AC2440"/>
  <c r="AD2440"/>
  <c r="P2441"/>
  <c r="T2441"/>
  <c r="U2441"/>
  <c r="V2441"/>
  <c r="W2441"/>
  <c r="Y2441"/>
  <c r="AA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A2444"/>
  <c r="AB2444"/>
  <c r="AC2444"/>
  <c r="AD2444"/>
  <c r="P2445"/>
  <c r="T2445"/>
  <c r="U2445"/>
  <c r="V2445"/>
  <c r="W2445"/>
  <c r="Y2445"/>
  <c r="AA2445"/>
  <c r="AB2445"/>
  <c r="AC2445"/>
  <c r="AD2445"/>
  <c r="P2446"/>
  <c r="T2446"/>
  <c r="U2446"/>
  <c r="V2446"/>
  <c r="W2446"/>
  <c r="Y2446"/>
  <c r="AA2446"/>
  <c r="AB2446"/>
  <c r="AC2446"/>
  <c r="AD2446"/>
  <c r="P2447"/>
  <c r="T2447"/>
  <c r="U2447"/>
  <c r="V2447"/>
  <c r="W2447"/>
  <c r="Y2447"/>
  <c r="AA2447"/>
  <c r="AB2447"/>
  <c r="AC2447"/>
  <c r="AD2447"/>
  <c r="P2448"/>
  <c r="T2448"/>
  <c r="U2448"/>
  <c r="V2448"/>
  <c r="W2448"/>
  <c r="Y2448"/>
  <c r="AA2448"/>
  <c r="AB2448"/>
  <c r="AC2448"/>
  <c r="AD2448"/>
  <c r="P2449"/>
  <c r="T2449"/>
  <c r="U2449"/>
  <c r="V2449"/>
  <c r="W2449"/>
  <c r="Y2449"/>
  <c r="AA2449"/>
  <c r="AB2449"/>
  <c r="AC2449"/>
  <c r="AD2449"/>
  <c r="P2450"/>
  <c r="T2450"/>
  <c r="U2450"/>
  <c r="V2450"/>
  <c r="W2450"/>
  <c r="Y2450"/>
  <c r="AA2450"/>
  <c r="AB2450"/>
  <c r="AC2450"/>
  <c r="AD2450"/>
  <c r="P2451"/>
  <c r="T2451"/>
  <c r="U2451"/>
  <c r="V2451"/>
  <c r="W2451"/>
  <c r="Y2451"/>
  <c r="AA2451"/>
  <c r="AB2451"/>
  <c r="AC2451"/>
  <c r="AD2451"/>
  <c r="P2452"/>
  <c r="T2452"/>
  <c r="U2452"/>
  <c r="V2452"/>
  <c r="W2452"/>
  <c r="Y2452"/>
  <c r="AA2452"/>
  <c r="AB2452"/>
  <c r="AC2452"/>
  <c r="AD2452"/>
  <c r="P2453"/>
  <c r="T2453"/>
  <c r="U2453"/>
  <c r="V2453"/>
  <c r="W2453"/>
  <c r="Y2453"/>
  <c r="AA2453"/>
  <c r="AB2453"/>
  <c r="AC2453"/>
  <c r="AD2453"/>
  <c r="P2454"/>
  <c r="T2454"/>
  <c r="U2454"/>
  <c r="V2454"/>
  <c r="W2454"/>
  <c r="Y2454"/>
  <c r="AA2454"/>
  <c r="AB2454"/>
  <c r="AC2454"/>
  <c r="AD2454"/>
  <c r="P2455"/>
  <c r="T2455"/>
  <c r="U2455"/>
  <c r="V2455"/>
  <c r="W2455"/>
  <c r="Y2455"/>
  <c r="AA2455"/>
  <c r="AB2455"/>
  <c r="AC2455"/>
  <c r="AD2455"/>
  <c r="P2456"/>
  <c r="T2456"/>
  <c r="U2456"/>
  <c r="V2456"/>
  <c r="W2456"/>
  <c r="Y2456"/>
  <c r="AA2456"/>
  <c r="AB2456"/>
  <c r="AC2456"/>
  <c r="AD2456"/>
  <c r="P2457"/>
  <c r="T2457"/>
  <c r="U2457"/>
  <c r="V2457"/>
  <c r="W2457"/>
  <c r="Y2457"/>
  <c r="AA2457"/>
  <c r="AB2457"/>
  <c r="AC2457"/>
  <c r="AD2457"/>
  <c r="P2458"/>
  <c r="T2458"/>
  <c r="U2458"/>
  <c r="V2458"/>
  <c r="W2458"/>
  <c r="Y2458"/>
  <c r="AA2458"/>
  <c r="AB2458"/>
  <c r="AC2458"/>
  <c r="AD2458"/>
  <c r="P2459"/>
  <c r="T2459"/>
  <c r="U2459"/>
  <c r="V2459"/>
  <c r="W2459"/>
  <c r="Y2459"/>
  <c r="AA2459"/>
  <c r="AB2459"/>
  <c r="AC2459"/>
  <c r="AD2459"/>
  <c r="P2460"/>
  <c r="T2460"/>
  <c r="U2460"/>
  <c r="V2460"/>
  <c r="W2460"/>
  <c r="Y2460"/>
  <c r="AA2460"/>
  <c r="AB2460"/>
  <c r="AC2460"/>
  <c r="AD2460"/>
  <c r="P2461"/>
  <c r="T2461"/>
  <c r="U2461"/>
  <c r="V2461"/>
  <c r="W2461"/>
  <c r="Y2461"/>
  <c r="AA2461"/>
  <c r="AB2461"/>
  <c r="AC2461"/>
  <c r="AD2461"/>
  <c r="P2462"/>
  <c r="T2462"/>
  <c r="U2462"/>
  <c r="V2462"/>
  <c r="W2462"/>
  <c r="Y2462"/>
  <c r="AA2462"/>
  <c r="AB2462"/>
  <c r="AC2462"/>
  <c r="AD2462"/>
  <c r="P2463"/>
  <c r="T2463"/>
  <c r="U2463"/>
  <c r="V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A2470"/>
  <c r="AB2470"/>
  <c r="AC2470"/>
  <c r="AD2470"/>
  <c r="P2471"/>
  <c r="T2471"/>
  <c r="U2471"/>
  <c r="V2471"/>
  <c r="W2471"/>
  <c r="Y2471"/>
  <c r="AA2471"/>
  <c r="AB2471"/>
  <c r="AC2471"/>
  <c r="AD2471"/>
  <c r="P2472"/>
  <c r="T2472"/>
  <c r="U2472"/>
  <c r="V2472"/>
  <c r="W2472"/>
  <c r="Y2472"/>
  <c r="AA2472"/>
  <c r="AB2472"/>
  <c r="AC2472"/>
  <c r="AD2472"/>
  <c r="P2473"/>
  <c r="T2473"/>
  <c r="U2473"/>
  <c r="V2473"/>
  <c r="W2473"/>
  <c r="Y2473"/>
  <c r="AA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A2483"/>
  <c r="AB2483"/>
  <c r="AC2483"/>
  <c r="AD2483"/>
  <c r="P2484"/>
  <c r="T2484"/>
  <c r="U2484"/>
  <c r="V2484"/>
  <c r="W2484"/>
  <c r="Y2484"/>
  <c r="AA2484"/>
  <c r="AB2484"/>
  <c r="AC2484"/>
  <c r="AD2484"/>
  <c r="P2485"/>
  <c r="T2485"/>
  <c r="U2485"/>
  <c r="V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T2490"/>
  <c r="U2490"/>
  <c r="V2490"/>
  <c r="W2490"/>
  <c r="Y2490"/>
  <c r="AA2490"/>
  <c r="AB2490"/>
  <c r="AC2490"/>
  <c r="AD2490"/>
  <c r="P2491"/>
  <c r="T2491"/>
  <c r="U2491"/>
  <c r="V2491"/>
  <c r="W2491"/>
  <c r="Y2491"/>
  <c r="AA2491"/>
  <c r="AB2491"/>
  <c r="AC2491"/>
  <c r="AD2491"/>
  <c r="P2492"/>
  <c r="T2492"/>
  <c r="U2492"/>
  <c r="V2492"/>
  <c r="W2492"/>
  <c r="Y2492"/>
  <c r="AA2492"/>
  <c r="AB2492"/>
  <c r="AC2492"/>
  <c r="AD2492"/>
  <c r="P2493"/>
  <c r="T2493"/>
  <c r="U2493"/>
  <c r="V2493"/>
  <c r="W2493"/>
  <c r="Y2493"/>
  <c r="AA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A2505"/>
  <c r="AB2505"/>
  <c r="AC2505"/>
  <c r="AD2505"/>
  <c r="P2506"/>
  <c r="T2506"/>
  <c r="U2506"/>
  <c r="V2506"/>
  <c r="W2506"/>
  <c r="Y2506"/>
  <c r="AA2506"/>
  <c r="AB2506"/>
  <c r="AC2506"/>
  <c r="AD2506"/>
  <c r="P2507"/>
  <c r="T2507"/>
  <c r="U2507"/>
  <c r="V2507"/>
  <c r="W2507"/>
  <c r="Y2507"/>
  <c r="AA2507"/>
  <c r="AB2507"/>
  <c r="AC2507"/>
  <c r="AD2507"/>
  <c r="P2508"/>
  <c r="T2508"/>
  <c r="U2508"/>
  <c r="V2508"/>
  <c r="W2508"/>
  <c r="Y2508"/>
  <c r="AA2508"/>
  <c r="AB2508"/>
  <c r="AC2508"/>
  <c r="AD2508"/>
  <c r="P2509"/>
  <c r="T2509"/>
  <c r="U2509"/>
  <c r="V2509"/>
  <c r="W2509"/>
  <c r="Y2509"/>
  <c r="AA2509"/>
  <c r="AB2509"/>
  <c r="AC2509"/>
  <c r="AD2509"/>
  <c r="P2510"/>
  <c r="T2510"/>
  <c r="U2510"/>
  <c r="V2510"/>
  <c r="W2510"/>
  <c r="Y2510"/>
  <c r="AA2510"/>
  <c r="AB2510"/>
  <c r="AC2510"/>
  <c r="AD2510"/>
  <c r="P2511"/>
  <c r="T2511"/>
  <c r="U2511"/>
  <c r="V2511"/>
  <c r="W2511"/>
  <c r="Y2511"/>
  <c r="AA2511"/>
  <c r="AB2511"/>
  <c r="AC2511"/>
  <c r="AD2511"/>
  <c r="P2512"/>
  <c r="T2512"/>
  <c r="U2512"/>
  <c r="V2512"/>
  <c r="W2512"/>
  <c r="Y2512"/>
  <c r="AA2512"/>
  <c r="AB2512"/>
  <c r="AC2512"/>
  <c r="AD2512"/>
  <c r="P2513"/>
  <c r="T2513"/>
  <c r="U2513"/>
  <c r="V2513"/>
  <c r="W2513"/>
  <c r="Y2513"/>
  <c r="AA2513"/>
  <c r="AB2513"/>
  <c r="AC2513"/>
  <c r="AD2513"/>
  <c r="P2514"/>
  <c r="T2514"/>
  <c r="U2514"/>
  <c r="V2514"/>
  <c r="W2514"/>
  <c r="Y2514"/>
  <c r="AA2514"/>
  <c r="AB2514"/>
  <c r="AC2514"/>
  <c r="AD2514"/>
  <c r="P2515"/>
  <c r="T2515"/>
  <c r="U2515"/>
  <c r="V2515"/>
  <c r="W2515"/>
  <c r="Y2515"/>
  <c r="AA2515"/>
  <c r="AB2515"/>
  <c r="AC2515"/>
  <c r="AD2515"/>
  <c r="P2516"/>
  <c r="T2516"/>
  <c r="U2516"/>
  <c r="V2516"/>
  <c r="W2516"/>
  <c r="Y2516"/>
  <c r="AA2516"/>
  <c r="AB2516"/>
  <c r="AC2516"/>
  <c r="AD2516"/>
  <c r="P2517"/>
  <c r="T2517"/>
  <c r="U2517"/>
  <c r="V2517"/>
  <c r="W2517"/>
  <c r="Y2517"/>
  <c r="AA2517"/>
  <c r="AB2517"/>
  <c r="AC2517"/>
  <c r="AD2517"/>
  <c r="P2518"/>
  <c r="T2518"/>
  <c r="U2518"/>
  <c r="V2518"/>
  <c r="W2518"/>
  <c r="Y2518"/>
  <c r="AA2518"/>
  <c r="AB2518"/>
  <c r="AC2518"/>
  <c r="AD2518"/>
  <c r="P2519"/>
  <c r="T2519"/>
  <c r="U2519"/>
  <c r="V2519"/>
  <c r="W2519"/>
  <c r="Y2519"/>
  <c r="AA2519"/>
  <c r="AB2519"/>
  <c r="AC2519"/>
  <c r="AD2519"/>
  <c r="P2520"/>
  <c r="T2520"/>
  <c r="U2520"/>
  <c r="V2520"/>
  <c r="W2520"/>
  <c r="Y2520"/>
  <c r="AA2520"/>
  <c r="AB2520"/>
  <c r="AC2520"/>
  <c r="AD2520"/>
  <c r="P2521"/>
  <c r="T2521"/>
  <c r="U2521"/>
  <c r="V2521"/>
  <c r="W2521"/>
  <c r="Y2521"/>
  <c r="AA2521"/>
  <c r="AB2521"/>
  <c r="AC2521"/>
  <c r="AD2521"/>
  <c r="P2522"/>
  <c r="T2522"/>
  <c r="U2522"/>
  <c r="V2522"/>
  <c r="W2522"/>
  <c r="Y2522"/>
  <c r="AA2522"/>
  <c r="AB2522"/>
  <c r="AC2522"/>
  <c r="AD2522"/>
  <c r="P2523"/>
  <c r="T2523"/>
  <c r="U2523"/>
  <c r="V2523"/>
  <c r="W2523"/>
  <c r="Y2523"/>
  <c r="AA2523"/>
  <c r="AB2523"/>
  <c r="AC2523"/>
  <c r="AD2523"/>
  <c r="P2524"/>
  <c r="T2524"/>
  <c r="U2524"/>
  <c r="V2524"/>
  <c r="W2524"/>
  <c r="Y2524"/>
  <c r="AA2524"/>
  <c r="AB2524"/>
  <c r="AC2524"/>
  <c r="AD2524"/>
  <c r="P2525"/>
  <c r="T2525"/>
  <c r="U2525"/>
  <c r="V2525"/>
  <c r="W2525"/>
  <c r="Y2525"/>
  <c r="AA2525"/>
  <c r="AB2525"/>
  <c r="AC2525"/>
  <c r="AD2525"/>
  <c r="P2526"/>
  <c r="T2526"/>
  <c r="U2526"/>
  <c r="V2526"/>
  <c r="W2526"/>
  <c r="Y2526"/>
  <c r="AA2526"/>
  <c r="AB2526"/>
  <c r="AC2526"/>
  <c r="AD2526"/>
  <c r="P2527"/>
  <c r="T2527"/>
  <c r="U2527"/>
  <c r="V2527"/>
  <c r="W2527"/>
  <c r="Y2527"/>
  <c r="AA2527"/>
  <c r="AB2527"/>
  <c r="AC2527"/>
  <c r="AD2527"/>
  <c r="P2528"/>
  <c r="T2528"/>
  <c r="U2528"/>
  <c r="V2528"/>
  <c r="W2528"/>
  <c r="Y2528"/>
  <c r="AA2528"/>
  <c r="AB2528"/>
  <c r="AC2528"/>
  <c r="AD2528"/>
  <c r="P2529"/>
  <c r="T2529"/>
  <c r="U2529"/>
  <c r="V2529"/>
  <c r="W2529"/>
  <c r="Y2529"/>
  <c r="AA2529"/>
  <c r="AB2529"/>
  <c r="AC2529"/>
  <c r="AD2529"/>
  <c r="P2530"/>
  <c r="T2530"/>
  <c r="U2530"/>
  <c r="V2530"/>
  <c r="W2530"/>
  <c r="Y2530"/>
  <c r="AA2530"/>
  <c r="AB2530"/>
  <c r="AC2530"/>
  <c r="AD2530"/>
  <c r="P2531"/>
  <c r="T2531"/>
  <c r="U2531"/>
  <c r="V2531"/>
  <c r="W2531"/>
  <c r="Y2531"/>
  <c r="AA2531"/>
  <c r="AB2531"/>
  <c r="AC2531"/>
  <c r="AD2531"/>
  <c r="P2532"/>
  <c r="T2532"/>
  <c r="U2532"/>
  <c r="V2532"/>
  <c r="W2532"/>
  <c r="Y2532"/>
  <c r="AA2532"/>
  <c r="AB2532"/>
  <c r="AC2532"/>
  <c r="AD2532"/>
  <c r="P2533"/>
  <c r="T2533"/>
  <c r="U2533"/>
  <c r="V2533"/>
  <c r="W2533"/>
  <c r="Y2533"/>
  <c r="AA2533"/>
  <c r="AB2533"/>
  <c r="AC2533"/>
  <c r="AD2533"/>
  <c r="P2534"/>
  <c r="T2534"/>
  <c r="U2534"/>
  <c r="V2534"/>
  <c r="W2534"/>
  <c r="Y2534"/>
  <c r="AA2534"/>
  <c r="AB2534"/>
  <c r="AC2534"/>
  <c r="AD2534"/>
  <c r="P2535"/>
  <c r="T2535"/>
  <c r="U2535"/>
  <c r="V2535"/>
  <c r="W2535"/>
  <c r="Y2535"/>
  <c r="AA2535"/>
  <c r="AB2535"/>
  <c r="AC2535"/>
  <c r="AD2535"/>
  <c r="P2536"/>
  <c r="T2536"/>
  <c r="U2536"/>
  <c r="V2536"/>
  <c r="W2536"/>
  <c r="Y2536"/>
  <c r="AA2536"/>
  <c r="AB2536"/>
  <c r="AC2536"/>
  <c r="AD2536"/>
  <c r="P2537"/>
  <c r="T2537"/>
  <c r="U2537"/>
  <c r="V2537"/>
  <c r="W2537"/>
  <c r="Y2537"/>
  <c r="AA2537"/>
  <c r="AB2537"/>
  <c r="AC2537"/>
  <c r="AD2537"/>
  <c r="P2538"/>
  <c r="T2538"/>
  <c r="U2538"/>
  <c r="V2538"/>
  <c r="W2538"/>
  <c r="Y2538"/>
  <c r="AA2538"/>
  <c r="AB2538"/>
  <c r="AC2538"/>
  <c r="AD2538"/>
  <c r="P2539"/>
  <c r="T2539"/>
  <c r="U2539"/>
  <c r="V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A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A2551"/>
  <c r="AB2551"/>
  <c r="AC2551"/>
  <c r="AD2551"/>
  <c r="P2552"/>
  <c r="T2552"/>
  <c r="U2552"/>
  <c r="V2552"/>
  <c r="W2552"/>
  <c r="Y2552"/>
  <c r="AA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T2557"/>
  <c r="U2557"/>
  <c r="V2557"/>
  <c r="W2557"/>
  <c r="Y2557"/>
  <c r="AA2557"/>
  <c r="AB2557"/>
  <c r="AC2557"/>
  <c r="AD2557"/>
  <c r="P2558"/>
  <c r="T2558"/>
  <c r="U2558"/>
  <c r="V2558"/>
  <c r="W2558"/>
  <c r="Y2558"/>
  <c r="AA2558"/>
  <c r="AB2558"/>
  <c r="AC2558"/>
  <c r="AD2558"/>
  <c r="P2559"/>
  <c r="T2559"/>
  <c r="U2559"/>
  <c r="V2559"/>
  <c r="W2559"/>
  <c r="Y2559"/>
  <c r="AA2559"/>
  <c r="AB2559"/>
  <c r="AC2559"/>
  <c r="AD2559"/>
  <c r="P2560"/>
  <c r="T2560"/>
  <c r="U2560"/>
  <c r="V2560"/>
  <c r="W2560"/>
  <c r="Y2560"/>
  <c r="AA2560"/>
  <c r="AB2560"/>
  <c r="AC2560"/>
  <c r="AD2560"/>
  <c r="P2561"/>
  <c r="T2561"/>
  <c r="U2561"/>
  <c r="V2561"/>
  <c r="W2561"/>
  <c r="Y2561"/>
  <c r="AA2561"/>
  <c r="AB2561"/>
  <c r="AC2561"/>
  <c r="AD2561"/>
  <c r="P2562"/>
  <c r="T2562"/>
  <c r="U2562"/>
  <c r="V2562"/>
  <c r="W2562"/>
  <c r="Y2562"/>
  <c r="AA2562"/>
  <c r="AB2562"/>
  <c r="AC2562"/>
  <c r="AD2562"/>
  <c r="P2563"/>
  <c r="T2563"/>
  <c r="U2563"/>
  <c r="V2563"/>
  <c r="W2563"/>
  <c r="Y2563"/>
  <c r="AA2563"/>
  <c r="AB2563"/>
  <c r="AC2563"/>
  <c r="AD2563"/>
  <c r="P2564"/>
  <c r="T2564"/>
  <c r="U2564"/>
  <c r="V2564"/>
  <c r="W2564"/>
  <c r="Y2564"/>
  <c r="AA2564"/>
  <c r="AB2564"/>
  <c r="AC2564"/>
  <c r="AD2564"/>
  <c r="P2565"/>
  <c r="T2565"/>
  <c r="U2565"/>
  <c r="V2565"/>
  <c r="W2565"/>
  <c r="Y2565"/>
  <c r="AA2565"/>
  <c r="AB2565"/>
  <c r="AC2565"/>
  <c r="AD2565"/>
  <c r="P2566"/>
  <c r="T2566"/>
  <c r="U2566"/>
  <c r="V2566"/>
  <c r="W2566"/>
  <c r="Y2566"/>
  <c r="AA2566"/>
  <c r="AB2566"/>
  <c r="AC2566"/>
  <c r="AD2566"/>
  <c r="P2567"/>
  <c r="T2567"/>
  <c r="U2567"/>
  <c r="V2567"/>
  <c r="W2567"/>
  <c r="Y2567"/>
  <c r="AA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AD2571"/>
  <c r="P2572"/>
  <c r="T2572"/>
  <c r="U2572"/>
  <c r="V2572"/>
  <c r="W2572"/>
  <c r="Y2572"/>
  <c r="AA2572"/>
  <c r="AB2572"/>
  <c r="AC2572"/>
  <c r="AD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A2577"/>
  <c r="AB2577"/>
  <c r="AC2577"/>
  <c r="AD2577"/>
  <c r="P2578"/>
  <c r="T2578"/>
  <c r="U2578"/>
  <c r="V2578"/>
  <c r="W2578"/>
  <c r="Y2578"/>
  <c r="AA2578"/>
  <c r="AB2578"/>
  <c r="AC2578"/>
  <c r="AD2578"/>
  <c r="P2579"/>
  <c r="T2579"/>
  <c r="U2579"/>
  <c r="V2579"/>
  <c r="W2579"/>
  <c r="Y2579"/>
  <c r="AA2579"/>
  <c r="AB2579"/>
  <c r="AC2579"/>
  <c r="AD2579"/>
  <c r="P2580"/>
  <c r="T2580"/>
  <c r="U2580"/>
  <c r="V2580"/>
  <c r="W2580"/>
  <c r="Y2580"/>
  <c r="AA2580"/>
  <c r="AB2580"/>
  <c r="AC2580"/>
  <c r="AD2580"/>
  <c r="P2581"/>
  <c r="T2581"/>
  <c r="U2581"/>
  <c r="V2581"/>
  <c r="W2581"/>
  <c r="Y2581"/>
  <c r="AA2581"/>
  <c r="AB2581"/>
  <c r="AC2581"/>
  <c r="AD2581"/>
  <c r="P2582"/>
  <c r="T2582"/>
  <c r="U2582"/>
  <c r="V2582"/>
  <c r="W2582"/>
  <c r="Y2582"/>
  <c r="AA2582"/>
  <c r="AB2582"/>
  <c r="AC2582"/>
  <c r="AD2582"/>
  <c r="P2583"/>
  <c r="T2583"/>
  <c r="U2583"/>
  <c r="V2583"/>
  <c r="W2583"/>
  <c r="Y2583"/>
  <c r="AA2583"/>
  <c r="AB2583"/>
  <c r="AC2583"/>
  <c r="AD2583"/>
  <c r="P2584"/>
  <c r="T2584"/>
  <c r="U2584"/>
  <c r="V2584"/>
  <c r="W2584"/>
  <c r="Y2584"/>
  <c r="AA2584"/>
  <c r="AB2584"/>
  <c r="AC2584"/>
  <c r="AD2584"/>
  <c r="P2585"/>
  <c r="T2585"/>
  <c r="U2585"/>
  <c r="V2585"/>
  <c r="W2585"/>
  <c r="Y2585"/>
  <c r="AA2585"/>
  <c r="AB2585"/>
  <c r="AC2585"/>
  <c r="AD2585"/>
  <c r="P2586"/>
  <c r="T2586"/>
  <c r="U2586"/>
  <c r="V2586"/>
  <c r="W2586"/>
  <c r="Y2586"/>
  <c r="AA2586"/>
  <c r="AB2586"/>
  <c r="AC2586"/>
  <c r="AD2586"/>
  <c r="P2587"/>
  <c r="T2587"/>
  <c r="U2587"/>
  <c r="V2587"/>
  <c r="W2587"/>
  <c r="Y2587"/>
  <c r="AA2587"/>
  <c r="AB2587"/>
  <c r="AC2587"/>
  <c r="AD2587"/>
  <c r="P2588"/>
  <c r="T2588"/>
  <c r="U2588"/>
  <c r="V2588"/>
  <c r="W2588"/>
  <c r="Y2588"/>
  <c r="AA2588"/>
  <c r="AB2588"/>
  <c r="AC2588"/>
  <c r="AD2588"/>
  <c r="P2589"/>
  <c r="T2589"/>
  <c r="U2589"/>
  <c r="V2589"/>
  <c r="W2589"/>
  <c r="Y2589"/>
  <c r="AA2589"/>
  <c r="AB2589"/>
  <c r="AC2589"/>
  <c r="AD2589"/>
  <c r="P2590"/>
  <c r="T2590"/>
  <c r="U2590"/>
  <c r="V2590"/>
  <c r="W2590"/>
  <c r="Y2590"/>
  <c r="AA2590"/>
  <c r="AB2590"/>
  <c r="AC2590"/>
  <c r="AD2590"/>
  <c r="P2591"/>
  <c r="T2591"/>
  <c r="U2591"/>
  <c r="V2591"/>
  <c r="W2591"/>
  <c r="Y2591"/>
  <c r="AA2591"/>
  <c r="AB2591"/>
  <c r="AC2591"/>
  <c r="AD2591"/>
  <c r="P2592"/>
  <c r="T2592"/>
  <c r="U2592"/>
  <c r="V2592"/>
  <c r="W2592"/>
  <c r="Y2592"/>
  <c r="AA2592"/>
  <c r="AB2592"/>
  <c r="AC2592"/>
  <c r="AD2592"/>
  <c r="P2593"/>
  <c r="T2593"/>
  <c r="U2593"/>
  <c r="V2593"/>
  <c r="W2593"/>
  <c r="Y2593"/>
  <c r="AA2593"/>
  <c r="AB2593"/>
  <c r="AC2593"/>
  <c r="AD2593"/>
  <c r="P2594"/>
  <c r="T2594"/>
  <c r="U2594"/>
  <c r="V2594"/>
  <c r="W2594"/>
  <c r="Y2594"/>
  <c r="AA2594"/>
  <c r="AB2594"/>
  <c r="AC2594"/>
  <c r="AD2594"/>
  <c r="P2595"/>
  <c r="T2595"/>
  <c r="U2595"/>
  <c r="V2595"/>
  <c r="W2595"/>
  <c r="Y2595"/>
  <c r="AA2595"/>
  <c r="AB2595"/>
  <c r="AC2595"/>
  <c r="AD2595"/>
  <c r="P2596"/>
  <c r="T2596"/>
  <c r="U2596"/>
  <c r="V2596"/>
  <c r="W2596"/>
  <c r="Y2596"/>
  <c r="AA2596"/>
  <c r="AB2596"/>
  <c r="AC2596"/>
  <c r="AD2596"/>
  <c r="P2597"/>
  <c r="T2597"/>
  <c r="U2597"/>
  <c r="V2597"/>
  <c r="W2597"/>
  <c r="Y2597"/>
  <c r="AA2597"/>
  <c r="AB2597"/>
  <c r="AC2597"/>
  <c r="AD2597"/>
  <c r="P2598"/>
  <c r="T2598"/>
  <c r="U2598"/>
  <c r="V2598"/>
  <c r="W2598"/>
  <c r="Y2598"/>
  <c r="AA2598"/>
  <c r="AB2598"/>
  <c r="AC2598"/>
  <c r="AD2598"/>
  <c r="P2599"/>
  <c r="T2599"/>
  <c r="U2599"/>
  <c r="V2599"/>
  <c r="W2599"/>
  <c r="Y2599"/>
  <c r="AA2599"/>
  <c r="AB2599"/>
  <c r="AC2599"/>
  <c r="AD2599"/>
  <c r="P2600"/>
  <c r="T2600"/>
  <c r="U2600"/>
  <c r="V2600"/>
  <c r="W2600"/>
  <c r="Y2600"/>
  <c r="AA2600"/>
  <c r="AB2600"/>
  <c r="AC2600"/>
  <c r="AD2600"/>
  <c r="P2601"/>
  <c r="T2601"/>
  <c r="U2601"/>
  <c r="V2601"/>
  <c r="W2601"/>
  <c r="Y2601"/>
  <c r="AA2601"/>
  <c r="AB2601"/>
  <c r="AC2601"/>
  <c r="AD2601"/>
  <c r="P2602"/>
  <c r="T2602"/>
  <c r="U2602"/>
  <c r="V2602"/>
  <c r="W2602"/>
  <c r="Y2602"/>
  <c r="AA2602"/>
  <c r="AB2602"/>
  <c r="AC2602"/>
  <c r="AD2602"/>
  <c r="P2603"/>
  <c r="T2603"/>
  <c r="U2603"/>
  <c r="V2603"/>
  <c r="W2603"/>
  <c r="Y2603"/>
  <c r="AA2603"/>
  <c r="AB2603"/>
  <c r="AC2603"/>
  <c r="AD2603"/>
  <c r="P2604"/>
  <c r="T2604"/>
  <c r="U2604"/>
  <c r="V2604"/>
  <c r="W2604"/>
  <c r="Y2604"/>
  <c r="AA2604"/>
  <c r="AB2604"/>
  <c r="AC2604"/>
  <c r="AD2604"/>
  <c r="P2605"/>
  <c r="T2605"/>
  <c r="U2605"/>
  <c r="V2605"/>
  <c r="W2605"/>
  <c r="Y2605"/>
  <c r="AA2605"/>
  <c r="AB2605"/>
  <c r="AC2605"/>
  <c r="AD2605"/>
  <c r="P2606"/>
  <c r="T2606"/>
  <c r="U2606"/>
  <c r="V2606"/>
  <c r="W2606"/>
  <c r="Y2606"/>
  <c r="AA2606"/>
  <c r="AB2606"/>
  <c r="AC2606"/>
  <c r="AD2606"/>
  <c r="P2607"/>
  <c r="T2607"/>
  <c r="U2607"/>
  <c r="V2607"/>
  <c r="W2607"/>
  <c r="Y2607"/>
  <c r="AA2607"/>
  <c r="AB2607"/>
  <c r="AC2607"/>
  <c r="AD2607"/>
  <c r="P2608"/>
  <c r="T2608"/>
  <c r="U2608"/>
  <c r="V2608"/>
  <c r="W2608"/>
  <c r="Y2608"/>
  <c r="AA2608"/>
  <c r="AB2608"/>
  <c r="AC2608"/>
  <c r="AD2608"/>
  <c r="P2609"/>
  <c r="T2609"/>
  <c r="U2609"/>
  <c r="V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A2617"/>
  <c r="AB2617"/>
  <c r="AC2617"/>
  <c r="AD2617"/>
  <c r="P2618"/>
  <c r="T2618"/>
  <c r="U2618"/>
  <c r="V2618"/>
  <c r="W2618"/>
  <c r="Y2618"/>
  <c r="AA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AD2631"/>
  <c r="P2632"/>
  <c r="T2632"/>
  <c r="U2632"/>
  <c r="V2632"/>
  <c r="W2632"/>
  <c r="Y2632"/>
  <c r="AA2632"/>
  <c r="AB2632"/>
  <c r="AC2632"/>
  <c r="AD2632"/>
  <c r="P2633"/>
  <c r="T2633"/>
  <c r="U2633"/>
  <c r="V2633"/>
  <c r="W2633"/>
  <c r="Y2633"/>
  <c r="AA2633"/>
  <c r="AB2633"/>
  <c r="AC2633"/>
  <c r="AD2633"/>
  <c r="P2634"/>
  <c r="T2634"/>
  <c r="U2634"/>
  <c r="V2634"/>
  <c r="W2634"/>
  <c r="Y2634"/>
  <c r="AA2634"/>
  <c r="AB2634"/>
  <c r="AC2634"/>
  <c r="AD2634"/>
  <c r="P2635"/>
  <c r="T2635"/>
  <c r="U2635"/>
  <c r="V2635"/>
  <c r="W2635"/>
  <c r="Y2635"/>
  <c r="AA2635"/>
  <c r="AB2635"/>
  <c r="AC2635"/>
  <c r="AD2635"/>
  <c r="P2636"/>
  <c r="T2636"/>
  <c r="U2636"/>
  <c r="V2636"/>
  <c r="W2636"/>
  <c r="Y2636"/>
  <c r="AA2636"/>
  <c r="AB2636"/>
  <c r="AC2636"/>
  <c r="AD2636"/>
  <c r="P2637"/>
  <c r="T2637"/>
  <c r="U2637"/>
  <c r="V2637"/>
  <c r="W2637"/>
  <c r="Y2637"/>
  <c r="AA2637"/>
  <c r="AB2637"/>
  <c r="AC2637"/>
  <c r="AD2637"/>
  <c r="P2638"/>
  <c r="T2638"/>
  <c r="U2638"/>
  <c r="V2638"/>
  <c r="W2638"/>
  <c r="Y2638"/>
  <c r="AA2638"/>
  <c r="AB2638"/>
  <c r="AC2638"/>
  <c r="AD2638"/>
  <c r="P2639"/>
  <c r="T2639"/>
  <c r="U2639"/>
  <c r="V2639"/>
  <c r="W2639"/>
  <c r="Y2639"/>
  <c r="AA2639"/>
  <c r="AB2639"/>
  <c r="AC2639"/>
  <c r="AD2639"/>
  <c r="P2640"/>
  <c r="T2640"/>
  <c r="U2640"/>
  <c r="V2640"/>
  <c r="W2640"/>
  <c r="Y2640"/>
  <c r="AA2640"/>
  <c r="AB2640"/>
  <c r="AC2640"/>
  <c r="AD2640"/>
  <c r="P2641"/>
  <c r="T2641"/>
  <c r="U2641"/>
  <c r="V2641"/>
  <c r="W2641"/>
  <c r="Y2641"/>
  <c r="AA2641"/>
  <c r="AB2641"/>
  <c r="AC2641"/>
  <c r="AD2641"/>
  <c r="P2642"/>
  <c r="T2642"/>
  <c r="U2642"/>
  <c r="V2642"/>
  <c r="W2642"/>
  <c r="Y2642"/>
  <c r="AA2642"/>
  <c r="AB2642"/>
  <c r="AC2642"/>
  <c r="AD2642"/>
  <c r="P2643"/>
  <c r="T2643"/>
  <c r="U2643"/>
  <c r="V2643"/>
  <c r="W2643"/>
  <c r="Y2643"/>
  <c r="AA2643"/>
  <c r="AB2643"/>
  <c r="AC2643"/>
  <c r="AD2643"/>
  <c r="P2644"/>
  <c r="T2644"/>
  <c r="U2644"/>
  <c r="V2644"/>
  <c r="W2644"/>
  <c r="Y2644"/>
  <c r="AA2644"/>
  <c r="AB2644"/>
  <c r="AC2644"/>
  <c r="AD2644"/>
  <c r="P2645"/>
  <c r="T2645"/>
  <c r="U2645"/>
  <c r="V2645"/>
  <c r="W2645"/>
  <c r="Y2645"/>
  <c r="AA2645"/>
  <c r="AB2645"/>
  <c r="AC2645"/>
  <c r="AD2645"/>
  <c r="P2646"/>
  <c r="T2646"/>
  <c r="U2646"/>
  <c r="V2646"/>
  <c r="W2646"/>
  <c r="Y2646"/>
  <c r="AA2646"/>
  <c r="AB2646"/>
  <c r="AC2646"/>
  <c r="AD2646"/>
  <c r="P2647"/>
  <c r="T2647"/>
  <c r="U2647"/>
  <c r="V2647"/>
  <c r="W2647"/>
  <c r="Y2647"/>
  <c r="AA2647"/>
  <c r="AB2647"/>
  <c r="AC2647"/>
  <c r="AD2647"/>
  <c r="P2648"/>
  <c r="T2648"/>
  <c r="U2648"/>
  <c r="V2648"/>
  <c r="W2648"/>
  <c r="Y2648"/>
  <c r="AA2648"/>
  <c r="AB2648"/>
  <c r="AC2648"/>
  <c r="AD2648"/>
  <c r="P2649"/>
  <c r="T2649"/>
  <c r="U2649"/>
  <c r="V2649"/>
  <c r="W2649"/>
  <c r="Y2649"/>
  <c r="AA2649"/>
  <c r="AB2649"/>
  <c r="AC2649"/>
  <c r="AD2649"/>
  <c r="P2650"/>
  <c r="T2650"/>
  <c r="U2650"/>
  <c r="V2650"/>
  <c r="W2650"/>
  <c r="Y2650"/>
  <c r="AA2650"/>
  <c r="AB2650"/>
  <c r="AC2650"/>
  <c r="AD2650"/>
  <c r="P2651"/>
  <c r="T2651"/>
  <c r="U2651"/>
  <c r="V2651"/>
  <c r="W2651"/>
  <c r="Y2651"/>
  <c r="AA2651"/>
  <c r="AB2651"/>
  <c r="AC2651"/>
  <c r="AD2651"/>
  <c r="P2652"/>
  <c r="T2652"/>
  <c r="U2652"/>
  <c r="V2652"/>
  <c r="W2652"/>
  <c r="Y2652"/>
  <c r="AA2652"/>
  <c r="AB2652"/>
  <c r="AC2652"/>
  <c r="AD2652"/>
  <c r="P2653"/>
  <c r="T2653"/>
  <c r="U2653"/>
  <c r="V2653"/>
  <c r="W2653"/>
  <c r="Y2653"/>
  <c r="AA2653"/>
  <c r="AB2653"/>
  <c r="AC2653"/>
  <c r="AD2653"/>
  <c r="P2654"/>
  <c r="T2654"/>
  <c r="U2654"/>
  <c r="V2654"/>
  <c r="W2654"/>
  <c r="Y2654"/>
  <c r="AA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A2661"/>
  <c r="AB2661"/>
  <c r="AC2661"/>
  <c r="AD2661"/>
  <c r="P2662"/>
  <c r="T2662"/>
  <c r="U2662"/>
  <c r="V2662"/>
  <c r="W2662"/>
  <c r="Y2662"/>
  <c r="AA2662"/>
  <c r="AB2662"/>
  <c r="AC2662"/>
  <c r="AD2662"/>
  <c r="P2663"/>
  <c r="T2663"/>
  <c r="U2663"/>
  <c r="V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A2666"/>
  <c r="AB2666"/>
  <c r="AC2666"/>
  <c r="AD2666"/>
  <c r="P2667"/>
  <c r="T2667"/>
  <c r="U2667"/>
  <c r="V2667"/>
  <c r="W2667"/>
  <c r="Y2667"/>
  <c r="AA2667"/>
  <c r="AB2667"/>
  <c r="AC2667"/>
  <c r="AD2667"/>
  <c r="P2668"/>
  <c r="T2668"/>
  <c r="U2668"/>
  <c r="V2668"/>
  <c r="W2668"/>
  <c r="Y2668"/>
  <c r="AA2668"/>
  <c r="AB2668"/>
  <c r="AC2668"/>
  <c r="AD2668"/>
  <c r="P2669"/>
  <c r="T2669"/>
  <c r="U2669"/>
  <c r="V2669"/>
  <c r="W2669"/>
  <c r="Y2669"/>
  <c r="AA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A2675"/>
  <c r="AB2675"/>
  <c r="AC2675"/>
  <c r="AD2675"/>
  <c r="P2676"/>
  <c r="T2676"/>
  <c r="U2676"/>
  <c r="V2676"/>
  <c r="W2676"/>
  <c r="Y2676"/>
  <c r="AA2676"/>
  <c r="AB2676"/>
  <c r="AC2676"/>
  <c r="AD2676"/>
  <c r="P2677"/>
  <c r="T2677"/>
  <c r="U2677"/>
  <c r="V2677"/>
  <c r="W2677"/>
  <c r="Y2677"/>
  <c r="AA2677"/>
  <c r="AB2677"/>
  <c r="AC2677"/>
  <c r="AD2677"/>
  <c r="P2678"/>
  <c r="T2678"/>
  <c r="U2678"/>
  <c r="V2678"/>
  <c r="W2678"/>
  <c r="Y2678"/>
  <c r="AA2678"/>
  <c r="AB2678"/>
  <c r="AC2678"/>
  <c r="AD2678"/>
  <c r="P2679"/>
  <c r="T2679"/>
  <c r="U2679"/>
  <c r="V2679"/>
  <c r="W2679"/>
  <c r="Y2679"/>
  <c r="AA2679"/>
  <c r="AB2679"/>
  <c r="AC2679"/>
  <c r="AD2679"/>
  <c r="P2680"/>
  <c r="T2680"/>
  <c r="U2680"/>
  <c r="V2680"/>
  <c r="W2680"/>
  <c r="Y2680"/>
  <c r="AA2680"/>
  <c r="AB2680"/>
  <c r="AC2680"/>
  <c r="AD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A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T2694"/>
  <c r="U2694"/>
  <c r="V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T2698"/>
  <c r="U2698"/>
  <c r="V2698"/>
  <c r="W2698"/>
  <c r="Y2698"/>
  <c r="AA2698"/>
  <c r="AB2698"/>
  <c r="AC2698"/>
  <c r="AD2698"/>
  <c r="P2699"/>
  <c r="T2699"/>
  <c r="U2699"/>
  <c r="V2699"/>
  <c r="W2699"/>
  <c r="Y2699"/>
  <c r="AA2699"/>
  <c r="AB2699"/>
  <c r="AC2699"/>
  <c r="AD2699"/>
  <c r="P2700"/>
  <c r="T2700"/>
  <c r="U2700"/>
  <c r="V2700"/>
  <c r="W2700"/>
  <c r="Y2700"/>
  <c r="AA2700"/>
  <c r="AB2700"/>
  <c r="AC2700"/>
  <c r="AD2700"/>
  <c r="P2701"/>
  <c r="T2701"/>
  <c r="U2701"/>
  <c r="V2701"/>
  <c r="W2701"/>
  <c r="Y2701"/>
  <c r="AA2701"/>
  <c r="AB2701"/>
  <c r="AC2701"/>
  <c r="AD2701"/>
  <c r="P2702"/>
  <c r="T2702"/>
  <c r="U2702"/>
  <c r="V2702"/>
  <c r="W2702"/>
  <c r="Y2702"/>
  <c r="AA2702"/>
  <c r="AB2702"/>
  <c r="AC2702"/>
  <c r="AD2702"/>
  <c r="P2703"/>
  <c r="T2703"/>
  <c r="U2703"/>
  <c r="V2703"/>
  <c r="W2703"/>
  <c r="Y2703"/>
  <c r="AA2703"/>
  <c r="AB2703"/>
  <c r="AC2703"/>
  <c r="AD2703"/>
  <c r="P2704"/>
  <c r="T2704"/>
  <c r="U2704"/>
  <c r="V2704"/>
  <c r="W2704"/>
  <c r="Y2704"/>
  <c r="AA2704"/>
  <c r="AB2704"/>
  <c r="AC2704"/>
  <c r="AD2704"/>
  <c r="P2705"/>
  <c r="T2705"/>
  <c r="U2705"/>
  <c r="V2705"/>
  <c r="W2705"/>
  <c r="Y2705"/>
  <c r="AA2705"/>
  <c r="AB2705"/>
  <c r="AC2705"/>
  <c r="AD2705"/>
  <c r="P2706"/>
  <c r="T2706"/>
  <c r="U2706"/>
  <c r="V2706"/>
  <c r="W2706"/>
  <c r="Y2706"/>
  <c r="AA2706"/>
  <c r="AB2706"/>
  <c r="AC2706"/>
  <c r="AD2706"/>
  <c r="P2707"/>
  <c r="T2707"/>
  <c r="U2707"/>
  <c r="V2707"/>
  <c r="W2707"/>
  <c r="Y2707"/>
  <c r="AA2707"/>
  <c r="AB2707"/>
  <c r="AC2707"/>
  <c r="AD2707"/>
  <c r="P2708"/>
  <c r="T2708"/>
  <c r="U2708"/>
  <c r="V2708"/>
  <c r="W2708"/>
  <c r="Y2708"/>
  <c r="AA2708"/>
  <c r="AB2708"/>
  <c r="AC2708"/>
  <c r="AD2708"/>
  <c r="P2709"/>
  <c r="T2709"/>
  <c r="U2709"/>
  <c r="V2709"/>
  <c r="W2709"/>
  <c r="Y2709"/>
  <c r="AA2709"/>
  <c r="AB2709"/>
  <c r="AC2709"/>
  <c r="AD2709"/>
  <c r="P2710"/>
  <c r="T2710"/>
  <c r="U2710"/>
  <c r="V2710"/>
  <c r="W2710"/>
  <c r="Y2710"/>
  <c r="AA2710"/>
  <c r="AB2710"/>
  <c r="AC2710"/>
  <c r="AD2710"/>
  <c r="P2711"/>
  <c r="T2711"/>
  <c r="U2711"/>
  <c r="V2711"/>
  <c r="W2711"/>
  <c r="Y2711"/>
  <c r="AA2711"/>
  <c r="AB2711"/>
  <c r="AC2711"/>
  <c r="AD2711"/>
  <c r="P2712"/>
  <c r="T2712"/>
  <c r="U2712"/>
  <c r="V2712"/>
  <c r="W2712"/>
  <c r="Y2712"/>
  <c r="AA2712"/>
  <c r="AB2712"/>
  <c r="AC2712"/>
  <c r="AD2712"/>
  <c r="P2713"/>
  <c r="T2713"/>
  <c r="U2713"/>
  <c r="V2713"/>
  <c r="W2713"/>
  <c r="Y2713"/>
  <c r="AA2713"/>
  <c r="AB2713"/>
  <c r="AC2713"/>
  <c r="AD2713"/>
  <c r="P2714"/>
  <c r="T2714"/>
  <c r="U2714"/>
  <c r="V2714"/>
  <c r="W2714"/>
  <c r="Y2714"/>
  <c r="AA2714"/>
  <c r="AB2714"/>
  <c r="AC2714"/>
  <c r="AD2714"/>
  <c r="P2715"/>
  <c r="T2715"/>
  <c r="U2715"/>
  <c r="V2715"/>
  <c r="W2715"/>
  <c r="Y2715"/>
  <c r="AA2715"/>
  <c r="AB2715"/>
  <c r="AC2715"/>
  <c r="AD2715"/>
  <c r="P2716"/>
  <c r="T2716"/>
  <c r="U2716"/>
  <c r="V2716"/>
  <c r="W2716"/>
  <c r="Y2716"/>
  <c r="AA2716"/>
  <c r="AB2716"/>
  <c r="AC2716"/>
  <c r="AD2716"/>
  <c r="P2717"/>
  <c r="T2717"/>
  <c r="U2717"/>
  <c r="V2717"/>
  <c r="W2717"/>
  <c r="Y2717"/>
  <c r="AA2717"/>
  <c r="AB2717"/>
  <c r="AC2717"/>
  <c r="AD2717"/>
  <c r="P2718"/>
  <c r="T2718"/>
  <c r="U2718"/>
  <c r="V2718"/>
  <c r="W2718"/>
  <c r="Y2718"/>
  <c r="AA2718"/>
  <c r="AB2718"/>
  <c r="AC2718"/>
  <c r="AD2718"/>
  <c r="P2719"/>
  <c r="T2719"/>
  <c r="U2719"/>
  <c r="V2719"/>
  <c r="W2719"/>
  <c r="Y2719"/>
  <c r="AA2719"/>
  <c r="AB2719"/>
  <c r="AC2719"/>
  <c r="AD2719"/>
  <c r="P2720"/>
  <c r="T2720"/>
  <c r="U2720"/>
  <c r="V2720"/>
  <c r="W2720"/>
  <c r="Y2720"/>
  <c r="AA2720"/>
  <c r="AB2720"/>
  <c r="AC2720"/>
  <c r="AD2720"/>
  <c r="P2721"/>
  <c r="T2721"/>
  <c r="U2721"/>
  <c r="V2721"/>
  <c r="W2721"/>
  <c r="Y2721"/>
  <c r="AA2721"/>
  <c r="AB2721"/>
  <c r="AC2721"/>
  <c r="AD2721"/>
  <c r="P2722"/>
  <c r="T2722"/>
  <c r="U2722"/>
  <c r="V2722"/>
  <c r="W2722"/>
  <c r="Y2722"/>
  <c r="AA2722"/>
  <c r="AB2722"/>
  <c r="AC2722"/>
  <c r="AD2722"/>
  <c r="P2723"/>
  <c r="T2723"/>
  <c r="U2723"/>
  <c r="V2723"/>
  <c r="W2723"/>
  <c r="Y2723"/>
  <c r="AA2723"/>
  <c r="AB2723"/>
  <c r="AC2723"/>
  <c r="AD2723"/>
  <c r="P2724"/>
  <c r="T2724"/>
  <c r="U2724"/>
  <c r="V2724"/>
  <c r="W2724"/>
  <c r="Y2724"/>
  <c r="AA2724"/>
  <c r="AB2724"/>
  <c r="AC2724"/>
  <c r="AD2724"/>
  <c r="P2725"/>
  <c r="T2725"/>
  <c r="U2725"/>
  <c r="V2725"/>
  <c r="W2725"/>
  <c r="Y2725"/>
  <c r="AA2725"/>
  <c r="AB2725"/>
  <c r="AC2725"/>
  <c r="AD2725"/>
  <c r="P2726"/>
  <c r="T2726"/>
  <c r="U2726"/>
  <c r="V2726"/>
  <c r="W2726"/>
  <c r="Y2726"/>
  <c r="AA2726"/>
  <c r="AB2726"/>
  <c r="AC2726"/>
  <c r="AD2726"/>
  <c r="P2727"/>
  <c r="T2727"/>
  <c r="U2727"/>
  <c r="V2727"/>
  <c r="W2727"/>
  <c r="Y2727"/>
  <c r="AA2727"/>
  <c r="AB2727"/>
  <c r="AC2727"/>
  <c r="AD2727"/>
  <c r="P2728"/>
  <c r="T2728"/>
  <c r="U2728"/>
  <c r="V2728"/>
  <c r="W2728"/>
  <c r="Y2728"/>
  <c r="AA2728"/>
  <c r="AB2728"/>
  <c r="AC2728"/>
  <c r="AD2728"/>
  <c r="P2729"/>
  <c r="T2729"/>
  <c r="U2729"/>
  <c r="V2729"/>
  <c r="W2729"/>
  <c r="Y2729"/>
  <c r="AA2729"/>
  <c r="AB2729"/>
  <c r="AC2729"/>
  <c r="AD2729"/>
  <c r="P2730"/>
  <c r="T2730"/>
  <c r="U2730"/>
  <c r="V2730"/>
  <c r="W2730"/>
  <c r="Y2730"/>
  <c r="AA2730"/>
  <c r="AB2730"/>
  <c r="AC2730"/>
  <c r="AD2730"/>
  <c r="P2731"/>
  <c r="T2731"/>
  <c r="U2731"/>
  <c r="V2731"/>
  <c r="W2731"/>
  <c r="Y2731"/>
  <c r="AA2731"/>
  <c r="AB2731"/>
  <c r="AC2731"/>
  <c r="AD2731"/>
  <c r="P2732"/>
  <c r="T2732"/>
  <c r="U2732"/>
  <c r="V2732"/>
  <c r="W2732"/>
  <c r="Y2732"/>
  <c r="AA2732"/>
  <c r="AB2732"/>
  <c r="AC2732"/>
  <c r="AD2732"/>
  <c r="P2733"/>
  <c r="T2733"/>
  <c r="U2733"/>
  <c r="V2733"/>
  <c r="W2733"/>
  <c r="Y2733"/>
  <c r="AA2733"/>
  <c r="AB2733"/>
  <c r="AC2733"/>
  <c r="AD2733"/>
  <c r="P2734"/>
  <c r="T2734"/>
  <c r="U2734"/>
  <c r="V2734"/>
  <c r="W2734"/>
  <c r="Y2734"/>
  <c r="AA2734"/>
  <c r="AB2734"/>
  <c r="AC2734"/>
  <c r="AD2734"/>
  <c r="P2735"/>
  <c r="T2735"/>
  <c r="U2735"/>
  <c r="V2735"/>
  <c r="W2735"/>
  <c r="Y2735"/>
  <c r="AA2735"/>
  <c r="AB2735"/>
  <c r="AC2735"/>
  <c r="AD2735"/>
  <c r="P2736"/>
  <c r="T2736"/>
  <c r="U2736"/>
  <c r="V2736"/>
  <c r="W2736"/>
  <c r="Y2736"/>
  <c r="AA2736"/>
  <c r="AB2736"/>
  <c r="AC2736"/>
  <c r="AD2736"/>
  <c r="P2737"/>
  <c r="T2737"/>
  <c r="U2737"/>
  <c r="V2737"/>
  <c r="W2737"/>
  <c r="Y2737"/>
  <c r="AA2737"/>
  <c r="AB2737"/>
  <c r="AC2737"/>
  <c r="AD2737"/>
  <c r="P2738"/>
  <c r="T2738"/>
  <c r="U2738"/>
  <c r="V2738"/>
  <c r="W2738"/>
  <c r="Y2738"/>
  <c r="AA2738"/>
  <c r="AB2738"/>
  <c r="AC2738"/>
  <c r="AD2738"/>
  <c r="P2739"/>
  <c r="T2739"/>
  <c r="U2739"/>
  <c r="V2739"/>
  <c r="W2739"/>
  <c r="Y2739"/>
  <c r="AA2739"/>
  <c r="AB2739"/>
  <c r="AC2739"/>
  <c r="AD2739"/>
  <c r="P2740"/>
  <c r="T2740"/>
  <c r="U2740"/>
  <c r="V2740"/>
  <c r="W2740"/>
  <c r="Y2740"/>
  <c r="AA2740"/>
  <c r="AB2740"/>
  <c r="AC2740"/>
  <c r="AD2740"/>
  <c r="P2741"/>
  <c r="T2741"/>
  <c r="U2741"/>
  <c r="V2741"/>
  <c r="W2741"/>
  <c r="Y2741"/>
  <c r="AA2741"/>
  <c r="AB2741"/>
  <c r="AC2741"/>
  <c r="AD2741"/>
  <c r="P2742"/>
  <c r="T2742"/>
  <c r="U2742"/>
  <c r="V2742"/>
  <c r="W2742"/>
  <c r="Y2742"/>
  <c r="AA2742"/>
  <c r="AB2742"/>
  <c r="AC2742"/>
  <c r="AD2742"/>
  <c r="P2743"/>
  <c r="T2743"/>
  <c r="U2743"/>
  <c r="V2743"/>
  <c r="W2743"/>
  <c r="Y2743"/>
  <c r="AA2743"/>
  <c r="AB2743"/>
  <c r="AC2743"/>
  <c r="AD2743"/>
  <c r="P2744"/>
  <c r="T2744"/>
  <c r="U2744"/>
  <c r="V2744"/>
  <c r="W2744"/>
  <c r="Y2744"/>
  <c r="AA2744"/>
  <c r="AB2744"/>
  <c r="AC2744"/>
  <c r="AD2744"/>
  <c r="P2745"/>
  <c r="T2745"/>
  <c r="U2745"/>
  <c r="V2745"/>
  <c r="W2745"/>
  <c r="Y2745"/>
  <c r="AA2745"/>
  <c r="AB2745"/>
  <c r="AC2745"/>
  <c r="AD2745"/>
  <c r="P2746"/>
  <c r="T2746"/>
  <c r="U2746"/>
  <c r="V2746"/>
  <c r="W2746"/>
  <c r="Y2746"/>
  <c r="AA2746"/>
  <c r="AB2746"/>
  <c r="AC2746"/>
  <c r="AD2746"/>
  <c r="P2747"/>
  <c r="T2747"/>
  <c r="U2747"/>
  <c r="V2747"/>
  <c r="W2747"/>
  <c r="Y2747"/>
  <c r="AA2747"/>
  <c r="AB2747"/>
  <c r="AC2747"/>
  <c r="AD2747"/>
  <c r="P2748"/>
  <c r="T2748"/>
  <c r="U2748"/>
  <c r="V2748"/>
  <c r="W2748"/>
  <c r="Y2748"/>
  <c r="AA2748"/>
  <c r="AB2748"/>
  <c r="AC2748"/>
  <c r="AD2748"/>
  <c r="P2749"/>
  <c r="T2749"/>
  <c r="U2749"/>
  <c r="V2749"/>
  <c r="W2749"/>
  <c r="Y2749"/>
  <c r="AA2749"/>
  <c r="AB2749"/>
  <c r="AC2749"/>
  <c r="AD2749"/>
  <c r="P2750"/>
  <c r="T2750"/>
  <c r="U2750"/>
  <c r="V2750"/>
  <c r="W2750"/>
  <c r="Y2750"/>
  <c r="AA2750"/>
  <c r="AB2750"/>
  <c r="AC2750"/>
  <c r="AD2750"/>
  <c r="P2751"/>
  <c r="T2751"/>
  <c r="U2751"/>
  <c r="V2751"/>
  <c r="W2751"/>
  <c r="Y2751"/>
  <c r="AA2751"/>
  <c r="AB2751"/>
  <c r="AC2751"/>
  <c r="AD2751"/>
  <c r="P2752"/>
  <c r="T2752"/>
  <c r="U2752"/>
  <c r="V2752"/>
  <c r="W2752"/>
  <c r="Y2752"/>
  <c r="AA2752"/>
  <c r="AB2752"/>
  <c r="AC2752"/>
  <c r="AD2752"/>
  <c r="P2753"/>
  <c r="T2753"/>
  <c r="U2753"/>
  <c r="V2753"/>
  <c r="W2753"/>
  <c r="Y2753"/>
  <c r="AA2753"/>
  <c r="AB2753"/>
  <c r="AC2753"/>
  <c r="AD2753"/>
  <c r="P2754"/>
  <c r="T2754"/>
  <c r="U2754"/>
  <c r="V2754"/>
  <c r="W2754"/>
  <c r="Y2754"/>
  <c r="AA2754"/>
  <c r="AB2754"/>
  <c r="AC2754"/>
  <c r="AD2754"/>
  <c r="P2755"/>
  <c r="T2755"/>
  <c r="U2755"/>
  <c r="V2755"/>
  <c r="W2755"/>
  <c r="Y2755"/>
  <c r="AA2755"/>
  <c r="AB2755"/>
  <c r="AC2755"/>
  <c r="AD2755"/>
  <c r="P2756"/>
  <c r="T2756"/>
  <c r="U2756"/>
  <c r="V2756"/>
  <c r="W2756"/>
  <c r="Y2756"/>
  <c r="AA2756"/>
  <c r="AB2756"/>
  <c r="AC2756"/>
  <c r="AD2756"/>
  <c r="P2757"/>
  <c r="T2757"/>
  <c r="U2757"/>
  <c r="V2757"/>
  <c r="W2757"/>
  <c r="Y2757"/>
  <c r="AA2757"/>
  <c r="AB2757"/>
  <c r="AC2757"/>
  <c r="AD2757"/>
  <c r="P2758"/>
  <c r="T2758"/>
  <c r="U2758"/>
  <c r="V2758"/>
  <c r="W2758"/>
  <c r="Y2758"/>
  <c r="AA2758"/>
  <c r="AB2758"/>
  <c r="AC2758"/>
  <c r="AD2758"/>
  <c r="P2759"/>
  <c r="T2759"/>
  <c r="U2759"/>
  <c r="V2759"/>
  <c r="W2759"/>
  <c r="Y2759"/>
  <c r="AA2759"/>
  <c r="AB2759"/>
  <c r="AC2759"/>
  <c r="AD2759"/>
  <c r="P2760"/>
  <c r="T2760"/>
  <c r="U2760"/>
  <c r="V2760"/>
  <c r="W2760"/>
  <c r="Y2760"/>
  <c r="AA2760"/>
  <c r="AB2760"/>
  <c r="AC2760"/>
  <c r="AD2760"/>
  <c r="P2761"/>
  <c r="T2761"/>
  <c r="U2761"/>
  <c r="V2761"/>
  <c r="W2761"/>
  <c r="Y2761"/>
  <c r="AA2761"/>
  <c r="AB2761"/>
  <c r="AC2761"/>
  <c r="AD2761"/>
  <c r="P2762"/>
  <c r="T2762"/>
  <c r="U2762"/>
  <c r="V2762"/>
  <c r="W2762"/>
  <c r="Y2762"/>
  <c r="AA2762"/>
  <c r="AB2762"/>
  <c r="AC2762"/>
  <c r="AD2762"/>
  <c r="P2763"/>
  <c r="T2763"/>
  <c r="U2763"/>
  <c r="V2763"/>
  <c r="W2763"/>
  <c r="Y2763"/>
  <c r="AA2763"/>
  <c r="AB2763"/>
  <c r="AC2763"/>
  <c r="AD2763"/>
  <c r="P2764"/>
  <c r="T2764"/>
  <c r="U2764"/>
  <c r="V2764"/>
  <c r="W2764"/>
  <c r="Y2764"/>
  <c r="AA2764"/>
  <c r="AB2764"/>
  <c r="AC2764"/>
  <c r="AD2764"/>
  <c r="P2765"/>
  <c r="T2765"/>
  <c r="U2765"/>
  <c r="V2765"/>
  <c r="W2765"/>
  <c r="Y2765"/>
  <c r="AA2765"/>
  <c r="AB2765"/>
  <c r="AC2765"/>
  <c r="AD2765"/>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T2772"/>
  <c r="U2772"/>
  <c r="V2772"/>
  <c r="W2772"/>
  <c r="Y2772"/>
  <c r="AA2772"/>
  <c r="AB2772"/>
  <c r="AC2772"/>
  <c r="AD2772"/>
  <c r="P2773"/>
  <c r="T2773"/>
  <c r="U2773"/>
  <c r="V2773"/>
  <c r="W2773"/>
  <c r="Y2773"/>
  <c r="AA2773"/>
  <c r="AB2773"/>
  <c r="AC2773"/>
  <c r="AD2773"/>
  <c r="P2774"/>
  <c r="T2774"/>
  <c r="U2774"/>
  <c r="V2774"/>
  <c r="W2774"/>
  <c r="Y2774"/>
  <c r="AA2774"/>
  <c r="AB2774"/>
  <c r="AC2774"/>
  <c r="AD2774"/>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T2778"/>
  <c r="U2778"/>
  <c r="V2778"/>
  <c r="W2778"/>
  <c r="Y2778"/>
  <c r="AA2778"/>
  <c r="AB2778"/>
  <c r="AC2778"/>
  <c r="AD2778"/>
  <c r="P2779"/>
  <c r="T2779"/>
  <c r="U2779"/>
  <c r="V2779"/>
  <c r="W2779"/>
  <c r="Y2779"/>
  <c r="AA2779"/>
  <c r="AB2779"/>
  <c r="AC2779"/>
  <c r="AD2779"/>
  <c r="P2780"/>
  <c r="T2780"/>
  <c r="U2780"/>
  <c r="V2780"/>
  <c r="W2780"/>
  <c r="Y2780"/>
  <c r="AA2780"/>
  <c r="AB2780"/>
  <c r="AC2780"/>
  <c r="AD2780"/>
  <c r="P2781"/>
  <c r="T2781"/>
  <c r="U2781"/>
  <c r="V2781"/>
  <c r="W2781"/>
  <c r="Y2781"/>
  <c r="AA2781"/>
  <c r="AB2781"/>
  <c r="AC2781"/>
  <c r="AD2781"/>
  <c r="P2782"/>
  <c r="T2782"/>
  <c r="U2782"/>
  <c r="V2782"/>
  <c r="W2782"/>
  <c r="Y2782"/>
  <c r="AA2782"/>
  <c r="AB2782"/>
  <c r="AC2782"/>
  <c r="AD2782"/>
  <c r="P2783"/>
  <c r="T2783"/>
  <c r="U2783"/>
  <c r="V2783"/>
  <c r="W2783"/>
  <c r="Y2783"/>
  <c r="AA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A2789"/>
  <c r="AB2789"/>
  <c r="AC2789"/>
  <c r="AD2789"/>
  <c r="P2790"/>
  <c r="T2790"/>
  <c r="U2790"/>
  <c r="V2790"/>
  <c r="W2790"/>
  <c r="Y2790"/>
  <c r="AA2790"/>
  <c r="AB2790"/>
  <c r="AC2790"/>
  <c r="AD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A2842"/>
  <c r="AB2842"/>
  <c r="AC2842"/>
  <c r="AD2842"/>
  <c r="P2843"/>
  <c r="T2843"/>
  <c r="U2843"/>
  <c r="V2843"/>
  <c r="W2843"/>
  <c r="Y2843"/>
  <c r="AA2843"/>
  <c r="AB2843"/>
  <c r="AC2843"/>
  <c r="AD2843"/>
  <c r="P2844"/>
  <c r="T2844"/>
  <c r="U2844"/>
  <c r="V2844"/>
  <c r="W2844"/>
  <c r="Y2844"/>
  <c r="AA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A2847"/>
  <c r="AB2847"/>
  <c r="AC2847"/>
  <c r="AD2847"/>
  <c r="P2848"/>
  <c r="T2848"/>
  <c r="U2848"/>
  <c r="V2848"/>
  <c r="W2848"/>
  <c r="Y2848"/>
  <c r="AA2848"/>
  <c r="AB2848"/>
  <c r="AC2848"/>
  <c r="AD2848"/>
  <c r="P2849"/>
  <c r="T2849"/>
  <c r="U2849"/>
  <c r="V2849"/>
  <c r="W2849"/>
  <c r="Y2849"/>
  <c r="AA2849"/>
  <c r="AB2849"/>
  <c r="AC2849"/>
  <c r="AD2849"/>
  <c r="P2850"/>
  <c r="T2850"/>
  <c r="U2850"/>
  <c r="V2850"/>
  <c r="W2850"/>
  <c r="Y2850"/>
  <c r="AA2850"/>
  <c r="AB2850"/>
  <c r="AC2850"/>
  <c r="AD2850"/>
  <c r="P2851"/>
  <c r="T2851"/>
  <c r="U2851"/>
  <c r="V2851"/>
  <c r="W2851"/>
  <c r="Y2851"/>
  <c r="AA2851"/>
  <c r="AB2851"/>
  <c r="AC2851"/>
  <c r="AD2851"/>
  <c r="P2852"/>
  <c r="T2852"/>
  <c r="U2852"/>
  <c r="V2852"/>
  <c r="W2852"/>
  <c r="Y2852"/>
  <c r="AA2852"/>
  <c r="AB2852"/>
  <c r="AC2852"/>
  <c r="AD2852"/>
  <c r="P2853"/>
  <c r="T2853"/>
  <c r="U2853"/>
  <c r="V2853"/>
  <c r="W2853"/>
  <c r="Y2853"/>
  <c r="AA2853"/>
  <c r="AB2853"/>
  <c r="AC2853"/>
  <c r="AD2853"/>
  <c r="P2854"/>
  <c r="T2854"/>
  <c r="U2854"/>
  <c r="V2854"/>
  <c r="W2854"/>
  <c r="Y2854"/>
  <c r="AA2854"/>
  <c r="AB2854"/>
  <c r="AC2854"/>
  <c r="AD2854"/>
  <c r="P2855"/>
  <c r="T2855"/>
  <c r="U2855"/>
  <c r="V2855"/>
  <c r="W2855"/>
  <c r="Y2855"/>
  <c r="AA2855"/>
  <c r="AB2855"/>
  <c r="AC2855"/>
  <c r="AD2855"/>
  <c r="P2856"/>
  <c r="T2856"/>
  <c r="U2856"/>
  <c r="V2856"/>
  <c r="W2856"/>
  <c r="Y2856"/>
  <c r="AA2856"/>
  <c r="AB2856"/>
  <c r="AC2856"/>
  <c r="AD2856"/>
  <c r="P2857"/>
  <c r="T2857"/>
  <c r="U2857"/>
  <c r="V2857"/>
  <c r="W2857"/>
  <c r="Y2857"/>
  <c r="AA2857"/>
  <c r="AB2857"/>
  <c r="AC2857"/>
  <c r="AD2857"/>
  <c r="P2858"/>
  <c r="T2858"/>
  <c r="U2858"/>
  <c r="V2858"/>
  <c r="W2858"/>
  <c r="Y2858"/>
  <c r="AA2858"/>
  <c r="AB2858"/>
  <c r="AC2858"/>
  <c r="AD2858"/>
  <c r="P2859"/>
  <c r="T2859"/>
  <c r="U2859"/>
  <c r="V2859"/>
  <c r="W2859"/>
  <c r="Y2859"/>
  <c r="AA2859"/>
  <c r="AB2859"/>
  <c r="AC2859"/>
  <c r="AD2859"/>
  <c r="P2860"/>
  <c r="T2860"/>
  <c r="U2860"/>
  <c r="V2860"/>
  <c r="W2860"/>
  <c r="Y2860"/>
  <c r="AA2860"/>
  <c r="AB2860"/>
  <c r="AC2860"/>
  <c r="AD2860"/>
  <c r="P2861"/>
  <c r="T2861"/>
  <c r="U2861"/>
  <c r="V2861"/>
  <c r="W2861"/>
  <c r="Y2861"/>
  <c r="AA2861"/>
  <c r="AB2861"/>
  <c r="AC2861"/>
  <c r="AD2861"/>
  <c r="P2862"/>
  <c r="T2862"/>
  <c r="U2862"/>
  <c r="V2862"/>
  <c r="W2862"/>
  <c r="Y2862"/>
  <c r="AA2862"/>
  <c r="AB2862"/>
  <c r="AC2862"/>
  <c r="AD2862"/>
  <c r="P2863"/>
  <c r="T2863"/>
  <c r="U2863"/>
  <c r="V2863"/>
  <c r="W2863"/>
  <c r="Y2863"/>
  <c r="AA2863"/>
  <c r="AB2863"/>
  <c r="AC2863"/>
  <c r="AD2863"/>
  <c r="P2864"/>
  <c r="T2864"/>
  <c r="U2864"/>
  <c r="V2864"/>
  <c r="W2864"/>
  <c r="Y2864"/>
  <c r="AA2864"/>
  <c r="AB2864"/>
  <c r="AC2864"/>
  <c r="AD2864"/>
  <c r="P2865"/>
  <c r="T2865"/>
  <c r="U2865"/>
  <c r="V2865"/>
  <c r="W2865"/>
  <c r="Y2865"/>
  <c r="AA2865"/>
  <c r="AB2865"/>
  <c r="AC2865"/>
  <c r="AD2865"/>
  <c r="P2866"/>
  <c r="T2866"/>
  <c r="U2866"/>
  <c r="V2866"/>
  <c r="W2866"/>
  <c r="Y2866"/>
  <c r="AA2866"/>
  <c r="AB2866"/>
  <c r="AC2866"/>
  <c r="AD2866"/>
  <c r="P2867"/>
  <c r="T2867"/>
  <c r="U2867"/>
  <c r="V2867"/>
  <c r="W2867"/>
  <c r="Y2867"/>
  <c r="AA2867"/>
  <c r="AB2867"/>
  <c r="AC2867"/>
  <c r="AD2867"/>
  <c r="P2868"/>
  <c r="T2868"/>
  <c r="U2868"/>
  <c r="V2868"/>
  <c r="W2868"/>
  <c r="Y2868"/>
  <c r="AA2868"/>
  <c r="AB2868"/>
  <c r="AC2868"/>
  <c r="AD2868"/>
  <c r="P2869"/>
  <c r="T2869"/>
  <c r="U2869"/>
  <c r="V2869"/>
  <c r="W2869"/>
  <c r="Y2869"/>
  <c r="AA2869"/>
  <c r="AB2869"/>
  <c r="AC2869"/>
  <c r="AD2869"/>
  <c r="P2870"/>
  <c r="T2870"/>
  <c r="U2870"/>
  <c r="V2870"/>
  <c r="W2870"/>
  <c r="Y2870"/>
  <c r="AA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A2876"/>
  <c r="AB2876"/>
  <c r="AC2876"/>
  <c r="AD2876"/>
  <c r="P2877"/>
  <c r="T2877"/>
  <c r="U2877"/>
  <c r="V2877"/>
  <c r="W2877"/>
  <c r="Y2877"/>
  <c r="AA2877"/>
  <c r="AB2877"/>
  <c r="AC2877"/>
  <c r="AD2877"/>
  <c r="P2878"/>
  <c r="T2878"/>
  <c r="U2878"/>
  <c r="V2878"/>
  <c r="W2878"/>
  <c r="Y2878"/>
  <c r="AA2878"/>
  <c r="AB2878"/>
  <c r="AC2878"/>
  <c r="AD2878"/>
  <c r="P2879"/>
  <c r="T2879"/>
  <c r="U2879"/>
  <c r="V2879"/>
  <c r="W2879"/>
  <c r="Y2879"/>
  <c r="AA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A2883"/>
  <c r="AB2883"/>
  <c r="AC2883"/>
  <c r="AD2883"/>
  <c r="P2884"/>
  <c r="T2884"/>
  <c r="U2884"/>
  <c r="V2884"/>
  <c r="W2884"/>
  <c r="Y2884"/>
  <c r="AA2884"/>
  <c r="AB2884"/>
  <c r="AC2884"/>
  <c r="AD2884"/>
  <c r="P2885"/>
  <c r="T2885"/>
  <c r="U2885"/>
  <c r="V2885"/>
  <c r="W2885"/>
  <c r="Y2885"/>
  <c r="AA2885"/>
  <c r="AB2885"/>
  <c r="AC2885"/>
  <c r="AD2885"/>
  <c r="P2886"/>
  <c r="T2886"/>
  <c r="U2886"/>
  <c r="V2886"/>
  <c r="W2886"/>
  <c r="Y2886"/>
  <c r="AA2886"/>
  <c r="AB2886"/>
  <c r="AC2886"/>
  <c r="AD2886"/>
  <c r="P2887"/>
  <c r="T2887"/>
  <c r="U2887"/>
  <c r="V2887"/>
  <c r="W2887"/>
  <c r="Y2887"/>
  <c r="AA2887"/>
  <c r="AB2887"/>
  <c r="AC2887"/>
  <c r="AD2887"/>
  <c r="P2888"/>
  <c r="T2888"/>
  <c r="U2888"/>
  <c r="V2888"/>
  <c r="W2888"/>
  <c r="Y2888"/>
  <c r="AA2888"/>
  <c r="AB2888"/>
  <c r="AC2888"/>
  <c r="AD2888"/>
  <c r="P2889"/>
  <c r="T2889"/>
  <c r="U2889"/>
  <c r="V2889"/>
  <c r="W2889"/>
  <c r="Y2889"/>
  <c r="AA2889"/>
  <c r="AB2889"/>
  <c r="AC2889"/>
  <c r="AD2889"/>
  <c r="P2890"/>
  <c r="T2890"/>
  <c r="U2890"/>
  <c r="V2890"/>
  <c r="W2890"/>
  <c r="Y2890"/>
  <c r="AA2890"/>
  <c r="AB2890"/>
  <c r="AC2890"/>
  <c r="AD2890"/>
  <c r="P2891"/>
  <c r="T2891"/>
  <c r="U2891"/>
  <c r="V2891"/>
  <c r="W2891"/>
  <c r="Y2891"/>
  <c r="AA2891"/>
  <c r="AB2891"/>
  <c r="AC2891"/>
  <c r="AD2891"/>
  <c r="P2892"/>
  <c r="T2892"/>
  <c r="U2892"/>
  <c r="V2892"/>
  <c r="W2892"/>
  <c r="Y2892"/>
  <c r="AA2892"/>
  <c r="AB2892"/>
  <c r="AC2892"/>
  <c r="AD2892"/>
  <c r="P2893"/>
  <c r="T2893"/>
  <c r="U2893"/>
  <c r="V2893"/>
  <c r="W2893"/>
  <c r="Y2893"/>
  <c r="AA2893"/>
  <c r="AB2893"/>
  <c r="AC2893"/>
  <c r="AD2893"/>
  <c r="P2894"/>
  <c r="T2894"/>
  <c r="U2894"/>
  <c r="V2894"/>
  <c r="W2894"/>
  <c r="Y2894"/>
  <c r="AA2894"/>
  <c r="AB2894"/>
  <c r="AC2894"/>
  <c r="AD2894"/>
  <c r="P2895"/>
  <c r="T2895"/>
  <c r="U2895"/>
  <c r="V2895"/>
  <c r="W2895"/>
  <c r="Y2895"/>
  <c r="AA2895"/>
  <c r="AB2895"/>
  <c r="AC2895"/>
  <c r="AD2895"/>
  <c r="P2896"/>
  <c r="T2896"/>
  <c r="U2896"/>
  <c r="V2896"/>
  <c r="W2896"/>
  <c r="Y2896"/>
  <c r="AA2896"/>
  <c r="AB2896"/>
  <c r="AC2896"/>
  <c r="AD2896"/>
  <c r="P2897"/>
  <c r="T2897"/>
  <c r="U2897"/>
  <c r="V2897"/>
  <c r="W2897"/>
  <c r="Y2897"/>
  <c r="AA2897"/>
  <c r="AB2897"/>
  <c r="AC2897"/>
  <c r="AD2897"/>
  <c r="P2898"/>
  <c r="T2898"/>
  <c r="U2898"/>
  <c r="V2898"/>
  <c r="W2898"/>
  <c r="Y2898"/>
  <c r="AA2898"/>
  <c r="AB2898"/>
  <c r="AC2898"/>
  <c r="AD2898"/>
  <c r="P2899"/>
  <c r="T2899"/>
  <c r="U2899"/>
  <c r="V2899"/>
  <c r="W2899"/>
  <c r="Y2899"/>
  <c r="AA2899"/>
  <c r="AB2899"/>
  <c r="AC2899"/>
  <c r="AD2899"/>
  <c r="P2900"/>
  <c r="T2900"/>
  <c r="U2900"/>
  <c r="V2900"/>
  <c r="W2900"/>
  <c r="Y2900"/>
  <c r="AA2900"/>
  <c r="AB2900"/>
  <c r="AC2900"/>
  <c r="AD2900"/>
  <c r="P2901"/>
  <c r="T2901"/>
  <c r="U2901"/>
  <c r="V2901"/>
  <c r="W2901"/>
  <c r="Y2901"/>
  <c r="AA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T2905"/>
  <c r="U2905"/>
  <c r="V2905"/>
  <c r="W2905"/>
  <c r="Y2905"/>
  <c r="AA2905"/>
  <c r="AB2905"/>
  <c r="AC2905"/>
  <c r="AD2905"/>
  <c r="P2906"/>
  <c r="T2906"/>
  <c r="U2906"/>
  <c r="V2906"/>
  <c r="W2906"/>
  <c r="Y2906"/>
  <c r="AA2906"/>
  <c r="AB2906"/>
  <c r="AC2906"/>
  <c r="AD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7"/>
  <c r="T2917"/>
  <c r="U2917"/>
  <c r="V2917"/>
  <c r="W2917"/>
  <c r="Y2917"/>
  <c r="AA2917"/>
  <c r="AB2917"/>
  <c r="AC2917"/>
  <c r="AD2917"/>
  <c r="P2918"/>
  <c r="T2918"/>
  <c r="U2918"/>
  <c r="V2918"/>
  <c r="W2918"/>
  <c r="Y2918"/>
  <c r="AA2918"/>
  <c r="AB2918"/>
  <c r="AC2918"/>
  <c r="AD2918"/>
  <c r="P2919"/>
  <c r="T2919"/>
  <c r="U2919"/>
  <c r="V2919"/>
  <c r="W2919"/>
  <c r="Y2919"/>
  <c r="AA2919"/>
  <c r="AB2919"/>
  <c r="AC2919"/>
  <c r="AD2919"/>
  <c r="P2920"/>
  <c r="T2920"/>
  <c r="U2920"/>
  <c r="V2920"/>
  <c r="W2920"/>
  <c r="Y2920"/>
  <c r="AA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A2925"/>
  <c r="AB2925"/>
  <c r="AC2925"/>
  <c r="AD2925"/>
  <c r="P2926"/>
  <c r="T2926"/>
  <c r="U2926"/>
  <c r="V2926"/>
  <c r="W2926"/>
  <c r="Y2926"/>
  <c r="AA2926"/>
  <c r="AB2926"/>
  <c r="AC2926"/>
  <c r="AD2926"/>
  <c r="P2927"/>
  <c r="T2927"/>
  <c r="U2927"/>
  <c r="V2927"/>
  <c r="W2927"/>
  <c r="Y2927"/>
  <c r="AA2927"/>
  <c r="AB2927"/>
  <c r="AC2927"/>
  <c r="AD2927"/>
  <c r="P2928"/>
  <c r="T2928"/>
  <c r="U2928"/>
  <c r="V2928"/>
  <c r="W2928"/>
  <c r="Y2928"/>
  <c r="AA2928"/>
  <c r="AB2928"/>
  <c r="AC2928"/>
  <c r="AD2928"/>
  <c r="P2929"/>
  <c r="T2929"/>
  <c r="U2929"/>
  <c r="V2929"/>
  <c r="W2929"/>
  <c r="Y2929"/>
  <c r="AA2929"/>
  <c r="AB2929"/>
  <c r="AC2929"/>
  <c r="AD2929"/>
  <c r="P2930"/>
  <c r="T2930"/>
  <c r="U2930"/>
  <c r="V2930"/>
  <c r="W2930"/>
  <c r="Y2930"/>
  <c r="AA2930"/>
  <c r="AB2930"/>
  <c r="AC2930"/>
  <c r="AD2930"/>
  <c r="P2931"/>
  <c r="T2931"/>
  <c r="U2931"/>
  <c r="V2931"/>
  <c r="W2931"/>
  <c r="Y2931"/>
  <c r="AA2931"/>
  <c r="AB2931"/>
  <c r="AC2931"/>
  <c r="AD2931"/>
  <c r="P2932"/>
  <c r="T2932"/>
  <c r="U2932"/>
  <c r="V2932"/>
  <c r="W2932"/>
  <c r="Y2932"/>
  <c r="AA2932"/>
  <c r="AB2932"/>
  <c r="AC2932"/>
  <c r="AD2932"/>
  <c r="P2933"/>
  <c r="T2933"/>
  <c r="U2933"/>
  <c r="V2933"/>
  <c r="W2933"/>
  <c r="Y2933"/>
  <c r="AA2933"/>
  <c r="AB2933"/>
  <c r="AC2933"/>
  <c r="AD2933"/>
  <c r="P2934"/>
  <c r="T2934"/>
  <c r="U2934"/>
  <c r="V2934"/>
  <c r="W2934"/>
  <c r="Y2934"/>
  <c r="AA2934"/>
  <c r="AB2934"/>
  <c r="AC2934"/>
  <c r="AD2934"/>
  <c r="P2935"/>
  <c r="T2935"/>
  <c r="U2935"/>
  <c r="V2935"/>
  <c r="W2935"/>
  <c r="Y2935"/>
  <c r="AA2935"/>
  <c r="AB2935"/>
  <c r="AC2935"/>
  <c r="AD2935"/>
  <c r="P2936"/>
  <c r="T2936"/>
  <c r="U2936"/>
  <c r="V2936"/>
  <c r="W2936"/>
  <c r="Y2936"/>
  <c r="AA2936"/>
  <c r="AB2936"/>
  <c r="AC2936"/>
  <c r="AD2936"/>
  <c r="P2937"/>
  <c r="T2937"/>
  <c r="U2937"/>
  <c r="V2937"/>
  <c r="W2937"/>
  <c r="Y2937"/>
  <c r="AA2937"/>
  <c r="AB2937"/>
  <c r="AC2937"/>
  <c r="AD2937"/>
  <c r="P2938"/>
  <c r="T2938"/>
  <c r="U2938"/>
  <c r="V2938"/>
  <c r="W2938"/>
  <c r="Y2938"/>
  <c r="AA2938"/>
  <c r="AB2938"/>
  <c r="AC2938"/>
  <c r="AD2938"/>
  <c r="P2939"/>
  <c r="T2939"/>
  <c r="U2939"/>
  <c r="V2939"/>
  <c r="W2939"/>
  <c r="Y2939"/>
  <c r="AA2939"/>
  <c r="AB2939"/>
  <c r="AC2939"/>
  <c r="AD2939"/>
  <c r="P2940"/>
  <c r="T2940"/>
  <c r="U2940"/>
  <c r="V2940"/>
  <c r="W2940"/>
  <c r="Y2940"/>
  <c r="AA2940"/>
  <c r="AB2940"/>
  <c r="AC2940"/>
  <c r="AD2940"/>
  <c r="P2941"/>
  <c r="T2941"/>
  <c r="U2941"/>
  <c r="V2941"/>
  <c r="W2941"/>
  <c r="Y2941"/>
  <c r="AA2941"/>
  <c r="AB2941"/>
  <c r="AC2941"/>
  <c r="AD2941"/>
  <c r="P2942"/>
  <c r="T2942"/>
  <c r="U2942"/>
  <c r="V2942"/>
  <c r="W2942"/>
  <c r="Y2942"/>
  <c r="AA2942"/>
  <c r="AB2942"/>
  <c r="AC2942"/>
  <c r="AD2942"/>
  <c r="P2943"/>
  <c r="T2943"/>
  <c r="U2943"/>
  <c r="V2943"/>
  <c r="W2943"/>
  <c r="Y2943"/>
  <c r="AA2943"/>
  <c r="AB2943"/>
  <c r="AC2943"/>
  <c r="AD2943"/>
  <c r="P2944"/>
  <c r="T2944"/>
  <c r="U2944"/>
  <c r="V2944"/>
  <c r="W2944"/>
  <c r="Y2944"/>
  <c r="AA2944"/>
  <c r="AB2944"/>
  <c r="AC2944"/>
  <c r="AD2944"/>
  <c r="P2945"/>
  <c r="T2945"/>
  <c r="U2945"/>
  <c r="V2945"/>
  <c r="W2945"/>
  <c r="Y2945"/>
  <c r="AA2945"/>
  <c r="AB2945"/>
  <c r="AC2945"/>
  <c r="AD2945"/>
  <c r="P2946"/>
  <c r="T2946"/>
  <c r="U2946"/>
  <c r="V2946"/>
  <c r="W2946"/>
  <c r="Y2946"/>
  <c r="AA2946"/>
  <c r="AB2946"/>
  <c r="AC2946"/>
  <c r="AD2946"/>
  <c r="P2947"/>
  <c r="T2947"/>
  <c r="U2947"/>
  <c r="V2947"/>
  <c r="W2947"/>
  <c r="Y2947"/>
  <c r="AA2947"/>
  <c r="AB2947"/>
  <c r="AC2947"/>
  <c r="AD2947"/>
  <c r="P2948"/>
  <c r="T2948"/>
  <c r="U2948"/>
  <c r="V2948"/>
  <c r="W2948"/>
  <c r="Y2948"/>
  <c r="AA2948"/>
  <c r="AB2948"/>
  <c r="AC2948"/>
  <c r="AD2948"/>
  <c r="P2949"/>
  <c r="T2949"/>
  <c r="U2949"/>
  <c r="V2949"/>
  <c r="W2949"/>
  <c r="Y2949"/>
  <c r="AA2949"/>
  <c r="AB2949"/>
  <c r="AC2949"/>
  <c r="AD2949"/>
  <c r="P2950"/>
  <c r="T2950"/>
  <c r="U2950"/>
  <c r="V2950"/>
  <c r="W2950"/>
  <c r="Y2950"/>
  <c r="AA2950"/>
  <c r="AB2950"/>
  <c r="AC2950"/>
  <c r="AD2950"/>
  <c r="P2951"/>
  <c r="T2951"/>
  <c r="U2951"/>
  <c r="V2951"/>
  <c r="W2951"/>
  <c r="Y2951"/>
  <c r="AA2951"/>
  <c r="AB2951"/>
  <c r="AC2951"/>
  <c r="AD2951"/>
  <c r="P2952"/>
  <c r="T2952"/>
  <c r="U2952"/>
  <c r="V2952"/>
  <c r="W2952"/>
  <c r="Y2952"/>
  <c r="AA2952"/>
  <c r="AB2952"/>
  <c r="AC2952"/>
  <c r="AD2952"/>
  <c r="P2953"/>
  <c r="T2953"/>
  <c r="U2953"/>
  <c r="V2953"/>
  <c r="W2953"/>
  <c r="Y2953"/>
  <c r="AA2953"/>
  <c r="AB2953"/>
  <c r="AC2953"/>
  <c r="AD2953"/>
  <c r="P2954"/>
  <c r="T2954"/>
  <c r="U2954"/>
  <c r="V2954"/>
  <c r="W2954"/>
  <c r="Y2954"/>
  <c r="AA2954"/>
  <c r="AB2954"/>
  <c r="AC2954"/>
  <c r="AD2954"/>
  <c r="P2955"/>
  <c r="T2955"/>
  <c r="U2955"/>
  <c r="V2955"/>
  <c r="W2955"/>
  <c r="Y2955"/>
  <c r="AA2955"/>
  <c r="AB2955"/>
  <c r="AC2955"/>
  <c r="AD2955"/>
  <c r="P2956"/>
  <c r="T2956"/>
  <c r="U2956"/>
  <c r="V2956"/>
  <c r="W2956"/>
  <c r="Y2956"/>
  <c r="AA2956"/>
  <c r="AB2956"/>
  <c r="AC2956"/>
  <c r="AD2956"/>
  <c r="P2957"/>
  <c r="T2957"/>
  <c r="U2957"/>
  <c r="V2957"/>
  <c r="W2957"/>
  <c r="Y2957"/>
  <c r="AA2957"/>
  <c r="AB2957"/>
  <c r="AC2957"/>
  <c r="AD2957"/>
  <c r="P2958"/>
  <c r="T2958"/>
  <c r="U2958"/>
  <c r="V2958"/>
  <c r="W2958"/>
  <c r="Y2958"/>
  <c r="AA2958"/>
  <c r="AB2958"/>
  <c r="AC2958"/>
  <c r="AD2958"/>
  <c r="P2959"/>
  <c r="T2959"/>
  <c r="U2959"/>
  <c r="V2959"/>
  <c r="W2959"/>
  <c r="Y2959"/>
  <c r="AA2959"/>
  <c r="AB2959"/>
  <c r="AC2959"/>
  <c r="AD2959"/>
  <c r="P2960"/>
  <c r="T2960"/>
  <c r="U2960"/>
  <c r="V2960"/>
  <c r="W2960"/>
  <c r="Y2960"/>
  <c r="AA2960"/>
  <c r="AB2960"/>
  <c r="AC2960"/>
  <c r="AD2960"/>
  <c r="P2961"/>
  <c r="T2961"/>
  <c r="U2961"/>
  <c r="V2961"/>
  <c r="W2961"/>
  <c r="Y2961"/>
  <c r="AA2961"/>
  <c r="AB2961"/>
  <c r="AC2961"/>
  <c r="AD2961"/>
  <c r="P2962"/>
  <c r="T2962"/>
  <c r="U2962"/>
  <c r="V2962"/>
  <c r="W2962"/>
  <c r="Y2962"/>
  <c r="AA2962"/>
  <c r="AB2962"/>
  <c r="AC2962"/>
  <c r="AD2962"/>
  <c r="P2963"/>
  <c r="T2963"/>
  <c r="U2963"/>
  <c r="V2963"/>
  <c r="W2963"/>
  <c r="Y2963"/>
  <c r="AA2963"/>
  <c r="AB2963"/>
  <c r="AC2963"/>
  <c r="AD2963"/>
  <c r="P2964"/>
  <c r="T2964"/>
  <c r="U2964"/>
  <c r="V2964"/>
  <c r="W2964"/>
  <c r="Y2964"/>
  <c r="AA2964"/>
  <c r="AB2964"/>
  <c r="AC2964"/>
  <c r="AD2964"/>
  <c r="P2965"/>
  <c r="T2965"/>
  <c r="U2965"/>
  <c r="V2965"/>
  <c r="W2965"/>
  <c r="Y2965"/>
  <c r="AA2965"/>
  <c r="AB2965"/>
  <c r="AC2965"/>
  <c r="AD2965"/>
  <c r="P2966"/>
  <c r="T2966"/>
  <c r="U2966"/>
  <c r="V2966"/>
  <c r="W2966"/>
  <c r="Y2966"/>
  <c r="AA2966"/>
  <c r="AB2966"/>
  <c r="AC2966"/>
  <c r="AD2966"/>
  <c r="P2967"/>
  <c r="T2967"/>
  <c r="U2967"/>
  <c r="V2967"/>
  <c r="W2967"/>
  <c r="Y2967"/>
  <c r="AA2967"/>
  <c r="AB2967"/>
  <c r="AC2967"/>
  <c r="AD2967"/>
  <c r="P2968"/>
  <c r="T2968"/>
  <c r="U2968"/>
  <c r="V2968"/>
  <c r="W2968"/>
  <c r="Y2968"/>
  <c r="AA2968"/>
  <c r="AB2968"/>
  <c r="AC2968"/>
  <c r="AD2968"/>
  <c r="P2969"/>
  <c r="T2969"/>
  <c r="U2969"/>
  <c r="V2969"/>
  <c r="W2969"/>
  <c r="Y2969"/>
  <c r="AA2969"/>
  <c r="AB2969"/>
  <c r="AC2969"/>
  <c r="AD2969"/>
  <c r="P2970"/>
  <c r="T2970"/>
  <c r="U2970"/>
  <c r="V2970"/>
  <c r="W2970"/>
  <c r="Y2970"/>
  <c r="AA2970"/>
  <c r="AB2970"/>
  <c r="AC2970"/>
  <c r="AD2970"/>
  <c r="P2971"/>
  <c r="T2971"/>
  <c r="U2971"/>
  <c r="V2971"/>
  <c r="W2971"/>
  <c r="Y2971"/>
  <c r="AA2971"/>
  <c r="AB2971"/>
  <c r="AC2971"/>
  <c r="AD2971"/>
  <c r="P2972"/>
  <c r="T2972"/>
  <c r="U2972"/>
  <c r="V2972"/>
  <c r="W2972"/>
  <c r="Y2972"/>
  <c r="AA2972"/>
  <c r="AB2972"/>
  <c r="AC2972"/>
  <c r="AD2972"/>
  <c r="P2973"/>
  <c r="T2973"/>
  <c r="U2973"/>
  <c r="V2973"/>
  <c r="W2973"/>
  <c r="Y2973"/>
  <c r="AA2973"/>
  <c r="AB2973"/>
  <c r="AC2973"/>
  <c r="AD2973"/>
  <c r="P2974"/>
  <c r="T2974"/>
  <c r="U2974"/>
  <c r="V2974"/>
  <c r="W2974"/>
  <c r="Y2974"/>
  <c r="AA2974"/>
  <c r="AB2974"/>
  <c r="AC2974"/>
  <c r="AD2974"/>
  <c r="P2975"/>
  <c r="T2975"/>
  <c r="U2975"/>
  <c r="V2975"/>
  <c r="W2975"/>
  <c r="Y2975"/>
  <c r="AA2975"/>
  <c r="AB2975"/>
  <c r="AC2975"/>
  <c r="AD2975"/>
  <c r="P2976"/>
  <c r="T2976"/>
  <c r="U2976"/>
  <c r="V2976"/>
  <c r="W2976"/>
  <c r="Y2976"/>
  <c r="AA2976"/>
  <c r="AB2976"/>
  <c r="AC2976"/>
  <c r="AD2976"/>
  <c r="P2977"/>
  <c r="T2977"/>
  <c r="U2977"/>
  <c r="V2977"/>
  <c r="W2977"/>
  <c r="Y2977"/>
  <c r="AA2977"/>
  <c r="AB2977"/>
  <c r="AC2977"/>
  <c r="AD2977"/>
  <c r="P2978"/>
  <c r="T2978"/>
  <c r="U2978"/>
  <c r="V2978"/>
  <c r="W2978"/>
  <c r="Y2978"/>
  <c r="AA2978"/>
  <c r="AB2978"/>
  <c r="AC2978"/>
  <c r="AD2978"/>
  <c r="P2979"/>
  <c r="T2979"/>
  <c r="U2979"/>
  <c r="V2979"/>
  <c r="W2979"/>
  <c r="Y2979"/>
  <c r="AA2979"/>
  <c r="AB2979"/>
  <c r="AC2979"/>
  <c r="AD2979"/>
  <c r="P2980"/>
  <c r="T2980"/>
  <c r="U2980"/>
  <c r="V2980"/>
  <c r="W2980"/>
  <c r="Y2980"/>
  <c r="AA2980"/>
  <c r="AB2980"/>
  <c r="AC2980"/>
  <c r="AD2980"/>
  <c r="P2981"/>
  <c r="T2981"/>
  <c r="U2981"/>
  <c r="V2981"/>
  <c r="W2981"/>
  <c r="Y2981"/>
  <c r="AA2981"/>
  <c r="AB2981"/>
  <c r="AC2981"/>
  <c r="AD2981"/>
  <c r="P2982"/>
  <c r="T2982"/>
  <c r="U2982"/>
  <c r="V2982"/>
  <c r="W2982"/>
  <c r="Y2982"/>
  <c r="AA2982"/>
  <c r="AB2982"/>
  <c r="AC2982"/>
  <c r="AD2982"/>
  <c r="P2983"/>
  <c r="T2983"/>
  <c r="U2983"/>
  <c r="V2983"/>
  <c r="W2983"/>
  <c r="Y2983"/>
  <c r="AA2983"/>
  <c r="AB2983"/>
  <c r="AC2983"/>
  <c r="AD2983"/>
  <c r="P2984"/>
  <c r="T2984"/>
  <c r="U2984"/>
  <c r="V2984"/>
  <c r="W2984"/>
  <c r="Y2984"/>
  <c r="AA2984"/>
  <c r="AB2984"/>
  <c r="AC2984"/>
  <c r="AD2984"/>
  <c r="P2985"/>
  <c r="T2985"/>
  <c r="U2985"/>
  <c r="V2985"/>
  <c r="W2985"/>
  <c r="Y2985"/>
  <c r="AA2985"/>
  <c r="AB2985"/>
  <c r="AC2985"/>
  <c r="AD2985"/>
  <c r="P2986"/>
  <c r="T2986"/>
  <c r="U2986"/>
  <c r="V2986"/>
  <c r="W2986"/>
  <c r="Y2986"/>
  <c r="AA2986"/>
  <c r="AB2986"/>
  <c r="AC2986"/>
  <c r="AD2986"/>
  <c r="P2987"/>
  <c r="T2987"/>
  <c r="U2987"/>
  <c r="V2987"/>
  <c r="W2987"/>
  <c r="Y2987"/>
  <c r="AA2987"/>
  <c r="AB2987"/>
  <c r="AC2987"/>
  <c r="AD2987"/>
  <c r="P2988"/>
  <c r="T2988"/>
  <c r="U2988"/>
  <c r="V2988"/>
  <c r="W2988"/>
  <c r="Y2988"/>
  <c r="AA2988"/>
  <c r="AB2988"/>
  <c r="AC2988"/>
  <c r="AD2988"/>
  <c r="P2989"/>
  <c r="T2989"/>
  <c r="U2989"/>
  <c r="V2989"/>
  <c r="W2989"/>
  <c r="Y2989"/>
  <c r="AA2989"/>
  <c r="AB2989"/>
  <c r="AC2989"/>
  <c r="AD2989"/>
  <c r="P2990"/>
  <c r="T2990"/>
  <c r="U2990"/>
  <c r="V2990"/>
  <c r="W2990"/>
  <c r="Y2990"/>
  <c r="AA2990"/>
  <c r="AB2990"/>
  <c r="AC2990"/>
  <c r="AD2990"/>
  <c r="P2991"/>
  <c r="T2991"/>
  <c r="U2991"/>
  <c r="V2991"/>
  <c r="W2991"/>
  <c r="Y2991"/>
  <c r="AA2991"/>
  <c r="AB2991"/>
  <c r="AC2991"/>
  <c r="AD2991"/>
  <c r="P2992"/>
  <c r="T2992"/>
  <c r="U2992"/>
  <c r="V2992"/>
  <c r="W2992"/>
  <c r="Y2992"/>
  <c r="AA2992"/>
  <c r="AB2992"/>
  <c r="AC2992"/>
  <c r="AD2992"/>
  <c r="P2993"/>
  <c r="T2993"/>
  <c r="U2993"/>
  <c r="V2993"/>
  <c r="W2993"/>
  <c r="Y2993"/>
  <c r="AA2993"/>
  <c r="AB2993"/>
  <c r="AC2993"/>
  <c r="AD2993"/>
  <c r="P2994"/>
  <c r="T2994"/>
  <c r="U2994"/>
  <c r="V2994"/>
  <c r="W2994"/>
  <c r="Y2994"/>
  <c r="AA2994"/>
  <c r="AB2994"/>
  <c r="AC2994"/>
  <c r="AD2994"/>
  <c r="P2995"/>
  <c r="T2995"/>
  <c r="U2995"/>
  <c r="V2995"/>
  <c r="W2995"/>
  <c r="Y2995"/>
  <c r="AA2995"/>
  <c r="AB2995"/>
  <c r="AC2995"/>
  <c r="AD2995"/>
  <c r="P2996"/>
  <c r="T2996"/>
  <c r="U2996"/>
  <c r="V2996"/>
  <c r="W2996"/>
  <c r="Y2996"/>
  <c r="AA2996"/>
  <c r="AB2996"/>
  <c r="AC2996"/>
  <c r="AD2996"/>
  <c r="P2997"/>
  <c r="T2997"/>
  <c r="U2997"/>
  <c r="V2997"/>
  <c r="W2997"/>
  <c r="Y2997"/>
  <c r="AA2997"/>
  <c r="AB2997"/>
  <c r="AC2997"/>
  <c r="AD2997"/>
  <c r="P2998"/>
  <c r="T2998"/>
  <c r="U2998"/>
  <c r="V2998"/>
  <c r="W2998"/>
  <c r="Y2998"/>
  <c r="AA2998"/>
  <c r="AB2998"/>
  <c r="AC2998"/>
  <c r="AD2998"/>
  <c r="P2999"/>
  <c r="T2999"/>
  <c r="U2999"/>
  <c r="V2999"/>
  <c r="W2999"/>
  <c r="Y2999"/>
  <c r="AA2999"/>
  <c r="AB2999"/>
  <c r="AC2999"/>
  <c r="AD2999"/>
  <c r="P3000"/>
  <c r="T3000"/>
  <c r="U3000"/>
  <c r="V3000"/>
  <c r="W3000"/>
  <c r="Y3000"/>
  <c r="AA3000"/>
  <c r="AB3000"/>
  <c r="AC3000"/>
  <c r="AD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AD3003"/>
  <c r="P3004"/>
  <c r="T3004"/>
  <c r="U3004"/>
  <c r="V3004"/>
  <c r="W3004"/>
  <c r="Y3004"/>
  <c r="AA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AD3007"/>
  <c r="P3008"/>
  <c r="T3008"/>
  <c r="U3008"/>
  <c r="V3008"/>
  <c r="W3008"/>
  <c r="Y3008"/>
  <c r="AA3008"/>
  <c r="AB3008"/>
  <c r="AC3008"/>
  <c r="AD3008"/>
  <c r="P3009"/>
  <c r="T3009"/>
  <c r="U3009"/>
  <c r="V3009"/>
  <c r="W3009"/>
  <c r="Y3009"/>
  <c r="AA3009"/>
  <c r="AB3009"/>
  <c r="AC3009"/>
  <c r="AD3009"/>
  <c r="P3010"/>
  <c r="T3010"/>
  <c r="U3010"/>
  <c r="V3010"/>
  <c r="W3010"/>
  <c r="Y3010"/>
  <c r="AA3010"/>
  <c r="AB3010"/>
  <c r="AC3010"/>
  <c r="AD3010"/>
  <c r="P3011"/>
  <c r="T3011"/>
  <c r="U3011"/>
  <c r="V3011"/>
  <c r="W3011"/>
  <c r="Y3011"/>
  <c r="AA3011"/>
  <c r="AB3011"/>
  <c r="AC3011"/>
  <c r="AD3011"/>
  <c r="P3012"/>
  <c r="T3012"/>
  <c r="U3012"/>
  <c r="V3012"/>
  <c r="W3012"/>
  <c r="Y3012"/>
  <c r="AA3012"/>
  <c r="AB3012"/>
  <c r="AC3012"/>
  <c r="AD3012"/>
  <c r="P3013"/>
  <c r="T3013"/>
  <c r="U3013"/>
  <c r="V3013"/>
  <c r="W3013"/>
  <c r="Y3013"/>
  <c r="AA3013"/>
  <c r="AB3013"/>
  <c r="AC3013"/>
  <c r="AD3013"/>
  <c r="P3014"/>
  <c r="T3014"/>
  <c r="U3014"/>
  <c r="V3014"/>
  <c r="W3014"/>
  <c r="Y3014"/>
  <c r="AA3014"/>
  <c r="AB3014"/>
  <c r="AC3014"/>
  <c r="AD3014"/>
  <c r="P3015"/>
  <c r="T3015"/>
  <c r="U3015"/>
  <c r="V3015"/>
  <c r="W3015"/>
  <c r="Y3015"/>
  <c r="AA3015"/>
  <c r="AB3015"/>
  <c r="AC3015"/>
  <c r="AD3015"/>
  <c r="P3016"/>
  <c r="T3016"/>
  <c r="U3016"/>
  <c r="V3016"/>
  <c r="W3016"/>
  <c r="Y3016"/>
  <c r="AA3016"/>
  <c r="AB3016"/>
  <c r="AC3016"/>
  <c r="AD3016"/>
  <c r="P3017"/>
  <c r="T3017"/>
  <c r="U3017"/>
  <c r="V3017"/>
  <c r="W3017"/>
  <c r="Y3017"/>
  <c r="AA3017"/>
  <c r="AB3017"/>
  <c r="AC3017"/>
  <c r="AD3017"/>
  <c r="P3018"/>
  <c r="T3018"/>
  <c r="U3018"/>
  <c r="V3018"/>
  <c r="W3018"/>
  <c r="Y3018"/>
  <c r="AA3018"/>
  <c r="AB3018"/>
  <c r="AC3018"/>
  <c r="AD3018"/>
  <c r="P3019"/>
  <c r="T3019"/>
  <c r="U3019"/>
  <c r="V3019"/>
  <c r="W3019"/>
  <c r="Y3019"/>
  <c r="AA3019"/>
  <c r="AB3019"/>
  <c r="AC3019"/>
  <c r="AD3019"/>
  <c r="P3020"/>
  <c r="T3020"/>
  <c r="U3020"/>
  <c r="V3020"/>
  <c r="W3020"/>
  <c r="Y3020"/>
  <c r="AA3020"/>
  <c r="AB3020"/>
  <c r="AC3020"/>
  <c r="AD3020"/>
  <c r="P3021"/>
  <c r="T3021"/>
  <c r="U3021"/>
  <c r="V3021"/>
  <c r="W3021"/>
  <c r="Y3021"/>
  <c r="AA3021"/>
  <c r="AB3021"/>
  <c r="AC3021"/>
  <c r="AD3021"/>
  <c r="P3022"/>
  <c r="T3022"/>
  <c r="U3022"/>
  <c r="V3022"/>
  <c r="W3022"/>
  <c r="Y3022"/>
  <c r="AA3022"/>
  <c r="AB3022"/>
  <c r="AC3022"/>
  <c r="AD3022"/>
  <c r="P3023"/>
  <c r="T3023"/>
  <c r="U3023"/>
  <c r="V3023"/>
  <c r="W3023"/>
  <c r="Y3023"/>
  <c r="AA3023"/>
  <c r="AB3023"/>
  <c r="AC3023"/>
  <c r="AD3023"/>
  <c r="P3024"/>
  <c r="T3024"/>
  <c r="U3024"/>
  <c r="V3024"/>
  <c r="W3024"/>
  <c r="Y3024"/>
  <c r="AA3024"/>
  <c r="AB3024"/>
  <c r="AC3024"/>
  <c r="AD3024"/>
  <c r="P3025"/>
  <c r="T3025"/>
  <c r="U3025"/>
  <c r="V3025"/>
  <c r="W3025"/>
  <c r="Y3025"/>
  <c r="AA3025"/>
  <c r="AB3025"/>
  <c r="AC3025"/>
  <c r="AD3025"/>
  <c r="P3026"/>
  <c r="T3026"/>
  <c r="U3026"/>
  <c r="V3026"/>
  <c r="W3026"/>
  <c r="Y3026"/>
  <c r="AA3026"/>
  <c r="AB3026"/>
  <c r="AC3026"/>
  <c r="AD3026"/>
  <c r="P3027"/>
  <c r="T3027"/>
  <c r="U3027"/>
  <c r="V3027"/>
  <c r="W3027"/>
  <c r="Y3027"/>
  <c r="AA3027"/>
  <c r="AB3027"/>
  <c r="AC3027"/>
  <c r="AD3027"/>
  <c r="P3028"/>
  <c r="T3028"/>
  <c r="U3028"/>
  <c r="V3028"/>
  <c r="W3028"/>
  <c r="Y3028"/>
  <c r="AA3028"/>
  <c r="AB3028"/>
  <c r="AC3028"/>
  <c r="AD3028"/>
  <c r="P3029"/>
  <c r="T3029"/>
  <c r="U3029"/>
  <c r="V3029"/>
  <c r="W3029"/>
  <c r="Y3029"/>
  <c r="AA3029"/>
  <c r="AB3029"/>
  <c r="AC3029"/>
  <c r="AD3029"/>
  <c r="P3030"/>
  <c r="T3030"/>
  <c r="U3030"/>
  <c r="V3030"/>
  <c r="W3030"/>
  <c r="Y3030"/>
  <c r="AA3030"/>
  <c r="AB3030"/>
  <c r="AC3030"/>
  <c r="AD3030"/>
  <c r="P3031"/>
  <c r="T3031"/>
  <c r="U3031"/>
  <c r="V3031"/>
  <c r="W3031"/>
  <c r="Y3031"/>
  <c r="AA3031"/>
  <c r="AB3031"/>
  <c r="AC3031"/>
  <c r="AD3031"/>
  <c r="P3032"/>
  <c r="T3032"/>
  <c r="U3032"/>
  <c r="V3032"/>
  <c r="W3032"/>
  <c r="Y3032"/>
  <c r="AA3032"/>
  <c r="AB3032"/>
  <c r="AC3032"/>
  <c r="AD3032"/>
  <c r="P3033"/>
  <c r="T3033"/>
  <c r="U3033"/>
  <c r="V3033"/>
  <c r="W3033"/>
  <c r="Y3033"/>
  <c r="AA3033"/>
  <c r="AB3033"/>
  <c r="AC3033"/>
  <c r="AD3033"/>
  <c r="P3034"/>
  <c r="T3034"/>
  <c r="U3034"/>
  <c r="V3034"/>
  <c r="W3034"/>
  <c r="Y3034"/>
  <c r="AA3034"/>
  <c r="AB3034"/>
  <c r="AC3034"/>
  <c r="AD3034"/>
  <c r="P3035"/>
  <c r="T3035"/>
  <c r="U3035"/>
  <c r="V3035"/>
  <c r="W3035"/>
  <c r="Y3035"/>
  <c r="AA3035"/>
  <c r="AB3035"/>
  <c r="AC3035"/>
  <c r="AD3035"/>
  <c r="P3036"/>
  <c r="T3036"/>
  <c r="U3036"/>
  <c r="V3036"/>
  <c r="W3036"/>
  <c r="Y3036"/>
  <c r="AA3036"/>
  <c r="AB3036"/>
  <c r="AC3036"/>
  <c r="AD3036"/>
  <c r="P3037"/>
  <c r="T3037"/>
  <c r="U3037"/>
  <c r="V3037"/>
  <c r="W3037"/>
  <c r="Y3037"/>
  <c r="AA3037"/>
  <c r="AB3037"/>
  <c r="AC3037"/>
  <c r="AD3037"/>
  <c r="P3038"/>
  <c r="T3038"/>
  <c r="U3038"/>
  <c r="V3038"/>
  <c r="W3038"/>
  <c r="Y3038"/>
  <c r="AA3038"/>
  <c r="AB3038"/>
  <c r="AC3038"/>
  <c r="AD3038"/>
  <c r="P3039"/>
  <c r="T3039"/>
  <c r="U3039"/>
  <c r="V3039"/>
  <c r="W3039"/>
  <c r="Y3039"/>
  <c r="AA3039"/>
  <c r="AB3039"/>
  <c r="AC3039"/>
  <c r="AD3039"/>
  <c r="P3040"/>
  <c r="T3040"/>
  <c r="U3040"/>
  <c r="V3040"/>
  <c r="W3040"/>
  <c r="Y3040"/>
  <c r="AA3040"/>
  <c r="AB3040"/>
  <c r="AC3040"/>
  <c r="AD3040"/>
  <c r="P3041"/>
  <c r="T3041"/>
  <c r="U3041"/>
  <c r="V3041"/>
  <c r="W3041"/>
  <c r="Y3041"/>
  <c r="AA3041"/>
  <c r="AB3041"/>
  <c r="AC3041"/>
  <c r="AD3041"/>
  <c r="P3042"/>
  <c r="T3042"/>
  <c r="U3042"/>
  <c r="V3042"/>
  <c r="W3042"/>
  <c r="Y3042"/>
  <c r="AA3042"/>
  <c r="AB3042"/>
  <c r="AC3042"/>
  <c r="AD3042"/>
  <c r="P3043"/>
  <c r="T3043"/>
  <c r="U3043"/>
  <c r="V3043"/>
  <c r="W3043"/>
  <c r="Y3043"/>
  <c r="AA3043"/>
  <c r="AB3043"/>
  <c r="AC3043"/>
  <c r="AD3043"/>
  <c r="P3044"/>
  <c r="T3044"/>
  <c r="U3044"/>
  <c r="V3044"/>
  <c r="W3044"/>
  <c r="Y3044"/>
  <c r="AA3044"/>
  <c r="AB3044"/>
  <c r="AC3044"/>
  <c r="AD3044"/>
  <c r="P3045"/>
  <c r="T3045"/>
  <c r="U3045"/>
  <c r="V3045"/>
  <c r="W3045"/>
  <c r="Y3045"/>
  <c r="AA3045"/>
  <c r="AB3045"/>
  <c r="AC3045"/>
  <c r="AD3045"/>
  <c r="P3046"/>
  <c r="T3046"/>
  <c r="U3046"/>
  <c r="V3046"/>
  <c r="W3046"/>
  <c r="Y3046"/>
  <c r="AA3046"/>
  <c r="AB3046"/>
  <c r="AC3046"/>
  <c r="AD3046"/>
  <c r="P3047"/>
  <c r="T3047"/>
  <c r="U3047"/>
  <c r="V3047"/>
  <c r="W3047"/>
  <c r="Y3047"/>
  <c r="AA3047"/>
  <c r="AB3047"/>
  <c r="AC3047"/>
  <c r="AD3047"/>
  <c r="P3048"/>
  <c r="T3048"/>
  <c r="U3048"/>
  <c r="V3048"/>
  <c r="W3048"/>
  <c r="Y3048"/>
  <c r="AA3048"/>
  <c r="AB3048"/>
  <c r="AC3048"/>
  <c r="AD3048"/>
  <c r="P3049"/>
  <c r="T3049"/>
  <c r="U3049"/>
  <c r="V3049"/>
  <c r="W3049"/>
  <c r="Y3049"/>
  <c r="AA3049"/>
  <c r="AB3049"/>
  <c r="AC3049"/>
  <c r="AD3049"/>
  <c r="P3050"/>
  <c r="T3050"/>
  <c r="U3050"/>
  <c r="V3050"/>
  <c r="W3050"/>
  <c r="Y3050"/>
  <c r="AA3050"/>
  <c r="AB3050"/>
  <c r="AC3050"/>
  <c r="AD3050"/>
  <c r="P3051"/>
  <c r="T3051"/>
  <c r="U3051"/>
  <c r="V3051"/>
  <c r="W3051"/>
  <c r="Y3051"/>
  <c r="AA3051"/>
  <c r="AB3051"/>
  <c r="AC3051"/>
  <c r="AD3051"/>
  <c r="P3052"/>
  <c r="T3052"/>
  <c r="U3052"/>
  <c r="V3052"/>
  <c r="W3052"/>
  <c r="Y3052"/>
  <c r="AA3052"/>
  <c r="AB3052"/>
  <c r="AC3052"/>
  <c r="AD3052"/>
  <c r="P3053"/>
  <c r="T3053"/>
  <c r="U3053"/>
  <c r="V3053"/>
  <c r="W3053"/>
  <c r="Y3053"/>
  <c r="AA3053"/>
  <c r="AB3053"/>
  <c r="AC3053"/>
  <c r="AD3053"/>
  <c r="P3054"/>
  <c r="T3054"/>
  <c r="U3054"/>
  <c r="V3054"/>
  <c r="W3054"/>
  <c r="Y3054"/>
  <c r="AA3054"/>
  <c r="AB3054"/>
  <c r="AC3054"/>
  <c r="AD3054"/>
  <c r="P3055"/>
  <c r="T3055"/>
  <c r="U3055"/>
  <c r="V3055"/>
  <c r="W3055"/>
  <c r="Y3055"/>
  <c r="AA3055"/>
  <c r="AB3055"/>
  <c r="AC3055"/>
  <c r="AD3055"/>
  <c r="P3056"/>
  <c r="T3056"/>
  <c r="U3056"/>
  <c r="V3056"/>
  <c r="W3056"/>
  <c r="Y3056"/>
  <c r="AA3056"/>
  <c r="AB3056"/>
  <c r="AC3056"/>
  <c r="AD3056"/>
  <c r="P3057"/>
  <c r="T3057"/>
  <c r="U3057"/>
  <c r="V3057"/>
  <c r="W3057"/>
  <c r="Y3057"/>
  <c r="AA3057"/>
  <c r="AB3057"/>
  <c r="AC3057"/>
  <c r="AD3057"/>
  <c r="P3058"/>
  <c r="T3058"/>
  <c r="U3058"/>
  <c r="V3058"/>
  <c r="W3058"/>
  <c r="Y3058"/>
  <c r="AA3058"/>
  <c r="AB3058"/>
  <c r="AC3058"/>
  <c r="AD3058"/>
  <c r="P3059"/>
  <c r="T3059"/>
  <c r="U3059"/>
  <c r="V3059"/>
  <c r="W3059"/>
  <c r="Y3059"/>
  <c r="AA3059"/>
  <c r="AB3059"/>
  <c r="AC3059"/>
  <c r="AD3059"/>
  <c r="P3060"/>
  <c r="T3060"/>
  <c r="U3060"/>
  <c r="V3060"/>
  <c r="W3060"/>
  <c r="Y3060"/>
  <c r="AA3060"/>
  <c r="AB3060"/>
  <c r="AC3060"/>
  <c r="AD3060"/>
  <c r="P3061"/>
  <c r="T3061"/>
  <c r="U3061"/>
  <c r="V3061"/>
  <c r="W3061"/>
  <c r="Y3061"/>
  <c r="AA3061"/>
  <c r="AB3061"/>
  <c r="AC3061"/>
  <c r="AD3061"/>
  <c r="P3062"/>
  <c r="T3062"/>
  <c r="U3062"/>
  <c r="V3062"/>
  <c r="W3062"/>
  <c r="Y3062"/>
  <c r="AA3062"/>
  <c r="AB3062"/>
  <c r="AC3062"/>
  <c r="AD3062"/>
  <c r="P3063"/>
  <c r="T3063"/>
  <c r="U3063"/>
  <c r="V3063"/>
  <c r="W3063"/>
  <c r="Y3063"/>
  <c r="AA3063"/>
  <c r="AB3063"/>
  <c r="AC3063"/>
  <c r="AD3063"/>
  <c r="P3064"/>
  <c r="T3064"/>
  <c r="U3064"/>
  <c r="V3064"/>
  <c r="W3064"/>
  <c r="Y3064"/>
  <c r="AA3064"/>
  <c r="AB3064"/>
  <c r="AC3064"/>
  <c r="AD3064"/>
  <c r="P3065"/>
  <c r="T3065"/>
  <c r="U3065"/>
  <c r="V3065"/>
  <c r="W3065"/>
  <c r="Y3065"/>
  <c r="AA3065"/>
  <c r="AB3065"/>
  <c r="AC3065"/>
  <c r="AD3065"/>
  <c r="P3066"/>
  <c r="T3066"/>
  <c r="U3066"/>
  <c r="V3066"/>
  <c r="W3066"/>
  <c r="Y3066"/>
  <c r="AA3066"/>
  <c r="AB3066"/>
  <c r="AC3066"/>
  <c r="AD3066"/>
  <c r="P3067"/>
  <c r="T3067"/>
  <c r="U3067"/>
  <c r="V3067"/>
  <c r="W3067"/>
  <c r="Y3067"/>
  <c r="AA3067"/>
  <c r="AB3067"/>
  <c r="AC3067"/>
  <c r="AD3067"/>
  <c r="P3068"/>
  <c r="T3068"/>
  <c r="U3068"/>
  <c r="V3068"/>
  <c r="W3068"/>
  <c r="Y3068"/>
  <c r="AA3068"/>
  <c r="AB3068"/>
  <c r="AC3068"/>
  <c r="AD3068"/>
  <c r="P3069"/>
  <c r="T3069"/>
  <c r="U3069"/>
  <c r="V3069"/>
  <c r="W3069"/>
  <c r="Y3069"/>
  <c r="AA3069"/>
  <c r="AB3069"/>
  <c r="AC3069"/>
  <c r="AD3069"/>
  <c r="P3070"/>
  <c r="T3070"/>
  <c r="U3070"/>
  <c r="V3070"/>
  <c r="W3070"/>
  <c r="Y3070"/>
  <c r="AA3070"/>
  <c r="AB3070"/>
  <c r="AC3070"/>
  <c r="AD3070"/>
  <c r="P3071"/>
  <c r="T3071"/>
  <c r="U3071"/>
  <c r="V3071"/>
  <c r="W3071"/>
  <c r="Y3071"/>
  <c r="AA3071"/>
  <c r="AB3071"/>
  <c r="AC3071"/>
  <c r="AD3071"/>
  <c r="P3072"/>
  <c r="T3072"/>
  <c r="U3072"/>
  <c r="V3072"/>
  <c r="W3072"/>
  <c r="Y3072"/>
  <c r="AA3072"/>
  <c r="AB3072"/>
  <c r="AC3072"/>
  <c r="AD3072"/>
  <c r="P3073"/>
  <c r="T3073"/>
  <c r="U3073"/>
  <c r="V3073"/>
  <c r="W3073"/>
  <c r="Y3073"/>
  <c r="AA3073"/>
  <c r="AB3073"/>
  <c r="AC3073"/>
  <c r="AD3073"/>
  <c r="P3074"/>
  <c r="T3074"/>
  <c r="U3074"/>
  <c r="V3074"/>
  <c r="W3074"/>
  <c r="Y3074"/>
  <c r="AA3074"/>
  <c r="AB3074"/>
  <c r="AC3074"/>
  <c r="AD3074"/>
  <c r="P3075"/>
  <c r="T3075"/>
  <c r="U3075"/>
  <c r="V3075"/>
  <c r="W3075"/>
  <c r="Y3075"/>
  <c r="AA3075"/>
  <c r="AB3075"/>
  <c r="AC3075"/>
  <c r="AD3075"/>
  <c r="P3076"/>
  <c r="T3076"/>
  <c r="U3076"/>
  <c r="V3076"/>
  <c r="W3076"/>
  <c r="Y3076"/>
  <c r="AA3076"/>
  <c r="AB3076"/>
  <c r="AC3076"/>
  <c r="AD3076"/>
  <c r="P3077"/>
  <c r="T3077"/>
  <c r="U3077"/>
  <c r="V3077"/>
  <c r="W3077"/>
  <c r="Y3077"/>
  <c r="AA3077"/>
  <c r="AB3077"/>
  <c r="AC3077"/>
  <c r="AD3077"/>
  <c r="P3078"/>
  <c r="T3078"/>
  <c r="U3078"/>
  <c r="V3078"/>
  <c r="W3078"/>
  <c r="Y3078"/>
  <c r="AA3078"/>
  <c r="AB3078"/>
  <c r="AC3078"/>
  <c r="AD3078"/>
  <c r="P3079"/>
  <c r="T3079"/>
  <c r="U3079"/>
  <c r="V3079"/>
  <c r="W3079"/>
  <c r="Y3079"/>
  <c r="AA3079"/>
  <c r="AB3079"/>
  <c r="AC3079"/>
  <c r="AD3079"/>
  <c r="P3080"/>
  <c r="T3080"/>
  <c r="U3080"/>
  <c r="V3080"/>
  <c r="W3080"/>
  <c r="Y3080"/>
  <c r="AA3080"/>
  <c r="AB3080"/>
  <c r="AC3080"/>
  <c r="AD3080"/>
  <c r="P3081"/>
  <c r="T3081"/>
  <c r="U3081"/>
  <c r="V3081"/>
  <c r="W3081"/>
  <c r="Y3081"/>
  <c r="AA3081"/>
  <c r="AB3081"/>
  <c r="AC3081"/>
  <c r="AD3081"/>
  <c r="P3082"/>
  <c r="T3082"/>
  <c r="U3082"/>
  <c r="V3082"/>
  <c r="W3082"/>
  <c r="Y3082"/>
  <c r="AA3082"/>
  <c r="AB3082"/>
  <c r="AC3082"/>
  <c r="AD3082"/>
  <c r="P3083"/>
  <c r="T3083"/>
  <c r="U3083"/>
  <c r="V3083"/>
  <c r="W3083"/>
  <c r="Y3083"/>
  <c r="AA3083"/>
  <c r="AB3083"/>
  <c r="AC3083"/>
  <c r="AD3083"/>
  <c r="P3084"/>
  <c r="T3084"/>
  <c r="U3084"/>
  <c r="V3084"/>
  <c r="W3084"/>
  <c r="Y3084"/>
  <c r="AA3084"/>
  <c r="AB3084"/>
  <c r="AC3084"/>
  <c r="AD3084"/>
  <c r="P3085"/>
  <c r="T3085"/>
  <c r="U3085"/>
  <c r="V3085"/>
  <c r="W3085"/>
  <c r="Y3085"/>
  <c r="AA3085"/>
  <c r="AB3085"/>
  <c r="AC3085"/>
  <c r="AD3085"/>
  <c r="P3086"/>
  <c r="T3086"/>
  <c r="U3086"/>
  <c r="V3086"/>
  <c r="W3086"/>
  <c r="Y3086"/>
  <c r="AA3086"/>
  <c r="AB3086"/>
  <c r="AC3086"/>
  <c r="AD3086"/>
  <c r="P3087"/>
  <c r="T3087"/>
  <c r="U3087"/>
  <c r="V3087"/>
  <c r="W3087"/>
  <c r="Y3087"/>
  <c r="AA3087"/>
  <c r="AB3087"/>
  <c r="AC3087"/>
  <c r="AD3087"/>
  <c r="P3088"/>
  <c r="T3088"/>
  <c r="U3088"/>
  <c r="V3088"/>
  <c r="W3088"/>
  <c r="Y3088"/>
  <c r="AA3088"/>
  <c r="AB3088"/>
  <c r="AC3088"/>
  <c r="AD3088"/>
  <c r="P3089"/>
  <c r="T3089"/>
  <c r="U3089"/>
  <c r="V3089"/>
  <c r="W3089"/>
  <c r="Y3089"/>
  <c r="AA3089"/>
  <c r="AB3089"/>
  <c r="AC3089"/>
  <c r="AD3089"/>
  <c r="P3090"/>
  <c r="T3090"/>
  <c r="U3090"/>
  <c r="V3090"/>
  <c r="W3090"/>
  <c r="Y3090"/>
  <c r="AA3090"/>
  <c r="AB3090"/>
  <c r="AC3090"/>
  <c r="AD3090"/>
  <c r="P3091"/>
  <c r="T3091"/>
  <c r="U3091"/>
  <c r="V3091"/>
  <c r="W3091"/>
  <c r="Y3091"/>
  <c r="AA3091"/>
  <c r="AB3091"/>
  <c r="AC3091"/>
  <c r="AD3091"/>
  <c r="P3092"/>
  <c r="T3092"/>
  <c r="U3092"/>
  <c r="V3092"/>
  <c r="W3092"/>
  <c r="Y3092"/>
  <c r="AA3092"/>
  <c r="AB3092"/>
  <c r="AC3092"/>
  <c r="AD3092"/>
  <c r="P3093"/>
  <c r="T3093"/>
  <c r="U3093"/>
  <c r="V3093"/>
  <c r="W3093"/>
  <c r="Y3093"/>
  <c r="AA3093"/>
  <c r="AB3093"/>
  <c r="AC3093"/>
  <c r="AD3093"/>
  <c r="P3094"/>
  <c r="T3094"/>
  <c r="U3094"/>
  <c r="V3094"/>
  <c r="W3094"/>
  <c r="Y3094"/>
  <c r="AA3094"/>
  <c r="AB3094"/>
  <c r="AC3094"/>
  <c r="AD3094"/>
  <c r="P3095"/>
  <c r="T3095"/>
  <c r="U3095"/>
  <c r="V3095"/>
  <c r="W3095"/>
  <c r="Y3095"/>
  <c r="AA3095"/>
  <c r="AB3095"/>
  <c r="AC3095"/>
  <c r="AD3095"/>
  <c r="P3096"/>
  <c r="T3096"/>
  <c r="U3096"/>
  <c r="V3096"/>
  <c r="W3096"/>
  <c r="Y3096"/>
  <c r="AA3096"/>
  <c r="AB3096"/>
  <c r="AC3096"/>
  <c r="AD3096"/>
  <c r="P3097"/>
  <c r="T3097"/>
  <c r="U3097"/>
  <c r="V3097"/>
  <c r="W3097"/>
  <c r="Y3097"/>
  <c r="AA3097"/>
  <c r="AB3097"/>
  <c r="AC3097"/>
  <c r="AD3097"/>
  <c r="P3098"/>
  <c r="T3098"/>
  <c r="U3098"/>
  <c r="V3098"/>
  <c r="W3098"/>
  <c r="Y3098"/>
  <c r="AA3098"/>
  <c r="AB3098"/>
  <c r="AC3098"/>
  <c r="AD3098"/>
  <c r="P3099"/>
  <c r="T3099"/>
  <c r="U3099"/>
  <c r="V3099"/>
  <c r="W3099"/>
  <c r="Y3099"/>
  <c r="AA3099"/>
  <c r="AB3099"/>
  <c r="AC3099"/>
  <c r="AD3099"/>
  <c r="P3100"/>
  <c r="T3100"/>
  <c r="U3100"/>
  <c r="V3100"/>
  <c r="W3100"/>
  <c r="Y3100"/>
  <c r="AA3100"/>
  <c r="AB3100"/>
  <c r="AC3100"/>
  <c r="AD3100"/>
  <c r="P3101"/>
  <c r="T3101"/>
  <c r="U3101"/>
  <c r="V3101"/>
  <c r="W3101"/>
  <c r="Y3101"/>
  <c r="AA3101"/>
  <c r="AB3101"/>
  <c r="AC3101"/>
  <c r="AD3101"/>
  <c r="P3102"/>
  <c r="T3102"/>
  <c r="U3102"/>
  <c r="V3102"/>
  <c r="W3102"/>
  <c r="Y3102"/>
  <c r="AA3102"/>
  <c r="AB3102"/>
  <c r="AC3102"/>
  <c r="AD3102"/>
  <c r="P3103"/>
  <c r="T3103"/>
  <c r="U3103"/>
  <c r="V3103"/>
  <c r="W3103"/>
  <c r="Y3103"/>
  <c r="AA3103"/>
  <c r="AB3103"/>
  <c r="AC3103"/>
  <c r="AD3103"/>
  <c r="P3104"/>
  <c r="T3104"/>
  <c r="U3104"/>
  <c r="V3104"/>
  <c r="W3104"/>
  <c r="Y3104"/>
  <c r="AA3104"/>
  <c r="AB3104"/>
  <c r="AC3104"/>
  <c r="AD3104"/>
  <c r="P3105"/>
  <c r="T3105"/>
  <c r="U3105"/>
  <c r="V3105"/>
  <c r="W3105"/>
  <c r="Y3105"/>
  <c r="AA3105"/>
  <c r="AB3105"/>
  <c r="AC3105"/>
  <c r="AD3105"/>
  <c r="P3106"/>
  <c r="T3106"/>
  <c r="U3106"/>
  <c r="V3106"/>
  <c r="W3106"/>
  <c r="Y3106"/>
  <c r="AA3106"/>
  <c r="AB3106"/>
  <c r="AC3106"/>
  <c r="AD3106"/>
  <c r="P3107"/>
  <c r="T3107"/>
  <c r="U3107"/>
  <c r="V3107"/>
  <c r="W3107"/>
  <c r="Y3107"/>
  <c r="AA3107"/>
  <c r="AB3107"/>
  <c r="AC3107"/>
  <c r="AD3107"/>
  <c r="P3108"/>
  <c r="T3108"/>
  <c r="U3108"/>
  <c r="V3108"/>
  <c r="W3108"/>
  <c r="Y3108"/>
  <c r="AA3108"/>
  <c r="AB3108"/>
  <c r="AC3108"/>
  <c r="AD3108"/>
  <c r="P3109"/>
  <c r="T3109"/>
  <c r="U3109"/>
  <c r="V3109"/>
  <c r="W3109"/>
  <c r="Y3109"/>
  <c r="AA3109"/>
  <c r="AB3109"/>
  <c r="AC3109"/>
  <c r="AD3109"/>
  <c r="P3110"/>
  <c r="T3110"/>
  <c r="U3110"/>
  <c r="V3110"/>
  <c r="W3110"/>
  <c r="Y3110"/>
  <c r="AA3110"/>
  <c r="AB3110"/>
  <c r="AC3110"/>
  <c r="AD3110"/>
  <c r="P3111"/>
  <c r="T3111"/>
  <c r="U3111"/>
  <c r="V3111"/>
  <c r="W3111"/>
  <c r="Y3111"/>
  <c r="AA3111"/>
  <c r="AB3111"/>
  <c r="AC3111"/>
  <c r="AD3111"/>
  <c r="P3112"/>
  <c r="T3112"/>
  <c r="U3112"/>
  <c r="V3112"/>
  <c r="W3112"/>
  <c r="Y3112"/>
  <c r="AA3112"/>
  <c r="AB3112"/>
  <c r="AC3112"/>
  <c r="AD3112"/>
  <c r="P3113"/>
  <c r="T3113"/>
  <c r="U3113"/>
  <c r="V3113"/>
  <c r="W3113"/>
  <c r="Y3113"/>
  <c r="AA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T3117"/>
  <c r="U3117"/>
  <c r="V3117"/>
  <c r="W3117"/>
  <c r="Y3117"/>
  <c r="AA3117"/>
  <c r="AB3117"/>
  <c r="AC3117"/>
  <c r="AD3117"/>
  <c r="P3118"/>
  <c r="T3118"/>
  <c r="U3118"/>
  <c r="V3118"/>
  <c r="W3118"/>
  <c r="Y3118"/>
  <c r="AA3118"/>
  <c r="AB3118"/>
  <c r="AC3118"/>
  <c r="AD3118"/>
  <c r="P3119"/>
  <c r="T3119"/>
  <c r="U3119"/>
  <c r="V3119"/>
  <c r="W3119"/>
  <c r="Y3119"/>
  <c r="AA3119"/>
  <c r="AB3119"/>
  <c r="AC3119"/>
  <c r="AD3119"/>
  <c r="P3120"/>
  <c r="T3120"/>
  <c r="U3120"/>
  <c r="V3120"/>
  <c r="W3120"/>
  <c r="Y3120"/>
  <c r="AA3120"/>
  <c r="AB3120"/>
  <c r="AC3120"/>
  <c r="AD3120"/>
  <c r="P3121"/>
  <c r="T3121"/>
  <c r="U3121"/>
  <c r="V3121"/>
  <c r="W3121"/>
  <c r="Y3121"/>
  <c r="AA3121"/>
  <c r="AB3121"/>
  <c r="AC3121"/>
  <c r="AD3121"/>
  <c r="P3122"/>
  <c r="T3122"/>
  <c r="U3122"/>
  <c r="V3122"/>
  <c r="W3122"/>
  <c r="Y3122"/>
  <c r="AA3122"/>
  <c r="AB3122"/>
  <c r="AC3122"/>
  <c r="AD3122"/>
  <c r="P3123"/>
  <c r="T3123"/>
  <c r="U3123"/>
  <c r="V3123"/>
  <c r="W3123"/>
  <c r="Y3123"/>
  <c r="AA3123"/>
  <c r="AB3123"/>
  <c r="AC3123"/>
  <c r="AD3123"/>
  <c r="P3124"/>
  <c r="T3124"/>
  <c r="U3124"/>
  <c r="V3124"/>
  <c r="W3124"/>
  <c r="Y3124"/>
  <c r="AA3124"/>
  <c r="AB3124"/>
  <c r="AC3124"/>
  <c r="AD3124"/>
  <c r="P3125"/>
  <c r="T3125"/>
  <c r="U3125"/>
  <c r="V3125"/>
  <c r="W3125"/>
  <c r="Y3125"/>
  <c r="AA3125"/>
  <c r="AB3125"/>
  <c r="AC3125"/>
  <c r="AD3125"/>
  <c r="P3126"/>
  <c r="T3126"/>
  <c r="U3126"/>
  <c r="V3126"/>
  <c r="W3126"/>
  <c r="Y3126"/>
  <c r="AA3126"/>
  <c r="AB3126"/>
  <c r="AC3126"/>
  <c r="AD3126"/>
  <c r="P3127"/>
  <c r="T3127"/>
  <c r="U3127"/>
  <c r="V3127"/>
  <c r="W3127"/>
  <c r="Y3127"/>
  <c r="AA3127"/>
  <c r="AB3127"/>
  <c r="AC3127"/>
  <c r="AD3127"/>
  <c r="P3128"/>
  <c r="T3128"/>
  <c r="U3128"/>
  <c r="V3128"/>
  <c r="W3128"/>
  <c r="Y3128"/>
  <c r="AA3128"/>
  <c r="AB3128"/>
  <c r="AC3128"/>
  <c r="AD3128"/>
  <c r="P3129"/>
  <c r="T3129"/>
  <c r="U3129"/>
  <c r="V3129"/>
  <c r="W3129"/>
  <c r="Y3129"/>
  <c r="AA3129"/>
  <c r="AB3129"/>
  <c r="AC3129"/>
  <c r="AD3129"/>
  <c r="P3130"/>
  <c r="T3130"/>
  <c r="U3130"/>
  <c r="V3130"/>
  <c r="W3130"/>
  <c r="Y3130"/>
  <c r="AA3130"/>
  <c r="AB3130"/>
  <c r="AC3130"/>
  <c r="AD3130"/>
  <c r="P3131"/>
  <c r="T3131"/>
  <c r="U3131"/>
  <c r="V3131"/>
  <c r="W3131"/>
  <c r="Y3131"/>
  <c r="AA3131"/>
  <c r="AB3131"/>
  <c r="AC3131"/>
  <c r="AD3131"/>
  <c r="P3132"/>
  <c r="T3132"/>
  <c r="U3132"/>
  <c r="V3132"/>
  <c r="W3132"/>
  <c r="Y3132"/>
  <c r="AA3132"/>
  <c r="AB3132"/>
  <c r="AC3132"/>
  <c r="AD3132"/>
  <c r="P3133"/>
  <c r="T3133"/>
  <c r="U3133"/>
  <c r="V3133"/>
  <c r="W3133"/>
  <c r="Y3133"/>
  <c r="AA3133"/>
  <c r="AB3133"/>
  <c r="AC3133"/>
  <c r="AD3133"/>
  <c r="P3134"/>
  <c r="T3134"/>
  <c r="U3134"/>
  <c r="V3134"/>
  <c r="W3134"/>
  <c r="Y3134"/>
  <c r="AA3134"/>
  <c r="AB3134"/>
  <c r="AC3134"/>
  <c r="AD3134"/>
  <c r="P3135"/>
  <c r="T3135"/>
  <c r="U3135"/>
  <c r="V3135"/>
  <c r="W3135"/>
  <c r="Y3135"/>
  <c r="AA3135"/>
  <c r="AB3135"/>
  <c r="AC3135"/>
  <c r="AD3135"/>
  <c r="P3136"/>
  <c r="T3136"/>
  <c r="U3136"/>
  <c r="V3136"/>
  <c r="W3136"/>
  <c r="Y3136"/>
  <c r="AA3136"/>
  <c r="AB3136"/>
  <c r="AC3136"/>
  <c r="AD3136"/>
  <c r="P3137"/>
  <c r="T3137"/>
  <c r="U3137"/>
  <c r="V3137"/>
  <c r="W3137"/>
  <c r="Y3137"/>
  <c r="AA3137"/>
  <c r="AB3137"/>
  <c r="AC3137"/>
  <c r="AD3137"/>
  <c r="P3138"/>
  <c r="T3138"/>
  <c r="U3138"/>
  <c r="V3138"/>
  <c r="W3138"/>
  <c r="Y3138"/>
  <c r="AA3138"/>
  <c r="AB3138"/>
  <c r="AC3138"/>
  <c r="AD3138"/>
  <c r="P3139"/>
  <c r="T3139"/>
  <c r="U3139"/>
  <c r="V3139"/>
  <c r="W3139"/>
  <c r="Y3139"/>
  <c r="AA3139"/>
  <c r="AB3139"/>
  <c r="AC3139"/>
  <c r="AD3139"/>
  <c r="P3140"/>
  <c r="T3140"/>
  <c r="U3140"/>
  <c r="V3140"/>
  <c r="W3140"/>
  <c r="Y3140"/>
  <c r="AA3140"/>
  <c r="AB3140"/>
  <c r="AC3140"/>
  <c r="AD3140"/>
  <c r="P3141"/>
  <c r="T3141"/>
  <c r="U3141"/>
  <c r="V3141"/>
  <c r="W3141"/>
  <c r="Y3141"/>
  <c r="AA3141"/>
  <c r="AB3141"/>
  <c r="AC3141"/>
  <c r="AD3141"/>
  <c r="P3142"/>
  <c r="T3142"/>
  <c r="U3142"/>
  <c r="V3142"/>
  <c r="W3142"/>
  <c r="Y3142"/>
  <c r="AA3142"/>
  <c r="AB3142"/>
  <c r="AC3142"/>
  <c r="AD3142"/>
  <c r="P3143"/>
  <c r="T3143"/>
  <c r="U3143"/>
  <c r="V3143"/>
  <c r="W3143"/>
  <c r="Y3143"/>
  <c r="AA3143"/>
  <c r="AB3143"/>
  <c r="AC3143"/>
  <c r="AD3143"/>
  <c r="P3144"/>
  <c r="T3144"/>
  <c r="U3144"/>
  <c r="V3144"/>
  <c r="W3144"/>
  <c r="Y3144"/>
  <c r="AA3144"/>
  <c r="AB3144"/>
  <c r="AC3144"/>
  <c r="AD3144"/>
  <c r="P3145"/>
  <c r="T3145"/>
  <c r="U3145"/>
  <c r="V3145"/>
  <c r="W3145"/>
  <c r="Y3145"/>
  <c r="AA3145"/>
  <c r="AB3145"/>
  <c r="AC3145"/>
  <c r="AD3145"/>
  <c r="P3146"/>
  <c r="T3146"/>
  <c r="U3146"/>
  <c r="V3146"/>
  <c r="W3146"/>
  <c r="Y3146"/>
  <c r="AA3146"/>
  <c r="AB3146"/>
  <c r="AC3146"/>
  <c r="AD3146"/>
  <c r="P3147"/>
  <c r="T3147"/>
  <c r="U3147"/>
  <c r="V3147"/>
  <c r="W3147"/>
  <c r="Y3147"/>
  <c r="AA3147"/>
  <c r="AB3147"/>
  <c r="AC3147"/>
  <c r="AD3147"/>
  <c r="P3148"/>
  <c r="T3148"/>
  <c r="U3148"/>
  <c r="V3148"/>
  <c r="W3148"/>
  <c r="Y3148"/>
  <c r="AA3148"/>
  <c r="AB3148"/>
  <c r="AC3148"/>
  <c r="AD3148"/>
  <c r="P3149"/>
  <c r="T3149"/>
  <c r="U3149"/>
  <c r="V3149"/>
  <c r="W3149"/>
  <c r="Y3149"/>
  <c r="AA3149"/>
  <c r="AB3149"/>
  <c r="AC3149"/>
  <c r="AD3149"/>
  <c r="P3150"/>
  <c r="T3150"/>
  <c r="U3150"/>
  <c r="V3150"/>
  <c r="W3150"/>
  <c r="Y3150"/>
  <c r="AA3150"/>
  <c r="AB3150"/>
  <c r="AC3150"/>
  <c r="AD3150"/>
  <c r="P3151"/>
  <c r="T3151"/>
  <c r="U3151"/>
  <c r="V3151"/>
  <c r="W3151"/>
  <c r="Y3151"/>
  <c r="AA3151"/>
  <c r="AB3151"/>
  <c r="AC3151"/>
  <c r="AD3151"/>
  <c r="P3152"/>
  <c r="T3152"/>
  <c r="U3152"/>
  <c r="V3152"/>
  <c r="W3152"/>
  <c r="Y3152"/>
  <c r="AA3152"/>
  <c r="AB3152"/>
  <c r="AC3152"/>
  <c r="AD3152"/>
  <c r="P3153"/>
  <c r="T3153"/>
  <c r="U3153"/>
  <c r="V3153"/>
  <c r="W3153"/>
  <c r="Y3153"/>
  <c r="AA3153"/>
  <c r="AB3153"/>
  <c r="AC3153"/>
  <c r="AD3153"/>
  <c r="P3154"/>
  <c r="T3154"/>
  <c r="U3154"/>
  <c r="V3154"/>
  <c r="W3154"/>
  <c r="Y3154"/>
  <c r="AA3154"/>
  <c r="AB3154"/>
  <c r="AC3154"/>
  <c r="AD3154"/>
  <c r="P3155"/>
  <c r="T3155"/>
  <c r="U3155"/>
  <c r="V3155"/>
  <c r="W3155"/>
  <c r="Y3155"/>
  <c r="AA3155"/>
  <c r="AB3155"/>
  <c r="AC3155"/>
  <c r="AD3155"/>
  <c r="P3156"/>
  <c r="T3156"/>
  <c r="U3156"/>
  <c r="V3156"/>
  <c r="W3156"/>
  <c r="Y3156"/>
  <c r="AA3156"/>
  <c r="AB3156"/>
  <c r="AC3156"/>
  <c r="AD3156"/>
  <c r="P3157"/>
  <c r="T3157"/>
  <c r="U3157"/>
  <c r="V3157"/>
  <c r="W3157"/>
  <c r="Y3157"/>
  <c r="AA3157"/>
  <c r="AB3157"/>
  <c r="AC3157"/>
  <c r="AD3157"/>
  <c r="P3158"/>
  <c r="T3158"/>
  <c r="U3158"/>
  <c r="V3158"/>
  <c r="W3158"/>
  <c r="Y3158"/>
  <c r="AA3158"/>
  <c r="AB3158"/>
  <c r="AC3158"/>
  <c r="AD3158"/>
  <c r="P3159"/>
  <c r="T3159"/>
  <c r="U3159"/>
  <c r="V3159"/>
  <c r="W3159"/>
  <c r="Y3159"/>
  <c r="AA3159"/>
  <c r="AB3159"/>
  <c r="AC3159"/>
  <c r="AD3159"/>
  <c r="P3160"/>
  <c r="T3160"/>
  <c r="U3160"/>
  <c r="V3160"/>
  <c r="W3160"/>
  <c r="Y3160"/>
  <c r="AA3160"/>
  <c r="AB3160"/>
  <c r="AC3160"/>
  <c r="AD3160"/>
  <c r="P3161"/>
  <c r="T3161"/>
  <c r="U3161"/>
  <c r="V3161"/>
  <c r="W3161"/>
  <c r="Y3161"/>
  <c r="AA3161"/>
  <c r="AB3161"/>
  <c r="AC3161"/>
  <c r="AD3161"/>
  <c r="P3162"/>
  <c r="T3162"/>
  <c r="U3162"/>
  <c r="V3162"/>
  <c r="W3162"/>
  <c r="Y3162"/>
  <c r="AA3162"/>
  <c r="AB3162"/>
  <c r="AC3162"/>
  <c r="AD3162"/>
  <c r="P3163"/>
  <c r="T3163"/>
  <c r="U3163"/>
  <c r="V3163"/>
  <c r="W3163"/>
  <c r="Y3163"/>
  <c r="AA3163"/>
  <c r="AB3163"/>
  <c r="AC3163"/>
  <c r="AD3163"/>
  <c r="P3164"/>
  <c r="T3164"/>
  <c r="U3164"/>
  <c r="V3164"/>
  <c r="W3164"/>
  <c r="Y3164"/>
  <c r="AA3164"/>
  <c r="AB3164"/>
  <c r="AC3164"/>
  <c r="AD3164"/>
  <c r="P3165"/>
  <c r="T3165"/>
  <c r="U3165"/>
  <c r="V3165"/>
  <c r="W3165"/>
  <c r="Y3165"/>
  <c r="AA3165"/>
  <c r="AB3165"/>
  <c r="AC3165"/>
  <c r="AD3165"/>
  <c r="P3166"/>
  <c r="T3166"/>
  <c r="U3166"/>
  <c r="V3166"/>
  <c r="W3166"/>
  <c r="Y3166"/>
  <c r="AA3166"/>
  <c r="AB3166"/>
  <c r="AC3166"/>
  <c r="AD3166"/>
  <c r="P3167"/>
  <c r="T3167"/>
  <c r="U3167"/>
  <c r="V3167"/>
  <c r="W3167"/>
  <c r="Y3167"/>
  <c r="AA3167"/>
  <c r="AB3167"/>
  <c r="AC3167"/>
  <c r="AD3167"/>
  <c r="P3168"/>
  <c r="T3168"/>
  <c r="U3168"/>
  <c r="V3168"/>
  <c r="W3168"/>
  <c r="Y3168"/>
  <c r="AA3168"/>
  <c r="AB3168"/>
  <c r="AC3168"/>
  <c r="AD3168"/>
  <c r="P3169"/>
  <c r="T3169"/>
  <c r="U3169"/>
  <c r="V3169"/>
  <c r="W3169"/>
  <c r="Y3169"/>
  <c r="AA3169"/>
  <c r="AB3169"/>
  <c r="AC3169"/>
  <c r="AD3169"/>
  <c r="P3170"/>
  <c r="T3170"/>
  <c r="U3170"/>
  <c r="V3170"/>
  <c r="W3170"/>
  <c r="Y3170"/>
  <c r="AA3170"/>
  <c r="AB3170"/>
  <c r="AC3170"/>
  <c r="AD3170"/>
  <c r="P3171"/>
  <c r="T3171"/>
  <c r="U3171"/>
  <c r="V3171"/>
  <c r="W3171"/>
  <c r="Y3171"/>
  <c r="AA3171"/>
  <c r="AB3171"/>
  <c r="AC3171"/>
  <c r="AD3171"/>
  <c r="P3172"/>
  <c r="T3172"/>
  <c r="U3172"/>
  <c r="V3172"/>
  <c r="W3172"/>
  <c r="Y3172"/>
  <c r="AA3172"/>
  <c r="AB3172"/>
  <c r="AC3172"/>
  <c r="AD3172"/>
  <c r="P3173"/>
  <c r="T3173"/>
  <c r="U3173"/>
  <c r="V3173"/>
  <c r="W3173"/>
  <c r="Y3173"/>
  <c r="AA3173"/>
  <c r="AB3173"/>
  <c r="AC3173"/>
  <c r="AD3173"/>
  <c r="P3174"/>
  <c r="T3174"/>
  <c r="U3174"/>
  <c r="V3174"/>
  <c r="W3174"/>
  <c r="Y3174"/>
  <c r="AA3174"/>
  <c r="AB3174"/>
  <c r="AC3174"/>
  <c r="AD3174"/>
  <c r="P3175"/>
  <c r="T3175"/>
  <c r="U3175"/>
  <c r="V3175"/>
  <c r="W3175"/>
  <c r="Y3175"/>
  <c r="AA3175"/>
  <c r="AB3175"/>
  <c r="AC3175"/>
  <c r="AD3175"/>
  <c r="P3176"/>
  <c r="T3176"/>
  <c r="U3176"/>
  <c r="V3176"/>
  <c r="W3176"/>
  <c r="Y3176"/>
  <c r="AA3176"/>
  <c r="AB3176"/>
  <c r="AC3176"/>
  <c r="AD3176"/>
  <c r="P3177"/>
  <c r="T3177"/>
  <c r="U3177"/>
  <c r="V3177"/>
  <c r="W3177"/>
  <c r="Y3177"/>
  <c r="AA3177"/>
  <c r="AB3177"/>
  <c r="AC3177"/>
  <c r="AD3177"/>
  <c r="P3178"/>
  <c r="T3178"/>
  <c r="U3178"/>
  <c r="V3178"/>
  <c r="W3178"/>
  <c r="Y3178"/>
  <c r="AA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A3181"/>
  <c r="AB3181"/>
  <c r="AC3181"/>
  <c r="AD3181"/>
  <c r="P3182"/>
  <c r="T3182"/>
  <c r="U3182"/>
  <c r="V3182"/>
  <c r="W3182"/>
  <c r="Y3182"/>
  <c r="AA3182"/>
  <c r="AB3182"/>
  <c r="AC3182"/>
  <c r="AD3182"/>
  <c r="P3183"/>
  <c r="T3183"/>
  <c r="U3183"/>
  <c r="V3183"/>
  <c r="W3183"/>
  <c r="Y3183"/>
  <c r="AA3183"/>
  <c r="AB3183"/>
  <c r="AC3183"/>
  <c r="AD3183"/>
  <c r="P3184"/>
  <c r="T3184"/>
  <c r="U3184"/>
  <c r="V3184"/>
  <c r="W3184"/>
  <c r="Y3184"/>
  <c r="AA3184"/>
  <c r="AB3184"/>
  <c r="AC3184"/>
  <c r="AD3184"/>
  <c r="P3185"/>
  <c r="T3185"/>
  <c r="U3185"/>
  <c r="V3185"/>
  <c r="W3185"/>
  <c r="Y3185"/>
  <c r="AA3185"/>
  <c r="AB3185"/>
  <c r="AC3185"/>
  <c r="AD3185"/>
  <c r="P3186"/>
  <c r="T3186"/>
  <c r="U3186"/>
  <c r="V3186"/>
  <c r="W3186"/>
  <c r="Y3186"/>
  <c r="AA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A3189"/>
  <c r="AB3189"/>
  <c r="AC3189"/>
  <c r="AD3189"/>
  <c r="P3190"/>
  <c r="T3190"/>
  <c r="U3190"/>
  <c r="V3190"/>
  <c r="W3190"/>
  <c r="Y3190"/>
  <c r="AA3190"/>
  <c r="AB3190"/>
  <c r="AC3190"/>
  <c r="AD3190"/>
  <c r="P3191"/>
  <c r="T3191"/>
  <c r="U3191"/>
  <c r="V3191"/>
  <c r="W3191"/>
  <c r="Y3191"/>
  <c r="AA3191"/>
  <c r="AB3191"/>
  <c r="AC3191"/>
  <c r="AD3191"/>
  <c r="P3192"/>
  <c r="T3192"/>
  <c r="U3192"/>
  <c r="V3192"/>
  <c r="W3192"/>
  <c r="Y3192"/>
  <c r="AA3192"/>
  <c r="AB3192"/>
  <c r="AC3192"/>
  <c r="AD3192"/>
  <c r="P3193"/>
  <c r="T3193"/>
  <c r="U3193"/>
  <c r="V3193"/>
  <c r="W3193"/>
  <c r="Y3193"/>
  <c r="AA3193"/>
  <c r="AB3193"/>
  <c r="AC3193"/>
  <c r="AD3193"/>
  <c r="P3194"/>
  <c r="T3194"/>
  <c r="U3194"/>
  <c r="V3194"/>
  <c r="W3194"/>
  <c r="Y3194"/>
  <c r="AA3194"/>
  <c r="AB3194"/>
  <c r="AC3194"/>
  <c r="AD3194"/>
  <c r="P3195"/>
  <c r="T3195"/>
  <c r="U3195"/>
  <c r="V3195"/>
  <c r="W3195"/>
  <c r="Y3195"/>
  <c r="AA3195"/>
  <c r="AB3195"/>
  <c r="AC3195"/>
  <c r="AD3195"/>
  <c r="P3196"/>
  <c r="T3196"/>
  <c r="U3196"/>
  <c r="V3196"/>
  <c r="W3196"/>
  <c r="Y3196"/>
  <c r="AA3196"/>
  <c r="AB3196"/>
  <c r="AC3196"/>
  <c r="AD3196"/>
  <c r="P3197"/>
  <c r="T3197"/>
  <c r="U3197"/>
  <c r="V3197"/>
  <c r="W3197"/>
  <c r="Y3197"/>
  <c r="AA3197"/>
  <c r="AB3197"/>
  <c r="AC3197"/>
  <c r="AD3197"/>
  <c r="P3198"/>
  <c r="T3198"/>
  <c r="U3198"/>
  <c r="V3198"/>
  <c r="W3198"/>
  <c r="Y3198"/>
  <c r="AA3198"/>
  <c r="AB3198"/>
  <c r="AC3198"/>
  <c r="AD3198"/>
  <c r="P3199"/>
  <c r="T3199"/>
  <c r="U3199"/>
  <c r="V3199"/>
  <c r="W3199"/>
  <c r="Y3199"/>
  <c r="AA3199"/>
  <c r="AB3199"/>
  <c r="AC3199"/>
  <c r="AD3199"/>
  <c r="P3200"/>
  <c r="T3200"/>
  <c r="U3200"/>
  <c r="V3200"/>
  <c r="W3200"/>
  <c r="Y3200"/>
  <c r="AA3200"/>
  <c r="AB3200"/>
  <c r="AC3200"/>
  <c r="AD3200"/>
  <c r="P3201"/>
  <c r="T3201"/>
  <c r="U3201"/>
  <c r="V3201"/>
  <c r="W3201"/>
  <c r="Y3201"/>
  <c r="AA3201"/>
  <c r="AB3201"/>
  <c r="AC3201"/>
  <c r="AD3201"/>
  <c r="P3202"/>
  <c r="T3202"/>
  <c r="U3202"/>
  <c r="V3202"/>
  <c r="W3202"/>
  <c r="Y3202"/>
  <c r="AA3202"/>
  <c r="AB3202"/>
  <c r="AC3202"/>
  <c r="AD3202"/>
  <c r="P3203"/>
  <c r="T3203"/>
  <c r="U3203"/>
  <c r="V3203"/>
  <c r="W3203"/>
  <c r="Y3203"/>
  <c r="AA3203"/>
  <c r="AB3203"/>
  <c r="AC3203"/>
  <c r="AD3203"/>
  <c r="P3204"/>
  <c r="T3204"/>
  <c r="U3204"/>
  <c r="V3204"/>
  <c r="W3204"/>
  <c r="Y3204"/>
  <c r="AA3204"/>
  <c r="AB3204"/>
  <c r="AC3204"/>
  <c r="AD3204"/>
  <c r="P3205"/>
  <c r="T3205"/>
  <c r="U3205"/>
  <c r="V3205"/>
  <c r="W3205"/>
  <c r="Y3205"/>
  <c r="AA3205"/>
  <c r="AB3205"/>
  <c r="AC3205"/>
  <c r="AD3205"/>
  <c r="P3206"/>
  <c r="T3206"/>
  <c r="U3206"/>
  <c r="V3206"/>
  <c r="W3206"/>
  <c r="Y3206"/>
  <c r="AA3206"/>
  <c r="AB3206"/>
  <c r="AC3206"/>
  <c r="AD3206"/>
  <c r="P3207"/>
  <c r="T3207"/>
  <c r="U3207"/>
  <c r="V3207"/>
  <c r="W3207"/>
  <c r="Y3207"/>
  <c r="AA3207"/>
  <c r="AB3207"/>
  <c r="AC3207"/>
  <c r="AD3207"/>
  <c r="P3208"/>
  <c r="T3208"/>
  <c r="U3208"/>
  <c r="V3208"/>
  <c r="W3208"/>
  <c r="Y3208"/>
  <c r="AA3208"/>
  <c r="AB3208"/>
  <c r="AC3208"/>
  <c r="AD3208"/>
  <c r="P3209"/>
  <c r="T3209"/>
  <c r="U3209"/>
  <c r="V3209"/>
  <c r="W3209"/>
  <c r="Y3209"/>
  <c r="AA3209"/>
  <c r="AB3209"/>
  <c r="AC3209"/>
  <c r="AD3209"/>
  <c r="P3210"/>
  <c r="T3210"/>
  <c r="U3210"/>
  <c r="V3210"/>
  <c r="W3210"/>
  <c r="Y3210"/>
  <c r="AA3210"/>
  <c r="AB3210"/>
  <c r="AC3210"/>
  <c r="AD3210"/>
  <c r="P3211"/>
  <c r="T3211"/>
  <c r="U3211"/>
  <c r="V3211"/>
  <c r="W3211"/>
  <c r="Y3211"/>
  <c r="AA3211"/>
  <c r="AB3211"/>
  <c r="AC3211"/>
  <c r="AD3211"/>
  <c r="P3212"/>
  <c r="T3212"/>
  <c r="U3212"/>
  <c r="V3212"/>
  <c r="W3212"/>
  <c r="Y3212"/>
  <c r="AA3212"/>
  <c r="AB3212"/>
  <c r="AC3212"/>
  <c r="AD3212"/>
  <c r="P3213"/>
  <c r="T3213"/>
  <c r="U3213"/>
  <c r="V3213"/>
  <c r="W3213"/>
  <c r="Y3213"/>
  <c r="AA3213"/>
  <c r="AB3213"/>
  <c r="AC3213"/>
  <c r="AD3213"/>
  <c r="P3214"/>
  <c r="T3214"/>
  <c r="U3214"/>
  <c r="V3214"/>
  <c r="W3214"/>
  <c r="Y3214"/>
  <c r="AA3214"/>
  <c r="AB3214"/>
  <c r="AC3214"/>
  <c r="AD3214"/>
  <c r="P3215"/>
  <c r="T3215"/>
  <c r="U3215"/>
  <c r="V3215"/>
  <c r="W3215"/>
  <c r="Y3215"/>
  <c r="AA3215"/>
  <c r="AB3215"/>
  <c r="AC3215"/>
  <c r="AD3215"/>
  <c r="P3216"/>
  <c r="T3216"/>
  <c r="U3216"/>
  <c r="V3216"/>
  <c r="W3216"/>
  <c r="Y3216"/>
  <c r="AA3216"/>
  <c r="AB3216"/>
  <c r="AC3216"/>
  <c r="AD3216"/>
  <c r="P3217"/>
  <c r="T3217"/>
  <c r="U3217"/>
  <c r="V3217"/>
  <c r="W3217"/>
  <c r="Y3217"/>
  <c r="AA3217"/>
  <c r="AB3217"/>
  <c r="AC3217"/>
  <c r="AD3217"/>
  <c r="P3218"/>
  <c r="T3218"/>
  <c r="U3218"/>
  <c r="V3218"/>
  <c r="W3218"/>
  <c r="Y3218"/>
  <c r="AA3218"/>
  <c r="AB3218"/>
  <c r="AC3218"/>
  <c r="AD3218"/>
  <c r="P3219"/>
  <c r="T3219"/>
  <c r="U3219"/>
  <c r="V3219"/>
  <c r="W3219"/>
  <c r="Y3219"/>
  <c r="AA3219"/>
  <c r="AB3219"/>
  <c r="AC3219"/>
  <c r="AD3219"/>
  <c r="P3220"/>
  <c r="T3220"/>
  <c r="U3220"/>
  <c r="V3220"/>
  <c r="W3220"/>
  <c r="Y3220"/>
  <c r="AA3220"/>
  <c r="AB3220"/>
  <c r="AC3220"/>
  <c r="AD3220"/>
  <c r="P3221"/>
  <c r="T3221"/>
  <c r="U3221"/>
  <c r="V3221"/>
  <c r="W3221"/>
  <c r="Y3221"/>
  <c r="AA3221"/>
  <c r="AB3221"/>
  <c r="AC3221"/>
  <c r="AD3221"/>
  <c r="P3222"/>
  <c r="T3222"/>
  <c r="U3222"/>
  <c r="V3222"/>
  <c r="W3222"/>
  <c r="Y3222"/>
  <c r="AA3222"/>
  <c r="AB3222"/>
  <c r="AC3222"/>
  <c r="AD3222"/>
  <c r="P3223"/>
  <c r="T3223"/>
  <c r="U3223"/>
  <c r="V3223"/>
  <c r="W3223"/>
  <c r="Y3223"/>
  <c r="AA3223"/>
  <c r="AB3223"/>
  <c r="AC3223"/>
  <c r="AD3223"/>
  <c r="P3224"/>
  <c r="T3224"/>
  <c r="U3224"/>
  <c r="V3224"/>
  <c r="W3224"/>
  <c r="Y3224"/>
  <c r="AA3224"/>
  <c r="AB3224"/>
  <c r="AC3224"/>
  <c r="AD3224"/>
  <c r="P3225"/>
  <c r="T3225"/>
  <c r="U3225"/>
  <c r="V3225"/>
  <c r="W3225"/>
  <c r="Y3225"/>
  <c r="AA3225"/>
  <c r="AB3225"/>
  <c r="AC3225"/>
  <c r="AD3225"/>
  <c r="P3226"/>
  <c r="T3226"/>
  <c r="U3226"/>
  <c r="V3226"/>
  <c r="W3226"/>
  <c r="Y3226"/>
  <c r="AA3226"/>
  <c r="AB3226"/>
  <c r="AC3226"/>
  <c r="AD3226"/>
  <c r="P3227"/>
  <c r="T3227"/>
  <c r="U3227"/>
  <c r="V3227"/>
  <c r="W3227"/>
  <c r="Y3227"/>
  <c r="AA3227"/>
  <c r="AB3227"/>
  <c r="AC3227"/>
  <c r="AD3227"/>
  <c r="P3228"/>
  <c r="T3228"/>
  <c r="U3228"/>
  <c r="V3228"/>
  <c r="W3228"/>
  <c r="Y3228"/>
  <c r="AA3228"/>
  <c r="AB3228"/>
  <c r="AC3228"/>
  <c r="AD3228"/>
  <c r="P3229"/>
  <c r="T3229"/>
  <c r="U3229"/>
  <c r="V3229"/>
  <c r="W3229"/>
  <c r="Y3229"/>
  <c r="AA3229"/>
  <c r="AB3229"/>
  <c r="AC3229"/>
  <c r="AD3229"/>
  <c r="P3230"/>
  <c r="T3230"/>
  <c r="U3230"/>
  <c r="V3230"/>
  <c r="W3230"/>
  <c r="Y3230"/>
  <c r="AA3230"/>
  <c r="AB3230"/>
  <c r="AC3230"/>
  <c r="AD3230"/>
  <c r="P3231"/>
  <c r="T3231"/>
  <c r="U3231"/>
  <c r="V3231"/>
  <c r="W3231"/>
  <c r="Y3231"/>
  <c r="AA3231"/>
  <c r="AB3231"/>
  <c r="AC3231"/>
  <c r="AD3231"/>
  <c r="P3232"/>
  <c r="T3232"/>
  <c r="U3232"/>
  <c r="V3232"/>
  <c r="W3232"/>
  <c r="Y3232"/>
  <c r="AA3232"/>
  <c r="AB3232"/>
  <c r="AC3232"/>
  <c r="AD3232"/>
  <c r="P3233"/>
  <c r="T3233"/>
  <c r="U3233"/>
  <c r="V3233"/>
  <c r="W3233"/>
  <c r="Y3233"/>
  <c r="AA3233"/>
  <c r="AB3233"/>
  <c r="AC3233"/>
  <c r="AD3233"/>
  <c r="P3234"/>
  <c r="T3234"/>
  <c r="U3234"/>
  <c r="V3234"/>
  <c r="W3234"/>
  <c r="Y3234"/>
  <c r="AA3234"/>
  <c r="AB3234"/>
  <c r="AC3234"/>
  <c r="AD3234"/>
  <c r="P3235"/>
  <c r="T3235"/>
  <c r="U3235"/>
  <c r="V3235"/>
  <c r="W3235"/>
  <c r="Y3235"/>
  <c r="AA3235"/>
  <c r="AB3235"/>
  <c r="AC3235"/>
  <c r="AD3235"/>
  <c r="P3236"/>
  <c r="T3236"/>
  <c r="U3236"/>
  <c r="V3236"/>
  <c r="W3236"/>
  <c r="Y3236"/>
  <c r="AA3236"/>
  <c r="AB3236"/>
  <c r="AC3236"/>
  <c r="AD3236"/>
  <c r="P3237"/>
  <c r="T3237"/>
  <c r="U3237"/>
  <c r="V3237"/>
  <c r="W3237"/>
  <c r="Y3237"/>
  <c r="AA3237"/>
  <c r="AB3237"/>
  <c r="AC3237"/>
  <c r="AD3237"/>
  <c r="P3238"/>
  <c r="T3238"/>
  <c r="U3238"/>
  <c r="V3238"/>
  <c r="W3238"/>
  <c r="Y3238"/>
  <c r="AA3238"/>
  <c r="AB3238"/>
  <c r="AC3238"/>
  <c r="AD3238"/>
  <c r="P3239"/>
  <c r="T3239"/>
  <c r="U3239"/>
  <c r="V3239"/>
  <c r="W3239"/>
  <c r="Y3239"/>
  <c r="AA3239"/>
  <c r="AB3239"/>
  <c r="AC3239"/>
  <c r="AD3239"/>
  <c r="P3240"/>
  <c r="T3240"/>
  <c r="U3240"/>
  <c r="V3240"/>
  <c r="W3240"/>
  <c r="Y3240"/>
  <c r="AA3240"/>
  <c r="AB3240"/>
  <c r="AC3240"/>
  <c r="AD3240"/>
  <c r="P3241"/>
  <c r="T3241"/>
  <c r="U3241"/>
  <c r="V3241"/>
  <c r="W3241"/>
  <c r="Y3241"/>
  <c r="AA3241"/>
  <c r="AB3241"/>
  <c r="AC3241"/>
  <c r="AD3241"/>
  <c r="P3242"/>
  <c r="T3242"/>
  <c r="U3242"/>
  <c r="V3242"/>
  <c r="W3242"/>
  <c r="Y3242"/>
  <c r="AA3242"/>
  <c r="AB3242"/>
  <c r="AC3242"/>
  <c r="AD3242"/>
  <c r="P3243"/>
  <c r="T3243"/>
  <c r="U3243"/>
  <c r="V3243"/>
  <c r="W3243"/>
  <c r="Y3243"/>
  <c r="AA3243"/>
  <c r="AB3243"/>
  <c r="AC3243"/>
  <c r="AD3243"/>
  <c r="P3244"/>
  <c r="T3244"/>
  <c r="U3244"/>
  <c r="V3244"/>
  <c r="W3244"/>
  <c r="Y3244"/>
  <c r="AA3244"/>
  <c r="AB3244"/>
  <c r="AC3244"/>
  <c r="AD3244"/>
  <c r="P3245"/>
  <c r="T3245"/>
  <c r="U3245"/>
  <c r="V3245"/>
  <c r="W3245"/>
  <c r="Y3245"/>
  <c r="AA3245"/>
  <c r="AB3245"/>
  <c r="AC3245"/>
  <c r="AD3245"/>
  <c r="P3246"/>
  <c r="T3246"/>
  <c r="U3246"/>
  <c r="V3246"/>
  <c r="W3246"/>
  <c r="Y3246"/>
  <c r="AA3246"/>
  <c r="AB3246"/>
  <c r="AC3246"/>
  <c r="AD3246"/>
  <c r="P3247"/>
  <c r="T3247"/>
  <c r="U3247"/>
  <c r="V3247"/>
  <c r="W3247"/>
  <c r="Y3247"/>
  <c r="AA3247"/>
  <c r="AB3247"/>
  <c r="AC3247"/>
  <c r="AD3247"/>
  <c r="P3248"/>
  <c r="T3248"/>
  <c r="U3248"/>
  <c r="V3248"/>
  <c r="W3248"/>
  <c r="Y3248"/>
  <c r="AA3248"/>
  <c r="AB3248"/>
  <c r="AC3248"/>
  <c r="AD3248"/>
  <c r="P3249"/>
  <c r="T3249"/>
  <c r="U3249"/>
  <c r="V3249"/>
  <c r="W3249"/>
  <c r="Y3249"/>
  <c r="AA3249"/>
  <c r="AB3249"/>
  <c r="AC3249"/>
  <c r="AD3249"/>
  <c r="P3250"/>
  <c r="T3250"/>
  <c r="U3250"/>
  <c r="V3250"/>
  <c r="W3250"/>
  <c r="Y3250"/>
  <c r="AA3250"/>
  <c r="AB3250"/>
  <c r="AC3250"/>
  <c r="AD3250"/>
  <c r="P3251"/>
  <c r="T3251"/>
  <c r="U3251"/>
  <c r="V3251"/>
  <c r="W3251"/>
  <c r="Y3251"/>
  <c r="AA3251"/>
  <c r="AB3251"/>
  <c r="AC3251"/>
  <c r="AD3251"/>
  <c r="P3252"/>
  <c r="T3252"/>
  <c r="U3252"/>
  <c r="V3252"/>
  <c r="W3252"/>
  <c r="Y3252"/>
  <c r="AA3252"/>
  <c r="AB3252"/>
  <c r="AC3252"/>
  <c r="AD3252"/>
  <c r="P3253"/>
  <c r="T3253"/>
  <c r="U3253"/>
  <c r="V3253"/>
  <c r="W3253"/>
  <c r="Y3253"/>
  <c r="AA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T3261"/>
  <c r="U3261"/>
  <c r="V3261"/>
  <c r="W3261"/>
  <c r="Y3261"/>
  <c r="AA3261"/>
  <c r="AB3261"/>
  <c r="AC3261"/>
  <c r="AD3261"/>
  <c r="P3262"/>
  <c r="T3262"/>
  <c r="U3262"/>
  <c r="V3262"/>
  <c r="W3262"/>
  <c r="Y3262"/>
  <c r="AA3262"/>
  <c r="AB3262"/>
  <c r="AC3262"/>
  <c r="AD3262"/>
  <c r="P3263"/>
  <c r="T3263"/>
  <c r="U3263"/>
  <c r="V3263"/>
  <c r="W3263"/>
  <c r="Y3263"/>
  <c r="AA3263"/>
  <c r="AB3263"/>
  <c r="AC3263"/>
  <c r="AD3263"/>
  <c r="P3264"/>
  <c r="T3264"/>
  <c r="U3264"/>
  <c r="V3264"/>
  <c r="W3264"/>
  <c r="Y3264"/>
  <c r="AA3264"/>
  <c r="AB3264"/>
  <c r="AC3264"/>
  <c r="AD3264"/>
  <c r="P3265"/>
  <c r="T3265"/>
  <c r="U3265"/>
  <c r="V3265"/>
  <c r="W3265"/>
  <c r="Y3265"/>
  <c r="AA3265"/>
  <c r="AB3265"/>
  <c r="AC3265"/>
  <c r="AD3265"/>
  <c r="P3266"/>
  <c r="T3266"/>
  <c r="U3266"/>
  <c r="V3266"/>
  <c r="W3266"/>
  <c r="Y3266"/>
  <c r="AA3266"/>
  <c r="AB3266"/>
  <c r="AC3266"/>
  <c r="AD3266"/>
  <c r="P3267"/>
  <c r="T3267"/>
  <c r="U3267"/>
  <c r="V3267"/>
  <c r="W3267"/>
  <c r="Y3267"/>
  <c r="AA3267"/>
  <c r="AB3267"/>
  <c r="AC3267"/>
  <c r="AD3267"/>
  <c r="P3268"/>
  <c r="T3268"/>
  <c r="U3268"/>
  <c r="V3268"/>
  <c r="W3268"/>
  <c r="Y3268"/>
  <c r="AA3268"/>
  <c r="AB3268"/>
  <c r="AC3268"/>
  <c r="AD3268"/>
  <c r="P3269"/>
  <c r="T3269"/>
  <c r="U3269"/>
  <c r="V3269"/>
  <c r="W3269"/>
  <c r="Y3269"/>
  <c r="AA3269"/>
  <c r="AB3269"/>
  <c r="AC3269"/>
  <c r="AD3269"/>
  <c r="P3270"/>
  <c r="T3270"/>
  <c r="U3270"/>
  <c r="V3270"/>
  <c r="W3270"/>
  <c r="Y3270"/>
  <c r="AA3270"/>
  <c r="AB3270"/>
  <c r="AC3270"/>
  <c r="AD3270"/>
  <c r="P3271"/>
  <c r="T3271"/>
  <c r="U3271"/>
  <c r="V3271"/>
  <c r="W3271"/>
  <c r="Y3271"/>
  <c r="AA3271"/>
  <c r="AB3271"/>
  <c r="AC3271"/>
  <c r="AD3271"/>
  <c r="P3272"/>
  <c r="T3272"/>
  <c r="U3272"/>
  <c r="V3272"/>
  <c r="W3272"/>
  <c r="Y3272"/>
  <c r="AA3272"/>
  <c r="AB3272"/>
  <c r="AC3272"/>
  <c r="AD3272"/>
  <c r="P3273"/>
  <c r="T3273"/>
  <c r="U3273"/>
  <c r="V3273"/>
  <c r="W3273"/>
  <c r="Y3273"/>
  <c r="AA3273"/>
  <c r="AB3273"/>
  <c r="AC3273"/>
  <c r="AD3273"/>
  <c r="P3274"/>
  <c r="T3274"/>
  <c r="U3274"/>
  <c r="V3274"/>
  <c r="W3274"/>
  <c r="Y3274"/>
  <c r="AA3274"/>
  <c r="AB3274"/>
  <c r="AC3274"/>
  <c r="AD3274"/>
  <c r="P3275"/>
  <c r="T3275"/>
  <c r="U3275"/>
  <c r="V3275"/>
  <c r="W3275"/>
  <c r="Y3275"/>
  <c r="AA3275"/>
  <c r="AB3275"/>
  <c r="AC3275"/>
  <c r="AD3275"/>
  <c r="P3276"/>
  <c r="T3276"/>
  <c r="U3276"/>
  <c r="V3276"/>
  <c r="W3276"/>
  <c r="Y3276"/>
  <c r="AA3276"/>
  <c r="AB3276"/>
  <c r="AC3276"/>
  <c r="AD3276"/>
  <c r="P3277"/>
  <c r="T3277"/>
  <c r="U3277"/>
  <c r="V3277"/>
  <c r="W3277"/>
  <c r="Y3277"/>
  <c r="AA3277"/>
  <c r="AB3277"/>
  <c r="AC3277"/>
  <c r="AD3277"/>
  <c r="P3278"/>
  <c r="T3278"/>
  <c r="U3278"/>
  <c r="V3278"/>
  <c r="W3278"/>
  <c r="Y3278"/>
  <c r="AA3278"/>
  <c r="AB3278"/>
  <c r="AC3278"/>
  <c r="AD3278"/>
  <c r="P3279"/>
  <c r="T3279"/>
  <c r="U3279"/>
  <c r="V3279"/>
  <c r="W3279"/>
  <c r="Y3279"/>
  <c r="AA3279"/>
  <c r="AB3279"/>
  <c r="AC3279"/>
  <c r="AD3279"/>
  <c r="P3280"/>
  <c r="T3280"/>
  <c r="U3280"/>
  <c r="V3280"/>
  <c r="W3280"/>
  <c r="Y3280"/>
  <c r="AA3280"/>
  <c r="AB3280"/>
  <c r="AC3280"/>
  <c r="AD3280"/>
  <c r="P3281"/>
  <c r="T3281"/>
  <c r="U3281"/>
  <c r="V3281"/>
  <c r="W3281"/>
  <c r="Y3281"/>
  <c r="AA3281"/>
  <c r="AB3281"/>
  <c r="AC3281"/>
  <c r="AD3281"/>
  <c r="P3282"/>
  <c r="T3282"/>
  <c r="U3282"/>
  <c r="V3282"/>
  <c r="W3282"/>
  <c r="Y3282"/>
  <c r="AA3282"/>
  <c r="AB3282"/>
  <c r="AC3282"/>
  <c r="AD3282"/>
  <c r="P3283"/>
  <c r="T3283"/>
  <c r="U3283"/>
  <c r="V3283"/>
  <c r="W3283"/>
  <c r="Y3283"/>
  <c r="AA3283"/>
  <c r="AB3283"/>
  <c r="AC3283"/>
  <c r="AD3283"/>
  <c r="P3284"/>
  <c r="T3284"/>
  <c r="U3284"/>
  <c r="V3284"/>
  <c r="W3284"/>
  <c r="Y3284"/>
  <c r="AA3284"/>
  <c r="AB3284"/>
  <c r="AC3284"/>
  <c r="AD3284"/>
  <c r="P3285"/>
  <c r="T3285"/>
  <c r="U3285"/>
  <c r="V3285"/>
  <c r="W3285"/>
  <c r="Y3285"/>
  <c r="AA3285"/>
  <c r="AB3285"/>
  <c r="AC3285"/>
  <c r="AD3285"/>
  <c r="P3286"/>
  <c r="T3286"/>
  <c r="U3286"/>
  <c r="V3286"/>
  <c r="W3286"/>
  <c r="Y3286"/>
  <c r="AA3286"/>
  <c r="AB3286"/>
  <c r="AC3286"/>
  <c r="AD3286"/>
  <c r="P3287"/>
  <c r="T3287"/>
  <c r="U3287"/>
  <c r="V3287"/>
  <c r="W3287"/>
  <c r="Y3287"/>
  <c r="AA3287"/>
  <c r="AB3287"/>
  <c r="AC3287"/>
  <c r="AD3287"/>
  <c r="P3288"/>
  <c r="T3288"/>
  <c r="U3288"/>
  <c r="V3288"/>
  <c r="W3288"/>
  <c r="Y3288"/>
  <c r="AA3288"/>
  <c r="AB3288"/>
  <c r="AC3288"/>
  <c r="AD3288"/>
  <c r="P3289"/>
  <c r="T3289"/>
  <c r="U3289"/>
  <c r="V3289"/>
  <c r="W3289"/>
  <c r="Y3289"/>
  <c r="AA3289"/>
  <c r="AB3289"/>
  <c r="AC3289"/>
  <c r="AD3289"/>
  <c r="P3290"/>
  <c r="T3290"/>
  <c r="U3290"/>
  <c r="V3290"/>
  <c r="W3290"/>
  <c r="Y3290"/>
  <c r="AA3290"/>
  <c r="AB3290"/>
  <c r="AC3290"/>
  <c r="AD3290"/>
  <c r="P3291"/>
  <c r="T3291"/>
  <c r="U3291"/>
  <c r="V3291"/>
  <c r="W3291"/>
  <c r="Y3291"/>
  <c r="AA3291"/>
  <c r="AB3291"/>
  <c r="AC3291"/>
  <c r="AD3291"/>
  <c r="P3292"/>
  <c r="T3292"/>
  <c r="U3292"/>
  <c r="V3292"/>
  <c r="W3292"/>
  <c r="Y3292"/>
  <c r="AA3292"/>
  <c r="AB3292"/>
  <c r="AC3292"/>
  <c r="AD3292"/>
  <c r="P3293"/>
  <c r="T3293"/>
  <c r="U3293"/>
  <c r="V3293"/>
  <c r="W3293"/>
  <c r="Y3293"/>
  <c r="AA3293"/>
  <c r="AB3293"/>
  <c r="AC3293"/>
  <c r="AD3293"/>
  <c r="P3294"/>
  <c r="T3294"/>
  <c r="U3294"/>
  <c r="V3294"/>
  <c r="W3294"/>
  <c r="Y3294"/>
  <c r="AA3294"/>
  <c r="AB3294"/>
  <c r="AC3294"/>
  <c r="AD3294"/>
  <c r="P3295"/>
  <c r="T3295"/>
  <c r="U3295"/>
  <c r="V3295"/>
  <c r="W3295"/>
  <c r="Y3295"/>
  <c r="AA3295"/>
  <c r="AB3295"/>
  <c r="AC3295"/>
  <c r="AD3295"/>
  <c r="P3296"/>
  <c r="T3296"/>
  <c r="U3296"/>
  <c r="V3296"/>
  <c r="W3296"/>
  <c r="Y3296"/>
  <c r="AA3296"/>
  <c r="AB3296"/>
  <c r="AC3296"/>
  <c r="AD3296"/>
  <c r="P3297"/>
  <c r="T3297"/>
  <c r="U3297"/>
  <c r="V3297"/>
  <c r="W3297"/>
  <c r="Y3297"/>
  <c r="AA3297"/>
  <c r="AB3297"/>
  <c r="AC3297"/>
  <c r="AD3297"/>
  <c r="P3298"/>
  <c r="T3298"/>
  <c r="U3298"/>
  <c r="V3298"/>
  <c r="W3298"/>
  <c r="Y3298"/>
  <c r="AA3298"/>
  <c r="AB3298"/>
  <c r="AC3298"/>
  <c r="AD3298"/>
  <c r="P3299"/>
  <c r="T3299"/>
  <c r="U3299"/>
  <c r="V3299"/>
  <c r="W3299"/>
  <c r="Y3299"/>
  <c r="AA3299"/>
  <c r="AB3299"/>
  <c r="AC3299"/>
  <c r="AD3299"/>
  <c r="P3300"/>
  <c r="T3300"/>
  <c r="U3300"/>
  <c r="V3300"/>
  <c r="W3300"/>
  <c r="Y3300"/>
  <c r="AA3300"/>
  <c r="AB3300"/>
  <c r="AC3300"/>
  <c r="AD3300"/>
  <c r="P3301"/>
  <c r="T3301"/>
  <c r="U3301"/>
  <c r="V3301"/>
  <c r="W3301"/>
  <c r="Y3301"/>
  <c r="AA3301"/>
  <c r="AB3301"/>
  <c r="AC3301"/>
  <c r="AD3301"/>
  <c r="P3302"/>
  <c r="T3302"/>
  <c r="U3302"/>
  <c r="V3302"/>
  <c r="W3302"/>
  <c r="Y3302"/>
  <c r="AA3302"/>
  <c r="AB3302"/>
  <c r="AC3302"/>
  <c r="AD3302"/>
  <c r="P3303"/>
  <c r="T3303"/>
  <c r="U3303"/>
  <c r="V3303"/>
  <c r="W3303"/>
  <c r="Y3303"/>
  <c r="AA3303"/>
  <c r="AB3303"/>
  <c r="AC3303"/>
  <c r="AD3303"/>
  <c r="P3304"/>
  <c r="T3304"/>
  <c r="U3304"/>
  <c r="V3304"/>
  <c r="W3304"/>
  <c r="Y3304"/>
  <c r="AA3304"/>
  <c r="AB3304"/>
  <c r="AC3304"/>
  <c r="AD3304"/>
  <c r="P3305"/>
  <c r="T3305"/>
  <c r="U3305"/>
  <c r="V3305"/>
  <c r="W3305"/>
  <c r="Y3305"/>
  <c r="AA3305"/>
  <c r="AB3305"/>
  <c r="AC3305"/>
  <c r="AD3305"/>
  <c r="P3306"/>
  <c r="T3306"/>
  <c r="U3306"/>
  <c r="V3306"/>
  <c r="W3306"/>
  <c r="Y3306"/>
  <c r="AA3306"/>
  <c r="AB3306"/>
  <c r="AC3306"/>
  <c r="AD3306"/>
  <c r="P3307"/>
  <c r="T3307"/>
  <c r="U3307"/>
  <c r="V3307"/>
  <c r="W3307"/>
  <c r="Y3307"/>
  <c r="AA3307"/>
  <c r="AB3307"/>
  <c r="AC3307"/>
  <c r="AD3307"/>
  <c r="P3308"/>
  <c r="T3308"/>
  <c r="U3308"/>
  <c r="V3308"/>
  <c r="W3308"/>
  <c r="Y3308"/>
  <c r="AA3308"/>
  <c r="AB3308"/>
  <c r="AC3308"/>
  <c r="AD3308"/>
  <c r="P3309"/>
  <c r="T3309"/>
  <c r="U3309"/>
  <c r="V3309"/>
  <c r="W3309"/>
  <c r="Y3309"/>
  <c r="AA3309"/>
  <c r="AB3309"/>
  <c r="AC3309"/>
  <c r="AD3309"/>
  <c r="P3310"/>
  <c r="T3310"/>
  <c r="U3310"/>
  <c r="V3310"/>
  <c r="W3310"/>
  <c r="Y3310"/>
  <c r="AA3310"/>
  <c r="AB3310"/>
  <c r="AC3310"/>
  <c r="AD3310"/>
  <c r="P3311"/>
  <c r="T3311"/>
  <c r="U3311"/>
  <c r="V3311"/>
  <c r="W3311"/>
  <c r="Y3311"/>
  <c r="AA3311"/>
  <c r="AB3311"/>
  <c r="AC3311"/>
  <c r="AD3311"/>
  <c r="P3312"/>
  <c r="T3312"/>
  <c r="U3312"/>
  <c r="V3312"/>
  <c r="W3312"/>
  <c r="Y3312"/>
  <c r="AA3312"/>
  <c r="AB3312"/>
  <c r="AC3312"/>
  <c r="AD3312"/>
  <c r="P3313"/>
  <c r="T3313"/>
  <c r="U3313"/>
  <c r="V3313"/>
  <c r="W3313"/>
  <c r="Y3313"/>
  <c r="AA3313"/>
  <c r="AB3313"/>
  <c r="AC3313"/>
  <c r="AD3313"/>
  <c r="P3314"/>
  <c r="T3314"/>
  <c r="U3314"/>
  <c r="V3314"/>
  <c r="W3314"/>
  <c r="Y3314"/>
  <c r="AA3314"/>
  <c r="AB3314"/>
  <c r="AC3314"/>
  <c r="AD3314"/>
  <c r="P3315"/>
  <c r="T3315"/>
  <c r="U3315"/>
  <c r="V3315"/>
  <c r="W3315"/>
  <c r="Y3315"/>
  <c r="AA3315"/>
  <c r="AB3315"/>
  <c r="AC3315"/>
  <c r="AD3315"/>
  <c r="P3316"/>
  <c r="T3316"/>
  <c r="U3316"/>
  <c r="V3316"/>
  <c r="W3316"/>
  <c r="Y3316"/>
  <c r="AA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A3321"/>
  <c r="AB3321"/>
  <c r="AC3321"/>
  <c r="AD3321"/>
  <c r="P3322"/>
  <c r="T3322"/>
  <c r="U3322"/>
  <c r="V3322"/>
  <c r="W3322"/>
  <c r="Y3322"/>
  <c r="AA3322"/>
  <c r="AB3322"/>
  <c r="AC3322"/>
  <c r="AD3322"/>
  <c r="P3323"/>
  <c r="T3323"/>
  <c r="U3323"/>
  <c r="V3323"/>
  <c r="W3323"/>
  <c r="Y3323"/>
  <c r="AA3323"/>
  <c r="AB3323"/>
  <c r="AC3323"/>
  <c r="AD3323"/>
  <c r="P3324"/>
  <c r="T3324"/>
  <c r="U3324"/>
  <c r="V3324"/>
  <c r="W3324"/>
  <c r="Y3324"/>
  <c r="AA3324"/>
  <c r="AB3324"/>
  <c r="AC3324"/>
  <c r="AD3324"/>
  <c r="P3325"/>
  <c r="T3325"/>
  <c r="U3325"/>
  <c r="V3325"/>
  <c r="W3325"/>
  <c r="Y3325"/>
  <c r="AA3325"/>
  <c r="AB3325"/>
  <c r="AC3325"/>
  <c r="AD3325"/>
  <c r="P3326"/>
  <c r="T3326"/>
  <c r="U3326"/>
  <c r="V3326"/>
  <c r="W3326"/>
  <c r="Y3326"/>
  <c r="AA3326"/>
  <c r="AB3326"/>
  <c r="AC3326"/>
  <c r="AD3326"/>
  <c r="P3327"/>
  <c r="T3327"/>
  <c r="U3327"/>
  <c r="V3327"/>
  <c r="W3327"/>
  <c r="Y3327"/>
  <c r="AA3327"/>
  <c r="AB3327"/>
  <c r="AC3327"/>
  <c r="AD3327"/>
  <c r="P3328"/>
  <c r="T3328"/>
  <c r="U3328"/>
  <c r="V3328"/>
  <c r="W3328"/>
  <c r="Y3328"/>
  <c r="AA3328"/>
  <c r="AB3328"/>
  <c r="AC3328"/>
  <c r="AD3328"/>
  <c r="P3329"/>
  <c r="T3329"/>
  <c r="U3329"/>
  <c r="V3329"/>
  <c r="W3329"/>
  <c r="Y3329"/>
  <c r="AA3329"/>
  <c r="AB3329"/>
  <c r="AC3329"/>
  <c r="AD3329"/>
  <c r="P3330"/>
  <c r="T3330"/>
  <c r="U3330"/>
  <c r="V3330"/>
  <c r="W3330"/>
  <c r="Y3330"/>
  <c r="AA3330"/>
  <c r="AB3330"/>
  <c r="AC3330"/>
  <c r="AD3330"/>
  <c r="P3331"/>
  <c r="T3331"/>
  <c r="U3331"/>
  <c r="V3331"/>
  <c r="W3331"/>
  <c r="Y3331"/>
  <c r="AA3331"/>
  <c r="AB3331"/>
  <c r="AC3331"/>
  <c r="AD3331"/>
  <c r="P3332"/>
  <c r="T3332"/>
  <c r="U3332"/>
  <c r="V3332"/>
  <c r="W3332"/>
  <c r="Y3332"/>
  <c r="AA3332"/>
  <c r="AB3332"/>
  <c r="AC3332"/>
  <c r="AD3332"/>
  <c r="P3333"/>
  <c r="T3333"/>
  <c r="U3333"/>
  <c r="V3333"/>
  <c r="W3333"/>
  <c r="Y3333"/>
  <c r="AA3333"/>
  <c r="AB3333"/>
  <c r="AC3333"/>
  <c r="AD3333"/>
  <c r="P3334"/>
  <c r="T3334"/>
  <c r="U3334"/>
  <c r="V3334"/>
  <c r="W3334"/>
  <c r="Y3334"/>
  <c r="AA3334"/>
  <c r="AB3334"/>
  <c r="AC3334"/>
  <c r="AD3334"/>
  <c r="P3335"/>
  <c r="T3335"/>
  <c r="U3335"/>
  <c r="V3335"/>
  <c r="W3335"/>
  <c r="Y3335"/>
  <c r="AA3335"/>
  <c r="AB3335"/>
  <c r="AC3335"/>
  <c r="AD3335"/>
  <c r="P3336"/>
  <c r="T3336"/>
  <c r="U3336"/>
  <c r="V3336"/>
  <c r="W3336"/>
  <c r="Y3336"/>
  <c r="AA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A3345"/>
  <c r="AB3345"/>
  <c r="AC3345"/>
  <c r="AD3345"/>
  <c r="P3346"/>
  <c r="T3346"/>
  <c r="U3346"/>
  <c r="V3346"/>
  <c r="W3346"/>
  <c r="Y3346"/>
  <c r="AA3346"/>
  <c r="AB3346"/>
  <c r="AC3346"/>
  <c r="AD3346"/>
  <c r="P3347"/>
  <c r="T3347"/>
  <c r="U3347"/>
  <c r="V3347"/>
  <c r="W3347"/>
  <c r="Y3347"/>
  <c r="AA3347"/>
  <c r="AB3347"/>
  <c r="AC3347"/>
  <c r="AD3347"/>
  <c r="P3348"/>
  <c r="T3348"/>
  <c r="U3348"/>
  <c r="V3348"/>
  <c r="W3348"/>
  <c r="Y3348"/>
  <c r="AA3348"/>
  <c r="AB3348"/>
  <c r="AC3348"/>
  <c r="AD3348"/>
  <c r="P3349"/>
  <c r="T3349"/>
  <c r="U3349"/>
  <c r="V3349"/>
  <c r="W3349"/>
  <c r="Y3349"/>
  <c r="AA3349"/>
  <c r="AB3349"/>
  <c r="AC3349"/>
  <c r="AD3349"/>
  <c r="P3350"/>
  <c r="T3350"/>
  <c r="U3350"/>
  <c r="V3350"/>
  <c r="W3350"/>
  <c r="Y3350"/>
  <c r="AA3350"/>
  <c r="AB3350"/>
  <c r="AC3350"/>
  <c r="AD3350"/>
  <c r="P3351"/>
  <c r="T3351"/>
  <c r="U3351"/>
  <c r="V3351"/>
  <c r="W3351"/>
  <c r="Y3351"/>
  <c r="AA3351"/>
  <c r="AB3351"/>
  <c r="AC3351"/>
  <c r="AD3351"/>
  <c r="P3352"/>
  <c r="T3352"/>
  <c r="U3352"/>
  <c r="V3352"/>
  <c r="W3352"/>
  <c r="Y3352"/>
  <c r="AA3352"/>
  <c r="AB3352"/>
  <c r="AC3352"/>
  <c r="AD3352"/>
  <c r="P3353"/>
  <c r="T3353"/>
  <c r="U3353"/>
  <c r="V3353"/>
  <c r="W3353"/>
  <c r="Y3353"/>
  <c r="AA3353"/>
  <c r="AB3353"/>
  <c r="AC3353"/>
  <c r="AD3353"/>
  <c r="P3354"/>
  <c r="T3354"/>
  <c r="U3354"/>
  <c r="V3354"/>
  <c r="W3354"/>
  <c r="Y3354"/>
  <c r="AA3354"/>
  <c r="AB3354"/>
  <c r="AC3354"/>
  <c r="AD3354"/>
  <c r="P3355"/>
  <c r="T3355"/>
  <c r="U3355"/>
  <c r="V3355"/>
  <c r="W3355"/>
  <c r="Y3355"/>
  <c r="AA3355"/>
  <c r="AB3355"/>
  <c r="AC3355"/>
  <c r="AD3355"/>
  <c r="P3356"/>
  <c r="T3356"/>
  <c r="U3356"/>
  <c r="V3356"/>
  <c r="W3356"/>
  <c r="Y3356"/>
  <c r="AA3356"/>
  <c r="AB3356"/>
  <c r="AC3356"/>
  <c r="AD3356"/>
  <c r="P3357"/>
  <c r="T3357"/>
  <c r="U3357"/>
  <c r="V3357"/>
  <c r="W3357"/>
  <c r="Y3357"/>
  <c r="AA3357"/>
  <c r="AB3357"/>
  <c r="AC3357"/>
  <c r="AD3357"/>
  <c r="P3358"/>
  <c r="T3358"/>
  <c r="U3358"/>
  <c r="V3358"/>
  <c r="W3358"/>
  <c r="Y3358"/>
  <c r="AA3358"/>
  <c r="AB3358"/>
  <c r="AC3358"/>
  <c r="AD3358"/>
  <c r="P3359"/>
  <c r="T3359"/>
  <c r="U3359"/>
  <c r="V3359"/>
  <c r="W3359"/>
  <c r="Y3359"/>
  <c r="AA3359"/>
  <c r="AB3359"/>
  <c r="AC3359"/>
  <c r="AD3359"/>
  <c r="P3360"/>
  <c r="T3360"/>
  <c r="U3360"/>
  <c r="V3360"/>
  <c r="W3360"/>
  <c r="Y3360"/>
  <c r="AA3360"/>
  <c r="AB3360"/>
  <c r="AC3360"/>
  <c r="AD3360"/>
  <c r="P3361"/>
  <c r="T3361"/>
  <c r="U3361"/>
  <c r="V3361"/>
  <c r="W3361"/>
  <c r="Y3361"/>
  <c r="AA3361"/>
  <c r="AB3361"/>
  <c r="AC3361"/>
  <c r="AD3361"/>
  <c r="P3362"/>
  <c r="T3362"/>
  <c r="U3362"/>
  <c r="V3362"/>
  <c r="W3362"/>
  <c r="Y3362"/>
  <c r="AA3362"/>
  <c r="AB3362"/>
  <c r="AC3362"/>
  <c r="AD3362"/>
  <c r="P3363"/>
  <c r="T3363"/>
  <c r="U3363"/>
  <c r="V3363"/>
  <c r="W3363"/>
  <c r="Y3363"/>
  <c r="AA3363"/>
  <c r="AB3363"/>
  <c r="AC3363"/>
  <c r="AD3363"/>
  <c r="P3364"/>
  <c r="T3364"/>
  <c r="U3364"/>
  <c r="V3364"/>
  <c r="W3364"/>
  <c r="Y3364"/>
  <c r="AA3364"/>
  <c r="AB3364"/>
  <c r="AC3364"/>
  <c r="AD3364"/>
  <c r="P3365"/>
  <c r="T3365"/>
  <c r="U3365"/>
  <c r="V3365"/>
  <c r="W3365"/>
  <c r="Y3365"/>
  <c r="AA3365"/>
  <c r="AB3365"/>
  <c r="AC3365"/>
  <c r="AD3365"/>
  <c r="P3366"/>
  <c r="T3366"/>
  <c r="U3366"/>
  <c r="V3366"/>
  <c r="W3366"/>
  <c r="Y3366"/>
  <c r="AA3366"/>
  <c r="AB3366"/>
  <c r="AC3366"/>
  <c r="AD3366"/>
  <c r="P3367"/>
  <c r="T3367"/>
  <c r="U3367"/>
  <c r="V3367"/>
  <c r="W3367"/>
  <c r="Y3367"/>
  <c r="AA3367"/>
  <c r="AB3367"/>
  <c r="AC3367"/>
  <c r="AD3367"/>
  <c r="P3368"/>
  <c r="T3368"/>
  <c r="U3368"/>
  <c r="V3368"/>
  <c r="W3368"/>
  <c r="Y3368"/>
  <c r="AA3368"/>
  <c r="AB3368"/>
  <c r="AC3368"/>
  <c r="AD3368"/>
  <c r="P3369"/>
  <c r="T3369"/>
  <c r="U3369"/>
  <c r="V3369"/>
  <c r="W3369"/>
  <c r="Y3369"/>
  <c r="AA3369"/>
  <c r="AB3369"/>
  <c r="AC3369"/>
  <c r="AD3369"/>
  <c r="P3370"/>
  <c r="T3370"/>
  <c r="U3370"/>
  <c r="V3370"/>
  <c r="W3370"/>
  <c r="Y3370"/>
  <c r="AA3370"/>
  <c r="AB3370"/>
  <c r="AC3370"/>
  <c r="AD3370"/>
  <c r="P3371"/>
  <c r="T3371"/>
  <c r="U3371"/>
  <c r="V3371"/>
  <c r="W3371"/>
  <c r="Y3371"/>
  <c r="AA3371"/>
  <c r="AB3371"/>
  <c r="AC3371"/>
  <c r="AD3371"/>
  <c r="P3372"/>
  <c r="T3372"/>
  <c r="U3372"/>
  <c r="V3372"/>
  <c r="W3372"/>
  <c r="Y3372"/>
  <c r="AA3372"/>
  <c r="AB3372"/>
  <c r="AC3372"/>
  <c r="AD3372"/>
  <c r="P3373"/>
  <c r="T3373"/>
  <c r="U3373"/>
  <c r="V3373"/>
  <c r="W3373"/>
  <c r="Y3373"/>
  <c r="AA3373"/>
  <c r="AB3373"/>
  <c r="AC3373"/>
  <c r="AD3373"/>
  <c r="P3374"/>
  <c r="T3374"/>
  <c r="U3374"/>
  <c r="V3374"/>
  <c r="W3374"/>
  <c r="Y3374"/>
  <c r="AA3374"/>
  <c r="AB3374"/>
  <c r="AC3374"/>
  <c r="AD3374"/>
  <c r="P3375"/>
  <c r="T3375"/>
  <c r="U3375"/>
  <c r="V3375"/>
  <c r="W3375"/>
  <c r="Y3375"/>
  <c r="AA3375"/>
  <c r="AB3375"/>
  <c r="AC3375"/>
  <c r="AD3375"/>
  <c r="P3376"/>
  <c r="T3376"/>
  <c r="U3376"/>
  <c r="V3376"/>
  <c r="W3376"/>
  <c r="Y3376"/>
  <c r="AA3376"/>
  <c r="AB3376"/>
  <c r="AC3376"/>
  <c r="AD3376"/>
  <c r="P3377"/>
  <c r="T3377"/>
  <c r="U3377"/>
  <c r="V3377"/>
  <c r="W3377"/>
  <c r="Y3377"/>
  <c r="AA3377"/>
  <c r="AB3377"/>
  <c r="AC3377"/>
  <c r="AD3377"/>
  <c r="P3378"/>
  <c r="T3378"/>
  <c r="U3378"/>
  <c r="V3378"/>
  <c r="W3378"/>
  <c r="Y3378"/>
  <c r="AA3378"/>
  <c r="AB3378"/>
  <c r="AC3378"/>
  <c r="AD3378"/>
  <c r="P3379"/>
  <c r="T3379"/>
  <c r="U3379"/>
  <c r="V3379"/>
  <c r="W3379"/>
  <c r="Y3379"/>
  <c r="AA3379"/>
  <c r="AB3379"/>
  <c r="AC3379"/>
  <c r="AD3379"/>
  <c r="P3380"/>
  <c r="T3380"/>
  <c r="U3380"/>
  <c r="V3380"/>
  <c r="W3380"/>
  <c r="Y3380"/>
  <c r="AA3380"/>
  <c r="AB3380"/>
  <c r="AC3380"/>
  <c r="AD3380"/>
  <c r="P3381"/>
  <c r="T3381"/>
  <c r="U3381"/>
  <c r="V3381"/>
  <c r="W3381"/>
  <c r="Y3381"/>
  <c r="AA3381"/>
  <c r="AB3381"/>
  <c r="AC3381"/>
  <c r="AD3381"/>
  <c r="P3382"/>
  <c r="T3382"/>
  <c r="U3382"/>
  <c r="V3382"/>
  <c r="W3382"/>
  <c r="Y3382"/>
  <c r="AA3382"/>
  <c r="AB3382"/>
  <c r="AC3382"/>
  <c r="AD3382"/>
  <c r="P3383"/>
  <c r="T3383"/>
  <c r="U3383"/>
  <c r="V3383"/>
  <c r="W3383"/>
  <c r="Y3383"/>
  <c r="AA3383"/>
  <c r="AB3383"/>
  <c r="AC3383"/>
  <c r="AD3383"/>
  <c r="P3384"/>
  <c r="T3384"/>
  <c r="U3384"/>
  <c r="V3384"/>
  <c r="W3384"/>
  <c r="Y3384"/>
  <c r="AA3384"/>
  <c r="AB3384"/>
  <c r="AC3384"/>
  <c r="AD3384"/>
  <c r="P3385"/>
  <c r="T3385"/>
  <c r="U3385"/>
  <c r="V3385"/>
  <c r="W3385"/>
  <c r="Y3385"/>
  <c r="AA3385"/>
  <c r="AB3385"/>
  <c r="AC3385"/>
  <c r="AD3385"/>
  <c r="P3386"/>
  <c r="T3386"/>
  <c r="U3386"/>
  <c r="V3386"/>
  <c r="W3386"/>
  <c r="Y3386"/>
  <c r="AA3386"/>
  <c r="AB3386"/>
  <c r="AC3386"/>
  <c r="AD3386"/>
  <c r="P3387"/>
  <c r="T3387"/>
  <c r="U3387"/>
  <c r="V3387"/>
  <c r="W3387"/>
  <c r="Y3387"/>
  <c r="AA3387"/>
  <c r="AB3387"/>
  <c r="AC3387"/>
  <c r="AD3387"/>
  <c r="P3388"/>
  <c r="T3388"/>
  <c r="U3388"/>
  <c r="V3388"/>
  <c r="W3388"/>
  <c r="Y3388"/>
  <c r="AA3388"/>
  <c r="AB3388"/>
  <c r="AC3388"/>
  <c r="AD3388"/>
  <c r="P3389"/>
  <c r="T3389"/>
  <c r="U3389"/>
  <c r="V3389"/>
  <c r="W3389"/>
  <c r="Y3389"/>
  <c r="AA3389"/>
  <c r="AB3389"/>
  <c r="AC3389"/>
  <c r="AD3389"/>
  <c r="P3390"/>
  <c r="T3390"/>
  <c r="U3390"/>
  <c r="V3390"/>
  <c r="W3390"/>
  <c r="Y3390"/>
  <c r="AA3390"/>
  <c r="AB3390"/>
  <c r="AC3390"/>
  <c r="AD3390"/>
  <c r="P3391"/>
  <c r="T3391"/>
  <c r="U3391"/>
  <c r="V3391"/>
  <c r="W3391"/>
  <c r="Y3391"/>
  <c r="AA3391"/>
  <c r="AB3391"/>
  <c r="AC3391"/>
  <c r="AD3391"/>
  <c r="P3392"/>
  <c r="T3392"/>
  <c r="U3392"/>
  <c r="V3392"/>
  <c r="W3392"/>
  <c r="Y3392"/>
  <c r="AA3392"/>
  <c r="AB3392"/>
  <c r="AC3392"/>
  <c r="AD3392"/>
  <c r="P3393"/>
  <c r="T3393"/>
  <c r="U3393"/>
  <c r="V3393"/>
  <c r="W3393"/>
  <c r="Y3393"/>
  <c r="AA3393"/>
  <c r="AB3393"/>
  <c r="AC3393"/>
  <c r="AD3393"/>
  <c r="P3394"/>
  <c r="T3394"/>
  <c r="U3394"/>
  <c r="V3394"/>
  <c r="W3394"/>
  <c r="Y3394"/>
  <c r="AA3394"/>
  <c r="AB3394"/>
  <c r="AC3394"/>
  <c r="AD3394"/>
  <c r="P3395"/>
  <c r="T3395"/>
  <c r="U3395"/>
  <c r="V3395"/>
  <c r="W3395"/>
  <c r="Y3395"/>
  <c r="AA3395"/>
  <c r="AB3395"/>
  <c r="AC3395"/>
  <c r="AD3395"/>
  <c r="P3396"/>
  <c r="T3396"/>
  <c r="U3396"/>
  <c r="V3396"/>
  <c r="W3396"/>
  <c r="Y3396"/>
  <c r="AA3396"/>
  <c r="AB3396"/>
  <c r="AC3396"/>
  <c r="AD3396"/>
  <c r="P3397"/>
  <c r="T3397"/>
  <c r="U3397"/>
  <c r="V3397"/>
  <c r="W3397"/>
  <c r="Y3397"/>
  <c r="AA3397"/>
  <c r="AB3397"/>
  <c r="AC3397"/>
  <c r="AD3397"/>
  <c r="P3398"/>
  <c r="T3398"/>
  <c r="U3398"/>
  <c r="V3398"/>
  <c r="W3398"/>
  <c r="Y3398"/>
  <c r="AA3398"/>
  <c r="AB3398"/>
  <c r="AC3398"/>
  <c r="AD3398"/>
  <c r="P3399"/>
  <c r="T3399"/>
  <c r="U3399"/>
  <c r="V3399"/>
  <c r="W3399"/>
  <c r="Y3399"/>
  <c r="AA3399"/>
  <c r="AB3399"/>
  <c r="AC3399"/>
  <c r="AD3399"/>
  <c r="P3400"/>
  <c r="T3400"/>
  <c r="U3400"/>
  <c r="V3400"/>
  <c r="W3400"/>
  <c r="Y3400"/>
  <c r="AA3400"/>
  <c r="AB3400"/>
  <c r="AC3400"/>
  <c r="AD3400"/>
  <c r="P3401"/>
  <c r="T3401"/>
  <c r="U3401"/>
  <c r="V3401"/>
  <c r="W3401"/>
  <c r="Y3401"/>
  <c r="AA3401"/>
  <c r="AB3401"/>
  <c r="AC3401"/>
  <c r="AD3401"/>
  <c r="P3402"/>
  <c r="T3402"/>
  <c r="U3402"/>
  <c r="V3402"/>
  <c r="W3402"/>
  <c r="Y3402"/>
  <c r="AA3402"/>
  <c r="AB3402"/>
  <c r="AC3402"/>
  <c r="AD3402"/>
  <c r="P3403"/>
  <c r="T3403"/>
  <c r="U3403"/>
  <c r="V3403"/>
  <c r="W3403"/>
  <c r="Y3403"/>
  <c r="AA3403"/>
  <c r="AB3403"/>
  <c r="AC3403"/>
  <c r="AD3403"/>
  <c r="P3404"/>
  <c r="T3404"/>
  <c r="U3404"/>
  <c r="V3404"/>
  <c r="W3404"/>
  <c r="Y3404"/>
  <c r="AA3404"/>
  <c r="AB3404"/>
  <c r="AC3404"/>
  <c r="AD3404"/>
  <c r="P3405"/>
  <c r="T3405"/>
  <c r="U3405"/>
  <c r="V3405"/>
  <c r="W3405"/>
  <c r="Y3405"/>
  <c r="AA3405"/>
  <c r="AB3405"/>
  <c r="AC3405"/>
  <c r="AD3405"/>
  <c r="P3406"/>
  <c r="T3406"/>
  <c r="U3406"/>
  <c r="V3406"/>
  <c r="W3406"/>
  <c r="Y3406"/>
  <c r="AA3406"/>
  <c r="AB3406"/>
  <c r="AC3406"/>
  <c r="AD3406"/>
  <c r="P3407"/>
  <c r="T3407"/>
  <c r="U3407"/>
  <c r="V3407"/>
  <c r="W3407"/>
  <c r="Y3407"/>
  <c r="AA3407"/>
  <c r="AB3407"/>
  <c r="AC3407"/>
  <c r="AD3407"/>
  <c r="P3408"/>
  <c r="T3408"/>
  <c r="U3408"/>
  <c r="V3408"/>
  <c r="W3408"/>
  <c r="Y3408"/>
  <c r="AA3408"/>
  <c r="AB3408"/>
  <c r="AC3408"/>
  <c r="AD3408"/>
  <c r="P3409"/>
  <c r="T3409"/>
  <c r="U3409"/>
  <c r="V3409"/>
  <c r="W3409"/>
  <c r="Y3409"/>
  <c r="AA3409"/>
  <c r="AB3409"/>
  <c r="AC3409"/>
  <c r="AD3409"/>
  <c r="P3410"/>
  <c r="T3410"/>
  <c r="U3410"/>
  <c r="V3410"/>
  <c r="W3410"/>
  <c r="Y3410"/>
  <c r="AA3410"/>
  <c r="AB3410"/>
  <c r="AC3410"/>
  <c r="AD3410"/>
  <c r="P3411"/>
  <c r="T3411"/>
  <c r="U3411"/>
  <c r="V3411"/>
  <c r="W3411"/>
  <c r="Y3411"/>
  <c r="AA3411"/>
  <c r="AB3411"/>
  <c r="AC3411"/>
  <c r="AD3411"/>
  <c r="P3412"/>
  <c r="T3412"/>
  <c r="U3412"/>
  <c r="V3412"/>
  <c r="W3412"/>
  <c r="Y3412"/>
  <c r="AA3412"/>
  <c r="AB3412"/>
  <c r="AC3412"/>
  <c r="AD3412"/>
  <c r="P3413"/>
  <c r="T3413"/>
  <c r="U3413"/>
  <c r="V3413"/>
  <c r="W3413"/>
  <c r="Y3413"/>
  <c r="AA3413"/>
  <c r="AB3413"/>
  <c r="AC3413"/>
  <c r="AD3413"/>
  <c r="P3414"/>
  <c r="T3414"/>
  <c r="U3414"/>
  <c r="V3414"/>
  <c r="W3414"/>
  <c r="Y3414"/>
  <c r="AA3414"/>
  <c r="AB3414"/>
  <c r="AC3414"/>
  <c r="AD3414"/>
  <c r="P3415"/>
  <c r="T3415"/>
  <c r="U3415"/>
  <c r="V3415"/>
  <c r="W3415"/>
  <c r="Y3415"/>
  <c r="AA3415"/>
  <c r="AB3415"/>
  <c r="AC3415"/>
  <c r="AD3415"/>
  <c r="P3416"/>
  <c r="T3416"/>
  <c r="U3416"/>
  <c r="V3416"/>
  <c r="W3416"/>
  <c r="Y3416"/>
  <c r="AA3416"/>
  <c r="AB3416"/>
  <c r="AC3416"/>
  <c r="AD3416"/>
  <c r="P3417"/>
  <c r="T3417"/>
  <c r="U3417"/>
  <c r="V3417"/>
  <c r="W3417"/>
  <c r="Y3417"/>
  <c r="AA3417"/>
  <c r="AB3417"/>
  <c r="AC3417"/>
  <c r="AD3417"/>
  <c r="P3418"/>
  <c r="T3418"/>
  <c r="U3418"/>
  <c r="V3418"/>
  <c r="W3418"/>
  <c r="Y3418"/>
  <c r="AA3418"/>
  <c r="AB3418"/>
  <c r="AC3418"/>
  <c r="AD3418"/>
  <c r="P3419"/>
  <c r="T3419"/>
  <c r="U3419"/>
  <c r="V3419"/>
  <c r="W3419"/>
  <c r="Y3419"/>
  <c r="AA3419"/>
  <c r="AB3419"/>
  <c r="AC3419"/>
  <c r="AD3419"/>
  <c r="P3420"/>
  <c r="T3420"/>
  <c r="U3420"/>
  <c r="V3420"/>
  <c r="W3420"/>
  <c r="Y3420"/>
  <c r="AA3420"/>
  <c r="AB3420"/>
  <c r="AC3420"/>
  <c r="AD3420"/>
  <c r="P3421"/>
  <c r="T3421"/>
  <c r="U3421"/>
  <c r="V3421"/>
  <c r="W3421"/>
  <c r="Y3421"/>
  <c r="AA3421"/>
  <c r="AB3421"/>
  <c r="AC3421"/>
  <c r="AD3421"/>
  <c r="P3422"/>
  <c r="T3422"/>
  <c r="U3422"/>
  <c r="V3422"/>
  <c r="W3422"/>
  <c r="Y3422"/>
  <c r="AA3422"/>
  <c r="AB3422"/>
  <c r="AC3422"/>
  <c r="AD3422"/>
  <c r="P3423"/>
  <c r="T3423"/>
  <c r="U3423"/>
  <c r="V3423"/>
  <c r="W3423"/>
  <c r="Y3423"/>
  <c r="AA3423"/>
  <c r="AB3423"/>
  <c r="AC3423"/>
  <c r="AD3423"/>
  <c r="P3424"/>
  <c r="T3424"/>
  <c r="U3424"/>
  <c r="V3424"/>
  <c r="W3424"/>
  <c r="Y3424"/>
  <c r="AA3424"/>
  <c r="AB3424"/>
  <c r="AC3424"/>
  <c r="AD3424"/>
  <c r="P3425"/>
  <c r="T3425"/>
  <c r="U3425"/>
  <c r="V3425"/>
  <c r="W3425"/>
  <c r="Y3425"/>
  <c r="AA3425"/>
  <c r="AB3425"/>
  <c r="AC3425"/>
  <c r="AD3425"/>
  <c r="P3426"/>
  <c r="T3426"/>
  <c r="U3426"/>
  <c r="V3426"/>
  <c r="W3426"/>
  <c r="Y3426"/>
  <c r="AA3426"/>
  <c r="AB3426"/>
  <c r="AC3426"/>
  <c r="AD3426"/>
  <c r="P3427"/>
  <c r="T3427"/>
  <c r="U3427"/>
  <c r="V3427"/>
  <c r="W3427"/>
  <c r="Y3427"/>
  <c r="AA3427"/>
  <c r="AB3427"/>
  <c r="AC3427"/>
  <c r="AD3427"/>
  <c r="P3428"/>
  <c r="T3428"/>
  <c r="U3428"/>
  <c r="V3428"/>
  <c r="W3428"/>
  <c r="Y3428"/>
  <c r="AA3428"/>
  <c r="AB3428"/>
  <c r="AC3428"/>
  <c r="AD3428"/>
  <c r="P3429"/>
  <c r="T3429"/>
  <c r="U3429"/>
  <c r="V3429"/>
  <c r="W3429"/>
  <c r="Y3429"/>
  <c r="AA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A3433"/>
  <c r="AB3433"/>
  <c r="AC3433"/>
  <c r="AD3433"/>
  <c r="P3434"/>
  <c r="T3434"/>
  <c r="U3434"/>
  <c r="V3434"/>
  <c r="W3434"/>
  <c r="Y3434"/>
  <c r="AA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A3441"/>
  <c r="AB3441"/>
  <c r="AC3441"/>
  <c r="AD3441"/>
  <c r="P3442"/>
  <c r="T3442"/>
  <c r="U3442"/>
  <c r="V3442"/>
  <c r="W3442"/>
  <c r="Y3442"/>
  <c r="AA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A3447"/>
  <c r="AB3447"/>
  <c r="AC3447"/>
  <c r="AD3447"/>
  <c r="P3448"/>
  <c r="T3448"/>
  <c r="U3448"/>
  <c r="V3448"/>
  <c r="W3448"/>
  <c r="Y3448"/>
  <c r="AA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A3453"/>
  <c r="AB3453"/>
  <c r="AC3453"/>
  <c r="AD3453"/>
  <c r="P3454"/>
  <c r="T3454"/>
  <c r="U3454"/>
  <c r="V3454"/>
  <c r="W3454"/>
  <c r="Y3454"/>
  <c r="AA3454"/>
  <c r="AB3454"/>
  <c r="AC3454"/>
  <c r="AD3454"/>
  <c r="P3455"/>
  <c r="T3455"/>
  <c r="U3455"/>
  <c r="V3455"/>
  <c r="W3455"/>
  <c r="Y3455"/>
  <c r="AA3455"/>
  <c r="AB3455"/>
  <c r="AC3455"/>
  <c r="AD3455"/>
  <c r="P3456"/>
  <c r="T3456"/>
  <c r="U3456"/>
  <c r="V3456"/>
  <c r="W3456"/>
  <c r="Y3456"/>
  <c r="AA3456"/>
  <c r="AB3456"/>
  <c r="AC3456"/>
  <c r="AD3456"/>
  <c r="P3457"/>
  <c r="T3457"/>
  <c r="U3457"/>
  <c r="V3457"/>
  <c r="W3457"/>
  <c r="Y3457"/>
  <c r="AA3457"/>
  <c r="AB3457"/>
  <c r="AC3457"/>
  <c r="AD3457"/>
  <c r="P3458"/>
  <c r="T3458"/>
  <c r="U3458"/>
  <c r="V3458"/>
  <c r="W3458"/>
  <c r="Y3458"/>
  <c r="AA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P3462"/>
  <c r="T3462"/>
  <c r="U3462"/>
  <c r="V3462"/>
  <c r="W3462"/>
  <c r="Y3462"/>
  <c r="AA3462"/>
  <c r="AB3462"/>
  <c r="AC3462"/>
  <c r="AD3462"/>
  <c r="P3463"/>
  <c r="T3463"/>
  <c r="U3463"/>
  <c r="V3463"/>
  <c r="W3463"/>
  <c r="Y3463"/>
  <c r="AA3463"/>
  <c r="AB3463"/>
  <c r="AC3463"/>
  <c r="AD3463"/>
  <c r="P3464"/>
  <c r="T3464"/>
  <c r="U3464"/>
  <c r="V3464"/>
  <c r="W3464"/>
  <c r="Y3464"/>
  <c r="AA3464"/>
  <c r="AB3464"/>
  <c r="AC3464"/>
  <c r="AD3464"/>
  <c r="P3465"/>
  <c r="T3465"/>
  <c r="U3465"/>
  <c r="V3465"/>
  <c r="W3465"/>
  <c r="Y3465"/>
  <c r="AA3465"/>
  <c r="AB3465"/>
  <c r="AC3465"/>
  <c r="AD3465"/>
  <c r="P3466"/>
  <c r="T3466"/>
  <c r="U3466"/>
  <c r="V3466"/>
  <c r="W3466"/>
  <c r="Y3466"/>
  <c r="AA3466"/>
  <c r="AB3466"/>
  <c r="AC3466"/>
  <c r="AD3466"/>
  <c r="P3467"/>
  <c r="T3467"/>
  <c r="U3467"/>
  <c r="V3467"/>
  <c r="W3467"/>
  <c r="Y3467"/>
  <c r="AA3467"/>
  <c r="AB3467"/>
  <c r="AC3467"/>
  <c r="AD3467"/>
  <c r="P3468"/>
  <c r="T3468"/>
  <c r="U3468"/>
  <c r="V3468"/>
  <c r="W3468"/>
  <c r="Y3468"/>
  <c r="AA3468"/>
  <c r="AB3468"/>
  <c r="AC3468"/>
  <c r="AD3468"/>
  <c r="P3469"/>
  <c r="T3469"/>
  <c r="U3469"/>
  <c r="V3469"/>
  <c r="W3469"/>
  <c r="Y3469"/>
  <c r="AA3469"/>
  <c r="AB3469"/>
  <c r="AC3469"/>
  <c r="AD3469"/>
  <c r="P3470"/>
  <c r="T3470"/>
  <c r="U3470"/>
  <c r="V3470"/>
  <c r="W3470"/>
  <c r="Y3470"/>
  <c r="AA3470"/>
  <c r="AB3470"/>
  <c r="AC3470"/>
  <c r="AD3470"/>
  <c r="P3471"/>
  <c r="T3471"/>
  <c r="U3471"/>
  <c r="V3471"/>
  <c r="W3471"/>
  <c r="Y3471"/>
  <c r="AA3471"/>
  <c r="AB3471"/>
  <c r="AC3471"/>
  <c r="AD3471"/>
  <c r="P3472"/>
  <c r="T3472"/>
  <c r="U3472"/>
  <c r="V3472"/>
  <c r="W3472"/>
  <c r="Y3472"/>
  <c r="AA3472"/>
  <c r="AB3472"/>
  <c r="AC3472"/>
  <c r="AD3472"/>
  <c r="P3473"/>
  <c r="T3473"/>
  <c r="U3473"/>
  <c r="V3473"/>
  <c r="W3473"/>
  <c r="Y3473"/>
  <c r="AA3473"/>
  <c r="AB3473"/>
  <c r="AC3473"/>
  <c r="AD3473"/>
  <c r="P3474"/>
  <c r="T3474"/>
  <c r="U3474"/>
  <c r="V3474"/>
  <c r="W3474"/>
  <c r="Y3474"/>
  <c r="AA3474"/>
  <c r="AB3474"/>
  <c r="AC3474"/>
  <c r="AD3474"/>
  <c r="P3475"/>
  <c r="T3475"/>
  <c r="U3475"/>
  <c r="V3475"/>
  <c r="W3475"/>
  <c r="Y3475"/>
  <c r="AA3475"/>
  <c r="AB3475"/>
  <c r="AC3475"/>
  <c r="AD3475"/>
  <c r="P3476"/>
  <c r="T3476"/>
  <c r="U3476"/>
  <c r="V3476"/>
  <c r="W3476"/>
  <c r="Y3476"/>
  <c r="AA3476"/>
  <c r="AB3476"/>
  <c r="AC3476"/>
  <c r="AD3476"/>
  <c r="P3477"/>
  <c r="T3477"/>
  <c r="U3477"/>
  <c r="V3477"/>
  <c r="W3477"/>
  <c r="Y3477"/>
  <c r="AA3477"/>
  <c r="AB3477"/>
  <c r="AC3477"/>
  <c r="AD3477"/>
  <c r="P3478"/>
  <c r="T3478"/>
  <c r="U3478"/>
  <c r="V3478"/>
  <c r="W3478"/>
  <c r="Y3478"/>
  <c r="AA3478"/>
  <c r="AB3478"/>
  <c r="AC3478"/>
  <c r="AD3478"/>
  <c r="P3479"/>
  <c r="T3479"/>
  <c r="U3479"/>
  <c r="V3479"/>
  <c r="W3479"/>
  <c r="Y3479"/>
  <c r="AA3479"/>
  <c r="AB3479"/>
  <c r="AC3479"/>
  <c r="AD3479"/>
  <c r="P3480"/>
  <c r="T3480"/>
  <c r="U3480"/>
  <c r="V3480"/>
  <c r="W3480"/>
  <c r="Y3480"/>
  <c r="AA3480"/>
  <c r="AB3480"/>
  <c r="AC3480"/>
  <c r="AD3480"/>
  <c r="P3481"/>
  <c r="T3481"/>
  <c r="U3481"/>
  <c r="V3481"/>
  <c r="W3481"/>
  <c r="Y3481"/>
  <c r="AA3481"/>
  <c r="AB3481"/>
  <c r="AC3481"/>
  <c r="AD3481"/>
  <c r="P3482"/>
  <c r="T3482"/>
  <c r="U3482"/>
  <c r="V3482"/>
  <c r="W3482"/>
  <c r="Y3482"/>
  <c r="AA3482"/>
  <c r="AB3482"/>
  <c r="AC3482"/>
  <c r="AD3482"/>
  <c r="P3483"/>
  <c r="T3483"/>
  <c r="U3483"/>
  <c r="V3483"/>
  <c r="W3483"/>
  <c r="Y3483"/>
  <c r="AA3483"/>
  <c r="AB3483"/>
  <c r="AC3483"/>
  <c r="AD3483"/>
  <c r="P3484"/>
  <c r="T3484"/>
  <c r="U3484"/>
  <c r="V3484"/>
  <c r="W3484"/>
  <c r="Y3484"/>
  <c r="AA3484"/>
  <c r="AB3484"/>
  <c r="AC3484"/>
  <c r="AD3484"/>
  <c r="P3485"/>
  <c r="T3485"/>
  <c r="U3485"/>
  <c r="V3485"/>
  <c r="W3485"/>
  <c r="Y3485"/>
  <c r="AA3485"/>
  <c r="AB3485"/>
  <c r="AC3485"/>
  <c r="AD3485"/>
  <c r="P3486"/>
  <c r="T3486"/>
  <c r="U3486"/>
  <c r="V3486"/>
  <c r="W3486"/>
  <c r="Y3486"/>
  <c r="AA3486"/>
  <c r="AB3486"/>
  <c r="AC3486"/>
  <c r="AD3486"/>
  <c r="P3487"/>
  <c r="T3487"/>
  <c r="U3487"/>
  <c r="V3487"/>
  <c r="W3487"/>
  <c r="Y3487"/>
  <c r="AA3487"/>
  <c r="AB3487"/>
  <c r="AC3487"/>
  <c r="AD3487"/>
  <c r="P3488"/>
  <c r="T3488"/>
  <c r="U3488"/>
  <c r="V3488"/>
  <c r="W3488"/>
  <c r="Y3488"/>
  <c r="AA3488"/>
  <c r="AB3488"/>
  <c r="AC3488"/>
  <c r="AD3488"/>
  <c r="P3489"/>
  <c r="T3489"/>
  <c r="U3489"/>
  <c r="V3489"/>
  <c r="W3489"/>
  <c r="Y3489"/>
  <c r="AA3489"/>
  <c r="AB3489"/>
  <c r="AC3489"/>
  <c r="AD3489"/>
  <c r="P3490"/>
  <c r="T3490"/>
  <c r="U3490"/>
  <c r="V3490"/>
  <c r="W3490"/>
  <c r="Y3490"/>
  <c r="AA3490"/>
  <c r="AB3490"/>
  <c r="AC3490"/>
  <c r="AD3490"/>
  <c r="P3491"/>
  <c r="T3491"/>
  <c r="U3491"/>
  <c r="V3491"/>
  <c r="W3491"/>
  <c r="Y3491"/>
  <c r="AA3491"/>
  <c r="AB3491"/>
  <c r="AC3491"/>
  <c r="AD3491"/>
  <c r="P3492"/>
  <c r="T3492"/>
  <c r="U3492"/>
  <c r="V3492"/>
  <c r="W3492"/>
  <c r="Y3492"/>
  <c r="AA3492"/>
  <c r="AB3492"/>
  <c r="AC3492"/>
  <c r="AD3492"/>
  <c r="P3493"/>
  <c r="T3493"/>
  <c r="U3493"/>
  <c r="V3493"/>
  <c r="W3493"/>
  <c r="Y3493"/>
  <c r="AA3493"/>
  <c r="AB3493"/>
  <c r="AC3493"/>
  <c r="AD3493"/>
  <c r="P3494"/>
  <c r="T3494"/>
  <c r="U3494"/>
  <c r="V3494"/>
  <c r="W3494"/>
  <c r="Y3494"/>
  <c r="AA3494"/>
  <c r="AB3494"/>
  <c r="AC3494"/>
  <c r="AD3494"/>
  <c r="P3495"/>
  <c r="T3495"/>
  <c r="U3495"/>
  <c r="V3495"/>
  <c r="W3495"/>
  <c r="Y3495"/>
  <c r="AA3495"/>
  <c r="AB3495"/>
  <c r="AC3495"/>
  <c r="AD3495"/>
  <c r="P3496"/>
  <c r="T3496"/>
  <c r="U3496"/>
  <c r="V3496"/>
  <c r="W3496"/>
  <c r="Y3496"/>
  <c r="AA3496"/>
  <c r="AB3496"/>
  <c r="AC3496"/>
  <c r="AD3496"/>
  <c r="P3497"/>
  <c r="T3497"/>
  <c r="U3497"/>
  <c r="V3497"/>
  <c r="W3497"/>
  <c r="Y3497"/>
  <c r="AA3497"/>
  <c r="AB3497"/>
  <c r="AC3497"/>
  <c r="AD3497"/>
  <c r="P3498"/>
  <c r="T3498"/>
  <c r="U3498"/>
  <c r="V3498"/>
  <c r="W3498"/>
  <c r="Y3498"/>
  <c r="AA3498"/>
  <c r="AB3498"/>
  <c r="AC3498"/>
  <c r="AD3498"/>
  <c r="P3499"/>
  <c r="T3499"/>
  <c r="U3499"/>
  <c r="V3499"/>
  <c r="W3499"/>
  <c r="Y3499"/>
  <c r="AA3499"/>
  <c r="AB3499"/>
  <c r="AC3499"/>
  <c r="AD3499"/>
  <c r="P3500"/>
  <c r="T3500"/>
  <c r="U3500"/>
  <c r="V3500"/>
  <c r="W3500"/>
  <c r="Y3500"/>
  <c r="AA3500"/>
  <c r="AB3500"/>
  <c r="AC3500"/>
  <c r="AD3500"/>
  <c r="P3501"/>
  <c r="T3501"/>
  <c r="U3501"/>
  <c r="V3501"/>
  <c r="W3501"/>
  <c r="Y3501"/>
  <c r="AA3501"/>
  <c r="AB3501"/>
  <c r="AC3501"/>
  <c r="AD3501"/>
  <c r="P3502"/>
  <c r="T3502"/>
  <c r="U3502"/>
  <c r="V3502"/>
  <c r="W3502"/>
  <c r="Y3502"/>
  <c r="AA3502"/>
  <c r="AB3502"/>
  <c r="AC3502"/>
  <c r="AD3502"/>
  <c r="P3503"/>
  <c r="T3503"/>
  <c r="U3503"/>
  <c r="V3503"/>
  <c r="W3503"/>
  <c r="Y3503"/>
  <c r="AA3503"/>
  <c r="AB3503"/>
  <c r="AC3503"/>
  <c r="AD3503"/>
  <c r="P3504"/>
  <c r="T3504"/>
  <c r="U3504"/>
  <c r="V3504"/>
  <c r="W3504"/>
  <c r="Y3504"/>
  <c r="AA3504"/>
  <c r="AB3504"/>
  <c r="AC3504"/>
  <c r="AD3504"/>
  <c r="P3505"/>
  <c r="T3505"/>
  <c r="U3505"/>
  <c r="V3505"/>
  <c r="W3505"/>
  <c r="Y3505"/>
  <c r="AA3505"/>
  <c r="AB3505"/>
  <c r="AC3505"/>
  <c r="AD3505"/>
  <c r="P3506"/>
  <c r="T3506"/>
  <c r="U3506"/>
  <c r="V3506"/>
  <c r="W3506"/>
  <c r="Y3506"/>
  <c r="AA3506"/>
  <c r="AB3506"/>
  <c r="AC3506"/>
  <c r="AD3506"/>
  <c r="P3507"/>
  <c r="T3507"/>
  <c r="U3507"/>
  <c r="V3507"/>
  <c r="W3507"/>
  <c r="Y3507"/>
  <c r="AA3507"/>
  <c r="AB3507"/>
  <c r="AC3507"/>
  <c r="AD3507"/>
  <c r="P3508"/>
  <c r="T3508"/>
  <c r="U3508"/>
  <c r="V3508"/>
  <c r="W3508"/>
  <c r="Y3508"/>
  <c r="AA3508"/>
  <c r="AB3508"/>
  <c r="AC3508"/>
  <c r="AD3508"/>
  <c r="P3509"/>
  <c r="T3509"/>
  <c r="U3509"/>
  <c r="V3509"/>
  <c r="W3509"/>
  <c r="Y3509"/>
  <c r="AA3509"/>
  <c r="AB3509"/>
  <c r="AC3509"/>
  <c r="AD3509"/>
  <c r="P3510"/>
  <c r="T3510"/>
  <c r="U3510"/>
  <c r="V3510"/>
  <c r="W3510"/>
  <c r="Y3510"/>
  <c r="AA3510"/>
  <c r="AB3510"/>
  <c r="AC3510"/>
  <c r="AD3510"/>
  <c r="P3511"/>
  <c r="T3511"/>
  <c r="U3511"/>
  <c r="V3511"/>
  <c r="W3511"/>
  <c r="Y3511"/>
  <c r="AA3511"/>
  <c r="AB3511"/>
  <c r="AC3511"/>
  <c r="AD3511"/>
  <c r="P3512"/>
  <c r="T3512"/>
  <c r="U3512"/>
  <c r="V3512"/>
  <c r="W3512"/>
  <c r="Y3512"/>
  <c r="AA3512"/>
  <c r="AB3512"/>
  <c r="AC3512"/>
  <c r="AD3512"/>
  <c r="P3513"/>
  <c r="T3513"/>
  <c r="U3513"/>
  <c r="V3513"/>
  <c r="W3513"/>
  <c r="Y3513"/>
  <c r="AA3513"/>
  <c r="AB3513"/>
  <c r="AC3513"/>
  <c r="AD3513"/>
  <c r="P3514"/>
  <c r="T3514"/>
  <c r="U3514"/>
  <c r="V3514"/>
  <c r="W3514"/>
  <c r="Y3514"/>
  <c r="AA3514"/>
  <c r="AB3514"/>
  <c r="AC3514"/>
  <c r="AD3514"/>
  <c r="P3515"/>
  <c r="T3515"/>
  <c r="U3515"/>
  <c r="V3515"/>
  <c r="W3515"/>
  <c r="Y3515"/>
  <c r="AA3515"/>
  <c r="AB3515"/>
  <c r="AC3515"/>
  <c r="AD3515"/>
  <c r="P3516"/>
  <c r="T3516"/>
  <c r="U3516"/>
  <c r="V3516"/>
  <c r="W3516"/>
  <c r="Y3516"/>
  <c r="AA3516"/>
  <c r="AB3516"/>
  <c r="AC3516"/>
  <c r="AD3516"/>
  <c r="P3517"/>
  <c r="T3517"/>
  <c r="U3517"/>
  <c r="V3517"/>
  <c r="W3517"/>
  <c r="Y3517"/>
  <c r="AA3517"/>
  <c r="AB3517"/>
  <c r="AC3517"/>
  <c r="AD3517"/>
  <c r="P3518"/>
  <c r="T3518"/>
  <c r="U3518"/>
  <c r="V3518"/>
  <c r="W3518"/>
  <c r="Y3518"/>
  <c r="AA3518"/>
  <c r="AB3518"/>
  <c r="AC3518"/>
  <c r="AD3518"/>
  <c r="P3519"/>
  <c r="T3519"/>
  <c r="U3519"/>
  <c r="V3519"/>
  <c r="W3519"/>
  <c r="Y3519"/>
  <c r="AA3519"/>
  <c r="AB3519"/>
  <c r="AC3519"/>
  <c r="AD3519"/>
  <c r="P3520"/>
  <c r="T3520"/>
  <c r="U3520"/>
  <c r="V3520"/>
  <c r="W3520"/>
  <c r="Y3520"/>
  <c r="AA3520"/>
  <c r="AB3520"/>
  <c r="AC3520"/>
  <c r="AD3520"/>
  <c r="P3521"/>
  <c r="T3521"/>
  <c r="U3521"/>
  <c r="V3521"/>
  <c r="W3521"/>
  <c r="Y3521"/>
  <c r="AA3521"/>
  <c r="AB3521"/>
  <c r="AC3521"/>
  <c r="AD3521"/>
  <c r="P3522"/>
  <c r="T3522"/>
  <c r="U3522"/>
  <c r="V3522"/>
  <c r="W3522"/>
  <c r="Y3522"/>
  <c r="AA3522"/>
  <c r="AB3522"/>
  <c r="AC3522"/>
  <c r="AD3522"/>
  <c r="P3523"/>
  <c r="T3523"/>
  <c r="U3523"/>
  <c r="V3523"/>
  <c r="W3523"/>
  <c r="Y3523"/>
  <c r="AA3523"/>
  <c r="AB3523"/>
  <c r="AC3523"/>
  <c r="AD3523"/>
  <c r="P3524"/>
  <c r="T3524"/>
  <c r="U3524"/>
  <c r="V3524"/>
  <c r="W3524"/>
  <c r="Y3524"/>
  <c r="AA3524"/>
  <c r="AB3524"/>
  <c r="AC3524"/>
  <c r="AD3524"/>
  <c r="P3525"/>
  <c r="T3525"/>
  <c r="U3525"/>
  <c r="V3525"/>
  <c r="W3525"/>
  <c r="Y3525"/>
  <c r="AA3525"/>
  <c r="AB3525"/>
  <c r="AC3525"/>
  <c r="AD3525"/>
  <c r="P3526"/>
  <c r="T3526"/>
  <c r="U3526"/>
  <c r="V3526"/>
  <c r="W3526"/>
  <c r="Y3526"/>
  <c r="AA3526"/>
  <c r="AB3526"/>
  <c r="AC3526"/>
  <c r="AD3526"/>
  <c r="P3527"/>
  <c r="T3527"/>
  <c r="U3527"/>
  <c r="V3527"/>
  <c r="W3527"/>
  <c r="Y3527"/>
  <c r="AA3527"/>
  <c r="AB3527"/>
  <c r="AC3527"/>
  <c r="AD3527"/>
  <c r="P3528"/>
  <c r="T3528"/>
  <c r="U3528"/>
  <c r="V3528"/>
  <c r="W3528"/>
  <c r="Y3528"/>
  <c r="AA3528"/>
  <c r="AB3528"/>
  <c r="AC3528"/>
  <c r="AD3528"/>
  <c r="P3529"/>
  <c r="T3529"/>
  <c r="U3529"/>
  <c r="V3529"/>
  <c r="W3529"/>
  <c r="Y3529"/>
  <c r="AA3529"/>
  <c r="AB3529"/>
  <c r="AC3529"/>
  <c r="AD3529"/>
  <c r="P3530"/>
  <c r="T3530"/>
  <c r="U3530"/>
  <c r="V3530"/>
  <c r="W3530"/>
  <c r="Y3530"/>
  <c r="AA3530"/>
  <c r="AB3530"/>
  <c r="AC3530"/>
  <c r="AD3530"/>
  <c r="P3531"/>
  <c r="T3531"/>
  <c r="U3531"/>
  <c r="V3531"/>
  <c r="W3531"/>
  <c r="Y3531"/>
  <c r="AA3531"/>
  <c r="AB3531"/>
  <c r="AC3531"/>
  <c r="AD3531"/>
  <c r="P3532"/>
  <c r="T3532"/>
  <c r="U3532"/>
  <c r="V3532"/>
  <c r="W3532"/>
  <c r="Y3532"/>
  <c r="AA3532"/>
  <c r="AB3532"/>
  <c r="AC3532"/>
  <c r="AD3532"/>
  <c r="P3533"/>
  <c r="T3533"/>
  <c r="U3533"/>
  <c r="V3533"/>
  <c r="W3533"/>
  <c r="Y3533"/>
  <c r="AA3533"/>
  <c r="AB3533"/>
  <c r="AC3533"/>
  <c r="AD3533"/>
  <c r="P3534"/>
  <c r="T3534"/>
  <c r="U3534"/>
  <c r="V3534"/>
  <c r="W3534"/>
  <c r="Y3534"/>
  <c r="AA3534"/>
  <c r="AB3534"/>
  <c r="AC3534"/>
  <c r="AD3534"/>
  <c r="P3535"/>
  <c r="T3535"/>
  <c r="U3535"/>
  <c r="V3535"/>
  <c r="W3535"/>
  <c r="Y3535"/>
  <c r="AA3535"/>
  <c r="AB3535"/>
  <c r="AC3535"/>
  <c r="AD3535"/>
  <c r="P3536"/>
  <c r="T3536"/>
  <c r="U3536"/>
  <c r="V3536"/>
  <c r="W3536"/>
  <c r="Y3536"/>
  <c r="AA3536"/>
  <c r="AB3536"/>
  <c r="AC3536"/>
  <c r="AD3536"/>
  <c r="P3537"/>
  <c r="T3537"/>
  <c r="U3537"/>
  <c r="V3537"/>
  <c r="W3537"/>
  <c r="Y3537"/>
  <c r="AA3537"/>
  <c r="AB3537"/>
  <c r="AC3537"/>
  <c r="AD3537"/>
  <c r="P3538"/>
  <c r="T3538"/>
  <c r="U3538"/>
  <c r="V3538"/>
  <c r="W3538"/>
  <c r="Y3538"/>
  <c r="AA3538"/>
  <c r="AB3538"/>
  <c r="AC3538"/>
  <c r="AD3538"/>
  <c r="P3539"/>
  <c r="T3539"/>
  <c r="U3539"/>
  <c r="V3539"/>
  <c r="W3539"/>
  <c r="Y3539"/>
  <c r="AA3539"/>
  <c r="AB3539"/>
  <c r="AC3539"/>
  <c r="AD3539"/>
  <c r="P3540"/>
  <c r="T3540"/>
  <c r="U3540"/>
  <c r="V3540"/>
  <c r="W3540"/>
  <c r="Y3540"/>
  <c r="AA3540"/>
  <c r="AB3540"/>
  <c r="AC3540"/>
  <c r="AD3540"/>
  <c r="P3541"/>
  <c r="T3541"/>
  <c r="U3541"/>
  <c r="V3541"/>
  <c r="W3541"/>
  <c r="Y3541"/>
  <c r="AA3541"/>
  <c r="AB3541"/>
  <c r="AC3541"/>
  <c r="AD3541"/>
  <c r="P3542"/>
  <c r="T3542"/>
  <c r="U3542"/>
  <c r="V3542"/>
  <c r="W3542"/>
  <c r="Y3542"/>
  <c r="AA3542"/>
  <c r="AB3542"/>
  <c r="AC3542"/>
  <c r="AD3542"/>
  <c r="P3543"/>
  <c r="T3543"/>
  <c r="U3543"/>
  <c r="V3543"/>
  <c r="W3543"/>
  <c r="Y3543"/>
  <c r="AA3543"/>
  <c r="AB3543"/>
  <c r="AC3543"/>
  <c r="AD3543"/>
  <c r="P3544"/>
  <c r="T3544"/>
  <c r="U3544"/>
  <c r="V3544"/>
  <c r="W3544"/>
  <c r="Y3544"/>
  <c r="AA3544"/>
  <c r="AB3544"/>
  <c r="AC3544"/>
  <c r="AD3544"/>
  <c r="P3545"/>
  <c r="T3545"/>
  <c r="U3545"/>
  <c r="V3545"/>
  <c r="W3545"/>
  <c r="Y3545"/>
  <c r="AA3545"/>
  <c r="AB3545"/>
  <c r="AC3545"/>
  <c r="AD3545"/>
  <c r="P3546"/>
  <c r="T3546"/>
  <c r="U3546"/>
  <c r="V3546"/>
  <c r="W3546"/>
  <c r="Y3546"/>
  <c r="AA3546"/>
  <c r="AB3546"/>
  <c r="AC3546"/>
  <c r="AD3546"/>
  <c r="P3547"/>
  <c r="T3547"/>
  <c r="U3547"/>
  <c r="V3547"/>
  <c r="W3547"/>
  <c r="Y3547"/>
  <c r="AA3547"/>
  <c r="AB3547"/>
  <c r="AC3547"/>
  <c r="AD3547"/>
  <c r="P3548"/>
  <c r="T3548"/>
  <c r="U3548"/>
  <c r="V3548"/>
  <c r="W3548"/>
  <c r="Y3548"/>
  <c r="AA3548"/>
  <c r="AB3548"/>
  <c r="AC3548"/>
  <c r="AD3548"/>
  <c r="P3549"/>
  <c r="T3549"/>
  <c r="U3549"/>
  <c r="V3549"/>
  <c r="W3549"/>
  <c r="Y3549"/>
  <c r="AA3549"/>
  <c r="AB3549"/>
  <c r="AC3549"/>
  <c r="AD3549"/>
  <c r="P3550"/>
  <c r="T3550"/>
  <c r="U3550"/>
  <c r="V3550"/>
  <c r="W3550"/>
  <c r="Y3550"/>
  <c r="AA3550"/>
  <c r="AB3550"/>
  <c r="AC3550"/>
  <c r="AD3550"/>
  <c r="P3551"/>
  <c r="T3551"/>
  <c r="U3551"/>
  <c r="V3551"/>
  <c r="W3551"/>
  <c r="Y3551"/>
  <c r="AA3551"/>
  <c r="AB3551"/>
  <c r="AC3551"/>
  <c r="AD3551"/>
  <c r="P3552"/>
  <c r="T3552"/>
  <c r="U3552"/>
  <c r="V3552"/>
  <c r="W3552"/>
  <c r="Y3552"/>
  <c r="AA3552"/>
  <c r="AB3552"/>
  <c r="AC3552"/>
  <c r="AD3552"/>
  <c r="P3553"/>
  <c r="T3553"/>
  <c r="U3553"/>
  <c r="V3553"/>
  <c r="W3553"/>
  <c r="Y3553"/>
  <c r="AA3553"/>
  <c r="AB3553"/>
  <c r="AC3553"/>
  <c r="AD3553"/>
  <c r="P3554"/>
  <c r="T3554"/>
  <c r="U3554"/>
  <c r="V3554"/>
  <c r="W3554"/>
  <c r="Y3554"/>
  <c r="AA3554"/>
  <c r="AB3554"/>
  <c r="AC3554"/>
  <c r="AD3554"/>
  <c r="P3555"/>
  <c r="T3555"/>
  <c r="U3555"/>
  <c r="V3555"/>
  <c r="W3555"/>
  <c r="Y3555"/>
  <c r="AA3555"/>
  <c r="AB3555"/>
  <c r="AC3555"/>
  <c r="AD3555"/>
  <c r="P3556"/>
  <c r="T3556"/>
  <c r="U3556"/>
  <c r="V3556"/>
  <c r="W3556"/>
  <c r="Y3556"/>
  <c r="AA3556"/>
  <c r="AB3556"/>
  <c r="AC3556"/>
  <c r="AD3556"/>
  <c r="P3557"/>
  <c r="T3557"/>
  <c r="U3557"/>
  <c r="V3557"/>
  <c r="W3557"/>
  <c r="Y3557"/>
  <c r="AA3557"/>
  <c r="AB3557"/>
  <c r="AC3557"/>
  <c r="AD3557"/>
  <c r="P3558"/>
  <c r="T3558"/>
  <c r="U3558"/>
  <c r="V3558"/>
  <c r="W3558"/>
  <c r="Y3558"/>
  <c r="AA3558"/>
  <c r="AB3558"/>
  <c r="AC3558"/>
  <c r="AD3558"/>
  <c r="P3559"/>
  <c r="T3559"/>
  <c r="U3559"/>
  <c r="V3559"/>
  <c r="W3559"/>
  <c r="Y3559"/>
  <c r="AA3559"/>
  <c r="AB3559"/>
  <c r="AC3559"/>
  <c r="AD3559"/>
  <c r="P3560"/>
  <c r="T3560"/>
  <c r="U3560"/>
  <c r="V3560"/>
  <c r="W3560"/>
  <c r="Y3560"/>
  <c r="AA3560"/>
  <c r="AB3560"/>
  <c r="AC3560"/>
  <c r="AD3560"/>
  <c r="P3561"/>
  <c r="T3561"/>
  <c r="U3561"/>
  <c r="V3561"/>
  <c r="W3561"/>
  <c r="Y3561"/>
  <c r="AA3561"/>
  <c r="AB3561"/>
  <c r="AC3561"/>
  <c r="AD3561"/>
  <c r="P3562"/>
  <c r="T3562"/>
  <c r="U3562"/>
  <c r="V3562"/>
  <c r="W3562"/>
  <c r="Y3562"/>
  <c r="AA3562"/>
  <c r="AB3562"/>
  <c r="AC3562"/>
  <c r="AD3562"/>
  <c r="P3563"/>
  <c r="T3563"/>
  <c r="U3563"/>
  <c r="V3563"/>
  <c r="W3563"/>
  <c r="Y3563"/>
  <c r="AA3563"/>
  <c r="AB3563"/>
  <c r="AC3563"/>
  <c r="AD3563"/>
  <c r="P3564"/>
  <c r="T3564"/>
  <c r="U3564"/>
  <c r="V3564"/>
  <c r="W3564"/>
  <c r="Y3564"/>
  <c r="AA3564"/>
  <c r="AB3564"/>
  <c r="AC3564"/>
  <c r="AD3564"/>
  <c r="P3565"/>
  <c r="T3565"/>
  <c r="U3565"/>
  <c r="V3565"/>
  <c r="W3565"/>
  <c r="Y3565"/>
  <c r="AA3565"/>
  <c r="AB3565"/>
  <c r="AC3565"/>
  <c r="AD3565"/>
  <c r="P3566"/>
  <c r="T3566"/>
  <c r="U3566"/>
  <c r="V3566"/>
  <c r="W3566"/>
  <c r="Y3566"/>
  <c r="AA3566"/>
  <c r="AB3566"/>
  <c r="AC3566"/>
  <c r="AD3566"/>
  <c r="P3567"/>
  <c r="T3567"/>
  <c r="U3567"/>
  <c r="V3567"/>
  <c r="W3567"/>
  <c r="Y3567"/>
  <c r="AA3567"/>
  <c r="AB3567"/>
  <c r="AC3567"/>
  <c r="AD3567"/>
  <c r="P3568"/>
  <c r="T3568"/>
  <c r="U3568"/>
  <c r="V3568"/>
  <c r="W3568"/>
  <c r="Y3568"/>
  <c r="AA3568"/>
  <c r="AB3568"/>
  <c r="AC3568"/>
  <c r="AD3568"/>
  <c r="P3569"/>
  <c r="T3569"/>
  <c r="U3569"/>
  <c r="V3569"/>
  <c r="W3569"/>
  <c r="Y3569"/>
  <c r="AA3569"/>
  <c r="AB3569"/>
  <c r="AC3569"/>
  <c r="AD3569"/>
  <c r="P3570"/>
  <c r="T3570"/>
  <c r="U3570"/>
  <c r="V3570"/>
  <c r="W3570"/>
  <c r="Y3570"/>
  <c r="AA3570"/>
  <c r="AB3570"/>
  <c r="AC3570"/>
  <c r="AD3570"/>
  <c r="P3571"/>
  <c r="T3571"/>
  <c r="U3571"/>
  <c r="V3571"/>
  <c r="W3571"/>
  <c r="Y3571"/>
  <c r="AA3571"/>
  <c r="AB3571"/>
  <c r="AC3571"/>
  <c r="AD3571"/>
  <c r="P3572"/>
  <c r="T3572"/>
  <c r="U3572"/>
  <c r="V3572"/>
  <c r="W3572"/>
  <c r="Y3572"/>
  <c r="AA3572"/>
  <c r="AB3572"/>
  <c r="AC3572"/>
  <c r="AD3572"/>
  <c r="P3573"/>
  <c r="T3573"/>
  <c r="U3573"/>
  <c r="V3573"/>
  <c r="W3573"/>
  <c r="Y3573"/>
  <c r="AA3573"/>
  <c r="AB3573"/>
  <c r="AC3573"/>
  <c r="AD3573"/>
  <c r="P3574"/>
  <c r="T3574"/>
  <c r="U3574"/>
  <c r="V3574"/>
  <c r="W3574"/>
  <c r="Y3574"/>
  <c r="AA3574"/>
  <c r="AB3574"/>
  <c r="AC3574"/>
  <c r="AD3574"/>
  <c r="P3575"/>
  <c r="T3575"/>
  <c r="U3575"/>
  <c r="V3575"/>
  <c r="W3575"/>
  <c r="Y3575"/>
  <c r="AA3575"/>
  <c r="AB3575"/>
  <c r="AC3575"/>
  <c r="AD3575"/>
  <c r="P3576"/>
  <c r="T3576"/>
  <c r="U3576"/>
  <c r="V3576"/>
  <c r="W3576"/>
  <c r="Y3576"/>
  <c r="AA3576"/>
  <c r="AB3576"/>
  <c r="AC3576"/>
  <c r="AD3576"/>
  <c r="P3577"/>
  <c r="T3577"/>
  <c r="U3577"/>
  <c r="V3577"/>
  <c r="W3577"/>
  <c r="Y3577"/>
  <c r="AA3577"/>
  <c r="AB3577"/>
  <c r="AC3577"/>
  <c r="AD3577"/>
  <c r="P3578"/>
  <c r="T3578"/>
  <c r="U3578"/>
  <c r="V3578"/>
  <c r="W3578"/>
  <c r="Y3578"/>
  <c r="AA3578"/>
  <c r="AB3578"/>
  <c r="AC3578"/>
  <c r="AD3578"/>
  <c r="P3579"/>
  <c r="T3579"/>
  <c r="U3579"/>
  <c r="V3579"/>
  <c r="W3579"/>
  <c r="Y3579"/>
  <c r="AA3579"/>
  <c r="AB3579"/>
  <c r="AC3579"/>
  <c r="AD3579"/>
  <c r="P3580"/>
  <c r="T3580"/>
  <c r="U3580"/>
  <c r="V3580"/>
  <c r="W3580"/>
  <c r="Y3580"/>
  <c r="AA3580"/>
  <c r="AB3580"/>
  <c r="AC3580"/>
  <c r="AD3580"/>
  <c r="P3581"/>
  <c r="T3581"/>
  <c r="U3581"/>
  <c r="V3581"/>
  <c r="W3581"/>
  <c r="Y3581"/>
  <c r="AA3581"/>
  <c r="AB3581"/>
  <c r="AC3581"/>
  <c r="AD3581"/>
  <c r="P3582"/>
  <c r="T3582"/>
  <c r="U3582"/>
  <c r="V3582"/>
  <c r="W3582"/>
  <c r="Y3582"/>
  <c r="AA3582"/>
  <c r="AB3582"/>
  <c r="AC3582"/>
  <c r="AD3582"/>
  <c r="P3583"/>
  <c r="T3583"/>
  <c r="U3583"/>
  <c r="V3583"/>
  <c r="W3583"/>
  <c r="Y3583"/>
  <c r="AA3583"/>
  <c r="AB3583"/>
  <c r="AC3583"/>
  <c r="AD3583"/>
  <c r="P3584"/>
  <c r="T3584"/>
  <c r="U3584"/>
  <c r="V3584"/>
  <c r="W3584"/>
  <c r="Y3584"/>
  <c r="AA3584"/>
  <c r="AB3584"/>
  <c r="AC3584"/>
  <c r="AD3584"/>
  <c r="P3585"/>
  <c r="T3585"/>
  <c r="U3585"/>
  <c r="V3585"/>
  <c r="W3585"/>
  <c r="Y3585"/>
  <c r="AA3585"/>
  <c r="AB3585"/>
  <c r="AC3585"/>
  <c r="AD3585"/>
  <c r="P3586"/>
  <c r="T3586"/>
  <c r="U3586"/>
  <c r="V3586"/>
  <c r="W3586"/>
  <c r="Y3586"/>
  <c r="AA3586"/>
  <c r="AB3586"/>
  <c r="AC3586"/>
  <c r="AD3586"/>
  <c r="P3587"/>
  <c r="T3587"/>
  <c r="U3587"/>
  <c r="V3587"/>
  <c r="W3587"/>
  <c r="Y3587"/>
  <c r="AA3587"/>
  <c r="AB3587"/>
  <c r="AC3587"/>
  <c r="AD3587"/>
  <c r="P3588"/>
  <c r="T3588"/>
  <c r="U3588"/>
  <c r="V3588"/>
  <c r="W3588"/>
  <c r="Y3588"/>
  <c r="AA3588"/>
  <c r="AB3588"/>
  <c r="AC3588"/>
  <c r="AD3588"/>
  <c r="P3589"/>
  <c r="T3589"/>
  <c r="U3589"/>
  <c r="V3589"/>
  <c r="W3589"/>
  <c r="Y3589"/>
  <c r="AA3589"/>
  <c r="AB3589"/>
  <c r="AC3589"/>
  <c r="AD3589"/>
  <c r="P3590"/>
  <c r="T3590"/>
  <c r="U3590"/>
  <c r="V3590"/>
  <c r="W3590"/>
  <c r="Y3590"/>
  <c r="AA3590"/>
  <c r="AB3590"/>
  <c r="AC3590"/>
  <c r="AD3590"/>
  <c r="P3591"/>
  <c r="T3591"/>
  <c r="U3591"/>
  <c r="V3591"/>
  <c r="W3591"/>
  <c r="Y3591"/>
  <c r="AA3591"/>
  <c r="AB3591"/>
  <c r="AC3591"/>
  <c r="AD3591"/>
  <c r="P3592"/>
  <c r="T3592"/>
  <c r="U3592"/>
  <c r="V3592"/>
  <c r="W3592"/>
  <c r="Y3592"/>
  <c r="AA3592"/>
  <c r="AB3592"/>
  <c r="AC3592"/>
  <c r="AD3592"/>
  <c r="P3593"/>
  <c r="T3593"/>
  <c r="U3593"/>
  <c r="V3593"/>
  <c r="W3593"/>
  <c r="Y3593"/>
  <c r="AA3593"/>
  <c r="AB3593"/>
  <c r="AC3593"/>
  <c r="AD3593"/>
  <c r="P3594"/>
  <c r="T3594"/>
  <c r="U3594"/>
  <c r="V3594"/>
  <c r="W3594"/>
  <c r="Y3594"/>
  <c r="AA3594"/>
  <c r="AB3594"/>
  <c r="AC3594"/>
  <c r="AD3594"/>
  <c r="P3595"/>
  <c r="T3595"/>
  <c r="U3595"/>
  <c r="V3595"/>
  <c r="W3595"/>
  <c r="Y3595"/>
  <c r="AA3595"/>
  <c r="AB3595"/>
  <c r="AC3595"/>
  <c r="AD3595"/>
  <c r="P3596"/>
  <c r="T3596"/>
  <c r="U3596"/>
  <c r="V3596"/>
  <c r="W3596"/>
  <c r="Y3596"/>
  <c r="AA3596"/>
  <c r="AB3596"/>
  <c r="AC3596"/>
  <c r="AD3596"/>
  <c r="P3597"/>
  <c r="T3597"/>
  <c r="U3597"/>
  <c r="V3597"/>
  <c r="W3597"/>
  <c r="Y3597"/>
  <c r="AA3597"/>
  <c r="AB3597"/>
  <c r="AC3597"/>
  <c r="AD3597"/>
  <c r="P3598"/>
  <c r="T3598"/>
  <c r="U3598"/>
  <c r="V3598"/>
  <c r="W3598"/>
  <c r="Y3598"/>
  <c r="AA3598"/>
  <c r="AB3598"/>
  <c r="AC3598"/>
  <c r="AD3598"/>
  <c r="P3599"/>
  <c r="T3599"/>
  <c r="U3599"/>
  <c r="V3599"/>
  <c r="W3599"/>
  <c r="Y3599"/>
  <c r="AA3599"/>
  <c r="AB3599"/>
  <c r="AC3599"/>
  <c r="AD3599"/>
  <c r="P3600"/>
  <c r="T3600"/>
  <c r="U3600"/>
  <c r="V3600"/>
  <c r="W3600"/>
  <c r="Y3600"/>
  <c r="AA3600"/>
  <c r="AB3600"/>
  <c r="AC3600"/>
  <c r="AD3600"/>
  <c r="P3601"/>
  <c r="T3601"/>
  <c r="U3601"/>
  <c r="V3601"/>
  <c r="W3601"/>
  <c r="Y3601"/>
  <c r="AA3601"/>
  <c r="AB3601"/>
  <c r="AC3601"/>
  <c r="AD3601"/>
  <c r="P3602"/>
  <c r="T3602"/>
  <c r="U3602"/>
  <c r="V3602"/>
  <c r="W3602"/>
  <c r="Y3602"/>
  <c r="AA3602"/>
  <c r="AB3602"/>
  <c r="AC3602"/>
  <c r="AD3602"/>
  <c r="P3603"/>
  <c r="T3603"/>
  <c r="U3603"/>
  <c r="V3603"/>
  <c r="W3603"/>
  <c r="Y3603"/>
  <c r="AA3603"/>
  <c r="AB3603"/>
  <c r="AC3603"/>
  <c r="AD3603"/>
  <c r="P3604"/>
  <c r="T3604"/>
  <c r="U3604"/>
  <c r="V3604"/>
  <c r="W3604"/>
  <c r="Y3604"/>
  <c r="AA3604"/>
  <c r="AB3604"/>
  <c r="AC3604"/>
  <c r="AD3604"/>
  <c r="P3605"/>
  <c r="T3605"/>
  <c r="U3605"/>
  <c r="V3605"/>
  <c r="W3605"/>
  <c r="Y3605"/>
  <c r="AA3605"/>
  <c r="AB3605"/>
  <c r="AC3605"/>
  <c r="AD3605"/>
  <c r="P3606"/>
  <c r="T3606"/>
  <c r="U3606"/>
  <c r="V3606"/>
  <c r="W3606"/>
  <c r="Y3606"/>
  <c r="AA3606"/>
  <c r="AB3606"/>
  <c r="AC3606"/>
  <c r="AD3606"/>
  <c r="P3607"/>
  <c r="T3607"/>
  <c r="U3607"/>
  <c r="V3607"/>
  <c r="W3607"/>
  <c r="Y3607"/>
  <c r="AA3607"/>
  <c r="AB3607"/>
  <c r="AC3607"/>
  <c r="AD3607"/>
  <c r="P3608"/>
  <c r="T3608"/>
  <c r="U3608"/>
  <c r="V3608"/>
  <c r="W3608"/>
  <c r="Y3608"/>
  <c r="AA3608"/>
  <c r="AB3608"/>
  <c r="AC3608"/>
  <c r="AD3608"/>
  <c r="P3609"/>
  <c r="T3609"/>
  <c r="U3609"/>
  <c r="V3609"/>
  <c r="W3609"/>
  <c r="Y3609"/>
  <c r="AA3609"/>
  <c r="AB3609"/>
  <c r="AC3609"/>
  <c r="AD3609"/>
  <c r="P3610"/>
  <c r="T3610"/>
  <c r="U3610"/>
  <c r="V3610"/>
  <c r="W3610"/>
  <c r="Y3610"/>
  <c r="AA3610"/>
  <c r="AB3610"/>
  <c r="AC3610"/>
  <c r="AD3610"/>
  <c r="P3611"/>
  <c r="T3611"/>
  <c r="U3611"/>
  <c r="V3611"/>
  <c r="W3611"/>
  <c r="Y3611"/>
  <c r="AA3611"/>
  <c r="AB3611"/>
  <c r="AC3611"/>
  <c r="AD3611"/>
  <c r="P3612"/>
  <c r="T3612"/>
  <c r="U3612"/>
  <c r="V3612"/>
  <c r="W3612"/>
  <c r="Y3612"/>
  <c r="AA3612"/>
  <c r="AB3612"/>
  <c r="AC3612"/>
  <c r="AD3612"/>
  <c r="P3613"/>
  <c r="T3613"/>
  <c r="U3613"/>
  <c r="V3613"/>
  <c r="W3613"/>
  <c r="Y3613"/>
  <c r="AA3613"/>
  <c r="AB3613"/>
  <c r="AC3613"/>
  <c r="AD3613"/>
  <c r="P3614"/>
  <c r="T3614"/>
  <c r="U3614"/>
  <c r="V3614"/>
  <c r="W3614"/>
  <c r="Y3614"/>
  <c r="AA3614"/>
  <c r="AB3614"/>
  <c r="AC3614"/>
  <c r="AD3614"/>
  <c r="P3615"/>
  <c r="T3615"/>
  <c r="U3615"/>
  <c r="V3615"/>
  <c r="W3615"/>
  <c r="Y3615"/>
  <c r="AA3615"/>
  <c r="AB3615"/>
  <c r="AC3615"/>
  <c r="AD3615"/>
  <c r="P3616"/>
  <c r="T3616"/>
  <c r="U3616"/>
  <c r="V3616"/>
  <c r="W3616"/>
  <c r="Y3616"/>
  <c r="AA3616"/>
  <c r="AB3616"/>
  <c r="AC3616"/>
  <c r="AD3616"/>
  <c r="P3617"/>
  <c r="T3617"/>
  <c r="U3617"/>
  <c r="V3617"/>
  <c r="W3617"/>
  <c r="Y3617"/>
  <c r="AA3617"/>
  <c r="AB3617"/>
  <c r="AC3617"/>
  <c r="AD3617"/>
  <c r="P3618"/>
  <c r="T3618"/>
  <c r="U3618"/>
  <c r="V3618"/>
  <c r="W3618"/>
  <c r="Y3618"/>
  <c r="AA3618"/>
  <c r="AB3618"/>
  <c r="AC3618"/>
  <c r="AD3618"/>
  <c r="P3619"/>
  <c r="T3619"/>
  <c r="U3619"/>
  <c r="V3619"/>
  <c r="W3619"/>
  <c r="Y3619"/>
  <c r="AA3619"/>
  <c r="AB3619"/>
  <c r="AC3619"/>
  <c r="AD3619"/>
  <c r="P3620"/>
  <c r="T3620"/>
  <c r="U3620"/>
  <c r="V3620"/>
  <c r="W3620"/>
  <c r="Y3620"/>
  <c r="AA3620"/>
  <c r="AB3620"/>
  <c r="AC3620"/>
  <c r="AD3620"/>
  <c r="P3621"/>
  <c r="T3621"/>
  <c r="U3621"/>
  <c r="V3621"/>
  <c r="W3621"/>
  <c r="Y3621"/>
  <c r="AA3621"/>
  <c r="AB3621"/>
  <c r="AC3621"/>
  <c r="AD3621"/>
  <c r="P3622"/>
  <c r="T3622"/>
  <c r="U3622"/>
  <c r="V3622"/>
  <c r="W3622"/>
  <c r="Y3622"/>
  <c r="AA3622"/>
  <c r="AB3622"/>
  <c r="AC3622"/>
  <c r="AD3622"/>
  <c r="P3623"/>
  <c r="T3623"/>
  <c r="U3623"/>
  <c r="V3623"/>
  <c r="W3623"/>
  <c r="Y3623"/>
  <c r="AA3623"/>
  <c r="AB3623"/>
  <c r="AC3623"/>
  <c r="AD3623"/>
  <c r="P3624"/>
  <c r="T3624"/>
  <c r="U3624"/>
  <c r="V3624"/>
  <c r="W3624"/>
  <c r="Y3624"/>
  <c r="AA3624"/>
  <c r="AB3624"/>
  <c r="AC3624"/>
  <c r="AD3624"/>
  <c r="P3625"/>
  <c r="T3625"/>
  <c r="U3625"/>
  <c r="V3625"/>
  <c r="W3625"/>
  <c r="Y3625"/>
  <c r="AA3625"/>
  <c r="AB3625"/>
  <c r="AC3625"/>
  <c r="AD3625"/>
  <c r="P3626"/>
  <c r="T3626"/>
  <c r="U3626"/>
  <c r="V3626"/>
  <c r="W3626"/>
  <c r="Y3626"/>
  <c r="AA3626"/>
  <c r="AB3626"/>
  <c r="AC3626"/>
  <c r="AD3626"/>
  <c r="P3627"/>
  <c r="T3627"/>
  <c r="U3627"/>
  <c r="V3627"/>
  <c r="W3627"/>
  <c r="Y3627"/>
  <c r="AA3627"/>
  <c r="AB3627"/>
  <c r="AC3627"/>
  <c r="AD3627"/>
  <c r="P3628"/>
  <c r="T3628"/>
  <c r="U3628"/>
  <c r="V3628"/>
  <c r="W3628"/>
  <c r="Y3628"/>
  <c r="AA3628"/>
  <c r="AB3628"/>
  <c r="AC3628"/>
  <c r="AD3628"/>
  <c r="P3629"/>
  <c r="T3629"/>
  <c r="U3629"/>
  <c r="V3629"/>
  <c r="W3629"/>
  <c r="Y3629"/>
  <c r="AA3629"/>
  <c r="AB3629"/>
  <c r="AC3629"/>
  <c r="AD3629"/>
  <c r="P3630"/>
  <c r="T3630"/>
  <c r="U3630"/>
  <c r="V3630"/>
  <c r="W3630"/>
  <c r="Y3630"/>
  <c r="AA3630"/>
  <c r="AB3630"/>
  <c r="AC3630"/>
  <c r="AD3630"/>
  <c r="P3631"/>
  <c r="T3631"/>
  <c r="U3631"/>
  <c r="V3631"/>
  <c r="W3631"/>
  <c r="Y3631"/>
  <c r="AA3631"/>
  <c r="AB3631"/>
  <c r="AC3631"/>
  <c r="AD3631"/>
  <c r="P3632"/>
  <c r="T3632"/>
  <c r="U3632"/>
  <c r="V3632"/>
  <c r="W3632"/>
  <c r="Y3632"/>
  <c r="AA3632"/>
  <c r="AB3632"/>
  <c r="AC3632"/>
  <c r="AD3632"/>
  <c r="P3633"/>
  <c r="T3633"/>
  <c r="U3633"/>
  <c r="V3633"/>
  <c r="W3633"/>
  <c r="Y3633"/>
  <c r="AA3633"/>
  <c r="AB3633"/>
  <c r="AC3633"/>
  <c r="AD3633"/>
  <c r="P3634"/>
  <c r="T3634"/>
  <c r="U3634"/>
  <c r="V3634"/>
  <c r="W3634"/>
  <c r="Y3634"/>
  <c r="AA3634"/>
  <c r="AB3634"/>
  <c r="AC3634"/>
  <c r="AD3634"/>
  <c r="P3635"/>
  <c r="T3635"/>
  <c r="U3635"/>
  <c r="V3635"/>
  <c r="W3635"/>
  <c r="Y3635"/>
  <c r="AA3635"/>
  <c r="AB3635"/>
  <c r="AC3635"/>
  <c r="AD3635"/>
  <c r="P3636"/>
  <c r="T3636"/>
  <c r="U3636"/>
  <c r="V3636"/>
  <c r="W3636"/>
  <c r="Y3636"/>
  <c r="AA3636"/>
  <c r="AB3636"/>
  <c r="AC3636"/>
  <c r="AD3636"/>
  <c r="P3637"/>
  <c r="T3637"/>
  <c r="U3637"/>
  <c r="V3637"/>
  <c r="W3637"/>
  <c r="Y3637"/>
  <c r="AA3637"/>
  <c r="AB3637"/>
  <c r="AC3637"/>
  <c r="AD3637"/>
  <c r="P3638"/>
  <c r="T3638"/>
  <c r="U3638"/>
  <c r="V3638"/>
  <c r="W3638"/>
  <c r="Y3638"/>
  <c r="AA3638"/>
  <c r="AB3638"/>
  <c r="AC3638"/>
  <c r="AD3638"/>
  <c r="P3639"/>
  <c r="T3639"/>
  <c r="U3639"/>
  <c r="V3639"/>
  <c r="W3639"/>
  <c r="Y3639"/>
  <c r="AA3639"/>
  <c r="AB3639"/>
  <c r="AC3639"/>
  <c r="AD3639"/>
  <c r="P3640"/>
  <c r="T3640"/>
  <c r="U3640"/>
  <c r="V3640"/>
  <c r="W3640"/>
  <c r="Y3640"/>
  <c r="AA3640"/>
  <c r="AB3640"/>
  <c r="AC3640"/>
  <c r="AD3640"/>
  <c r="P3641"/>
  <c r="T3641"/>
  <c r="U3641"/>
  <c r="V3641"/>
  <c r="W3641"/>
  <c r="Y3641"/>
  <c r="AA3641"/>
  <c r="AB3641"/>
  <c r="AC3641"/>
  <c r="AD3641"/>
  <c r="P3642"/>
  <c r="T3642"/>
  <c r="U3642"/>
  <c r="V3642"/>
  <c r="W3642"/>
  <c r="Y3642"/>
  <c r="AA3642"/>
  <c r="AB3642"/>
  <c r="AC3642"/>
  <c r="AD3642"/>
  <c r="P3643"/>
  <c r="T3643"/>
  <c r="U3643"/>
  <c r="V3643"/>
  <c r="W3643"/>
  <c r="Y3643"/>
  <c r="AA3643"/>
  <c r="AB3643"/>
  <c r="AC3643"/>
  <c r="AD3643"/>
  <c r="P3644"/>
  <c r="T3644"/>
  <c r="U3644"/>
  <c r="V3644"/>
  <c r="W3644"/>
  <c r="Y3644"/>
  <c r="AA3644"/>
  <c r="AB3644"/>
  <c r="AC3644"/>
  <c r="AD3644"/>
  <c r="P3645"/>
  <c r="T3645"/>
  <c r="U3645"/>
  <c r="V3645"/>
  <c r="W3645"/>
  <c r="Y3645"/>
  <c r="AA3645"/>
  <c r="AB3645"/>
  <c r="AC3645"/>
  <c r="AD3645"/>
  <c r="P3646"/>
  <c r="T3646"/>
  <c r="U3646"/>
  <c r="V3646"/>
  <c r="W3646"/>
  <c r="Y3646"/>
  <c r="AA3646"/>
  <c r="AB3646"/>
  <c r="AC3646"/>
  <c r="AD3646"/>
  <c r="P3647"/>
  <c r="T3647"/>
  <c r="U3647"/>
  <c r="V3647"/>
  <c r="W3647"/>
  <c r="Y3647"/>
  <c r="AA3647"/>
  <c r="AB3647"/>
  <c r="AC3647"/>
  <c r="AD3647"/>
  <c r="P3648"/>
  <c r="T3648"/>
  <c r="U3648"/>
  <c r="V3648"/>
  <c r="W3648"/>
  <c r="Y3648"/>
  <c r="AA3648"/>
  <c r="AB3648"/>
  <c r="AC3648"/>
  <c r="AD3648"/>
  <c r="P3649"/>
  <c r="T3649"/>
  <c r="U3649"/>
  <c r="V3649"/>
  <c r="W3649"/>
  <c r="Y3649"/>
  <c r="AA3649"/>
  <c r="AB3649"/>
  <c r="AC3649"/>
  <c r="AD3649"/>
  <c r="P3650"/>
  <c r="T3650"/>
  <c r="U3650"/>
  <c r="V3650"/>
  <c r="W3650"/>
  <c r="Y3650"/>
  <c r="AA3650"/>
  <c r="AB3650"/>
  <c r="AC3650"/>
  <c r="AD3650"/>
  <c r="P3651"/>
  <c r="T3651"/>
  <c r="U3651"/>
  <c r="V3651"/>
  <c r="W3651"/>
  <c r="Y3651"/>
  <c r="AA3651"/>
  <c r="AB3651"/>
  <c r="AC3651"/>
  <c r="AD3651"/>
  <c r="P3652"/>
  <c r="T3652"/>
  <c r="U3652"/>
  <c r="V3652"/>
  <c r="W3652"/>
  <c r="Y3652"/>
  <c r="AA3652"/>
  <c r="AB3652"/>
  <c r="AC3652"/>
  <c r="AD3652"/>
  <c r="P3653"/>
  <c r="T3653"/>
  <c r="U3653"/>
  <c r="V3653"/>
  <c r="W3653"/>
  <c r="Y3653"/>
  <c r="AA3653"/>
  <c r="AB3653"/>
  <c r="AC3653"/>
  <c r="AD3653"/>
  <c r="P3654"/>
  <c r="T3654"/>
  <c r="U3654"/>
  <c r="V3654"/>
  <c r="W3654"/>
  <c r="Y3654"/>
  <c r="AA3654"/>
  <c r="AB3654"/>
  <c r="AC3654"/>
  <c r="AD3654"/>
  <c r="P3655"/>
  <c r="T3655"/>
  <c r="U3655"/>
  <c r="V3655"/>
  <c r="W3655"/>
  <c r="Y3655"/>
  <c r="AA3655"/>
  <c r="AB3655"/>
  <c r="AC3655"/>
  <c r="AD3655"/>
  <c r="P3656"/>
  <c r="T3656"/>
  <c r="U3656"/>
  <c r="V3656"/>
  <c r="W3656"/>
  <c r="Y3656"/>
  <c r="AA3656"/>
  <c r="AB3656"/>
  <c r="AC3656"/>
  <c r="AD3656"/>
  <c r="P3657"/>
  <c r="T3657"/>
  <c r="U3657"/>
  <c r="V3657"/>
  <c r="W3657"/>
  <c r="Y3657"/>
  <c r="AA3657"/>
  <c r="AB3657"/>
  <c r="AC3657"/>
  <c r="AD3657"/>
  <c r="P3658"/>
  <c r="T3658"/>
  <c r="U3658"/>
  <c r="V3658"/>
  <c r="W3658"/>
  <c r="Y3658"/>
  <c r="AA3658"/>
  <c r="AB3658"/>
  <c r="AC3658"/>
  <c r="AD3658"/>
  <c r="P3659"/>
  <c r="T3659"/>
  <c r="U3659"/>
  <c r="V3659"/>
  <c r="W3659"/>
  <c r="Y3659"/>
  <c r="AA3659"/>
  <c r="AB3659"/>
  <c r="AC3659"/>
  <c r="AD3659"/>
  <c r="P3660"/>
  <c r="T3660"/>
  <c r="U3660"/>
  <c r="V3660"/>
  <c r="W3660"/>
  <c r="Y3660"/>
  <c r="AA3660"/>
  <c r="AB3660"/>
  <c r="AC3660"/>
  <c r="AD3660"/>
  <c r="P3661"/>
  <c r="T3661"/>
  <c r="U3661"/>
  <c r="V3661"/>
  <c r="W3661"/>
  <c r="Y3661"/>
  <c r="AA3661"/>
  <c r="AB3661"/>
  <c r="AC3661"/>
  <c r="AD3661"/>
  <c r="P3662"/>
  <c r="T3662"/>
  <c r="U3662"/>
  <c r="V3662"/>
  <c r="W3662"/>
  <c r="Y3662"/>
  <c r="AA3662"/>
  <c r="AB3662"/>
  <c r="AC3662"/>
  <c r="AD3662"/>
  <c r="P3663"/>
  <c r="T3663"/>
  <c r="U3663"/>
  <c r="V3663"/>
  <c r="W3663"/>
  <c r="Y3663"/>
  <c r="AA3663"/>
  <c r="AB3663"/>
  <c r="AC3663"/>
  <c r="AD3663"/>
  <c r="P3664"/>
  <c r="T3664"/>
  <c r="U3664"/>
  <c r="V3664"/>
  <c r="W3664"/>
  <c r="Y3664"/>
  <c r="AA3664"/>
  <c r="AB3664"/>
  <c r="AC3664"/>
  <c r="AD3664"/>
  <c r="P3665"/>
  <c r="T3665"/>
  <c r="U3665"/>
  <c r="V3665"/>
  <c r="W3665"/>
  <c r="Y3665"/>
  <c r="AA3665"/>
  <c r="AB3665"/>
  <c r="AC3665"/>
  <c r="AD3665"/>
  <c r="P3666"/>
  <c r="T3666"/>
  <c r="U3666"/>
  <c r="V3666"/>
  <c r="W3666"/>
  <c r="Y3666"/>
  <c r="AA3666"/>
  <c r="AB3666"/>
  <c r="AC3666"/>
  <c r="AD3666"/>
  <c r="P3667"/>
  <c r="T3667"/>
  <c r="U3667"/>
  <c r="V3667"/>
  <c r="W3667"/>
  <c r="Y3667"/>
  <c r="AA3667"/>
  <c r="AB3667"/>
  <c r="AC3667"/>
  <c r="AD3667"/>
  <c r="P3668"/>
  <c r="T3668"/>
  <c r="U3668"/>
  <c r="V3668"/>
  <c r="W3668"/>
  <c r="Y3668"/>
  <c r="AA3668"/>
  <c r="AB3668"/>
  <c r="AC3668"/>
  <c r="AD3668"/>
  <c r="P3669"/>
  <c r="T3669"/>
  <c r="U3669"/>
  <c r="V3669"/>
  <c r="W3669"/>
  <c r="Y3669"/>
  <c r="AA3669"/>
  <c r="AB3669"/>
  <c r="AC3669"/>
  <c r="AD3669"/>
  <c r="P3670"/>
  <c r="T3670"/>
  <c r="U3670"/>
  <c r="V3670"/>
  <c r="W3670"/>
  <c r="Y3670"/>
  <c r="AA3670"/>
  <c r="AB3670"/>
  <c r="AC3670"/>
  <c r="AD3670"/>
  <c r="P3671"/>
  <c r="T3671"/>
  <c r="U3671"/>
  <c r="V3671"/>
  <c r="W3671"/>
  <c r="Y3671"/>
  <c r="AA3671"/>
  <c r="AB3671"/>
  <c r="AC3671"/>
  <c r="AD3671"/>
  <c r="P3672"/>
  <c r="T3672"/>
  <c r="U3672"/>
  <c r="V3672"/>
  <c r="W3672"/>
  <c r="Y3672"/>
  <c r="AA3672"/>
  <c r="AB3672"/>
  <c r="AC3672"/>
  <c r="AD3672"/>
  <c r="P3673"/>
  <c r="T3673"/>
  <c r="U3673"/>
  <c r="V3673"/>
  <c r="W3673"/>
  <c r="Y3673"/>
  <c r="AA3673"/>
  <c r="AB3673"/>
  <c r="AC3673"/>
  <c r="AD3673"/>
  <c r="P3674"/>
  <c r="T3674"/>
  <c r="U3674"/>
  <c r="V3674"/>
  <c r="W3674"/>
  <c r="Y3674"/>
  <c r="AA3674"/>
  <c r="AB3674"/>
  <c r="AC3674"/>
  <c r="AD3674"/>
  <c r="P3675"/>
  <c r="T3675"/>
  <c r="U3675"/>
  <c r="V3675"/>
  <c r="W3675"/>
  <c r="Y3675"/>
  <c r="AA3675"/>
  <c r="AB3675"/>
  <c r="AC3675"/>
  <c r="AD3675"/>
  <c r="P3676"/>
  <c r="T3676"/>
  <c r="U3676"/>
  <c r="V3676"/>
  <c r="W3676"/>
  <c r="Y3676"/>
  <c r="AA3676"/>
  <c r="AB3676"/>
  <c r="AC3676"/>
  <c r="AD3676"/>
  <c r="P3677"/>
  <c r="T3677"/>
  <c r="U3677"/>
  <c r="V3677"/>
  <c r="W3677"/>
  <c r="Y3677"/>
  <c r="AA3677"/>
  <c r="AB3677"/>
  <c r="AC3677"/>
  <c r="AD3677"/>
  <c r="P3678"/>
  <c r="T3678"/>
  <c r="U3678"/>
  <c r="V3678"/>
  <c r="W3678"/>
  <c r="Y3678"/>
  <c r="AA3678"/>
  <c r="AB3678"/>
  <c r="AC3678"/>
  <c r="AD3678"/>
  <c r="P3679"/>
  <c r="T3679"/>
  <c r="U3679"/>
  <c r="V3679"/>
  <c r="W3679"/>
  <c r="Y3679"/>
  <c r="AA3679"/>
  <c r="AB3679"/>
  <c r="AC3679"/>
  <c r="AD3679"/>
  <c r="P3680"/>
  <c r="T3680"/>
  <c r="U3680"/>
  <c r="V3680"/>
  <c r="W3680"/>
  <c r="Y3680"/>
  <c r="AA3680"/>
  <c r="AB3680"/>
  <c r="AC3680"/>
  <c r="AD3680"/>
  <c r="P3681"/>
  <c r="T3681"/>
  <c r="U3681"/>
  <c r="V3681"/>
  <c r="W3681"/>
  <c r="Y3681"/>
  <c r="AA3681"/>
  <c r="AB3681"/>
  <c r="AC3681"/>
  <c r="AD3681"/>
  <c r="P3682"/>
  <c r="T3682"/>
  <c r="U3682"/>
  <c r="V3682"/>
  <c r="W3682"/>
  <c r="Y3682"/>
  <c r="AA3682"/>
  <c r="AB3682"/>
  <c r="AC3682"/>
  <c r="AD3682"/>
  <c r="P3683"/>
  <c r="T3683"/>
  <c r="U3683"/>
  <c r="V3683"/>
  <c r="W3683"/>
  <c r="Y3683"/>
  <c r="AA3683"/>
  <c r="AB3683"/>
  <c r="AC3683"/>
  <c r="AD3683"/>
  <c r="P3684"/>
  <c r="T3684"/>
  <c r="U3684"/>
  <c r="V3684"/>
  <c r="W3684"/>
  <c r="Y3684"/>
  <c r="AA3684"/>
  <c r="AB3684"/>
  <c r="AC3684"/>
  <c r="AD3684"/>
  <c r="P3685"/>
  <c r="T3685"/>
  <c r="U3685"/>
  <c r="V3685"/>
  <c r="W3685"/>
  <c r="Y3685"/>
  <c r="AA3685"/>
  <c r="AB3685"/>
  <c r="AC3685"/>
  <c r="AD3685"/>
  <c r="P3686"/>
  <c r="T3686"/>
  <c r="U3686"/>
  <c r="V3686"/>
  <c r="W3686"/>
  <c r="Y3686"/>
  <c r="AA3686"/>
  <c r="AB3686"/>
  <c r="AC3686"/>
  <c r="AD3686"/>
  <c r="P3687"/>
  <c r="T3687"/>
  <c r="U3687"/>
  <c r="V3687"/>
  <c r="W3687"/>
  <c r="Y3687"/>
  <c r="AA3687"/>
  <c r="AB3687"/>
  <c r="AC3687"/>
  <c r="AD3687"/>
  <c r="P3688"/>
  <c r="T3688"/>
  <c r="U3688"/>
  <c r="V3688"/>
  <c r="W3688"/>
  <c r="Y3688"/>
  <c r="AA3688"/>
  <c r="AB3688"/>
  <c r="AC3688"/>
  <c r="AD3688"/>
  <c r="P3689"/>
  <c r="T3689"/>
  <c r="U3689"/>
  <c r="V3689"/>
  <c r="W3689"/>
  <c r="Y3689"/>
  <c r="AA3689"/>
  <c r="AB3689"/>
  <c r="AC3689"/>
  <c r="AD3689"/>
  <c r="P3690"/>
  <c r="T3690"/>
  <c r="U3690"/>
  <c r="V3690"/>
  <c r="W3690"/>
  <c r="Y3690"/>
  <c r="AA3690"/>
  <c r="AB3690"/>
  <c r="AC3690"/>
  <c r="AD3690"/>
  <c r="P3691"/>
  <c r="T3691"/>
  <c r="U3691"/>
  <c r="V3691"/>
  <c r="W3691"/>
  <c r="Y3691"/>
  <c r="AA3691"/>
  <c r="AB3691"/>
  <c r="AC3691"/>
  <c r="AD3691"/>
  <c r="P3692"/>
  <c r="T3692"/>
  <c r="U3692"/>
  <c r="V3692"/>
  <c r="W3692"/>
  <c r="Y3692"/>
  <c r="AA3692"/>
  <c r="AB3692"/>
  <c r="AC3692"/>
  <c r="AD3692"/>
  <c r="P3693"/>
  <c r="T3693"/>
  <c r="U3693"/>
  <c r="V3693"/>
  <c r="W3693"/>
  <c r="Y3693"/>
  <c r="AA3693"/>
  <c r="AB3693"/>
  <c r="AC3693"/>
  <c r="AD3693"/>
  <c r="P3694"/>
  <c r="T3694"/>
  <c r="U3694"/>
  <c r="V3694"/>
  <c r="W3694"/>
  <c r="Y3694"/>
  <c r="AA3694"/>
  <c r="AB3694"/>
  <c r="AC3694"/>
  <c r="AD3694"/>
  <c r="P3695"/>
  <c r="T3695"/>
  <c r="U3695"/>
  <c r="V3695"/>
  <c r="W3695"/>
  <c r="Y3695"/>
  <c r="AA3695"/>
  <c r="AB3695"/>
  <c r="AC3695"/>
  <c r="AD3695"/>
  <c r="P3696"/>
  <c r="T3696"/>
  <c r="U3696"/>
  <c r="V3696"/>
  <c r="W3696"/>
  <c r="Y3696"/>
  <c r="AA3696"/>
  <c r="AB3696"/>
  <c r="AC3696"/>
  <c r="AD3696"/>
  <c r="P3697"/>
  <c r="T3697"/>
  <c r="U3697"/>
  <c r="V3697"/>
  <c r="W3697"/>
  <c r="Y3697"/>
  <c r="AA3697"/>
  <c r="AB3697"/>
  <c r="AC3697"/>
  <c r="AD3697"/>
  <c r="P3698"/>
  <c r="T3698"/>
  <c r="U3698"/>
  <c r="V3698"/>
  <c r="W3698"/>
  <c r="Y3698"/>
  <c r="AA3698"/>
  <c r="AB3698"/>
  <c r="AC3698"/>
  <c r="AD3698"/>
  <c r="P3699"/>
  <c r="T3699"/>
  <c r="U3699"/>
  <c r="V3699"/>
  <c r="W3699"/>
  <c r="Y3699"/>
  <c r="AA3699"/>
  <c r="AB3699"/>
  <c r="AC3699"/>
  <c r="AD3699"/>
  <c r="P3700"/>
  <c r="T3700"/>
  <c r="U3700"/>
  <c r="V3700"/>
  <c r="W3700"/>
  <c r="Y3700"/>
  <c r="AA3700"/>
  <c r="AB3700"/>
  <c r="AC3700"/>
  <c r="AD3700"/>
  <c r="P3701"/>
  <c r="T3701"/>
  <c r="U3701"/>
  <c r="V3701"/>
  <c r="W3701"/>
  <c r="Y3701"/>
  <c r="AA3701"/>
  <c r="AB3701"/>
  <c r="AC3701"/>
  <c r="AD3701"/>
  <c r="P3702"/>
  <c r="T3702"/>
  <c r="U3702"/>
  <c r="V3702"/>
  <c r="W3702"/>
  <c r="Y3702"/>
  <c r="AA3702"/>
  <c r="AB3702"/>
  <c r="AC3702"/>
  <c r="AD3702"/>
  <c r="P3703"/>
  <c r="T3703"/>
  <c r="U3703"/>
  <c r="V3703"/>
  <c r="W3703"/>
  <c r="Y3703"/>
  <c r="AA3703"/>
  <c r="AB3703"/>
  <c r="AC3703"/>
  <c r="AD3703"/>
  <c r="P3704"/>
  <c r="T3704"/>
  <c r="U3704"/>
  <c r="V3704"/>
  <c r="W3704"/>
  <c r="Y3704"/>
  <c r="AA3704"/>
  <c r="AB3704"/>
  <c r="AC3704"/>
  <c r="AD3704"/>
  <c r="P3705"/>
  <c r="T3705"/>
  <c r="U3705"/>
  <c r="V3705"/>
  <c r="W3705"/>
  <c r="Y3705"/>
  <c r="AA3705"/>
  <c r="AB3705"/>
  <c r="AC3705"/>
  <c r="AD3705"/>
  <c r="P3706"/>
  <c r="T3706"/>
  <c r="U3706"/>
  <c r="V3706"/>
  <c r="W3706"/>
  <c r="Y3706"/>
  <c r="AA3706"/>
  <c r="AB3706"/>
  <c r="AC3706"/>
  <c r="AD3706"/>
  <c r="P3707"/>
  <c r="T3707"/>
  <c r="U3707"/>
  <c r="V3707"/>
  <c r="W3707"/>
  <c r="Y3707"/>
  <c r="AA3707"/>
  <c r="AB3707"/>
  <c r="AC3707"/>
  <c r="AD3707"/>
  <c r="P3708"/>
  <c r="T3708"/>
  <c r="U3708"/>
  <c r="V3708"/>
  <c r="W3708"/>
  <c r="Y3708"/>
  <c r="AA3708"/>
  <c r="AB3708"/>
  <c r="AC3708"/>
  <c r="AD3708"/>
  <c r="P3709"/>
  <c r="T3709"/>
  <c r="U3709"/>
  <c r="V3709"/>
  <c r="W3709"/>
  <c r="Y3709"/>
  <c r="AA3709"/>
  <c r="AB3709"/>
  <c r="AC3709"/>
  <c r="AD3709"/>
  <c r="P3710"/>
  <c r="T3710"/>
  <c r="U3710"/>
  <c r="V3710"/>
  <c r="W3710"/>
  <c r="Y3710"/>
  <c r="AA3710"/>
  <c r="AB3710"/>
  <c r="AC3710"/>
  <c r="AD3710"/>
  <c r="P3711"/>
  <c r="T3711"/>
  <c r="U3711"/>
  <c r="V3711"/>
  <c r="W3711"/>
  <c r="Y3711"/>
  <c r="AA3711"/>
  <c r="AB3711"/>
  <c r="AC3711"/>
  <c r="AD3711"/>
  <c r="P3712"/>
  <c r="T3712"/>
  <c r="U3712"/>
  <c r="V3712"/>
  <c r="W3712"/>
  <c r="Y3712"/>
  <c r="AA3712"/>
  <c r="AB3712"/>
  <c r="AC3712"/>
  <c r="AD3712"/>
  <c r="P3713"/>
  <c r="T3713"/>
  <c r="U3713"/>
  <c r="V3713"/>
  <c r="W3713"/>
  <c r="Y3713"/>
  <c r="AA3713"/>
  <c r="AB3713"/>
  <c r="AC3713"/>
  <c r="AD3713"/>
  <c r="P3714"/>
  <c r="T3714"/>
  <c r="U3714"/>
  <c r="V3714"/>
  <c r="W3714"/>
  <c r="Y3714"/>
  <c r="AA3714"/>
  <c r="AB3714"/>
  <c r="AC3714"/>
  <c r="AD3714"/>
  <c r="P3715"/>
  <c r="T3715"/>
  <c r="U3715"/>
  <c r="V3715"/>
  <c r="W3715"/>
  <c r="Y3715"/>
  <c r="AA3715"/>
  <c r="AB3715"/>
  <c r="AC3715"/>
  <c r="AD3715"/>
  <c r="P3716"/>
  <c r="T3716"/>
  <c r="U3716"/>
  <c r="V3716"/>
  <c r="W3716"/>
  <c r="Y3716"/>
  <c r="AA3716"/>
  <c r="AB3716"/>
  <c r="AC3716"/>
  <c r="AD3716"/>
  <c r="P3717"/>
  <c r="T3717"/>
  <c r="U3717"/>
  <c r="V3717"/>
  <c r="W3717"/>
  <c r="Y3717"/>
  <c r="AA3717"/>
  <c r="AB3717"/>
  <c r="AC3717"/>
  <c r="AD3717"/>
  <c r="P3718"/>
  <c r="T3718"/>
  <c r="U3718"/>
  <c r="V3718"/>
  <c r="W3718"/>
  <c r="Y3718"/>
  <c r="AA3718"/>
  <c r="AB3718"/>
  <c r="AC3718"/>
  <c r="AD3718"/>
  <c r="P3719"/>
  <c r="T3719"/>
  <c r="U3719"/>
  <c r="V3719"/>
  <c r="W3719"/>
  <c r="Y3719"/>
  <c r="AA3719"/>
  <c r="AB3719"/>
  <c r="AC3719"/>
  <c r="AD3719"/>
  <c r="P3720"/>
  <c r="T3720"/>
  <c r="U3720"/>
  <c r="V3720"/>
  <c r="W3720"/>
  <c r="Y3720"/>
  <c r="AA3720"/>
  <c r="AB3720"/>
  <c r="AC3720"/>
  <c r="AD3720"/>
  <c r="P3721"/>
  <c r="T3721"/>
  <c r="U3721"/>
  <c r="V3721"/>
  <c r="W3721"/>
  <c r="Y3721"/>
  <c r="AA3721"/>
  <c r="AB3721"/>
  <c r="AC3721"/>
  <c r="AD3721"/>
  <c r="P3722"/>
  <c r="T3722"/>
  <c r="U3722"/>
  <c r="V3722"/>
  <c r="W3722"/>
  <c r="Y3722"/>
  <c r="AA3722"/>
  <c r="AB3722"/>
  <c r="AC3722"/>
  <c r="AD3722"/>
  <c r="P3723"/>
  <c r="T3723"/>
  <c r="U3723"/>
  <c r="V3723"/>
  <c r="W3723"/>
  <c r="Y3723"/>
  <c r="AA3723"/>
  <c r="AB3723"/>
  <c r="AC3723"/>
  <c r="AD3723"/>
  <c r="P3724"/>
  <c r="T3724"/>
  <c r="U3724"/>
  <c r="V3724"/>
  <c r="W3724"/>
  <c r="Y3724"/>
  <c r="AA3724"/>
  <c r="AB3724"/>
  <c r="AC3724"/>
  <c r="AD3724"/>
  <c r="P3725"/>
  <c r="T3725"/>
  <c r="U3725"/>
  <c r="V3725"/>
  <c r="W3725"/>
  <c r="Y3725"/>
  <c r="AA3725"/>
  <c r="AB3725"/>
  <c r="AC3725"/>
  <c r="AD3725"/>
  <c r="P3726"/>
  <c r="T3726"/>
  <c r="U3726"/>
  <c r="V3726"/>
  <c r="W3726"/>
  <c r="Y3726"/>
  <c r="AA3726"/>
  <c r="AB3726"/>
  <c r="AC3726"/>
  <c r="AD3726"/>
  <c r="P3727"/>
  <c r="T3727"/>
  <c r="U3727"/>
  <c r="V3727"/>
  <c r="W3727"/>
  <c r="Y3727"/>
  <c r="AA3727"/>
  <c r="AB3727"/>
  <c r="AC3727"/>
  <c r="AD3727"/>
  <c r="P3728"/>
  <c r="T3728"/>
  <c r="U3728"/>
  <c r="V3728"/>
  <c r="W3728"/>
  <c r="Y3728"/>
  <c r="AA3728"/>
  <c r="AB3728"/>
  <c r="AC3728"/>
  <c r="AD3728"/>
  <c r="P3729"/>
  <c r="T3729"/>
  <c r="U3729"/>
  <c r="V3729"/>
  <c r="W3729"/>
  <c r="Y3729"/>
  <c r="AA3729"/>
  <c r="AB3729"/>
  <c r="AC3729"/>
  <c r="AD3729"/>
  <c r="P3730"/>
  <c r="T3730"/>
  <c r="U3730"/>
  <c r="V3730"/>
  <c r="W3730"/>
  <c r="Y3730"/>
  <c r="AA3730"/>
  <c r="AB3730"/>
  <c r="AC3730"/>
  <c r="AD3730"/>
  <c r="P3731"/>
  <c r="T3731"/>
  <c r="U3731"/>
  <c r="V3731"/>
  <c r="W3731"/>
  <c r="Y3731"/>
  <c r="AA3731"/>
  <c r="AB3731"/>
  <c r="AC3731"/>
  <c r="AD3731"/>
  <c r="P3732"/>
  <c r="T3732"/>
  <c r="U3732"/>
  <c r="V3732"/>
  <c r="W3732"/>
  <c r="Y3732"/>
  <c r="AA3732"/>
  <c r="AB3732"/>
  <c r="AC3732"/>
  <c r="AD3732"/>
  <c r="P3733"/>
  <c r="T3733"/>
  <c r="U3733"/>
  <c r="V3733"/>
  <c r="W3733"/>
  <c r="Y3733"/>
  <c r="AA3733"/>
  <c r="AB3733"/>
  <c r="AC3733"/>
  <c r="AD3733"/>
  <c r="P3734"/>
  <c r="T3734"/>
  <c r="U3734"/>
  <c r="V3734"/>
  <c r="W3734"/>
  <c r="Y3734"/>
  <c r="AA3734"/>
  <c r="AB3734"/>
  <c r="AC3734"/>
  <c r="AD3734"/>
  <c r="P3735"/>
  <c r="T3735"/>
  <c r="U3735"/>
  <c r="V3735"/>
  <c r="W3735"/>
  <c r="Y3735"/>
  <c r="AA3735"/>
  <c r="AB3735"/>
  <c r="AC3735"/>
  <c r="AD3735"/>
  <c r="P3736"/>
  <c r="T3736"/>
  <c r="U3736"/>
  <c r="V3736"/>
  <c r="W3736"/>
  <c r="Y3736"/>
  <c r="AA3736"/>
  <c r="AB3736"/>
  <c r="AC3736"/>
  <c r="AD3736"/>
  <c r="P3737"/>
  <c r="T3737"/>
  <c r="U3737"/>
  <c r="V3737"/>
  <c r="W3737"/>
  <c r="Y3737"/>
  <c r="AA3737"/>
  <c r="AB3737"/>
  <c r="AC3737"/>
  <c r="AD3737"/>
  <c r="P3738"/>
  <c r="T3738"/>
  <c r="U3738"/>
  <c r="V3738"/>
  <c r="W3738"/>
  <c r="Y3738"/>
  <c r="AA3738"/>
  <c r="AB3738"/>
  <c r="AC3738"/>
  <c r="AD3738"/>
  <c r="P3739"/>
  <c r="T3739"/>
  <c r="U3739"/>
  <c r="V3739"/>
  <c r="W3739"/>
  <c r="Y3739"/>
  <c r="AA3739"/>
  <c r="AB3739"/>
  <c r="AC3739"/>
  <c r="AD3739"/>
  <c r="P3740"/>
  <c r="T3740"/>
  <c r="U3740"/>
  <c r="V3740"/>
  <c r="W3740"/>
  <c r="Y3740"/>
  <c r="AA3740"/>
  <c r="AB3740"/>
  <c r="AC3740"/>
  <c r="AD3740"/>
  <c r="P3741"/>
  <c r="T3741"/>
  <c r="U3741"/>
  <c r="V3741"/>
  <c r="W3741"/>
  <c r="Y3741"/>
  <c r="AA3741"/>
  <c r="AB3741"/>
  <c r="AC3741"/>
  <c r="AD3741"/>
  <c r="P3742"/>
  <c r="T3742"/>
  <c r="U3742"/>
  <c r="V3742"/>
  <c r="W3742"/>
  <c r="Y3742"/>
  <c r="AA3742"/>
  <c r="AB3742"/>
  <c r="AC3742"/>
  <c r="AD3742"/>
  <c r="P3743"/>
  <c r="T3743"/>
  <c r="U3743"/>
  <c r="V3743"/>
  <c r="W3743"/>
  <c r="Y3743"/>
  <c r="AA3743"/>
  <c r="AB3743"/>
  <c r="AC3743"/>
  <c r="AD3743"/>
  <c r="P3744"/>
  <c r="T3744"/>
  <c r="U3744"/>
  <c r="V3744"/>
  <c r="W3744"/>
  <c r="Y3744"/>
  <c r="AA3744"/>
  <c r="AB3744"/>
  <c r="AC3744"/>
  <c r="AD3744"/>
  <c r="P3745"/>
  <c r="T3745"/>
  <c r="U3745"/>
  <c r="V3745"/>
  <c r="W3745"/>
  <c r="Y3745"/>
  <c r="AA3745"/>
  <c r="AB3745"/>
  <c r="AC3745"/>
  <c r="AD3745"/>
  <c r="P3746"/>
  <c r="T3746"/>
  <c r="U3746"/>
  <c r="V3746"/>
  <c r="W3746"/>
  <c r="Y3746"/>
  <c r="AA3746"/>
  <c r="AB3746"/>
  <c r="AC3746"/>
  <c r="AD3746"/>
  <c r="P3747"/>
  <c r="T3747"/>
  <c r="U3747"/>
  <c r="V3747"/>
  <c r="W3747"/>
  <c r="Y3747"/>
  <c r="AA3747"/>
  <c r="AB3747"/>
  <c r="AC3747"/>
  <c r="AD3747"/>
  <c r="P3748"/>
  <c r="T3748"/>
  <c r="U3748"/>
  <c r="V3748"/>
  <c r="W3748"/>
  <c r="Y3748"/>
  <c r="AA3748"/>
  <c r="AB3748"/>
  <c r="AC3748"/>
  <c r="AD3748"/>
  <c r="P3749"/>
  <c r="T3749"/>
  <c r="U3749"/>
  <c r="V3749"/>
  <c r="W3749"/>
  <c r="Y3749"/>
  <c r="AA3749"/>
  <c r="AB3749"/>
  <c r="AC3749"/>
  <c r="AD3749"/>
  <c r="P3750"/>
  <c r="T3750"/>
  <c r="U3750"/>
  <c r="V3750"/>
  <c r="W3750"/>
  <c r="Y3750"/>
  <c r="AA3750"/>
  <c r="AB3750"/>
  <c r="AC3750"/>
  <c r="AD3750"/>
  <c r="P3751"/>
  <c r="T3751"/>
  <c r="U3751"/>
  <c r="V3751"/>
  <c r="W3751"/>
  <c r="Y3751"/>
  <c r="AA3751"/>
  <c r="AB3751"/>
  <c r="AC3751"/>
  <c r="AD3751"/>
  <c r="P3752"/>
  <c r="T3752"/>
  <c r="U3752"/>
  <c r="V3752"/>
  <c r="W3752"/>
  <c r="Y3752"/>
  <c r="AA3752"/>
  <c r="AB3752"/>
  <c r="AC3752"/>
  <c r="AD3752"/>
  <c r="P3753"/>
  <c r="T3753"/>
  <c r="U3753"/>
  <c r="V3753"/>
  <c r="W3753"/>
  <c r="Y3753"/>
  <c r="AA3753"/>
  <c r="AB3753"/>
  <c r="AC3753"/>
  <c r="AD3753"/>
  <c r="P3754"/>
  <c r="T3754"/>
  <c r="U3754"/>
  <c r="V3754"/>
  <c r="W3754"/>
  <c r="Y3754"/>
  <c r="AA3754"/>
  <c r="AB3754"/>
  <c r="AC3754"/>
  <c r="AD3754"/>
  <c r="P3755"/>
  <c r="T3755"/>
  <c r="U3755"/>
  <c r="V3755"/>
  <c r="W3755"/>
  <c r="Y3755"/>
  <c r="AA3755"/>
  <c r="AB3755"/>
  <c r="AC3755"/>
  <c r="AD3755"/>
  <c r="P3756"/>
  <c r="T3756"/>
  <c r="U3756"/>
  <c r="V3756"/>
  <c r="W3756"/>
  <c r="Y3756"/>
  <c r="AA3756"/>
  <c r="AB3756"/>
  <c r="AC3756"/>
  <c r="AD3756"/>
  <c r="P3757"/>
  <c r="T3757"/>
  <c r="U3757"/>
  <c r="V3757"/>
  <c r="W3757"/>
  <c r="Y3757"/>
  <c r="AA3757"/>
  <c r="AB3757"/>
  <c r="AC3757"/>
  <c r="AD3757"/>
  <c r="P3758"/>
  <c r="T3758"/>
  <c r="U3758"/>
  <c r="V3758"/>
  <c r="W3758"/>
  <c r="Y3758"/>
  <c r="AA3758"/>
  <c r="AB3758"/>
  <c r="AC3758"/>
  <c r="AD3758"/>
  <c r="P3759"/>
  <c r="T3759"/>
  <c r="U3759"/>
  <c r="V3759"/>
  <c r="W3759"/>
  <c r="Y3759"/>
  <c r="AA3759"/>
  <c r="AB3759"/>
  <c r="AC3759"/>
  <c r="AD3759"/>
  <c r="P3760"/>
  <c r="T3760"/>
  <c r="U3760"/>
  <c r="V3760"/>
  <c r="W3760"/>
  <c r="Y3760"/>
  <c r="AA3760"/>
  <c r="AB3760"/>
  <c r="AC3760"/>
  <c r="AD3760"/>
  <c r="P3761"/>
  <c r="T3761"/>
  <c r="U3761"/>
  <c r="V3761"/>
  <c r="W3761"/>
  <c r="Y3761"/>
  <c r="AA3761"/>
  <c r="AB3761"/>
  <c r="AC3761"/>
  <c r="AD3761"/>
  <c r="P3762"/>
  <c r="T3762"/>
  <c r="U3762"/>
  <c r="V3762"/>
  <c r="W3762"/>
  <c r="Y3762"/>
  <c r="AA3762"/>
  <c r="AB3762"/>
  <c r="AC3762"/>
  <c r="AD3762"/>
  <c r="P3763"/>
  <c r="T3763"/>
  <c r="U3763"/>
  <c r="V3763"/>
  <c r="W3763"/>
  <c r="Y3763"/>
  <c r="AA3763"/>
  <c r="AB3763"/>
  <c r="AC3763"/>
  <c r="AD3763"/>
  <c r="P3764"/>
  <c r="T3764"/>
  <c r="U3764"/>
  <c r="V3764"/>
  <c r="W3764"/>
  <c r="Y3764"/>
  <c r="AA3764"/>
  <c r="AB3764"/>
  <c r="AC3764"/>
  <c r="AD3764"/>
  <c r="P3765"/>
  <c r="T3765"/>
  <c r="U3765"/>
  <c r="V3765"/>
  <c r="W3765"/>
  <c r="Y3765"/>
  <c r="AA3765"/>
  <c r="AB3765"/>
  <c r="AC3765"/>
  <c r="AD3765"/>
  <c r="P3766"/>
  <c r="T3766"/>
  <c r="U3766"/>
  <c r="V3766"/>
  <c r="W3766"/>
  <c r="Y3766"/>
  <c r="AA3766"/>
  <c r="AB3766"/>
  <c r="AC3766"/>
  <c r="AD3766"/>
  <c r="P3767"/>
  <c r="T3767"/>
  <c r="U3767"/>
  <c r="V3767"/>
  <c r="W3767"/>
  <c r="Y3767"/>
  <c r="AA3767"/>
  <c r="AB3767"/>
  <c r="AC3767"/>
  <c r="AD3767"/>
  <c r="P3768"/>
  <c r="T3768"/>
  <c r="U3768"/>
  <c r="V3768"/>
  <c r="W3768"/>
  <c r="Y3768"/>
  <c r="AA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A3773"/>
  <c r="AB3773"/>
  <c r="AC3773"/>
  <c r="AD3773"/>
  <c r="P3774"/>
  <c r="T3774"/>
  <c r="U3774"/>
  <c r="V3774"/>
  <c r="W3774"/>
  <c r="Y3774"/>
  <c r="AA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A3781"/>
  <c r="AB3781"/>
  <c r="AC3781"/>
  <c r="AD3781"/>
  <c r="P3782"/>
  <c r="T3782"/>
  <c r="U3782"/>
  <c r="V3782"/>
  <c r="W3782"/>
  <c r="Y3782"/>
  <c r="AA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A3787"/>
  <c r="AB3787"/>
  <c r="AC3787"/>
  <c r="AD3787"/>
  <c r="P3788"/>
  <c r="T3788"/>
  <c r="U3788"/>
  <c r="V3788"/>
  <c r="W3788"/>
  <c r="Y3788"/>
  <c r="AA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A3793"/>
  <c r="AB3793"/>
  <c r="AC3793"/>
  <c r="AD3793"/>
  <c r="P3794"/>
  <c r="T3794"/>
  <c r="U3794"/>
  <c r="V3794"/>
  <c r="W3794"/>
  <c r="Y3794"/>
  <c r="AA3794"/>
  <c r="AB3794"/>
  <c r="AC3794"/>
  <c r="AD3794"/>
  <c r="P3795"/>
  <c r="T3795"/>
  <c r="U3795"/>
  <c r="V3795"/>
  <c r="W3795"/>
  <c r="Y3795"/>
  <c r="AA3795"/>
  <c r="AB3795"/>
  <c r="AC3795"/>
  <c r="AD3795"/>
  <c r="P3796"/>
  <c r="T3796"/>
  <c r="U3796"/>
  <c r="V3796"/>
  <c r="W3796"/>
  <c r="Y3796"/>
  <c r="AA3796"/>
  <c r="AB3796"/>
  <c r="AC3796"/>
  <c r="AD3796"/>
  <c r="P3797"/>
  <c r="T3797"/>
  <c r="U3797"/>
  <c r="V3797"/>
  <c r="W3797"/>
  <c r="Y3797"/>
  <c r="AA3797"/>
  <c r="AB3797"/>
  <c r="AC3797"/>
  <c r="AD3797"/>
  <c r="P3798"/>
  <c r="T3798"/>
  <c r="U3798"/>
  <c r="V3798"/>
  <c r="W3798"/>
  <c r="Y3798"/>
  <c r="AA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T3805"/>
  <c r="U3805"/>
  <c r="V3805"/>
  <c r="W3805"/>
  <c r="Y3805"/>
  <c r="AA3805"/>
  <c r="AB3805"/>
  <c r="AC3805"/>
  <c r="AD3805"/>
  <c r="P3806"/>
  <c r="T3806"/>
  <c r="U3806"/>
  <c r="V3806"/>
  <c r="W3806"/>
  <c r="Y3806"/>
  <c r="AA3806"/>
  <c r="AB3806"/>
  <c r="AC3806"/>
  <c r="AD3806"/>
  <c r="P3807"/>
  <c r="T3807"/>
  <c r="U3807"/>
  <c r="V3807"/>
  <c r="W3807"/>
  <c r="Y3807"/>
  <c r="AA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T3811"/>
  <c r="U3811"/>
  <c r="V3811"/>
  <c r="W3811"/>
  <c r="Y3811"/>
  <c r="AA3811"/>
  <c r="AB3811"/>
  <c r="AC3811"/>
  <c r="AD3811"/>
  <c r="P3812"/>
  <c r="T3812"/>
  <c r="U3812"/>
  <c r="V3812"/>
  <c r="W3812"/>
  <c r="Y3812"/>
  <c r="AA3812"/>
  <c r="AB3812"/>
  <c r="AC3812"/>
  <c r="AD3812"/>
  <c r="P3813"/>
  <c r="T3813"/>
  <c r="U3813"/>
  <c r="V3813"/>
  <c r="W3813"/>
  <c r="Y3813"/>
  <c r="AA3813"/>
  <c r="AB3813"/>
  <c r="AC3813"/>
  <c r="AD3813"/>
  <c r="P3814"/>
  <c r="T3814"/>
  <c r="U3814"/>
  <c r="V3814"/>
  <c r="W3814"/>
  <c r="Y3814"/>
  <c r="AA3814"/>
  <c r="AB3814"/>
  <c r="AC3814"/>
  <c r="AD3814"/>
  <c r="P3815"/>
  <c r="T3815"/>
  <c r="U3815"/>
  <c r="V3815"/>
  <c r="W3815"/>
  <c r="Y3815"/>
  <c r="AA3815"/>
  <c r="AB3815"/>
  <c r="AC3815"/>
  <c r="AD3815"/>
  <c r="P3816"/>
  <c r="T3816"/>
  <c r="U3816"/>
  <c r="V3816"/>
  <c r="W3816"/>
  <c r="Y3816"/>
  <c r="AA3816"/>
  <c r="AB3816"/>
  <c r="AC3816"/>
  <c r="AD3816"/>
  <c r="P3817"/>
  <c r="T3817"/>
  <c r="U3817"/>
  <c r="V3817"/>
  <c r="W3817"/>
  <c r="Y3817"/>
  <c r="AA3817"/>
  <c r="AB3817"/>
  <c r="AC3817"/>
  <c r="AD3817"/>
  <c r="P3818"/>
  <c r="T3818"/>
  <c r="U3818"/>
  <c r="V3818"/>
  <c r="W3818"/>
  <c r="Y3818"/>
  <c r="AA3818"/>
  <c r="AB3818"/>
  <c r="AC3818"/>
  <c r="AD3818"/>
  <c r="P3819"/>
  <c r="T3819"/>
  <c r="U3819"/>
  <c r="V3819"/>
  <c r="W3819"/>
  <c r="Y3819"/>
  <c r="AA3819"/>
  <c r="AB3819"/>
  <c r="AC3819"/>
  <c r="AD3819"/>
  <c r="P3820"/>
  <c r="T3820"/>
  <c r="U3820"/>
  <c r="V3820"/>
  <c r="W3820"/>
  <c r="Y3820"/>
  <c r="AA3820"/>
  <c r="AB3820"/>
  <c r="AC3820"/>
  <c r="AD3820"/>
  <c r="P3821"/>
  <c r="T3821"/>
  <c r="U3821"/>
  <c r="V3821"/>
  <c r="W3821"/>
  <c r="Y3821"/>
  <c r="AA3821"/>
  <c r="AB3821"/>
  <c r="AC3821"/>
  <c r="AD3821"/>
  <c r="P3822"/>
  <c r="T3822"/>
  <c r="U3822"/>
  <c r="V3822"/>
  <c r="W3822"/>
  <c r="Y3822"/>
  <c r="AA3822"/>
  <c r="AB3822"/>
  <c r="AC3822"/>
  <c r="AD3822"/>
  <c r="P3823"/>
  <c r="T3823"/>
  <c r="U3823"/>
  <c r="V3823"/>
  <c r="W3823"/>
  <c r="Y3823"/>
  <c r="AA3823"/>
  <c r="AB3823"/>
  <c r="AC3823"/>
  <c r="AD3823"/>
  <c r="P3824"/>
  <c r="T3824"/>
  <c r="U3824"/>
  <c r="V3824"/>
  <c r="W3824"/>
  <c r="Y3824"/>
  <c r="AA3824"/>
  <c r="AB3824"/>
  <c r="AC3824"/>
  <c r="AD3824"/>
  <c r="P3825"/>
  <c r="T3825"/>
  <c r="U3825"/>
  <c r="V3825"/>
  <c r="W3825"/>
  <c r="Y3825"/>
  <c r="AA3825"/>
  <c r="AB3825"/>
  <c r="AC3825"/>
  <c r="AD3825"/>
  <c r="P3826"/>
  <c r="T3826"/>
  <c r="U3826"/>
  <c r="V3826"/>
  <c r="W3826"/>
  <c r="Y3826"/>
  <c r="AA3826"/>
  <c r="AB3826"/>
  <c r="AC3826"/>
  <c r="AD3826"/>
  <c r="P3827"/>
  <c r="T3827"/>
  <c r="U3827"/>
  <c r="V3827"/>
  <c r="W3827"/>
  <c r="Y3827"/>
  <c r="AA3827"/>
  <c r="AB3827"/>
  <c r="AC3827"/>
  <c r="AD3827"/>
  <c r="P3828"/>
  <c r="T3828"/>
  <c r="U3828"/>
  <c r="V3828"/>
  <c r="W3828"/>
  <c r="Y3828"/>
  <c r="AA3828"/>
  <c r="AB3828"/>
  <c r="AC3828"/>
  <c r="AD3828"/>
  <c r="P3829"/>
  <c r="T3829"/>
  <c r="U3829"/>
  <c r="V3829"/>
  <c r="W3829"/>
  <c r="Y3829"/>
  <c r="AA3829"/>
  <c r="AB3829"/>
  <c r="AC3829"/>
  <c r="AD3829"/>
  <c r="P3830"/>
  <c r="T3830"/>
  <c r="U3830"/>
  <c r="V3830"/>
  <c r="W3830"/>
  <c r="Y3830"/>
  <c r="AA3830"/>
  <c r="AB3830"/>
  <c r="AC3830"/>
  <c r="AD3830"/>
  <c r="P3831"/>
  <c r="T3831"/>
  <c r="U3831"/>
  <c r="V3831"/>
  <c r="W3831"/>
  <c r="Y3831"/>
  <c r="AA3831"/>
  <c r="AB3831"/>
  <c r="AC3831"/>
  <c r="AD3831"/>
  <c r="P3832"/>
  <c r="T3832"/>
  <c r="U3832"/>
  <c r="V3832"/>
  <c r="W3832"/>
  <c r="Y3832"/>
  <c r="AA3832"/>
  <c r="AB3832"/>
  <c r="AC3832"/>
  <c r="AD3832"/>
  <c r="P3833"/>
  <c r="T3833"/>
  <c r="U3833"/>
  <c r="V3833"/>
  <c r="W3833"/>
  <c r="Y3833"/>
  <c r="AA3833"/>
  <c r="AB3833"/>
  <c r="AC3833"/>
  <c r="AD3833"/>
  <c r="P3834"/>
  <c r="T3834"/>
  <c r="U3834"/>
  <c r="V3834"/>
  <c r="W3834"/>
  <c r="Y3834"/>
  <c r="AA3834"/>
  <c r="AB3834"/>
  <c r="AC3834"/>
  <c r="AD3834"/>
  <c r="P3835"/>
  <c r="T3835"/>
  <c r="U3835"/>
  <c r="V3835"/>
  <c r="W3835"/>
  <c r="Y3835"/>
  <c r="AA3835"/>
  <c r="AB3835"/>
  <c r="AC3835"/>
  <c r="AD3835"/>
  <c r="P3836"/>
  <c r="T3836"/>
  <c r="U3836"/>
  <c r="V3836"/>
  <c r="W3836"/>
  <c r="Y3836"/>
  <c r="AA3836"/>
  <c r="AB3836"/>
  <c r="AC3836"/>
  <c r="AD3836"/>
  <c r="P3837"/>
  <c r="T3837"/>
  <c r="U3837"/>
  <c r="V3837"/>
  <c r="W3837"/>
  <c r="Y3837"/>
  <c r="AA3837"/>
  <c r="AB3837"/>
  <c r="AC3837"/>
  <c r="AD3837"/>
  <c r="P3838"/>
  <c r="T3838"/>
  <c r="U3838"/>
  <c r="V3838"/>
  <c r="W3838"/>
  <c r="Y3838"/>
  <c r="AA3838"/>
  <c r="AB3838"/>
  <c r="AC3838"/>
  <c r="AD3838"/>
  <c r="P3839"/>
  <c r="T3839"/>
  <c r="U3839"/>
  <c r="V3839"/>
  <c r="W3839"/>
  <c r="Y3839"/>
  <c r="AA3839"/>
  <c r="AB3839"/>
  <c r="AC3839"/>
  <c r="AD3839"/>
  <c r="P3840"/>
  <c r="T3840"/>
  <c r="U3840"/>
  <c r="V3840"/>
  <c r="W3840"/>
  <c r="Y3840"/>
  <c r="AA3840"/>
  <c r="AB3840"/>
  <c r="AC3840"/>
  <c r="AD3840"/>
  <c r="P3841"/>
  <c r="T3841"/>
  <c r="U3841"/>
  <c r="V3841"/>
  <c r="W3841"/>
  <c r="Y3841"/>
  <c r="AA3841"/>
  <c r="AB3841"/>
  <c r="AC3841"/>
  <c r="AD3841"/>
  <c r="P3842"/>
  <c r="T3842"/>
  <c r="U3842"/>
  <c r="V3842"/>
  <c r="W3842"/>
  <c r="Y3842"/>
  <c r="AA3842"/>
  <c r="AB3842"/>
  <c r="AC3842"/>
  <c r="AD3842"/>
  <c r="P3843"/>
  <c r="T3843"/>
  <c r="U3843"/>
  <c r="V3843"/>
  <c r="W3843"/>
  <c r="Y3843"/>
  <c r="AA3843"/>
  <c r="AB3843"/>
  <c r="AC3843"/>
  <c r="AD3843"/>
  <c r="P3844"/>
  <c r="T3844"/>
  <c r="U3844"/>
  <c r="V3844"/>
  <c r="W3844"/>
  <c r="Y3844"/>
  <c r="AA3844"/>
  <c r="AB3844"/>
  <c r="AC3844"/>
  <c r="AD3844"/>
  <c r="P3845"/>
  <c r="T3845"/>
  <c r="U3845"/>
  <c r="V3845"/>
  <c r="W3845"/>
  <c r="Y3845"/>
  <c r="AA3845"/>
  <c r="AB3845"/>
  <c r="AC3845"/>
  <c r="AD3845"/>
  <c r="P3846"/>
  <c r="T3846"/>
  <c r="U3846"/>
  <c r="V3846"/>
  <c r="W3846"/>
  <c r="Y3846"/>
  <c r="AA3846"/>
  <c r="AB3846"/>
  <c r="AC3846"/>
  <c r="AD3846"/>
  <c r="P3847"/>
  <c r="T3847"/>
  <c r="U3847"/>
  <c r="V3847"/>
  <c r="W3847"/>
  <c r="Y3847"/>
  <c r="AA3847"/>
  <c r="AB3847"/>
  <c r="AC3847"/>
  <c r="AD3847"/>
  <c r="P3848"/>
  <c r="T3848"/>
  <c r="U3848"/>
  <c r="V3848"/>
  <c r="W3848"/>
  <c r="Y3848"/>
  <c r="AA3848"/>
  <c r="AB3848"/>
  <c r="AC3848"/>
  <c r="AD3848"/>
  <c r="P3849"/>
  <c r="T3849"/>
  <c r="U3849"/>
  <c r="V3849"/>
  <c r="W3849"/>
  <c r="Y3849"/>
  <c r="AA3849"/>
  <c r="AB3849"/>
  <c r="AC3849"/>
  <c r="AD3849"/>
  <c r="P3850"/>
  <c r="T3850"/>
  <c r="U3850"/>
  <c r="V3850"/>
  <c r="W3850"/>
  <c r="Y3850"/>
  <c r="AA3850"/>
  <c r="AB3850"/>
  <c r="AC3850"/>
  <c r="AD3850"/>
  <c r="P3851"/>
  <c r="T3851"/>
  <c r="U3851"/>
  <c r="V3851"/>
  <c r="W3851"/>
  <c r="Y3851"/>
  <c r="AA3851"/>
  <c r="AB3851"/>
  <c r="AC3851"/>
  <c r="AD3851"/>
  <c r="P3852"/>
  <c r="T3852"/>
  <c r="U3852"/>
  <c r="V3852"/>
  <c r="W3852"/>
  <c r="Y3852"/>
  <c r="AA3852"/>
  <c r="AB3852"/>
  <c r="AC3852"/>
  <c r="AD3852"/>
  <c r="P3853"/>
  <c r="T3853"/>
  <c r="U3853"/>
  <c r="V3853"/>
  <c r="W3853"/>
  <c r="Y3853"/>
  <c r="AA3853"/>
  <c r="AB3853"/>
  <c r="AC3853"/>
  <c r="AD3853"/>
  <c r="P3854"/>
  <c r="T3854"/>
  <c r="U3854"/>
  <c r="V3854"/>
  <c r="W3854"/>
  <c r="Y3854"/>
  <c r="AA3854"/>
  <c r="AB3854"/>
  <c r="AC3854"/>
  <c r="AD3854"/>
  <c r="P3855"/>
  <c r="T3855"/>
  <c r="U3855"/>
  <c r="V3855"/>
  <c r="W3855"/>
  <c r="Y3855"/>
  <c r="AA3855"/>
  <c r="AB3855"/>
  <c r="AC3855"/>
  <c r="AD3855"/>
  <c r="P3856"/>
  <c r="T3856"/>
  <c r="U3856"/>
  <c r="V3856"/>
  <c r="W3856"/>
  <c r="Y3856"/>
  <c r="AA3856"/>
  <c r="AB3856"/>
  <c r="AC3856"/>
  <c r="AD3856"/>
  <c r="P3857"/>
  <c r="T3857"/>
  <c r="U3857"/>
  <c r="V3857"/>
  <c r="W3857"/>
  <c r="Y3857"/>
  <c r="AA3857"/>
  <c r="AB3857"/>
  <c r="AC3857"/>
  <c r="AD3857"/>
  <c r="P3858"/>
  <c r="T3858"/>
  <c r="U3858"/>
  <c r="V3858"/>
  <c r="W3858"/>
  <c r="Y3858"/>
  <c r="AA3858"/>
  <c r="AB3858"/>
  <c r="AC3858"/>
  <c r="AD3858"/>
  <c r="P3859"/>
  <c r="T3859"/>
  <c r="U3859"/>
  <c r="V3859"/>
  <c r="W3859"/>
  <c r="Y3859"/>
  <c r="AA3859"/>
  <c r="AB3859"/>
  <c r="AC3859"/>
  <c r="AD3859"/>
  <c r="P3860"/>
  <c r="T3860"/>
  <c r="U3860"/>
  <c r="V3860"/>
  <c r="W3860"/>
  <c r="Y3860"/>
  <c r="AA3860"/>
  <c r="AB3860"/>
  <c r="AC3860"/>
  <c r="AD3860"/>
  <c r="P3861"/>
  <c r="T3861"/>
  <c r="U3861"/>
  <c r="V3861"/>
  <c r="W3861"/>
  <c r="Y3861"/>
  <c r="AA3861"/>
  <c r="AB3861"/>
  <c r="AC3861"/>
  <c r="AD3861"/>
  <c r="P3862"/>
  <c r="T3862"/>
  <c r="U3862"/>
  <c r="V3862"/>
  <c r="W3862"/>
  <c r="Y3862"/>
  <c r="AA3862"/>
  <c r="AB3862"/>
  <c r="AC3862"/>
  <c r="AD3862"/>
  <c r="P3863"/>
  <c r="T3863"/>
  <c r="U3863"/>
  <c r="V3863"/>
  <c r="W3863"/>
  <c r="Y3863"/>
  <c r="AA3863"/>
  <c r="AB3863"/>
  <c r="AC3863"/>
  <c r="AD3863"/>
  <c r="P3864"/>
  <c r="T3864"/>
  <c r="U3864"/>
  <c r="V3864"/>
  <c r="W3864"/>
  <c r="Y3864"/>
  <c r="AA3864"/>
  <c r="AB3864"/>
  <c r="AC3864"/>
  <c r="AD3864"/>
  <c r="P3865"/>
  <c r="T3865"/>
  <c r="U3865"/>
  <c r="V3865"/>
  <c r="W3865"/>
  <c r="Y3865"/>
  <c r="AA3865"/>
  <c r="AB3865"/>
  <c r="AC3865"/>
  <c r="AD3865"/>
  <c r="P3866"/>
  <c r="T3866"/>
  <c r="U3866"/>
  <c r="V3866"/>
  <c r="W3866"/>
  <c r="Y3866"/>
  <c r="AA3866"/>
  <c r="AB3866"/>
  <c r="AC3866"/>
  <c r="AD3866"/>
  <c r="P3867"/>
  <c r="T3867"/>
  <c r="U3867"/>
  <c r="V3867"/>
  <c r="W3867"/>
  <c r="Y3867"/>
  <c r="AA3867"/>
  <c r="AB3867"/>
  <c r="AC3867"/>
  <c r="AD3867"/>
  <c r="P3868"/>
  <c r="T3868"/>
  <c r="U3868"/>
  <c r="V3868"/>
  <c r="W3868"/>
  <c r="Y3868"/>
  <c r="AA3868"/>
  <c r="AB3868"/>
  <c r="AC3868"/>
  <c r="AD3868"/>
  <c r="P3869"/>
  <c r="T3869"/>
  <c r="U3869"/>
  <c r="V3869"/>
  <c r="W3869"/>
  <c r="Y3869"/>
  <c r="AA3869"/>
  <c r="AB3869"/>
  <c r="AC3869"/>
  <c r="AD3869"/>
  <c r="P3870"/>
  <c r="T3870"/>
  <c r="U3870"/>
  <c r="V3870"/>
  <c r="W3870"/>
  <c r="Y3870"/>
  <c r="AA3870"/>
  <c r="AB3870"/>
  <c r="AC3870"/>
  <c r="AD3870"/>
  <c r="P3871"/>
  <c r="T3871"/>
  <c r="U3871"/>
  <c r="V3871"/>
  <c r="W3871"/>
  <c r="Y3871"/>
  <c r="AA3871"/>
  <c r="AB3871"/>
  <c r="AC3871"/>
  <c r="AD3871"/>
  <c r="P3872"/>
  <c r="T3872"/>
  <c r="U3872"/>
  <c r="V3872"/>
  <c r="W3872"/>
  <c r="Y3872"/>
  <c r="AA3872"/>
  <c r="AB3872"/>
  <c r="AC3872"/>
  <c r="AD3872"/>
  <c r="P3873"/>
  <c r="T3873"/>
  <c r="U3873"/>
  <c r="V3873"/>
  <c r="W3873"/>
  <c r="Y3873"/>
  <c r="AA3873"/>
  <c r="AB3873"/>
  <c r="AC3873"/>
  <c r="AD3873"/>
  <c r="P3874"/>
  <c r="T3874"/>
  <c r="U3874"/>
  <c r="V3874"/>
  <c r="W3874"/>
  <c r="Y3874"/>
  <c r="AA3874"/>
  <c r="AB3874"/>
  <c r="AC3874"/>
  <c r="AD3874"/>
  <c r="P3875"/>
  <c r="T3875"/>
  <c r="U3875"/>
  <c r="V3875"/>
  <c r="W3875"/>
  <c r="Y3875"/>
  <c r="AA3875"/>
  <c r="AB3875"/>
  <c r="AC3875"/>
  <c r="AD3875"/>
  <c r="P3876"/>
  <c r="T3876"/>
  <c r="U3876"/>
  <c r="V3876"/>
  <c r="W3876"/>
  <c r="Y3876"/>
  <c r="AA3876"/>
  <c r="AB3876"/>
  <c r="AC3876"/>
  <c r="AD3876"/>
  <c r="P3877"/>
  <c r="T3877"/>
  <c r="U3877"/>
  <c r="V3877"/>
  <c r="W3877"/>
  <c r="Y3877"/>
  <c r="AA3877"/>
  <c r="AB3877"/>
  <c r="AC3877"/>
  <c r="AD3877"/>
  <c r="P3878"/>
  <c r="T3878"/>
  <c r="U3878"/>
  <c r="V3878"/>
  <c r="W3878"/>
  <c r="Y3878"/>
  <c r="AA3878"/>
  <c r="AB3878"/>
  <c r="AC3878"/>
  <c r="AD3878"/>
  <c r="P3879"/>
  <c r="T3879"/>
  <c r="U3879"/>
  <c r="V3879"/>
  <c r="W3879"/>
  <c r="Y3879"/>
  <c r="AA3879"/>
  <c r="AB3879"/>
  <c r="AC3879"/>
  <c r="AD3879"/>
  <c r="P3880"/>
  <c r="T3880"/>
  <c r="U3880"/>
  <c r="V3880"/>
  <c r="W3880"/>
  <c r="Y3880"/>
  <c r="AA3880"/>
  <c r="AB3880"/>
  <c r="AC3880"/>
  <c r="AD3880"/>
  <c r="P3881"/>
  <c r="T3881"/>
  <c r="U3881"/>
  <c r="V3881"/>
  <c r="W3881"/>
  <c r="Y3881"/>
  <c r="AA3881"/>
  <c r="AB3881"/>
  <c r="AC3881"/>
  <c r="AD3881"/>
  <c r="P3882"/>
  <c r="T3882"/>
  <c r="U3882"/>
  <c r="V3882"/>
  <c r="W3882"/>
  <c r="Y3882"/>
  <c r="AA3882"/>
  <c r="AB3882"/>
  <c r="AC3882"/>
  <c r="AD3882"/>
  <c r="P3883"/>
  <c r="T3883"/>
  <c r="U3883"/>
  <c r="V3883"/>
  <c r="W3883"/>
  <c r="Y3883"/>
  <c r="AA3883"/>
  <c r="AB3883"/>
  <c r="AC3883"/>
  <c r="AD3883"/>
  <c r="P3884"/>
  <c r="T3884"/>
  <c r="U3884"/>
  <c r="V3884"/>
  <c r="W3884"/>
  <c r="Y3884"/>
  <c r="AA3884"/>
  <c r="AB3884"/>
  <c r="AC3884"/>
  <c r="AD3884"/>
  <c r="P3885"/>
  <c r="T3885"/>
  <c r="U3885"/>
  <c r="V3885"/>
  <c r="W3885"/>
  <c r="Y3885"/>
  <c r="AA3885"/>
  <c r="AB3885"/>
  <c r="AC3885"/>
  <c r="AD3885"/>
  <c r="P3886"/>
  <c r="T3886"/>
  <c r="U3886"/>
  <c r="V3886"/>
  <c r="W3886"/>
  <c r="Y3886"/>
  <c r="AA3886"/>
  <c r="AB3886"/>
  <c r="AC3886"/>
  <c r="AD3886"/>
  <c r="P3887"/>
  <c r="T3887"/>
  <c r="U3887"/>
  <c r="V3887"/>
  <c r="W3887"/>
  <c r="Y3887"/>
  <c r="AA3887"/>
  <c r="AB3887"/>
  <c r="AC3887"/>
  <c r="AD3887"/>
  <c r="P3888"/>
  <c r="T3888"/>
  <c r="U3888"/>
  <c r="V3888"/>
  <c r="W3888"/>
  <c r="Y3888"/>
  <c r="AA3888"/>
  <c r="AB3888"/>
  <c r="AC3888"/>
  <c r="AD3888"/>
  <c r="P3889"/>
  <c r="T3889"/>
  <c r="U3889"/>
  <c r="V3889"/>
  <c r="W3889"/>
  <c r="Y3889"/>
  <c r="AA3889"/>
  <c r="AB3889"/>
  <c r="AC3889"/>
  <c r="AD3889"/>
  <c r="P3890"/>
  <c r="T3890"/>
  <c r="U3890"/>
  <c r="V3890"/>
  <c r="W3890"/>
  <c r="Y3890"/>
  <c r="AA3890"/>
  <c r="AB3890"/>
  <c r="AC3890"/>
  <c r="AD3890"/>
  <c r="P3891"/>
  <c r="T3891"/>
  <c r="U3891"/>
  <c r="V3891"/>
  <c r="W3891"/>
  <c r="Y3891"/>
  <c r="AA3891"/>
  <c r="AB3891"/>
  <c r="AC3891"/>
  <c r="AD3891"/>
  <c r="P3892"/>
  <c r="T3892"/>
  <c r="U3892"/>
  <c r="V3892"/>
  <c r="W3892"/>
  <c r="Y3892"/>
  <c r="AA3892"/>
  <c r="AB3892"/>
  <c r="AC3892"/>
  <c r="AD3892"/>
  <c r="P3893"/>
  <c r="T3893"/>
  <c r="U3893"/>
  <c r="V3893"/>
  <c r="W3893"/>
  <c r="Y3893"/>
  <c r="AA3893"/>
  <c r="AB3893"/>
  <c r="AC3893"/>
  <c r="AD3893"/>
  <c r="P3894"/>
  <c r="T3894"/>
  <c r="U3894"/>
  <c r="V3894"/>
  <c r="W3894"/>
  <c r="Y3894"/>
  <c r="AA3894"/>
  <c r="AB3894"/>
  <c r="AC3894"/>
  <c r="AD3894"/>
  <c r="P3895"/>
  <c r="T3895"/>
  <c r="U3895"/>
  <c r="V3895"/>
  <c r="W3895"/>
  <c r="Y3895"/>
  <c r="AA3895"/>
  <c r="AB3895"/>
  <c r="AC3895"/>
  <c r="AD3895"/>
  <c r="P3896"/>
  <c r="T3896"/>
  <c r="U3896"/>
  <c r="V3896"/>
  <c r="W3896"/>
  <c r="Y3896"/>
  <c r="AA3896"/>
  <c r="AB3896"/>
  <c r="AC3896"/>
  <c r="AD3896"/>
  <c r="P3897"/>
  <c r="T3897"/>
  <c r="U3897"/>
  <c r="V3897"/>
  <c r="W3897"/>
  <c r="Y3897"/>
  <c r="AA3897"/>
  <c r="AB3897"/>
  <c r="AC3897"/>
  <c r="AD3897"/>
  <c r="P3898"/>
  <c r="T3898"/>
  <c r="U3898"/>
  <c r="V3898"/>
  <c r="W3898"/>
  <c r="Y3898"/>
  <c r="AA3898"/>
  <c r="AB3898"/>
  <c r="AC3898"/>
  <c r="AD3898"/>
  <c r="P3899"/>
  <c r="T3899"/>
  <c r="U3899"/>
  <c r="V3899"/>
  <c r="W3899"/>
  <c r="Y3899"/>
  <c r="AA3899"/>
  <c r="AB3899"/>
  <c r="AC3899"/>
  <c r="AD3899"/>
  <c r="P3900"/>
  <c r="T3900"/>
  <c r="U3900"/>
  <c r="V3900"/>
  <c r="W3900"/>
  <c r="Y3900"/>
  <c r="AA3900"/>
  <c r="AB3900"/>
  <c r="AC3900"/>
  <c r="AD3900"/>
  <c r="P3901"/>
  <c r="T3901"/>
  <c r="U3901"/>
  <c r="V3901"/>
  <c r="W3901"/>
  <c r="Y3901"/>
  <c r="AA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A3904"/>
  <c r="AB3904"/>
  <c r="AC3904"/>
  <c r="AD3904"/>
  <c r="P3905"/>
  <c r="T3905"/>
  <c r="U3905"/>
  <c r="V3905"/>
  <c r="W3905"/>
  <c r="Y3905"/>
  <c r="AA3905"/>
  <c r="AB3905"/>
  <c r="AC3905"/>
  <c r="AD3905"/>
  <c r="P3906"/>
  <c r="T3906"/>
  <c r="U3906"/>
  <c r="V3906"/>
  <c r="W3906"/>
  <c r="Y3906"/>
  <c r="AA3906"/>
  <c r="AB3906"/>
  <c r="AC3906"/>
  <c r="AD3906"/>
  <c r="P3907"/>
  <c r="T3907"/>
  <c r="U3907"/>
  <c r="V3907"/>
  <c r="W3907"/>
  <c r="Y3907"/>
  <c r="AA3907"/>
  <c r="AB3907"/>
  <c r="AC3907"/>
  <c r="AD3907"/>
  <c r="P3908"/>
  <c r="T3908"/>
  <c r="U3908"/>
  <c r="V3908"/>
  <c r="W3908"/>
  <c r="Y3908"/>
  <c r="AA3908"/>
  <c r="AB3908"/>
  <c r="AC3908"/>
  <c r="AD3908"/>
  <c r="P3909"/>
  <c r="T3909"/>
  <c r="U3909"/>
  <c r="V3909"/>
  <c r="W3909"/>
  <c r="Y3909"/>
  <c r="AA3909"/>
  <c r="AB3909"/>
  <c r="AC3909"/>
  <c r="AD3909"/>
  <c r="P3910"/>
  <c r="T3910"/>
  <c r="U3910"/>
  <c r="V3910"/>
  <c r="W3910"/>
  <c r="Y3910"/>
  <c r="AA3910"/>
  <c r="AB3910"/>
  <c r="AC3910"/>
  <c r="AD3910"/>
  <c r="P3911"/>
  <c r="T3911"/>
  <c r="U3911"/>
  <c r="V3911"/>
  <c r="W3911"/>
  <c r="Y3911"/>
  <c r="AA3911"/>
  <c r="AB3911"/>
  <c r="AC3911"/>
  <c r="AD3911"/>
  <c r="P3912"/>
  <c r="T3912"/>
  <c r="U3912"/>
  <c r="V3912"/>
  <c r="W3912"/>
  <c r="Y3912"/>
  <c r="AA3912"/>
  <c r="AB3912"/>
  <c r="AC3912"/>
  <c r="AD3912"/>
  <c r="P3913"/>
  <c r="T3913"/>
  <c r="U3913"/>
  <c r="V3913"/>
  <c r="W3913"/>
  <c r="Y3913"/>
  <c r="AA3913"/>
  <c r="AB3913"/>
  <c r="AC3913"/>
  <c r="AD3913"/>
  <c r="P3914"/>
  <c r="T3914"/>
  <c r="U3914"/>
  <c r="V3914"/>
  <c r="W3914"/>
  <c r="Y3914"/>
  <c r="AA3914"/>
  <c r="AB3914"/>
  <c r="AC3914"/>
  <c r="AD3914"/>
  <c r="P3915"/>
  <c r="T3915"/>
  <c r="U3915"/>
  <c r="V3915"/>
  <c r="W3915"/>
  <c r="Y3915"/>
  <c r="AA3915"/>
  <c r="AB3915"/>
  <c r="AC3915"/>
  <c r="AD3915"/>
  <c r="P3916"/>
  <c r="T3916"/>
  <c r="U3916"/>
  <c r="V3916"/>
  <c r="W3916"/>
  <c r="Y3916"/>
  <c r="AA3916"/>
  <c r="AB3916"/>
  <c r="AC3916"/>
  <c r="AD3916"/>
  <c r="P3917"/>
  <c r="T3917"/>
  <c r="U3917"/>
  <c r="V3917"/>
  <c r="W3917"/>
  <c r="Y3917"/>
  <c r="AA3917"/>
  <c r="AB3917"/>
  <c r="AC3917"/>
  <c r="AD3917"/>
  <c r="P3918"/>
  <c r="T3918"/>
  <c r="U3918"/>
  <c r="V3918"/>
  <c r="W3918"/>
  <c r="Y3918"/>
  <c r="AA3918"/>
  <c r="AB3918"/>
  <c r="AC3918"/>
  <c r="AD3918"/>
  <c r="P3919"/>
  <c r="T3919"/>
  <c r="U3919"/>
  <c r="V3919"/>
  <c r="W3919"/>
  <c r="Y3919"/>
  <c r="AA3919"/>
  <c r="AB3919"/>
  <c r="AC3919"/>
  <c r="AD3919"/>
  <c r="P3920"/>
  <c r="T3920"/>
  <c r="U3920"/>
  <c r="V3920"/>
  <c r="W3920"/>
  <c r="Y3920"/>
  <c r="AA3920"/>
  <c r="AB3920"/>
  <c r="AC3920"/>
  <c r="AD3920"/>
  <c r="P3921"/>
  <c r="T3921"/>
  <c r="U3921"/>
  <c r="V3921"/>
  <c r="W3921"/>
  <c r="Y3921"/>
  <c r="AA3921"/>
  <c r="AB3921"/>
  <c r="AC3921"/>
  <c r="AD3921"/>
  <c r="P3922"/>
  <c r="T3922"/>
  <c r="U3922"/>
  <c r="V3922"/>
  <c r="W3922"/>
  <c r="Y3922"/>
  <c r="AA3922"/>
  <c r="AB3922"/>
  <c r="AC3922"/>
  <c r="AD3922"/>
  <c r="P3923"/>
  <c r="T3923"/>
  <c r="U3923"/>
  <c r="V3923"/>
  <c r="W3923"/>
  <c r="Y3923"/>
  <c r="AA3923"/>
  <c r="AB3923"/>
  <c r="AC3923"/>
  <c r="AD3923"/>
  <c r="P3924"/>
  <c r="T3924"/>
  <c r="U3924"/>
  <c r="V3924"/>
  <c r="W3924"/>
  <c r="Y3924"/>
  <c r="AA3924"/>
  <c r="AB3924"/>
  <c r="AC3924"/>
  <c r="AD3924"/>
  <c r="P3925"/>
  <c r="T3925"/>
  <c r="U3925"/>
  <c r="V3925"/>
  <c r="W3925"/>
  <c r="Y3925"/>
  <c r="AA3925"/>
  <c r="AB3925"/>
  <c r="AC3925"/>
  <c r="AD3925"/>
  <c r="P3926"/>
  <c r="T3926"/>
  <c r="U3926"/>
  <c r="V3926"/>
  <c r="W3926"/>
  <c r="Y3926"/>
  <c r="AA3926"/>
  <c r="AB3926"/>
  <c r="AC3926"/>
  <c r="AD3926"/>
  <c r="P3927"/>
  <c r="T3927"/>
  <c r="U3927"/>
  <c r="V3927"/>
  <c r="W3927"/>
  <c r="Y3927"/>
  <c r="AA3927"/>
  <c r="AB3927"/>
  <c r="AC3927"/>
  <c r="AD3927"/>
  <c r="P3928"/>
  <c r="T3928"/>
  <c r="U3928"/>
  <c r="V3928"/>
  <c r="W3928"/>
  <c r="Y3928"/>
  <c r="AA3928"/>
  <c r="AB3928"/>
  <c r="AC3928"/>
  <c r="AD3928"/>
  <c r="P3929"/>
  <c r="T3929"/>
  <c r="U3929"/>
  <c r="V3929"/>
  <c r="W3929"/>
  <c r="Y3929"/>
  <c r="AA3929"/>
  <c r="AB3929"/>
  <c r="AC3929"/>
  <c r="AD3929"/>
  <c r="P3930"/>
  <c r="T3930"/>
  <c r="U3930"/>
  <c r="V3930"/>
  <c r="W3930"/>
  <c r="Y3930"/>
  <c r="AA3930"/>
  <c r="AB3930"/>
  <c r="AC3930"/>
  <c r="AD3930"/>
  <c r="P3931"/>
  <c r="T3931"/>
  <c r="U3931"/>
  <c r="V3931"/>
  <c r="W3931"/>
  <c r="Y3931"/>
  <c r="AA3931"/>
  <c r="AB3931"/>
  <c r="AC3931"/>
  <c r="AD3931"/>
  <c r="P3932"/>
  <c r="T3932"/>
  <c r="U3932"/>
  <c r="V3932"/>
  <c r="W3932"/>
  <c r="Y3932"/>
  <c r="AA3932"/>
  <c r="AB3932"/>
  <c r="AC3932"/>
  <c r="AD3932"/>
  <c r="P3933"/>
  <c r="T3933"/>
  <c r="U3933"/>
  <c r="V3933"/>
  <c r="W3933"/>
  <c r="Y3933"/>
  <c r="AA3933"/>
  <c r="AB3933"/>
  <c r="AC3933"/>
  <c r="AD3933"/>
  <c r="P3934"/>
  <c r="T3934"/>
  <c r="U3934"/>
  <c r="V3934"/>
  <c r="W3934"/>
  <c r="Y3934"/>
  <c r="AA3934"/>
  <c r="AB3934"/>
  <c r="AC3934"/>
  <c r="AD3934"/>
  <c r="P3935"/>
  <c r="T3935"/>
  <c r="U3935"/>
  <c r="V3935"/>
  <c r="W3935"/>
  <c r="Y3935"/>
  <c r="AA3935"/>
  <c r="AB3935"/>
  <c r="AC3935"/>
  <c r="AD3935"/>
  <c r="P3936"/>
  <c r="T3936"/>
  <c r="U3936"/>
  <c r="V3936"/>
  <c r="W3936"/>
  <c r="Y3936"/>
  <c r="AA3936"/>
  <c r="AB3936"/>
  <c r="AC3936"/>
  <c r="AD3936"/>
  <c r="P3937"/>
  <c r="T3937"/>
  <c r="U3937"/>
  <c r="V3937"/>
  <c r="W3937"/>
  <c r="Y3937"/>
  <c r="AA3937"/>
  <c r="AB3937"/>
  <c r="AC3937"/>
  <c r="AD3937"/>
  <c r="P3938"/>
  <c r="T3938"/>
  <c r="U3938"/>
  <c r="V3938"/>
  <c r="W3938"/>
  <c r="Y3938"/>
  <c r="AA3938"/>
  <c r="AB3938"/>
  <c r="AC3938"/>
  <c r="AD3938"/>
  <c r="P3939"/>
  <c r="T3939"/>
  <c r="U3939"/>
  <c r="V3939"/>
  <c r="W3939"/>
  <c r="Y3939"/>
  <c r="AA3939"/>
  <c r="AB3939"/>
  <c r="AC3939"/>
  <c r="AD3939"/>
  <c r="P3940"/>
  <c r="T3940"/>
  <c r="U3940"/>
  <c r="V3940"/>
  <c r="W3940"/>
  <c r="Y3940"/>
  <c r="AA3940"/>
  <c r="AB3940"/>
  <c r="AC3940"/>
  <c r="AD3940"/>
  <c r="P3941"/>
  <c r="T3941"/>
  <c r="U3941"/>
  <c r="V3941"/>
  <c r="W3941"/>
  <c r="Y3941"/>
  <c r="AA3941"/>
  <c r="AB3941"/>
  <c r="AC3941"/>
  <c r="AD3941"/>
  <c r="P3942"/>
  <c r="T3942"/>
  <c r="U3942"/>
  <c r="V3942"/>
  <c r="W3942"/>
  <c r="Y3942"/>
  <c r="AA3942"/>
  <c r="AB3942"/>
  <c r="AC3942"/>
  <c r="AD3942"/>
  <c r="P3943"/>
  <c r="T3943"/>
  <c r="U3943"/>
  <c r="V3943"/>
  <c r="W3943"/>
  <c r="Y3943"/>
  <c r="AA3943"/>
  <c r="AB3943"/>
  <c r="AC3943"/>
  <c r="AD3943"/>
  <c r="P3944"/>
  <c r="T3944"/>
  <c r="U3944"/>
  <c r="V3944"/>
  <c r="W3944"/>
  <c r="Y3944"/>
  <c r="AA3944"/>
  <c r="AB3944"/>
  <c r="AC3944"/>
  <c r="AD3944"/>
  <c r="P3945"/>
  <c r="T3945"/>
  <c r="U3945"/>
  <c r="V3945"/>
  <c r="W3945"/>
  <c r="Y3945"/>
  <c r="AA3945"/>
  <c r="AB3945"/>
  <c r="AC3945"/>
  <c r="AD3945"/>
  <c r="P3946"/>
  <c r="T3946"/>
  <c r="U3946"/>
  <c r="V3946"/>
  <c r="W3946"/>
  <c r="Y3946"/>
  <c r="AA3946"/>
  <c r="AB3946"/>
  <c r="AC3946"/>
  <c r="AD3946"/>
  <c r="P3947"/>
  <c r="T3947"/>
  <c r="U3947"/>
  <c r="V3947"/>
  <c r="W3947"/>
  <c r="Y3947"/>
  <c r="AA3947"/>
  <c r="AB3947"/>
  <c r="AC3947"/>
  <c r="AD3947"/>
  <c r="P3948"/>
  <c r="T3948"/>
  <c r="U3948"/>
  <c r="V3948"/>
  <c r="W3948"/>
  <c r="Y3948"/>
  <c r="AA3948"/>
  <c r="AB3948"/>
  <c r="AC3948"/>
  <c r="AD3948"/>
  <c r="P3949"/>
  <c r="T3949"/>
  <c r="U3949"/>
  <c r="V3949"/>
  <c r="W3949"/>
  <c r="Y3949"/>
  <c r="AA3949"/>
  <c r="AB3949"/>
  <c r="AC3949"/>
  <c r="AD3949"/>
  <c r="P3950"/>
  <c r="T3950"/>
  <c r="U3950"/>
  <c r="V3950"/>
  <c r="W3950"/>
  <c r="Y3950"/>
  <c r="AA3950"/>
  <c r="AB3950"/>
  <c r="AC3950"/>
  <c r="AD3950"/>
  <c r="P3951"/>
  <c r="T3951"/>
  <c r="U3951"/>
  <c r="V3951"/>
  <c r="W3951"/>
  <c r="Y3951"/>
  <c r="AA3951"/>
  <c r="AB3951"/>
  <c r="AC3951"/>
  <c r="AD3951"/>
  <c r="P3952"/>
  <c r="T3952"/>
  <c r="U3952"/>
  <c r="V3952"/>
  <c r="W3952"/>
  <c r="Y3952"/>
  <c r="AA3952"/>
  <c r="AB3952"/>
  <c r="AC3952"/>
  <c r="AD3952"/>
  <c r="P3953"/>
  <c r="T3953"/>
  <c r="U3953"/>
  <c r="V3953"/>
  <c r="W3953"/>
  <c r="Y3953"/>
  <c r="AA3953"/>
  <c r="AB3953"/>
  <c r="AC3953"/>
  <c r="AD3953"/>
  <c r="P3954"/>
  <c r="T3954"/>
  <c r="U3954"/>
  <c r="V3954"/>
  <c r="W3954"/>
  <c r="Y3954"/>
  <c r="AA3954"/>
  <c r="AB3954"/>
  <c r="AC3954"/>
  <c r="AD3954"/>
  <c r="P3955"/>
  <c r="T3955"/>
  <c r="U3955"/>
  <c r="V3955"/>
  <c r="W3955"/>
  <c r="Y3955"/>
  <c r="AA3955"/>
  <c r="AB3955"/>
  <c r="AC3955"/>
  <c r="AD3955"/>
  <c r="P3956"/>
  <c r="T3956"/>
  <c r="U3956"/>
  <c r="V3956"/>
  <c r="W3956"/>
  <c r="Y3956"/>
  <c r="AA3956"/>
  <c r="AB3956"/>
  <c r="AC3956"/>
  <c r="AD3956"/>
  <c r="P3957"/>
  <c r="T3957"/>
  <c r="U3957"/>
  <c r="V3957"/>
  <c r="W3957"/>
  <c r="Y3957"/>
  <c r="AA3957"/>
  <c r="AB3957"/>
  <c r="AC3957"/>
  <c r="AD3957"/>
  <c r="P3958"/>
  <c r="T3958"/>
  <c r="U3958"/>
  <c r="V3958"/>
  <c r="W3958"/>
  <c r="Y3958"/>
  <c r="AA3958"/>
  <c r="AB3958"/>
  <c r="AC3958"/>
  <c r="AD3958"/>
  <c r="P3959"/>
  <c r="T3959"/>
  <c r="U3959"/>
  <c r="V3959"/>
  <c r="W3959"/>
  <c r="Y3959"/>
  <c r="AA3959"/>
  <c r="AB3959"/>
  <c r="AC3959"/>
  <c r="AD3959"/>
  <c r="P3960"/>
  <c r="T3960"/>
  <c r="U3960"/>
  <c r="V3960"/>
  <c r="W3960"/>
  <c r="Y3960"/>
  <c r="AA3960"/>
  <c r="AB3960"/>
  <c r="AC3960"/>
  <c r="AD3960"/>
  <c r="P3961"/>
  <c r="T3961"/>
  <c r="U3961"/>
  <c r="V3961"/>
  <c r="W3961"/>
  <c r="Y3961"/>
  <c r="AA3961"/>
  <c r="AB3961"/>
  <c r="AC3961"/>
  <c r="AD3961"/>
  <c r="P3962"/>
  <c r="T3962"/>
  <c r="U3962"/>
  <c r="V3962"/>
  <c r="W3962"/>
  <c r="Y3962"/>
  <c r="AA3962"/>
  <c r="AB3962"/>
  <c r="AC3962"/>
  <c r="AD3962"/>
  <c r="P3963"/>
  <c r="T3963"/>
  <c r="U3963"/>
  <c r="V3963"/>
  <c r="W3963"/>
  <c r="Y3963"/>
  <c r="AA3963"/>
  <c r="AB3963"/>
  <c r="AC3963"/>
  <c r="AD3963"/>
  <c r="P3964"/>
  <c r="T3964"/>
  <c r="U3964"/>
  <c r="V3964"/>
  <c r="W3964"/>
  <c r="Y3964"/>
  <c r="AA3964"/>
  <c r="AB3964"/>
  <c r="AC3964"/>
  <c r="AD3964"/>
  <c r="P3965"/>
  <c r="T3965"/>
  <c r="U3965"/>
  <c r="V3965"/>
  <c r="W3965"/>
  <c r="Y3965"/>
  <c r="AA3965"/>
  <c r="AB3965"/>
  <c r="AC3965"/>
  <c r="AD3965"/>
  <c r="P3966"/>
  <c r="T3966"/>
  <c r="U3966"/>
  <c r="V3966"/>
  <c r="W3966"/>
  <c r="Y3966"/>
  <c r="AA3966"/>
  <c r="AB3966"/>
  <c r="AC3966"/>
  <c r="AD3966"/>
  <c r="P3967"/>
  <c r="T3967"/>
  <c r="U3967"/>
  <c r="V3967"/>
  <c r="W3967"/>
  <c r="Y3967"/>
  <c r="AA3967"/>
  <c r="AB3967"/>
  <c r="AC3967"/>
  <c r="AD3967"/>
  <c r="P3968"/>
  <c r="T3968"/>
  <c r="U3968"/>
  <c r="V3968"/>
  <c r="W3968"/>
  <c r="Y3968"/>
  <c r="AA3968"/>
  <c r="AB3968"/>
  <c r="AC3968"/>
  <c r="AD3968"/>
  <c r="P3969"/>
  <c r="T3969"/>
  <c r="U3969"/>
  <c r="V3969"/>
  <c r="W3969"/>
  <c r="Y3969"/>
  <c r="AA3969"/>
  <c r="AB3969"/>
  <c r="AC3969"/>
  <c r="AD3969"/>
  <c r="P3970"/>
  <c r="T3970"/>
  <c r="U3970"/>
  <c r="V3970"/>
  <c r="W3970"/>
  <c r="Y3970"/>
  <c r="AA3970"/>
  <c r="AB3970"/>
  <c r="AC3970"/>
  <c r="AD3970"/>
  <c r="P3971"/>
  <c r="T3971"/>
  <c r="U3971"/>
  <c r="V3971"/>
  <c r="W3971"/>
  <c r="Y3971"/>
  <c r="AA3971"/>
  <c r="AB3971"/>
  <c r="AC3971"/>
  <c r="AD3971"/>
  <c r="P3972"/>
  <c r="T3972"/>
  <c r="U3972"/>
  <c r="V3972"/>
  <c r="W3972"/>
  <c r="Y3972"/>
  <c r="AA3972"/>
  <c r="AB3972"/>
  <c r="AC3972"/>
  <c r="AD3972"/>
  <c r="P3973"/>
  <c r="T3973"/>
  <c r="U3973"/>
  <c r="V3973"/>
  <c r="W3973"/>
  <c r="Y3973"/>
  <c r="AA3973"/>
  <c r="AB3973"/>
  <c r="AC3973"/>
  <c r="AD3973"/>
  <c r="P3974"/>
  <c r="T3974"/>
  <c r="U3974"/>
  <c r="V3974"/>
  <c r="W3974"/>
  <c r="Y3974"/>
  <c r="AA3974"/>
  <c r="AB3974"/>
  <c r="AC3974"/>
  <c r="AD3974"/>
  <c r="P3975"/>
  <c r="T3975"/>
  <c r="U3975"/>
  <c r="V3975"/>
  <c r="W3975"/>
  <c r="Y3975"/>
  <c r="AA3975"/>
  <c r="AB3975"/>
  <c r="AC3975"/>
  <c r="AD3975"/>
  <c r="P3976"/>
  <c r="T3976"/>
  <c r="U3976"/>
  <c r="V3976"/>
  <c r="W3976"/>
  <c r="Y3976"/>
  <c r="AA3976"/>
  <c r="AB3976"/>
  <c r="AC3976"/>
  <c r="AD3976"/>
  <c r="P3977"/>
  <c r="T3977"/>
  <c r="U3977"/>
  <c r="V3977"/>
  <c r="W3977"/>
  <c r="Y3977"/>
  <c r="AA3977"/>
  <c r="AB3977"/>
  <c r="AC3977"/>
  <c r="AD3977"/>
  <c r="P3978"/>
  <c r="T3978"/>
  <c r="U3978"/>
  <c r="V3978"/>
  <c r="W3978"/>
  <c r="Y3978"/>
  <c r="AA3978"/>
  <c r="AB3978"/>
  <c r="AC3978"/>
  <c r="AD3978"/>
  <c r="P3979"/>
  <c r="T3979"/>
  <c r="U3979"/>
  <c r="V3979"/>
  <c r="W3979"/>
  <c r="Y3979"/>
  <c r="AA3979"/>
  <c r="AB3979"/>
  <c r="AC3979"/>
  <c r="AD3979"/>
  <c r="P3980"/>
  <c r="T3980"/>
  <c r="U3980"/>
  <c r="V3980"/>
  <c r="W3980"/>
  <c r="Y3980"/>
  <c r="AA3980"/>
  <c r="AB3980"/>
  <c r="AC3980"/>
  <c r="AD3980"/>
  <c r="P3981"/>
  <c r="T3981"/>
  <c r="U3981"/>
  <c r="V3981"/>
  <c r="W3981"/>
  <c r="Y3981"/>
  <c r="AA3981"/>
  <c r="AB3981"/>
  <c r="AC3981"/>
  <c r="AD3981"/>
  <c r="P3982"/>
  <c r="T3982"/>
  <c r="U3982"/>
  <c r="V3982"/>
  <c r="W3982"/>
  <c r="Y3982"/>
  <c r="AA3982"/>
  <c r="AB3982"/>
  <c r="AC3982"/>
  <c r="AD3982"/>
  <c r="P3983"/>
  <c r="T3983"/>
  <c r="U3983"/>
  <c r="V3983"/>
  <c r="W3983"/>
  <c r="Y3983"/>
  <c r="AA3983"/>
  <c r="AB3983"/>
  <c r="AC3983"/>
  <c r="AD3983"/>
  <c r="P3984"/>
  <c r="T3984"/>
  <c r="U3984"/>
  <c r="V3984"/>
  <c r="W3984"/>
  <c r="Y3984"/>
  <c r="AA3984"/>
  <c r="AB3984"/>
  <c r="AC3984"/>
  <c r="AD3984"/>
  <c r="P3985"/>
  <c r="T3985"/>
  <c r="U3985"/>
  <c r="V3985"/>
  <c r="W3985"/>
  <c r="Y3985"/>
  <c r="AA3985"/>
  <c r="AB3985"/>
  <c r="AC3985"/>
  <c r="AD3985"/>
  <c r="P3986"/>
  <c r="T3986"/>
  <c r="U3986"/>
  <c r="V3986"/>
  <c r="W3986"/>
  <c r="Y3986"/>
  <c r="AA3986"/>
  <c r="AB3986"/>
  <c r="AC3986"/>
  <c r="AD3986"/>
  <c r="P3987"/>
  <c r="T3987"/>
  <c r="U3987"/>
  <c r="V3987"/>
  <c r="W3987"/>
  <c r="Y3987"/>
  <c r="AA3987"/>
  <c r="AB3987"/>
  <c r="AC3987"/>
  <c r="AD3987"/>
  <c r="P3988"/>
  <c r="T3988"/>
  <c r="U3988"/>
  <c r="V3988"/>
  <c r="W3988"/>
  <c r="Y3988"/>
  <c r="AA3988"/>
  <c r="AB3988"/>
  <c r="AC3988"/>
  <c r="AD3988"/>
  <c r="P3989"/>
  <c r="T3989"/>
  <c r="U3989"/>
  <c r="V3989"/>
  <c r="W3989"/>
  <c r="Y3989"/>
  <c r="AA3989"/>
  <c r="AB3989"/>
  <c r="AC3989"/>
  <c r="AD3989"/>
  <c r="P3990"/>
  <c r="T3990"/>
  <c r="U3990"/>
  <c r="V3990"/>
  <c r="W3990"/>
  <c r="Y3990"/>
  <c r="AA3990"/>
  <c r="AB3990"/>
  <c r="AC3990"/>
  <c r="AD3990"/>
  <c r="P3991"/>
  <c r="T3991"/>
  <c r="U3991"/>
  <c r="V3991"/>
  <c r="W3991"/>
  <c r="Y3991"/>
  <c r="AA3991"/>
  <c r="AB3991"/>
  <c r="AC3991"/>
  <c r="AD3991"/>
  <c r="P3992"/>
  <c r="T3992"/>
  <c r="U3992"/>
  <c r="V3992"/>
  <c r="W3992"/>
  <c r="Y3992"/>
  <c r="AA3992"/>
  <c r="AB3992"/>
  <c r="AC3992"/>
  <c r="AD3992"/>
  <c r="P3993"/>
  <c r="T3993"/>
  <c r="U3993"/>
  <c r="V3993"/>
  <c r="W3993"/>
  <c r="Y3993"/>
  <c r="AA3993"/>
  <c r="AB3993"/>
  <c r="AC3993"/>
  <c r="AD3993"/>
  <c r="P3994"/>
  <c r="T3994"/>
  <c r="U3994"/>
  <c r="V3994"/>
  <c r="W3994"/>
  <c r="Y3994"/>
  <c r="AA3994"/>
  <c r="AB3994"/>
  <c r="AC3994"/>
  <c r="AD3994"/>
  <c r="P3995"/>
  <c r="T3995"/>
  <c r="U3995"/>
  <c r="V3995"/>
  <c r="W3995"/>
  <c r="Y3995"/>
  <c r="AA3995"/>
  <c r="AB3995"/>
  <c r="AC3995"/>
  <c r="AD3995"/>
  <c r="P3996"/>
  <c r="T3996"/>
  <c r="U3996"/>
  <c r="V3996"/>
  <c r="W3996"/>
  <c r="Y3996"/>
  <c r="AA3996"/>
  <c r="AB3996"/>
  <c r="AC3996"/>
  <c r="AD3996"/>
  <c r="P3997"/>
  <c r="T3997"/>
  <c r="U3997"/>
  <c r="V3997"/>
  <c r="W3997"/>
  <c r="Y3997"/>
  <c r="AA3997"/>
  <c r="AB3997"/>
  <c r="AC3997"/>
  <c r="AD3997"/>
  <c r="P3998"/>
  <c r="T3998"/>
  <c r="U3998"/>
  <c r="V3998"/>
  <c r="W3998"/>
  <c r="Y3998"/>
  <c r="AA3998"/>
  <c r="AB3998"/>
  <c r="AC3998"/>
  <c r="AD3998"/>
  <c r="P3999"/>
  <c r="T3999"/>
  <c r="U3999"/>
  <c r="V3999"/>
  <c r="W3999"/>
  <c r="Y3999"/>
  <c r="AA3999"/>
  <c r="AB3999"/>
  <c r="AC3999"/>
  <c r="AD3999"/>
  <c r="P4000"/>
  <c r="T4000"/>
  <c r="U4000"/>
  <c r="V4000"/>
  <c r="W4000"/>
  <c r="Y4000"/>
  <c r="AA4000"/>
  <c r="AB4000"/>
  <c r="AC4000"/>
  <c r="AD4000"/>
  <c r="P4001"/>
  <c r="T4001"/>
  <c r="U4001"/>
  <c r="V4001"/>
  <c r="W4001"/>
  <c r="Y4001"/>
  <c r="AA4001"/>
  <c r="AB4001"/>
  <c r="AC4001"/>
  <c r="AD4001"/>
  <c r="P4002"/>
  <c r="T4002"/>
  <c r="U4002"/>
  <c r="V4002"/>
  <c r="W4002"/>
  <c r="Y4002"/>
  <c r="AA4002"/>
  <c r="AB4002"/>
  <c r="AC4002"/>
  <c r="AD4002"/>
  <c r="P4003"/>
  <c r="T4003"/>
  <c r="U4003"/>
  <c r="V4003"/>
  <c r="W4003"/>
  <c r="Y4003"/>
  <c r="AA4003"/>
  <c r="AB4003"/>
  <c r="AC4003"/>
  <c r="AD4003"/>
  <c r="P4004"/>
  <c r="T4004"/>
  <c r="U4004"/>
  <c r="V4004"/>
  <c r="W4004"/>
  <c r="Y4004"/>
  <c r="AA4004"/>
  <c r="AB4004"/>
  <c r="AC4004"/>
  <c r="AD4004"/>
  <c r="P4005"/>
  <c r="T4005"/>
  <c r="U4005"/>
  <c r="V4005"/>
  <c r="W4005"/>
  <c r="Y4005"/>
  <c r="AA4005"/>
  <c r="AB4005"/>
  <c r="AC4005"/>
  <c r="AD4005"/>
  <c r="P4006"/>
  <c r="T4006"/>
  <c r="U4006"/>
  <c r="V4006"/>
  <c r="W4006"/>
  <c r="Y4006"/>
  <c r="AA4006"/>
  <c r="AB4006"/>
  <c r="AC4006"/>
  <c r="AD4006"/>
  <c r="P4007"/>
  <c r="T4007"/>
  <c r="U4007"/>
  <c r="V4007"/>
  <c r="W4007"/>
  <c r="Y4007"/>
  <c r="AA4007"/>
  <c r="AB4007"/>
  <c r="AC4007"/>
  <c r="AD4007"/>
  <c r="P4008"/>
  <c r="T4008"/>
  <c r="U4008"/>
  <c r="V4008"/>
  <c r="W4008"/>
  <c r="Y4008"/>
  <c r="AA4008"/>
  <c r="AB4008"/>
  <c r="AC4008"/>
  <c r="AD4008"/>
  <c r="P4009"/>
  <c r="T4009"/>
  <c r="U4009"/>
  <c r="V4009"/>
  <c r="W4009"/>
  <c r="Y4009"/>
  <c r="AA4009"/>
  <c r="AB4009"/>
  <c r="AC4009"/>
  <c r="AD4009"/>
  <c r="P4010"/>
  <c r="T4010"/>
  <c r="U4010"/>
  <c r="V4010"/>
  <c r="W4010"/>
  <c r="Y4010"/>
  <c r="AA4010"/>
  <c r="AB4010"/>
  <c r="AC4010"/>
  <c r="AD4010"/>
  <c r="P4011"/>
  <c r="T4011"/>
  <c r="U4011"/>
  <c r="V4011"/>
  <c r="W4011"/>
  <c r="Y4011"/>
  <c r="AA4011"/>
  <c r="AB4011"/>
  <c r="AC4011"/>
  <c r="AD4011"/>
  <c r="P4012"/>
  <c r="T4012"/>
  <c r="U4012"/>
  <c r="V4012"/>
  <c r="W4012"/>
  <c r="Y4012"/>
  <c r="AA4012"/>
  <c r="AB4012"/>
  <c r="AC4012"/>
  <c r="AD4012"/>
  <c r="P4013"/>
  <c r="T4013"/>
  <c r="U4013"/>
  <c r="V4013"/>
  <c r="W4013"/>
  <c r="Y4013"/>
  <c r="AA4013"/>
  <c r="AB4013"/>
  <c r="AC4013"/>
  <c r="AD4013"/>
  <c r="P4014"/>
  <c r="T4014"/>
  <c r="U4014"/>
  <c r="V4014"/>
  <c r="W4014"/>
  <c r="Y4014"/>
  <c r="AA4014"/>
  <c r="AB4014"/>
  <c r="AC4014"/>
  <c r="AD4014"/>
  <c r="P4015"/>
  <c r="T4015"/>
  <c r="U4015"/>
  <c r="V4015"/>
  <c r="W4015"/>
  <c r="Y4015"/>
  <c r="AA4015"/>
  <c r="AB4015"/>
  <c r="AC4015"/>
  <c r="AD4015"/>
  <c r="P4016"/>
  <c r="T4016"/>
  <c r="U4016"/>
  <c r="V4016"/>
  <c r="W4016"/>
  <c r="Y4016"/>
  <c r="AA4016"/>
  <c r="AB4016"/>
  <c r="AC4016"/>
  <c r="AD4016"/>
  <c r="P4017"/>
  <c r="T4017"/>
  <c r="U4017"/>
  <c r="V4017"/>
  <c r="W4017"/>
  <c r="Y4017"/>
  <c r="AA4017"/>
  <c r="AB4017"/>
  <c r="AC4017"/>
  <c r="AD4017"/>
  <c r="P4018"/>
  <c r="T4018"/>
  <c r="U4018"/>
  <c r="V4018"/>
  <c r="W4018"/>
  <c r="Y4018"/>
  <c r="AA4018"/>
  <c r="AB4018"/>
  <c r="AC4018"/>
  <c r="AD4018"/>
  <c r="P4019"/>
  <c r="T4019"/>
  <c r="U4019"/>
  <c r="V4019"/>
  <c r="W4019"/>
  <c r="Y4019"/>
  <c r="AA4019"/>
  <c r="AB4019"/>
  <c r="AC4019"/>
  <c r="AD4019"/>
  <c r="P4020"/>
  <c r="T4020"/>
  <c r="U4020"/>
  <c r="V4020"/>
  <c r="W4020"/>
  <c r="Y4020"/>
  <c r="AA4020"/>
  <c r="AB4020"/>
  <c r="AC4020"/>
  <c r="AD4020"/>
  <c r="P4021"/>
  <c r="T4021"/>
  <c r="U4021"/>
  <c r="V4021"/>
  <c r="W4021"/>
  <c r="Y4021"/>
  <c r="AA4021"/>
  <c r="AB4021"/>
  <c r="AC4021"/>
  <c r="AD4021"/>
  <c r="P4022"/>
  <c r="T4022"/>
  <c r="U4022"/>
  <c r="V4022"/>
  <c r="W4022"/>
  <c r="Y4022"/>
  <c r="AA4022"/>
  <c r="AB4022"/>
  <c r="AC4022"/>
  <c r="AD4022"/>
  <c r="P4023"/>
  <c r="T4023"/>
  <c r="U4023"/>
  <c r="V4023"/>
  <c r="W4023"/>
  <c r="Y4023"/>
  <c r="AA4023"/>
  <c r="AB4023"/>
  <c r="AC4023"/>
  <c r="AD4023"/>
  <c r="P4024"/>
  <c r="T4024"/>
  <c r="U4024"/>
  <c r="V4024"/>
  <c r="W4024"/>
  <c r="Y4024"/>
  <c r="AA4024"/>
  <c r="AB4024"/>
  <c r="AC4024"/>
  <c r="AD4024"/>
  <c r="P4025"/>
  <c r="T4025"/>
  <c r="U4025"/>
  <c r="V4025"/>
  <c r="W4025"/>
  <c r="Y4025"/>
  <c r="AA4025"/>
  <c r="AB4025"/>
  <c r="AC4025"/>
  <c r="AD4025"/>
  <c r="P4026"/>
  <c r="T4026"/>
  <c r="U4026"/>
  <c r="V4026"/>
  <c r="W4026"/>
  <c r="Y4026"/>
  <c r="AA4026"/>
  <c r="AB4026"/>
  <c r="AC4026"/>
  <c r="AD4026"/>
  <c r="P4027"/>
  <c r="T4027"/>
  <c r="U4027"/>
  <c r="V4027"/>
  <c r="W4027"/>
  <c r="Y4027"/>
  <c r="AA4027"/>
  <c r="AB4027"/>
  <c r="AC4027"/>
  <c r="AD4027"/>
  <c r="P4028"/>
  <c r="T4028"/>
  <c r="U4028"/>
  <c r="V4028"/>
  <c r="W4028"/>
  <c r="Y4028"/>
  <c r="AA4028"/>
  <c r="AB4028"/>
  <c r="AC4028"/>
  <c r="AD4028"/>
  <c r="P4029"/>
  <c r="T4029"/>
  <c r="U4029"/>
  <c r="V4029"/>
  <c r="W4029"/>
  <c r="Y4029"/>
  <c r="AA4029"/>
  <c r="AB4029"/>
  <c r="AC4029"/>
  <c r="AD4029"/>
  <c r="P4030"/>
  <c r="T4030"/>
  <c r="U4030"/>
  <c r="V4030"/>
  <c r="W4030"/>
  <c r="Y4030"/>
  <c r="AA4030"/>
  <c r="AB4030"/>
  <c r="AC4030"/>
  <c r="AD4030"/>
  <c r="P4031"/>
  <c r="T4031"/>
  <c r="U4031"/>
  <c r="V4031"/>
  <c r="W4031"/>
  <c r="Y4031"/>
  <c r="AA4031"/>
  <c r="AB4031"/>
  <c r="AC4031"/>
  <c r="AD4031"/>
  <c r="P4032"/>
  <c r="T4032"/>
  <c r="U4032"/>
  <c r="V4032"/>
  <c r="W4032"/>
  <c r="Y4032"/>
  <c r="AA4032"/>
  <c r="AB4032"/>
  <c r="AC4032"/>
  <c r="AD4032"/>
  <c r="P4033"/>
  <c r="T4033"/>
  <c r="U4033"/>
  <c r="V4033"/>
  <c r="W4033"/>
  <c r="Y4033"/>
  <c r="AA4033"/>
  <c r="AB4033"/>
  <c r="AC4033"/>
  <c r="AD4033"/>
  <c r="P4034"/>
  <c r="T4034"/>
  <c r="U4034"/>
  <c r="V4034"/>
  <c r="W4034"/>
  <c r="Y4034"/>
  <c r="AA4034"/>
  <c r="AB4034"/>
  <c r="AC4034"/>
  <c r="AD4034"/>
  <c r="P4035"/>
  <c r="T4035"/>
  <c r="U4035"/>
  <c r="V4035"/>
  <c r="W4035"/>
  <c r="Y4035"/>
  <c r="AA4035"/>
  <c r="AB4035"/>
  <c r="AC4035"/>
  <c r="AD4035"/>
  <c r="P4036"/>
  <c r="T4036"/>
  <c r="U4036"/>
  <c r="V4036"/>
  <c r="W4036"/>
  <c r="Y4036"/>
  <c r="AA4036"/>
  <c r="AB4036"/>
  <c r="AC4036"/>
  <c r="AD4036"/>
  <c r="P4037"/>
  <c r="T4037"/>
  <c r="U4037"/>
  <c r="V4037"/>
  <c r="W4037"/>
  <c r="Y4037"/>
  <c r="AA4037"/>
  <c r="AB4037"/>
  <c r="AC4037"/>
  <c r="AD4037"/>
  <c r="P4038"/>
  <c r="T4038"/>
  <c r="U4038"/>
  <c r="V4038"/>
  <c r="W4038"/>
  <c r="Y4038"/>
  <c r="AA4038"/>
  <c r="AB4038"/>
  <c r="AC4038"/>
  <c r="AD4038"/>
  <c r="P4039"/>
  <c r="T4039"/>
  <c r="U4039"/>
  <c r="V4039"/>
  <c r="W4039"/>
  <c r="Y4039"/>
  <c r="AA4039"/>
  <c r="AB4039"/>
  <c r="AC4039"/>
  <c r="AD4039"/>
  <c r="P4040"/>
  <c r="T4040"/>
  <c r="U4040"/>
  <c r="V4040"/>
  <c r="W4040"/>
  <c r="Y4040"/>
  <c r="AA4040"/>
  <c r="AB4040"/>
  <c r="AC4040"/>
  <c r="AD4040"/>
  <c r="P4041"/>
  <c r="T4041"/>
  <c r="U4041"/>
  <c r="V4041"/>
  <c r="W4041"/>
  <c r="Y4041"/>
  <c r="AA4041"/>
  <c r="AB4041"/>
  <c r="AC4041"/>
  <c r="AD4041"/>
  <c r="P4042"/>
  <c r="T4042"/>
  <c r="U4042"/>
  <c r="V4042"/>
  <c r="W4042"/>
  <c r="Y4042"/>
  <c r="AA4042"/>
  <c r="AB4042"/>
  <c r="AC4042"/>
  <c r="AD4042"/>
  <c r="P4043"/>
  <c r="T4043"/>
  <c r="U4043"/>
  <c r="V4043"/>
  <c r="W4043"/>
  <c r="Y4043"/>
  <c r="AA4043"/>
  <c r="AB4043"/>
  <c r="AC4043"/>
  <c r="AD4043"/>
  <c r="P4044"/>
  <c r="T4044"/>
  <c r="U4044"/>
  <c r="V4044"/>
  <c r="W4044"/>
  <c r="Y4044"/>
  <c r="AA4044"/>
  <c r="AB4044"/>
  <c r="AC4044"/>
  <c r="AD4044"/>
  <c r="P4045"/>
  <c r="T4045"/>
  <c r="U4045"/>
  <c r="V4045"/>
  <c r="W4045"/>
  <c r="Y4045"/>
  <c r="AA4045"/>
  <c r="AB4045"/>
  <c r="AC4045"/>
  <c r="AD4045"/>
  <c r="P4046"/>
  <c r="T4046"/>
  <c r="U4046"/>
  <c r="V4046"/>
  <c r="W4046"/>
  <c r="Y4046"/>
  <c r="AA4046"/>
  <c r="AB4046"/>
  <c r="AC4046"/>
  <c r="AD4046"/>
  <c r="P4047"/>
  <c r="T4047"/>
  <c r="U4047"/>
  <c r="V4047"/>
  <c r="W4047"/>
  <c r="Y4047"/>
  <c r="AA4047"/>
  <c r="AB4047"/>
  <c r="AC4047"/>
  <c r="AD4047"/>
  <c r="P4048"/>
  <c r="T4048"/>
  <c r="U4048"/>
  <c r="V4048"/>
  <c r="W4048"/>
  <c r="Y4048"/>
  <c r="AA4048"/>
  <c r="AB4048"/>
  <c r="AC4048"/>
  <c r="AD4048"/>
  <c r="P4049"/>
  <c r="T4049"/>
  <c r="U4049"/>
  <c r="V4049"/>
  <c r="W4049"/>
  <c r="Y4049"/>
  <c r="AA4049"/>
  <c r="AB4049"/>
  <c r="AC4049"/>
  <c r="AD4049"/>
  <c r="P4050"/>
  <c r="T4050"/>
  <c r="U4050"/>
  <c r="V4050"/>
  <c r="W4050"/>
  <c r="Y4050"/>
  <c r="AA4050"/>
  <c r="AB4050"/>
  <c r="AC4050"/>
  <c r="AD4050"/>
  <c r="P4051"/>
  <c r="T4051"/>
  <c r="U4051"/>
  <c r="V4051"/>
  <c r="W4051"/>
  <c r="Y4051"/>
  <c r="AA4051"/>
  <c r="AB4051"/>
  <c r="AC4051"/>
  <c r="AD4051"/>
  <c r="P4052"/>
  <c r="T4052"/>
  <c r="U4052"/>
  <c r="V4052"/>
  <c r="W4052"/>
  <c r="Y4052"/>
  <c r="AA4052"/>
  <c r="AB4052"/>
  <c r="AC4052"/>
  <c r="AD4052"/>
  <c r="P4053"/>
  <c r="T4053"/>
  <c r="U4053"/>
  <c r="V4053"/>
  <c r="W4053"/>
  <c r="Y4053"/>
  <c r="AA4053"/>
  <c r="AB4053"/>
  <c r="AC4053"/>
  <c r="AD4053"/>
  <c r="P4054"/>
  <c r="T4054"/>
  <c r="U4054"/>
  <c r="V4054"/>
  <c r="W4054"/>
  <c r="Y4054"/>
  <c r="AA4054"/>
  <c r="AB4054"/>
  <c r="AC4054"/>
  <c r="AD4054"/>
  <c r="P4055"/>
  <c r="T4055"/>
  <c r="U4055"/>
  <c r="V4055"/>
  <c r="W4055"/>
  <c r="Y4055"/>
  <c r="AA4055"/>
  <c r="AB4055"/>
  <c r="AC4055"/>
  <c r="AD4055"/>
  <c r="P4056"/>
  <c r="T4056"/>
  <c r="U4056"/>
  <c r="V4056"/>
  <c r="W4056"/>
  <c r="Y4056"/>
  <c r="AA4056"/>
  <c r="AB4056"/>
  <c r="AC4056"/>
  <c r="AD4056"/>
  <c r="P4057"/>
  <c r="T4057"/>
  <c r="U4057"/>
  <c r="V4057"/>
  <c r="W4057"/>
  <c r="Y4057"/>
  <c r="AA4057"/>
  <c r="AB4057"/>
  <c r="AC4057"/>
  <c r="AD4057"/>
  <c r="P4058"/>
  <c r="T4058"/>
  <c r="U4058"/>
  <c r="V4058"/>
  <c r="W4058"/>
  <c r="Y4058"/>
  <c r="AA4058"/>
  <c r="AB4058"/>
  <c r="AC4058"/>
  <c r="AD4058"/>
  <c r="P4059"/>
  <c r="T4059"/>
  <c r="U4059"/>
  <c r="V4059"/>
  <c r="W4059"/>
  <c r="Y4059"/>
  <c r="AA4059"/>
  <c r="AB4059"/>
  <c r="AC4059"/>
  <c r="AD4059"/>
  <c r="P4060"/>
  <c r="T4060"/>
  <c r="U4060"/>
  <c r="V4060"/>
  <c r="W4060"/>
  <c r="Y4060"/>
  <c r="AA4060"/>
  <c r="AB4060"/>
  <c r="AC4060"/>
  <c r="AD4060"/>
  <c r="P4061"/>
  <c r="T4061"/>
  <c r="U4061"/>
  <c r="V4061"/>
  <c r="W4061"/>
  <c r="Y4061"/>
  <c r="AA4061"/>
  <c r="AB4061"/>
  <c r="AC4061"/>
  <c r="AD4061"/>
  <c r="P4062"/>
  <c r="T4062"/>
  <c r="U4062"/>
  <c r="V4062"/>
  <c r="W4062"/>
  <c r="Y4062"/>
  <c r="AA4062"/>
  <c r="AB4062"/>
  <c r="AC4062"/>
  <c r="AD4062"/>
  <c r="P4063"/>
  <c r="T4063"/>
  <c r="U4063"/>
  <c r="V4063"/>
  <c r="W4063"/>
  <c r="Y4063"/>
  <c r="AA4063"/>
  <c r="AB4063"/>
  <c r="AC4063"/>
  <c r="AD4063"/>
  <c r="P4064"/>
  <c r="T4064"/>
  <c r="U4064"/>
  <c r="V4064"/>
  <c r="W4064"/>
  <c r="Y4064"/>
  <c r="AA4064"/>
  <c r="AB4064"/>
  <c r="AC4064"/>
  <c r="AD4064"/>
  <c r="P4065"/>
  <c r="T4065"/>
  <c r="U4065"/>
  <c r="V4065"/>
  <c r="W4065"/>
  <c r="Y4065"/>
  <c r="AA4065"/>
  <c r="AB4065"/>
  <c r="AC4065"/>
  <c r="AD4065"/>
  <c r="P4066"/>
  <c r="T4066"/>
  <c r="U4066"/>
  <c r="V4066"/>
  <c r="W4066"/>
  <c r="Y4066"/>
  <c r="AA4066"/>
  <c r="AB4066"/>
  <c r="AC4066"/>
  <c r="AD4066"/>
  <c r="B302"/>
  <c r="B303"/>
  <c r="B304"/>
  <c r="B305"/>
  <c r="B306"/>
  <c r="B307"/>
  <c r="B308"/>
  <c r="B309"/>
  <c r="B310"/>
  <c r="B311"/>
  <c r="B312"/>
  <c r="B313"/>
  <c r="B314"/>
  <c r="B315"/>
  <c r="B316"/>
  <c r="B317"/>
  <c r="B318"/>
  <c r="B319"/>
  <c r="B322"/>
  <c r="E727"/>
  <c r="AA727" s="1"/>
  <c r="B727"/>
  <c r="M726"/>
  <c r="E726"/>
  <c r="AA726" s="1"/>
  <c r="B726"/>
  <c r="E782"/>
  <c r="AA782" s="1"/>
  <c r="B782"/>
  <c r="M686"/>
  <c r="E750"/>
  <c r="AA750" s="1"/>
  <c r="B750"/>
  <c r="E730"/>
  <c r="AA730" s="1"/>
  <c r="B730"/>
  <c r="M783"/>
  <c r="M781"/>
  <c r="M780"/>
  <c r="M778"/>
  <c r="M777"/>
  <c r="M776"/>
  <c r="M775"/>
  <c r="M774"/>
  <c r="M773"/>
  <c r="M772"/>
  <c r="M771"/>
  <c r="M770"/>
  <c r="M769"/>
  <c r="M768"/>
  <c r="M767"/>
  <c r="M766"/>
  <c r="M765"/>
  <c r="M764"/>
  <c r="M763"/>
  <c r="M762"/>
  <c r="M761"/>
  <c r="M760"/>
  <c r="M759"/>
  <c r="M758"/>
  <c r="M757"/>
  <c r="M756"/>
  <c r="M755"/>
  <c r="M754"/>
  <c r="M753"/>
  <c r="M752"/>
  <c r="M751"/>
  <c r="M749"/>
  <c r="M748"/>
  <c r="M747"/>
  <c r="M746"/>
  <c r="M745"/>
  <c r="M744"/>
  <c r="M743"/>
  <c r="M742"/>
  <c r="M741"/>
  <c r="M740"/>
  <c r="M739"/>
  <c r="M738"/>
  <c r="M737"/>
  <c r="M736"/>
  <c r="M735"/>
  <c r="M734"/>
  <c r="M733"/>
  <c r="M732"/>
  <c r="M731"/>
  <c r="M729"/>
  <c r="M728"/>
  <c r="M725"/>
  <c r="M724"/>
  <c r="M723"/>
  <c r="M722"/>
  <c r="M720"/>
  <c r="M719"/>
  <c r="M718"/>
  <c r="M717"/>
  <c r="M715"/>
  <c r="M714"/>
  <c r="M712"/>
  <c r="M711"/>
  <c r="M709"/>
  <c r="M708"/>
  <c r="M706"/>
  <c r="M705"/>
  <c r="M703"/>
  <c r="M702"/>
  <c r="M700"/>
  <c r="M699"/>
  <c r="M695"/>
  <c r="M694"/>
  <c r="M693"/>
  <c r="M688"/>
  <c r="M685"/>
  <c r="M594"/>
  <c r="M593"/>
  <c r="M592"/>
  <c r="M590"/>
  <c r="M589"/>
  <c r="M567"/>
  <c r="M566"/>
  <c r="M565"/>
  <c r="M564"/>
  <c r="M563"/>
  <c r="M562"/>
  <c r="M561"/>
  <c r="M560"/>
  <c r="M559"/>
  <c r="M558"/>
  <c r="M557"/>
  <c r="M555"/>
  <c r="M554"/>
  <c r="M553"/>
  <c r="M551"/>
  <c r="M550"/>
  <c r="M548"/>
  <c r="M547"/>
  <c r="M546"/>
  <c r="M545"/>
  <c r="M544"/>
  <c r="M543"/>
  <c r="M542"/>
  <c r="M540"/>
  <c r="M539"/>
  <c r="M538"/>
  <c r="M537"/>
  <c r="M536"/>
  <c r="M535"/>
  <c r="M534"/>
  <c r="M533"/>
  <c r="M532"/>
  <c r="M531"/>
  <c r="M518"/>
  <c r="M508"/>
  <c r="M507"/>
  <c r="M503"/>
  <c r="M501"/>
  <c r="M497"/>
  <c r="M494"/>
  <c r="M493"/>
  <c r="E729"/>
  <c r="AA729" s="1"/>
  <c r="B729"/>
  <c r="E779"/>
  <c r="AA779" s="1"/>
  <c r="B779"/>
  <c r="E721"/>
  <c r="AA721" s="1"/>
  <c r="B721"/>
  <c r="E720"/>
  <c r="AA720" s="1"/>
  <c r="B720"/>
  <c r="E707"/>
  <c r="AA707" s="1"/>
  <c r="E706"/>
  <c r="AA706" s="1"/>
  <c r="E705"/>
  <c r="AA705" s="1"/>
  <c r="B707"/>
  <c r="B706"/>
  <c r="E704"/>
  <c r="AA704" s="1"/>
  <c r="E703"/>
  <c r="AA703" s="1"/>
  <c r="E702"/>
  <c r="AA702" s="1"/>
  <c r="B704"/>
  <c r="B703"/>
  <c r="E701"/>
  <c r="AA701" s="1"/>
  <c r="B701"/>
  <c r="E700"/>
  <c r="AA700" s="1"/>
  <c r="B700"/>
  <c r="E710"/>
  <c r="AA710" s="1"/>
  <c r="E709"/>
  <c r="AA709" s="1"/>
  <c r="E708"/>
  <c r="AA708" s="1"/>
  <c r="B710"/>
  <c r="B709"/>
  <c r="E713"/>
  <c r="AA713" s="1"/>
  <c r="E712"/>
  <c r="AA712" s="1"/>
  <c r="E711"/>
  <c r="AA711" s="1"/>
  <c r="B713"/>
  <c r="B712"/>
  <c r="E716"/>
  <c r="AA716" s="1"/>
  <c r="B716"/>
  <c r="E715"/>
  <c r="AA715" s="1"/>
  <c r="B715"/>
  <c r="V282" i="60"/>
  <c r="V283"/>
  <c r="V284"/>
  <c r="V270"/>
  <c r="V271"/>
  <c r="V272"/>
  <c r="V273"/>
  <c r="V274"/>
  <c r="V257"/>
  <c r="V258"/>
  <c r="V259"/>
  <c r="V260"/>
  <c r="V261"/>
  <c r="V262"/>
  <c r="V263"/>
  <c r="V264"/>
  <c r="V265"/>
  <c r="V266"/>
  <c r="A258"/>
  <c r="A259"/>
  <c r="A260"/>
  <c r="A261"/>
  <c r="A257"/>
  <c r="B72" i="34"/>
  <c r="B71"/>
  <c r="B70"/>
  <c r="B69"/>
  <c r="B64"/>
  <c r="B63"/>
  <c r="B62"/>
  <c r="B61"/>
  <c r="B66"/>
  <c r="B65"/>
  <c r="B68"/>
  <c r="B67"/>
  <c r="Q69" l="1"/>
  <c r="R69"/>
  <c r="S69"/>
  <c r="Q63"/>
  <c r="R63"/>
  <c r="S63"/>
  <c r="Q704"/>
  <c r="R704"/>
  <c r="S704"/>
  <c r="Q706"/>
  <c r="R706"/>
  <c r="S706"/>
  <c r="Q315"/>
  <c r="R315"/>
  <c r="S315"/>
  <c r="Q311"/>
  <c r="R311"/>
  <c r="S311"/>
  <c r="Q303"/>
  <c r="R303"/>
  <c r="S303"/>
  <c r="R66"/>
  <c r="S66"/>
  <c r="Q66"/>
  <c r="R64"/>
  <c r="S64"/>
  <c r="Q64"/>
  <c r="R72"/>
  <c r="Q72"/>
  <c r="S72"/>
  <c r="S715"/>
  <c r="Q715"/>
  <c r="R715"/>
  <c r="Q712"/>
  <c r="R712"/>
  <c r="S712"/>
  <c r="S701"/>
  <c r="Q701"/>
  <c r="R701"/>
  <c r="S707"/>
  <c r="Q707"/>
  <c r="R707"/>
  <c r="Q720"/>
  <c r="R720"/>
  <c r="S720"/>
  <c r="S779"/>
  <c r="Q779"/>
  <c r="R779"/>
  <c r="Q750"/>
  <c r="R750"/>
  <c r="S750"/>
  <c r="S727"/>
  <c r="Q727"/>
  <c r="R727"/>
  <c r="S318"/>
  <c r="Q318"/>
  <c r="R318"/>
  <c r="S314"/>
  <c r="Q314"/>
  <c r="R314"/>
  <c r="S310"/>
  <c r="Q310"/>
  <c r="R310"/>
  <c r="S306"/>
  <c r="Q306"/>
  <c r="R306"/>
  <c r="S302"/>
  <c r="Q302"/>
  <c r="R302"/>
  <c r="Q726"/>
  <c r="R726"/>
  <c r="S726"/>
  <c r="Q317"/>
  <c r="R317"/>
  <c r="S317"/>
  <c r="Q309"/>
  <c r="R309"/>
  <c r="S309"/>
  <c r="Q67"/>
  <c r="R67"/>
  <c r="S67"/>
  <c r="S713"/>
  <c r="Q713"/>
  <c r="R713"/>
  <c r="Q313"/>
  <c r="R313"/>
  <c r="S313"/>
  <c r="Q305"/>
  <c r="R305"/>
  <c r="S305"/>
  <c r="R68"/>
  <c r="S68"/>
  <c r="Q68"/>
  <c r="R62"/>
  <c r="S62"/>
  <c r="Q62"/>
  <c r="R70"/>
  <c r="S70"/>
  <c r="Q70"/>
  <c r="Q716"/>
  <c r="R716"/>
  <c r="S716"/>
  <c r="Q710"/>
  <c r="R710"/>
  <c r="S710"/>
  <c r="Q700"/>
  <c r="R700"/>
  <c r="S700"/>
  <c r="S703"/>
  <c r="Q703"/>
  <c r="R703"/>
  <c r="S721"/>
  <c r="Q721"/>
  <c r="R721"/>
  <c r="S729"/>
  <c r="Q729"/>
  <c r="R729"/>
  <c r="Q730"/>
  <c r="R730"/>
  <c r="S730"/>
  <c r="S322"/>
  <c r="Q322"/>
  <c r="R322"/>
  <c r="S316"/>
  <c r="Q316"/>
  <c r="R316"/>
  <c r="S312"/>
  <c r="Q312"/>
  <c r="R312"/>
  <c r="S308"/>
  <c r="Q308"/>
  <c r="R308"/>
  <c r="S304"/>
  <c r="Q304"/>
  <c r="R304"/>
  <c r="Q61"/>
  <c r="R61"/>
  <c r="S61"/>
  <c r="S709"/>
  <c r="Q709"/>
  <c r="R709"/>
  <c r="Q65"/>
  <c r="R65"/>
  <c r="S65"/>
  <c r="Q71"/>
  <c r="R71"/>
  <c r="S71"/>
  <c r="Q782"/>
  <c r="R782"/>
  <c r="S782"/>
  <c r="Q319"/>
  <c r="R319"/>
  <c r="S319"/>
  <c r="Q307"/>
  <c r="R307"/>
  <c r="S307"/>
  <c r="A750"/>
  <c r="A782"/>
  <c r="A727"/>
  <c r="A730"/>
  <c r="A726"/>
  <c r="A721"/>
  <c r="A701"/>
  <c r="A709"/>
  <c r="A703"/>
  <c r="A704"/>
  <c r="A707"/>
  <c r="A779"/>
  <c r="A706"/>
  <c r="A720"/>
  <c r="A729"/>
  <c r="A700"/>
  <c r="A713"/>
  <c r="A710"/>
  <c r="A715"/>
  <c r="A712"/>
  <c r="A716"/>
  <c r="A68"/>
  <c r="A63"/>
  <c r="A64"/>
  <c r="A72"/>
  <c r="A67"/>
  <c r="A71"/>
  <c r="A69"/>
  <c r="A70"/>
  <c r="A65"/>
  <c r="A61"/>
  <c r="A62"/>
  <c r="A66"/>
  <c r="B669"/>
  <c r="E669"/>
  <c r="AA669" s="1"/>
  <c r="B484"/>
  <c r="B478"/>
  <c r="B479"/>
  <c r="B480"/>
  <c r="B481"/>
  <c r="E455"/>
  <c r="AA455" s="1"/>
  <c r="E454"/>
  <c r="AA454" s="1"/>
  <c r="E453"/>
  <c r="AA453" s="1"/>
  <c r="E452"/>
  <c r="AA452" s="1"/>
  <c r="E446"/>
  <c r="AA446" s="1"/>
  <c r="E448"/>
  <c r="AA448" s="1"/>
  <c r="E449"/>
  <c r="AA449" s="1"/>
  <c r="E450"/>
  <c r="AA450" s="1"/>
  <c r="E451"/>
  <c r="AA451" s="1"/>
  <c r="E445"/>
  <c r="AA445" s="1"/>
  <c r="B445"/>
  <c r="B446"/>
  <c r="B448"/>
  <c r="B449"/>
  <c r="B450"/>
  <c r="B451"/>
  <c r="B452"/>
  <c r="B453"/>
  <c r="B454"/>
  <c r="B455"/>
  <c r="B456"/>
  <c r="B457"/>
  <c r="B458"/>
  <c r="B459"/>
  <c r="B460"/>
  <c r="B461"/>
  <c r="B462"/>
  <c r="B463"/>
  <c r="B464"/>
  <c r="B465"/>
  <c r="B466"/>
  <c r="B467"/>
  <c r="B468"/>
  <c r="B469"/>
  <c r="B470"/>
  <c r="B471"/>
  <c r="B472"/>
  <c r="B473"/>
  <c r="B474"/>
  <c r="B475"/>
  <c r="B476"/>
  <c r="B477"/>
  <c r="B485"/>
  <c r="B718"/>
  <c r="E718"/>
  <c r="AA718" s="1"/>
  <c r="B732"/>
  <c r="E732"/>
  <c r="AA732" s="1"/>
  <c r="B734"/>
  <c r="E734"/>
  <c r="AA734" s="1"/>
  <c r="B745"/>
  <c r="E745"/>
  <c r="AA745" s="1"/>
  <c r="B773"/>
  <c r="E773"/>
  <c r="AA773" s="1"/>
  <c r="B778"/>
  <c r="E778"/>
  <c r="AA778" s="1"/>
  <c r="B769"/>
  <c r="E769"/>
  <c r="AA769" s="1"/>
  <c r="E780"/>
  <c r="AA780" s="1"/>
  <c r="E781"/>
  <c r="AA781" s="1"/>
  <c r="E783"/>
  <c r="AA783" s="1"/>
  <c r="E777"/>
  <c r="AA777" s="1"/>
  <c r="E776"/>
  <c r="AA776" s="1"/>
  <c r="E775"/>
  <c r="AA775" s="1"/>
  <c r="B775"/>
  <c r="E774"/>
  <c r="AA774" s="1"/>
  <c r="B774"/>
  <c r="E772"/>
  <c r="AA772" s="1"/>
  <c r="E768"/>
  <c r="AA768" s="1"/>
  <c r="E770"/>
  <c r="AA770" s="1"/>
  <c r="E771"/>
  <c r="AA771" s="1"/>
  <c r="E751"/>
  <c r="AA751" s="1"/>
  <c r="E752"/>
  <c r="AA752" s="1"/>
  <c r="E753"/>
  <c r="AA753" s="1"/>
  <c r="E754"/>
  <c r="AA754" s="1"/>
  <c r="E755"/>
  <c r="AA755" s="1"/>
  <c r="E756"/>
  <c r="AA756" s="1"/>
  <c r="E757"/>
  <c r="AA757" s="1"/>
  <c r="E758"/>
  <c r="AA758" s="1"/>
  <c r="E759"/>
  <c r="AA759" s="1"/>
  <c r="E760"/>
  <c r="AA760" s="1"/>
  <c r="E761"/>
  <c r="AA761" s="1"/>
  <c r="E762"/>
  <c r="AA762" s="1"/>
  <c r="E763"/>
  <c r="AA763" s="1"/>
  <c r="E764"/>
  <c r="AA764" s="1"/>
  <c r="E765"/>
  <c r="AA765" s="1"/>
  <c r="E766"/>
  <c r="AA766" s="1"/>
  <c r="E767"/>
  <c r="AA767" s="1"/>
  <c r="E747"/>
  <c r="AA747" s="1"/>
  <c r="E748"/>
  <c r="AA748" s="1"/>
  <c r="E749"/>
  <c r="AA749" s="1"/>
  <c r="E746"/>
  <c r="AA746" s="1"/>
  <c r="E744"/>
  <c r="AA744" s="1"/>
  <c r="E736"/>
  <c r="AA736" s="1"/>
  <c r="E737"/>
  <c r="AA737" s="1"/>
  <c r="E738"/>
  <c r="AA738" s="1"/>
  <c r="E739"/>
  <c r="AA739" s="1"/>
  <c r="E740"/>
  <c r="AA740" s="1"/>
  <c r="E741"/>
  <c r="AA741" s="1"/>
  <c r="E742"/>
  <c r="AA742" s="1"/>
  <c r="E743"/>
  <c r="AA743" s="1"/>
  <c r="B733"/>
  <c r="E733"/>
  <c r="AA733" s="1"/>
  <c r="E731"/>
  <c r="AA731" s="1"/>
  <c r="B731"/>
  <c r="E714"/>
  <c r="AA714" s="1"/>
  <c r="E717"/>
  <c r="AA717" s="1"/>
  <c r="E719"/>
  <c r="AA719" s="1"/>
  <c r="E722"/>
  <c r="AA722" s="1"/>
  <c r="E723"/>
  <c r="AA723" s="1"/>
  <c r="E724"/>
  <c r="AA724" s="1"/>
  <c r="E725"/>
  <c r="AA725" s="1"/>
  <c r="E728"/>
  <c r="AA728" s="1"/>
  <c r="E735"/>
  <c r="AA735" s="1"/>
  <c r="E699"/>
  <c r="AA699" s="1"/>
  <c r="S731" l="1"/>
  <c r="Q731"/>
  <c r="R731"/>
  <c r="S775"/>
  <c r="Q775"/>
  <c r="R775"/>
  <c r="A769"/>
  <c r="S769"/>
  <c r="Q769"/>
  <c r="R769"/>
  <c r="A773"/>
  <c r="S773"/>
  <c r="Q773"/>
  <c r="R773"/>
  <c r="A734"/>
  <c r="Q734"/>
  <c r="R734"/>
  <c r="S734"/>
  <c r="A718"/>
  <c r="Q718"/>
  <c r="R718"/>
  <c r="S718"/>
  <c r="A475"/>
  <c r="Q475"/>
  <c r="R475"/>
  <c r="S475"/>
  <c r="A471"/>
  <c r="Q471"/>
  <c r="R471"/>
  <c r="S471"/>
  <c r="A467"/>
  <c r="Q467"/>
  <c r="R467"/>
  <c r="S467"/>
  <c r="A463"/>
  <c r="Q463"/>
  <c r="R463"/>
  <c r="S463"/>
  <c r="A459"/>
  <c r="Q459"/>
  <c r="R459"/>
  <c r="S459"/>
  <c r="A455"/>
  <c r="Q455"/>
  <c r="R455"/>
  <c r="S455"/>
  <c r="A451"/>
  <c r="Q451"/>
  <c r="R451"/>
  <c r="S451"/>
  <c r="A446"/>
  <c r="R446"/>
  <c r="Q446"/>
  <c r="S446"/>
  <c r="A478"/>
  <c r="S478"/>
  <c r="Q478"/>
  <c r="R478"/>
  <c r="A485"/>
  <c r="Q485"/>
  <c r="R485"/>
  <c r="S485"/>
  <c r="A474"/>
  <c r="S474"/>
  <c r="Q474"/>
  <c r="R474"/>
  <c r="A470"/>
  <c r="S470"/>
  <c r="Q470"/>
  <c r="R470"/>
  <c r="A466"/>
  <c r="S466"/>
  <c r="Q466"/>
  <c r="R466"/>
  <c r="A462"/>
  <c r="S462"/>
  <c r="Q462"/>
  <c r="R462"/>
  <c r="A458"/>
  <c r="S458"/>
  <c r="Q458"/>
  <c r="R458"/>
  <c r="A454"/>
  <c r="S454"/>
  <c r="Q454"/>
  <c r="R454"/>
  <c r="A450"/>
  <c r="S450"/>
  <c r="Q450"/>
  <c r="R450"/>
  <c r="A445"/>
  <c r="R445"/>
  <c r="S445"/>
  <c r="Q445"/>
  <c r="A481"/>
  <c r="Q481"/>
  <c r="R481"/>
  <c r="S481"/>
  <c r="S484"/>
  <c r="Q484"/>
  <c r="R484"/>
  <c r="A774"/>
  <c r="Q774"/>
  <c r="R774"/>
  <c r="S774"/>
  <c r="A778"/>
  <c r="Q778"/>
  <c r="R778"/>
  <c r="S778"/>
  <c r="A745"/>
  <c r="S745"/>
  <c r="Q745"/>
  <c r="R745"/>
  <c r="A732"/>
  <c r="Q732"/>
  <c r="R732"/>
  <c r="S732"/>
  <c r="A477"/>
  <c r="Q477"/>
  <c r="R477"/>
  <c r="S477"/>
  <c r="A473"/>
  <c r="Q473"/>
  <c r="R473"/>
  <c r="S473"/>
  <c r="A469"/>
  <c r="Q469"/>
  <c r="R469"/>
  <c r="S469"/>
  <c r="A465"/>
  <c r="Q465"/>
  <c r="R465"/>
  <c r="S465"/>
  <c r="A461"/>
  <c r="Q461"/>
  <c r="R461"/>
  <c r="S461"/>
  <c r="A457"/>
  <c r="Q457"/>
  <c r="R457"/>
  <c r="S457"/>
  <c r="A453"/>
  <c r="Q453"/>
  <c r="R453"/>
  <c r="S453"/>
  <c r="A449"/>
  <c r="Q449"/>
  <c r="R449"/>
  <c r="S449"/>
  <c r="A480"/>
  <c r="S480"/>
  <c r="Q480"/>
  <c r="R480"/>
  <c r="A733"/>
  <c r="S733"/>
  <c r="Q733"/>
  <c r="R733"/>
  <c r="A476"/>
  <c r="S476"/>
  <c r="Q476"/>
  <c r="R476"/>
  <c r="A472"/>
  <c r="S472"/>
  <c r="Q472"/>
  <c r="R472"/>
  <c r="A468"/>
  <c r="S468"/>
  <c r="Q468"/>
  <c r="R468"/>
  <c r="A464"/>
  <c r="S464"/>
  <c r="Q464"/>
  <c r="R464"/>
  <c r="A460"/>
  <c r="S460"/>
  <c r="Q460"/>
  <c r="R460"/>
  <c r="A456"/>
  <c r="S456"/>
  <c r="Q456"/>
  <c r="R456"/>
  <c r="A452"/>
  <c r="S452"/>
  <c r="Q452"/>
  <c r="R452"/>
  <c r="A448"/>
  <c r="R448"/>
  <c r="S448"/>
  <c r="Q448"/>
  <c r="A479"/>
  <c r="Q479"/>
  <c r="R479"/>
  <c r="S479"/>
  <c r="A669"/>
  <c r="R669"/>
  <c r="Q669"/>
  <c r="S669"/>
  <c r="A315"/>
  <c r="A317"/>
  <c r="A319"/>
  <c r="A314"/>
  <c r="A316"/>
  <c r="A318"/>
  <c r="A775"/>
  <c r="A731"/>
  <c r="B695" l="1"/>
  <c r="E695"/>
  <c r="AA695" s="1"/>
  <c r="E694"/>
  <c r="AA694" s="1"/>
  <c r="B694"/>
  <c r="E698"/>
  <c r="AA698" s="1"/>
  <c r="B697"/>
  <c r="E697"/>
  <c r="AA697" s="1"/>
  <c r="E696"/>
  <c r="AA696" s="1"/>
  <c r="E693"/>
  <c r="AA693" s="1"/>
  <c r="B693"/>
  <c r="E692"/>
  <c r="AA692" s="1"/>
  <c r="B692"/>
  <c r="E691"/>
  <c r="AA691" s="1"/>
  <c r="B691"/>
  <c r="E690"/>
  <c r="AA690" s="1"/>
  <c r="B690"/>
  <c r="E688"/>
  <c r="AA688" s="1"/>
  <c r="B688"/>
  <c r="E687"/>
  <c r="AA687" s="1"/>
  <c r="B687"/>
  <c r="E686"/>
  <c r="AA686" s="1"/>
  <c r="E685"/>
  <c r="AA685" s="1"/>
  <c r="E684"/>
  <c r="AA684" s="1"/>
  <c r="B684"/>
  <c r="E683"/>
  <c r="AA683" s="1"/>
  <c r="B683"/>
  <c r="E682"/>
  <c r="AA682" s="1"/>
  <c r="E681"/>
  <c r="AA681" s="1"/>
  <c r="B681"/>
  <c r="E680"/>
  <c r="AA680" s="1"/>
  <c r="B680"/>
  <c r="E679"/>
  <c r="AA679" s="1"/>
  <c r="B679"/>
  <c r="E678"/>
  <c r="AA678" s="1"/>
  <c r="B678"/>
  <c r="E677"/>
  <c r="AA677" s="1"/>
  <c r="B677"/>
  <c r="E676"/>
  <c r="AA676" s="1"/>
  <c r="B676"/>
  <c r="E675"/>
  <c r="AA675" s="1"/>
  <c r="B675"/>
  <c r="E674"/>
  <c r="AA674" s="1"/>
  <c r="B674"/>
  <c r="E673"/>
  <c r="AA673" s="1"/>
  <c r="B673"/>
  <c r="E672"/>
  <c r="AA672" s="1"/>
  <c r="B671"/>
  <c r="E671"/>
  <c r="AA671" s="1"/>
  <c r="B670"/>
  <c r="E670"/>
  <c r="AA670" s="1"/>
  <c r="B665"/>
  <c r="E665"/>
  <c r="AA665" s="1"/>
  <c r="B666"/>
  <c r="E666"/>
  <c r="AA666" s="1"/>
  <c r="B667"/>
  <c r="E667"/>
  <c r="AA667" s="1"/>
  <c r="B668"/>
  <c r="E668"/>
  <c r="AA668" s="1"/>
  <c r="D284" i="60"/>
  <c r="D285"/>
  <c r="D286"/>
  <c r="D287"/>
  <c r="C256"/>
  <c r="C257"/>
  <c r="C258"/>
  <c r="E255" i="34"/>
  <c r="AA255" s="1"/>
  <c r="B255"/>
  <c r="K255"/>
  <c r="M255" s="1"/>
  <c r="K254"/>
  <c r="M254" s="1"/>
  <c r="E254"/>
  <c r="AA254" s="1"/>
  <c r="B254"/>
  <c r="A668" l="1"/>
  <c r="R668"/>
  <c r="Q668"/>
  <c r="S668"/>
  <c r="S683"/>
  <c r="Q683"/>
  <c r="R683"/>
  <c r="Q684"/>
  <c r="R684"/>
  <c r="S684"/>
  <c r="S687"/>
  <c r="Q687"/>
  <c r="R687"/>
  <c r="Q690"/>
  <c r="R690"/>
  <c r="S690"/>
  <c r="Q692"/>
  <c r="R692"/>
  <c r="S692"/>
  <c r="Q694"/>
  <c r="R694"/>
  <c r="S694"/>
  <c r="A254"/>
  <c r="Q254"/>
  <c r="R254"/>
  <c r="S254"/>
  <c r="A255"/>
  <c r="S255"/>
  <c r="Q255"/>
  <c r="R255"/>
  <c r="A667"/>
  <c r="R667"/>
  <c r="Q667"/>
  <c r="S667"/>
  <c r="A665"/>
  <c r="R665"/>
  <c r="Q665"/>
  <c r="S665"/>
  <c r="A671"/>
  <c r="R671"/>
  <c r="Q671"/>
  <c r="S671"/>
  <c r="R674"/>
  <c r="S674"/>
  <c r="Q674"/>
  <c r="Q676"/>
  <c r="R676"/>
  <c r="S676"/>
  <c r="Q678"/>
  <c r="R678"/>
  <c r="S678"/>
  <c r="Q680"/>
  <c r="R680"/>
  <c r="S680"/>
  <c r="Q688"/>
  <c r="R688"/>
  <c r="S688"/>
  <c r="S691"/>
  <c r="Q691"/>
  <c r="R691"/>
  <c r="S693"/>
  <c r="Q693"/>
  <c r="R693"/>
  <c r="A697"/>
  <c r="S697"/>
  <c r="Q697"/>
  <c r="R697"/>
  <c r="A666"/>
  <c r="R666"/>
  <c r="S666"/>
  <c r="Q666"/>
  <c r="A670"/>
  <c r="R670"/>
  <c r="S670"/>
  <c r="Q670"/>
  <c r="R673"/>
  <c r="Q673"/>
  <c r="S673"/>
  <c r="R675"/>
  <c r="Q675"/>
  <c r="S675"/>
  <c r="S677"/>
  <c r="Q677"/>
  <c r="R677"/>
  <c r="S679"/>
  <c r="Q679"/>
  <c r="R679"/>
  <c r="S681"/>
  <c r="Q681"/>
  <c r="R681"/>
  <c r="A695"/>
  <c r="S695"/>
  <c r="Q695"/>
  <c r="R695"/>
  <c r="A683"/>
  <c r="A677"/>
  <c r="A680"/>
  <c r="A688"/>
  <c r="A693"/>
  <c r="A694"/>
  <c r="A674"/>
  <c r="A692"/>
  <c r="A690"/>
  <c r="A691"/>
  <c r="A687"/>
  <c r="A684"/>
  <c r="A679"/>
  <c r="A681"/>
  <c r="A676"/>
  <c r="A678"/>
  <c r="A673"/>
  <c r="A675"/>
  <c r="B596"/>
  <c r="E596"/>
  <c r="AA596" s="1"/>
  <c r="A596" l="1"/>
  <c r="R596"/>
  <c r="S596"/>
  <c r="Q596"/>
  <c r="E549"/>
  <c r="AA549" s="1"/>
  <c r="B549"/>
  <c r="O16" i="63"/>
  <c r="N16"/>
  <c r="M16"/>
  <c r="L16"/>
  <c r="E548" i="34"/>
  <c r="AA548" s="1"/>
  <c r="B548"/>
  <c r="D25" i="62"/>
  <c r="D27" s="1"/>
  <c r="E25"/>
  <c r="F25"/>
  <c r="C25"/>
  <c r="R549" i="34" l="1"/>
  <c r="S549"/>
  <c r="Q549"/>
  <c r="Q548"/>
  <c r="R548"/>
  <c r="S548"/>
  <c r="A548"/>
  <c r="A549"/>
  <c r="E556"/>
  <c r="AA556" s="1"/>
  <c r="B556"/>
  <c r="E555"/>
  <c r="AA555" s="1"/>
  <c r="B555"/>
  <c r="E552"/>
  <c r="AA552" s="1"/>
  <c r="B552"/>
  <c r="E551"/>
  <c r="AA551" s="1"/>
  <c r="B551"/>
  <c r="E541"/>
  <c r="AA541" s="1"/>
  <c r="B541"/>
  <c r="E540"/>
  <c r="AA540" s="1"/>
  <c r="B540"/>
  <c r="P17" i="64"/>
  <c r="L17"/>
  <c r="E591" i="34"/>
  <c r="AA591" s="1"/>
  <c r="B591"/>
  <c r="Q540" l="1"/>
  <c r="R540"/>
  <c r="S540"/>
  <c r="R551"/>
  <c r="S551"/>
  <c r="Q551"/>
  <c r="R555"/>
  <c r="S555"/>
  <c r="Q555"/>
  <c r="R541"/>
  <c r="S541"/>
  <c r="Q541"/>
  <c r="Q552"/>
  <c r="R552"/>
  <c r="S552"/>
  <c r="Q556"/>
  <c r="R556"/>
  <c r="S556"/>
  <c r="R591"/>
  <c r="S591"/>
  <c r="Q591"/>
  <c r="A540"/>
  <c r="A552"/>
  <c r="A556"/>
  <c r="A555"/>
  <c r="A541"/>
  <c r="A551"/>
  <c r="A591"/>
  <c r="E544" l="1"/>
  <c r="AA544" s="1"/>
  <c r="B544"/>
  <c r="E535"/>
  <c r="AA535" s="1"/>
  <c r="B535"/>
  <c r="Q544" l="1"/>
  <c r="R544"/>
  <c r="S544"/>
  <c r="R535"/>
  <c r="S535"/>
  <c r="Q535"/>
  <c r="A544"/>
  <c r="A535"/>
  <c r="E689"/>
  <c r="AA689" s="1"/>
  <c r="M257"/>
  <c r="M258"/>
  <c r="M259"/>
  <c r="M256"/>
  <c r="B259"/>
  <c r="E259"/>
  <c r="AA259" s="1"/>
  <c r="B258"/>
  <c r="E258"/>
  <c r="AA258" s="1"/>
  <c r="B257"/>
  <c r="E257"/>
  <c r="AA257" s="1"/>
  <c r="B260"/>
  <c r="B261"/>
  <c r="B262"/>
  <c r="B263"/>
  <c r="B264"/>
  <c r="B265"/>
  <c r="B266"/>
  <c r="B267"/>
  <c r="B268"/>
  <c r="B269"/>
  <c r="B270"/>
  <c r="A306"/>
  <c r="A307"/>
  <c r="B423"/>
  <c r="E423"/>
  <c r="AA423" s="1"/>
  <c r="A305"/>
  <c r="E305"/>
  <c r="AA305" s="1"/>
  <c r="C75" i="15"/>
  <c r="A423" i="34" l="1"/>
  <c r="R423"/>
  <c r="Q423"/>
  <c r="S423"/>
  <c r="A264"/>
  <c r="S264"/>
  <c r="Q264"/>
  <c r="R264"/>
  <c r="A258"/>
  <c r="S258"/>
  <c r="Q258"/>
  <c r="R258"/>
  <c r="A267"/>
  <c r="R267"/>
  <c r="S267"/>
  <c r="Q267"/>
  <c r="A270"/>
  <c r="Q270"/>
  <c r="R270"/>
  <c r="S270"/>
  <c r="A266"/>
  <c r="Q266"/>
  <c r="R266"/>
  <c r="S266"/>
  <c r="A262"/>
  <c r="S262"/>
  <c r="Q262"/>
  <c r="R262"/>
  <c r="A257"/>
  <c r="Q257"/>
  <c r="R257"/>
  <c r="S257"/>
  <c r="A259"/>
  <c r="Q259"/>
  <c r="R259"/>
  <c r="S259"/>
  <c r="A265"/>
  <c r="R265"/>
  <c r="S265"/>
  <c r="Q265"/>
  <c r="A261"/>
  <c r="Q261"/>
  <c r="R261"/>
  <c r="S261"/>
  <c r="A269"/>
  <c r="R269"/>
  <c r="S269"/>
  <c r="Q269"/>
  <c r="A260"/>
  <c r="S260"/>
  <c r="Q260"/>
  <c r="R260"/>
  <c r="A268"/>
  <c r="Q268"/>
  <c r="R268"/>
  <c r="S268"/>
  <c r="A263"/>
  <c r="Q263"/>
  <c r="R263"/>
  <c r="S263"/>
  <c r="E300"/>
  <c r="AA300" s="1"/>
  <c r="E301"/>
  <c r="AA301" s="1"/>
  <c r="E302"/>
  <c r="AA302" s="1"/>
  <c r="E303"/>
  <c r="AA303" s="1"/>
  <c r="E304"/>
  <c r="AA304" s="1"/>
  <c r="E299"/>
  <c r="AA299" s="1"/>
  <c r="B299"/>
  <c r="B300"/>
  <c r="B301"/>
  <c r="A302"/>
  <c r="A303"/>
  <c r="A304"/>
  <c r="B441"/>
  <c r="E441"/>
  <c r="AA441" s="1"/>
  <c r="B442"/>
  <c r="E442"/>
  <c r="AA442" s="1"/>
  <c r="B443"/>
  <c r="E443"/>
  <c r="AA443" s="1"/>
  <c r="B444"/>
  <c r="E444"/>
  <c r="AA444" s="1"/>
  <c r="E437"/>
  <c r="AA437" s="1"/>
  <c r="B437"/>
  <c r="E436"/>
  <c r="AA436" s="1"/>
  <c r="B436"/>
  <c r="E435"/>
  <c r="AA435" s="1"/>
  <c r="E434"/>
  <c r="AA434" s="1"/>
  <c r="E433"/>
  <c r="AA433" s="1"/>
  <c r="B433"/>
  <c r="E432"/>
  <c r="AA432" s="1"/>
  <c r="B432"/>
  <c r="E431"/>
  <c r="AA431" s="1"/>
  <c r="B431"/>
  <c r="E430"/>
  <c r="AA430" s="1"/>
  <c r="B430"/>
  <c r="M427"/>
  <c r="M426"/>
  <c r="E427"/>
  <c r="AA427" s="1"/>
  <c r="B427"/>
  <c r="E426"/>
  <c r="AA426" s="1"/>
  <c r="B426"/>
  <c r="E425"/>
  <c r="AA425" s="1"/>
  <c r="B425"/>
  <c r="E424"/>
  <c r="AA424" s="1"/>
  <c r="B424"/>
  <c r="E422"/>
  <c r="AA422" s="1"/>
  <c r="B422"/>
  <c r="E421"/>
  <c r="AA421" s="1"/>
  <c r="B421"/>
  <c r="B418"/>
  <c r="E418"/>
  <c r="AA418" s="1"/>
  <c r="B419"/>
  <c r="E419"/>
  <c r="AA419" s="1"/>
  <c r="B420"/>
  <c r="E420"/>
  <c r="AA420" s="1"/>
  <c r="B428"/>
  <c r="E428"/>
  <c r="AA428" s="1"/>
  <c r="B429"/>
  <c r="E429"/>
  <c r="AA429" s="1"/>
  <c r="B434"/>
  <c r="B435"/>
  <c r="B438"/>
  <c r="E438"/>
  <c r="AA438" s="1"/>
  <c r="B439"/>
  <c r="E439"/>
  <c r="AA439" s="1"/>
  <c r="B440"/>
  <c r="E440"/>
  <c r="AA440" s="1"/>
  <c r="B410"/>
  <c r="B411"/>
  <c r="B412"/>
  <c r="B413"/>
  <c r="B414"/>
  <c r="B415"/>
  <c r="B416"/>
  <c r="B417"/>
  <c r="B409"/>
  <c r="E408"/>
  <c r="AA408" s="1"/>
  <c r="E409"/>
  <c r="AA409" s="1"/>
  <c r="E410"/>
  <c r="AA410" s="1"/>
  <c r="E411"/>
  <c r="AA411" s="1"/>
  <c r="E412"/>
  <c r="AA412" s="1"/>
  <c r="E413"/>
  <c r="AA413" s="1"/>
  <c r="E414"/>
  <c r="AA414" s="1"/>
  <c r="E415"/>
  <c r="AA415" s="1"/>
  <c r="E416"/>
  <c r="AA416" s="1"/>
  <c r="E417"/>
  <c r="AA417" s="1"/>
  <c r="B590"/>
  <c r="E590"/>
  <c r="AA590" s="1"/>
  <c r="E587"/>
  <c r="AA587" s="1"/>
  <c r="E588"/>
  <c r="AA588" s="1"/>
  <c r="E589"/>
  <c r="AA589" s="1"/>
  <c r="E592"/>
  <c r="AA592" s="1"/>
  <c r="E593"/>
  <c r="AA593" s="1"/>
  <c r="E594"/>
  <c r="AA594" s="1"/>
  <c r="E595"/>
  <c r="AA595" s="1"/>
  <c r="E664"/>
  <c r="AA664" s="1"/>
  <c r="B587"/>
  <c r="B588"/>
  <c r="B589"/>
  <c r="B592"/>
  <c r="B593"/>
  <c r="B594"/>
  <c r="B595"/>
  <c r="B664"/>
  <c r="B672"/>
  <c r="E586"/>
  <c r="AA586" s="1"/>
  <c r="E585"/>
  <c r="AA585" s="1"/>
  <c r="E584"/>
  <c r="AA584" s="1"/>
  <c r="R664" l="1"/>
  <c r="Q664"/>
  <c r="S664"/>
  <c r="R595"/>
  <c r="Q595"/>
  <c r="S595"/>
  <c r="A590"/>
  <c r="Q590"/>
  <c r="R590"/>
  <c r="S590"/>
  <c r="A417"/>
  <c r="S417"/>
  <c r="Q417"/>
  <c r="R417"/>
  <c r="A413"/>
  <c r="S413"/>
  <c r="Q413"/>
  <c r="R413"/>
  <c r="R594"/>
  <c r="S594"/>
  <c r="Q594"/>
  <c r="R672"/>
  <c r="Q672"/>
  <c r="S672"/>
  <c r="R593"/>
  <c r="S593"/>
  <c r="Q593"/>
  <c r="R587"/>
  <c r="S587"/>
  <c r="Q587"/>
  <c r="A415"/>
  <c r="S415"/>
  <c r="Q415"/>
  <c r="R415"/>
  <c r="A411"/>
  <c r="S411"/>
  <c r="Q411"/>
  <c r="R411"/>
  <c r="A435"/>
  <c r="R435"/>
  <c r="Q435"/>
  <c r="S435"/>
  <c r="S421"/>
  <c r="R421"/>
  <c r="Q421"/>
  <c r="R424"/>
  <c r="Q424"/>
  <c r="S424"/>
  <c r="R426"/>
  <c r="Q426"/>
  <c r="S426"/>
  <c r="R431"/>
  <c r="Q431"/>
  <c r="S431"/>
  <c r="R433"/>
  <c r="S433"/>
  <c r="Q433"/>
  <c r="R436"/>
  <c r="Q436"/>
  <c r="S436"/>
  <c r="A300"/>
  <c r="S300"/>
  <c r="Q300"/>
  <c r="R300"/>
  <c r="S409"/>
  <c r="Q409"/>
  <c r="R409"/>
  <c r="A414"/>
  <c r="Q414"/>
  <c r="R414"/>
  <c r="S414"/>
  <c r="A410"/>
  <c r="Q410"/>
  <c r="R410"/>
  <c r="S410"/>
  <c r="A439"/>
  <c r="R439"/>
  <c r="Q439"/>
  <c r="S439"/>
  <c r="A434"/>
  <c r="R434"/>
  <c r="Q434"/>
  <c r="S434"/>
  <c r="A428"/>
  <c r="R428"/>
  <c r="Q428"/>
  <c r="S428"/>
  <c r="A419"/>
  <c r="S419"/>
  <c r="Q419"/>
  <c r="R419"/>
  <c r="A444"/>
  <c r="Q444"/>
  <c r="R444"/>
  <c r="S444"/>
  <c r="A442"/>
  <c r="Q442"/>
  <c r="R442"/>
  <c r="S442"/>
  <c r="A299"/>
  <c r="Q299"/>
  <c r="R299"/>
  <c r="S299"/>
  <c r="R589"/>
  <c r="S589"/>
  <c r="Q589"/>
  <c r="R422"/>
  <c r="Q422"/>
  <c r="S422"/>
  <c r="R427"/>
  <c r="Q427"/>
  <c r="S427"/>
  <c r="R430"/>
  <c r="Q430"/>
  <c r="S430"/>
  <c r="R432"/>
  <c r="Q432"/>
  <c r="S432"/>
  <c r="R437"/>
  <c r="S437"/>
  <c r="Q437"/>
  <c r="Q592"/>
  <c r="R592"/>
  <c r="S592"/>
  <c r="R425"/>
  <c r="S425"/>
  <c r="Q425"/>
  <c r="Q588"/>
  <c r="R588"/>
  <c r="S588"/>
  <c r="A416"/>
  <c r="Q416"/>
  <c r="R416"/>
  <c r="S416"/>
  <c r="A412"/>
  <c r="Q412"/>
  <c r="R412"/>
  <c r="S412"/>
  <c r="A440"/>
  <c r="R440"/>
  <c r="Q440"/>
  <c r="S440"/>
  <c r="A438"/>
  <c r="R438"/>
  <c r="Q438"/>
  <c r="S438"/>
  <c r="A429"/>
  <c r="R429"/>
  <c r="S429"/>
  <c r="Q429"/>
  <c r="A420"/>
  <c r="Q420"/>
  <c r="R420"/>
  <c r="S420"/>
  <c r="A418"/>
  <c r="Q418"/>
  <c r="R418"/>
  <c r="S418"/>
  <c r="A443"/>
  <c r="R443"/>
  <c r="Q443"/>
  <c r="S443"/>
  <c r="A441"/>
  <c r="R441"/>
  <c r="Q441"/>
  <c r="S441"/>
  <c r="A301"/>
  <c r="Q301"/>
  <c r="R301"/>
  <c r="S301"/>
  <c r="A432"/>
  <c r="A431"/>
  <c r="A437"/>
  <c r="A436"/>
  <c r="A433"/>
  <c r="A430"/>
  <c r="A426"/>
  <c r="A427"/>
  <c r="A424"/>
  <c r="A425"/>
  <c r="A421"/>
  <c r="A422"/>
  <c r="E583" l="1"/>
  <c r="AA583" s="1"/>
  <c r="E582"/>
  <c r="AA582" s="1"/>
  <c r="E581"/>
  <c r="AA581" s="1"/>
  <c r="E579"/>
  <c r="AA579" s="1"/>
  <c r="E578"/>
  <c r="AA578" s="1"/>
  <c r="E577"/>
  <c r="AA577" s="1"/>
  <c r="E576"/>
  <c r="AA576" s="1"/>
  <c r="E575"/>
  <c r="AA575" s="1"/>
  <c r="E574"/>
  <c r="AA574" s="1"/>
  <c r="B571"/>
  <c r="E571"/>
  <c r="AA571" s="1"/>
  <c r="B572"/>
  <c r="E572"/>
  <c r="AA572" s="1"/>
  <c r="B573"/>
  <c r="E573"/>
  <c r="AA573" s="1"/>
  <c r="E570"/>
  <c r="AA570" s="1"/>
  <c r="E568"/>
  <c r="AA568" s="1"/>
  <c r="E569"/>
  <c r="AA569" s="1"/>
  <c r="E580"/>
  <c r="AA580" s="1"/>
  <c r="E554"/>
  <c r="AA554" s="1"/>
  <c r="B554"/>
  <c r="E553"/>
  <c r="AA553" s="1"/>
  <c r="B553"/>
  <c r="E550"/>
  <c r="AA550" s="1"/>
  <c r="E557"/>
  <c r="AA557" s="1"/>
  <c r="E558"/>
  <c r="AA558" s="1"/>
  <c r="E559"/>
  <c r="AA559" s="1"/>
  <c r="E560"/>
  <c r="AA560" s="1"/>
  <c r="E561"/>
  <c r="AA561" s="1"/>
  <c r="E562"/>
  <c r="AA562" s="1"/>
  <c r="E563"/>
  <c r="AA563" s="1"/>
  <c r="E564"/>
  <c r="AA564" s="1"/>
  <c r="E565"/>
  <c r="AA565" s="1"/>
  <c r="E566"/>
  <c r="AA566" s="1"/>
  <c r="E567"/>
  <c r="AA567" s="1"/>
  <c r="E545"/>
  <c r="AA545" s="1"/>
  <c r="B545"/>
  <c r="E543"/>
  <c r="AA543" s="1"/>
  <c r="B543"/>
  <c r="B539"/>
  <c r="E539"/>
  <c r="AA539" s="1"/>
  <c r="B537"/>
  <c r="E537"/>
  <c r="AA537" s="1"/>
  <c r="B538"/>
  <c r="E538"/>
  <c r="AA538" s="1"/>
  <c r="B518"/>
  <c r="E518"/>
  <c r="AA518" s="1"/>
  <c r="E531"/>
  <c r="AA531" s="1"/>
  <c r="B531"/>
  <c r="B529"/>
  <c r="E529"/>
  <c r="AA529" s="1"/>
  <c r="B530"/>
  <c r="E530"/>
  <c r="AA530" s="1"/>
  <c r="E527"/>
  <c r="AA527" s="1"/>
  <c r="B527"/>
  <c r="E526"/>
  <c r="AA526" s="1"/>
  <c r="B526"/>
  <c r="E525"/>
  <c r="AA525" s="1"/>
  <c r="B525"/>
  <c r="E524"/>
  <c r="AA524" s="1"/>
  <c r="B524"/>
  <c r="E523"/>
  <c r="AA523" s="1"/>
  <c r="B523"/>
  <c r="E522"/>
  <c r="AA522" s="1"/>
  <c r="B522"/>
  <c r="E521"/>
  <c r="AA521" s="1"/>
  <c r="B521"/>
  <c r="E520"/>
  <c r="AA520" s="1"/>
  <c r="B520"/>
  <c r="E519"/>
  <c r="AA519" s="1"/>
  <c r="B519"/>
  <c r="E517"/>
  <c r="AA517" s="1"/>
  <c r="B517"/>
  <c r="E516"/>
  <c r="AA516" s="1"/>
  <c r="B516"/>
  <c r="E515"/>
  <c r="AA515" s="1"/>
  <c r="B515"/>
  <c r="E514"/>
  <c r="AA514" s="1"/>
  <c r="B514"/>
  <c r="E513"/>
  <c r="AA513" s="1"/>
  <c r="B513"/>
  <c r="E512"/>
  <c r="AA512" s="1"/>
  <c r="B512"/>
  <c r="E508"/>
  <c r="AA508" s="1"/>
  <c r="B508"/>
  <c r="E507"/>
  <c r="AA507" s="1"/>
  <c r="B507"/>
  <c r="E503"/>
  <c r="AA503" s="1"/>
  <c r="B503"/>
  <c r="E502"/>
  <c r="AA502" s="1"/>
  <c r="B502"/>
  <c r="E501"/>
  <c r="AA501" s="1"/>
  <c r="B501"/>
  <c r="E500"/>
  <c r="AA500" s="1"/>
  <c r="B500"/>
  <c r="E499"/>
  <c r="AA499" s="1"/>
  <c r="B499"/>
  <c r="B497"/>
  <c r="E497"/>
  <c r="AA497" s="1"/>
  <c r="B496"/>
  <c r="E496"/>
  <c r="AA496" s="1"/>
  <c r="E495"/>
  <c r="AA495" s="1"/>
  <c r="B495"/>
  <c r="E487"/>
  <c r="AA487" s="1"/>
  <c r="E488"/>
  <c r="AA488" s="1"/>
  <c r="E489"/>
  <c r="AA489" s="1"/>
  <c r="E490"/>
  <c r="AA490" s="1"/>
  <c r="E491"/>
  <c r="AA491" s="1"/>
  <c r="E492"/>
  <c r="AA492" s="1"/>
  <c r="E493"/>
  <c r="AA493" s="1"/>
  <c r="E494"/>
  <c r="AA494" s="1"/>
  <c r="E498"/>
  <c r="AA498" s="1"/>
  <c r="E504"/>
  <c r="AA504" s="1"/>
  <c r="E505"/>
  <c r="AA505" s="1"/>
  <c r="E506"/>
  <c r="AA506" s="1"/>
  <c r="E509"/>
  <c r="AA509" s="1"/>
  <c r="E510"/>
  <c r="AA510" s="1"/>
  <c r="E511"/>
  <c r="AA511" s="1"/>
  <c r="E528"/>
  <c r="AA528" s="1"/>
  <c r="E532"/>
  <c r="AA532" s="1"/>
  <c r="E533"/>
  <c r="AA533" s="1"/>
  <c r="E534"/>
  <c r="AA534" s="1"/>
  <c r="E536"/>
  <c r="AA536" s="1"/>
  <c r="E542"/>
  <c r="AA542" s="1"/>
  <c r="E546"/>
  <c r="AA546" s="1"/>
  <c r="E547"/>
  <c r="AA547" s="1"/>
  <c r="E486"/>
  <c r="AA486" s="1"/>
  <c r="M249"/>
  <c r="M250"/>
  <c r="M251"/>
  <c r="M248"/>
  <c r="B249"/>
  <c r="E249"/>
  <c r="AA249" s="1"/>
  <c r="B250"/>
  <c r="E250"/>
  <c r="AA250" s="1"/>
  <c r="B251"/>
  <c r="E251"/>
  <c r="AA251" s="1"/>
  <c r="B252"/>
  <c r="E252"/>
  <c r="AA252" s="1"/>
  <c r="B248"/>
  <c r="E248"/>
  <c r="AA248" s="1"/>
  <c r="B256"/>
  <c r="E256"/>
  <c r="AA256" s="1"/>
  <c r="B398"/>
  <c r="B399"/>
  <c r="B400"/>
  <c r="B401"/>
  <c r="B402"/>
  <c r="B403"/>
  <c r="B404"/>
  <c r="B405"/>
  <c r="B406"/>
  <c r="B407"/>
  <c r="B408"/>
  <c r="E398"/>
  <c r="AA398" s="1"/>
  <c r="E403"/>
  <c r="AA403" s="1"/>
  <c r="E404"/>
  <c r="AA404" s="1"/>
  <c r="E405"/>
  <c r="AA405" s="1"/>
  <c r="E406"/>
  <c r="AA406" s="1"/>
  <c r="E407"/>
  <c r="AA407" s="1"/>
  <c r="E276"/>
  <c r="AA276" s="1"/>
  <c r="B276"/>
  <c r="E275"/>
  <c r="AA275" s="1"/>
  <c r="B275"/>
  <c r="E274"/>
  <c r="AA274" s="1"/>
  <c r="B274"/>
  <c r="S399" l="1"/>
  <c r="Q399"/>
  <c r="R399"/>
  <c r="R275"/>
  <c r="S275"/>
  <c r="Q275"/>
  <c r="Q406"/>
  <c r="R406"/>
  <c r="S406"/>
  <c r="A248"/>
  <c r="S248"/>
  <c r="Q248"/>
  <c r="R248"/>
  <c r="A249"/>
  <c r="Q249"/>
  <c r="R249"/>
  <c r="S249"/>
  <c r="A496"/>
  <c r="S496"/>
  <c r="Q496"/>
  <c r="R496"/>
  <c r="A530"/>
  <c r="R530"/>
  <c r="Q530"/>
  <c r="S530"/>
  <c r="A538"/>
  <c r="Q538"/>
  <c r="R538"/>
  <c r="S538"/>
  <c r="A539"/>
  <c r="R539"/>
  <c r="S539"/>
  <c r="Q539"/>
  <c r="A572"/>
  <c r="Q572"/>
  <c r="R572"/>
  <c r="S572"/>
  <c r="S403"/>
  <c r="Q403"/>
  <c r="R403"/>
  <c r="Q398"/>
  <c r="R398"/>
  <c r="S398"/>
  <c r="S405"/>
  <c r="Q405"/>
  <c r="R405"/>
  <c r="S401"/>
  <c r="Q401"/>
  <c r="R401"/>
  <c r="Q495"/>
  <c r="R495"/>
  <c r="S495"/>
  <c r="S500"/>
  <c r="Q500"/>
  <c r="R500"/>
  <c r="S502"/>
  <c r="Q502"/>
  <c r="R502"/>
  <c r="Q507"/>
  <c r="R507"/>
  <c r="S507"/>
  <c r="S512"/>
  <c r="Q512"/>
  <c r="R512"/>
  <c r="S514"/>
  <c r="Q514"/>
  <c r="R514"/>
  <c r="S516"/>
  <c r="Q516"/>
  <c r="R516"/>
  <c r="Q519"/>
  <c r="R519"/>
  <c r="S519"/>
  <c r="Q521"/>
  <c r="R521"/>
  <c r="S521"/>
  <c r="R523"/>
  <c r="Q523"/>
  <c r="S523"/>
  <c r="R525"/>
  <c r="Q525"/>
  <c r="S525"/>
  <c r="R527"/>
  <c r="Q527"/>
  <c r="S527"/>
  <c r="R543"/>
  <c r="S543"/>
  <c r="Q543"/>
  <c r="R553"/>
  <c r="S553"/>
  <c r="Q553"/>
  <c r="S407"/>
  <c r="Q407"/>
  <c r="R407"/>
  <c r="Q402"/>
  <c r="R402"/>
  <c r="S402"/>
  <c r="A251"/>
  <c r="Q251"/>
  <c r="R251"/>
  <c r="S251"/>
  <c r="Q274"/>
  <c r="R274"/>
  <c r="S274"/>
  <c r="R276"/>
  <c r="Q276"/>
  <c r="S276"/>
  <c r="Q408"/>
  <c r="R408"/>
  <c r="S408"/>
  <c r="Q404"/>
  <c r="R404"/>
  <c r="S404"/>
  <c r="Q400"/>
  <c r="R400"/>
  <c r="S400"/>
  <c r="A256"/>
  <c r="S256"/>
  <c r="Q256"/>
  <c r="R256"/>
  <c r="A252"/>
  <c r="S252"/>
  <c r="Q252"/>
  <c r="R252"/>
  <c r="A250"/>
  <c r="S250"/>
  <c r="Q250"/>
  <c r="R250"/>
  <c r="A497"/>
  <c r="Q497"/>
  <c r="R497"/>
  <c r="S497"/>
  <c r="A529"/>
  <c r="R529"/>
  <c r="Q529"/>
  <c r="S529"/>
  <c r="A518"/>
  <c r="S518"/>
  <c r="Q518"/>
  <c r="R518"/>
  <c r="A537"/>
  <c r="R537"/>
  <c r="S537"/>
  <c r="Q537"/>
  <c r="A573"/>
  <c r="R573"/>
  <c r="S573"/>
  <c r="Q573"/>
  <c r="A571"/>
  <c r="R571"/>
  <c r="S571"/>
  <c r="Q571"/>
  <c r="Q499"/>
  <c r="R499"/>
  <c r="S499"/>
  <c r="Q501"/>
  <c r="R501"/>
  <c r="S501"/>
  <c r="Q503"/>
  <c r="R503"/>
  <c r="S503"/>
  <c r="S508"/>
  <c r="Q508"/>
  <c r="R508"/>
  <c r="Q513"/>
  <c r="R513"/>
  <c r="S513"/>
  <c r="Q515"/>
  <c r="R515"/>
  <c r="S515"/>
  <c r="Q517"/>
  <c r="R517"/>
  <c r="S517"/>
  <c r="S520"/>
  <c r="R520"/>
  <c r="Q520"/>
  <c r="R522"/>
  <c r="Q522"/>
  <c r="S522"/>
  <c r="R524"/>
  <c r="S524"/>
  <c r="Q524"/>
  <c r="R526"/>
  <c r="Q526"/>
  <c r="S526"/>
  <c r="Q531"/>
  <c r="R531"/>
  <c r="S531"/>
  <c r="R545"/>
  <c r="S545"/>
  <c r="Q545"/>
  <c r="A554"/>
  <c r="Q554"/>
  <c r="R554"/>
  <c r="S554"/>
  <c r="A513"/>
  <c r="M252"/>
  <c r="A276"/>
  <c r="A516"/>
  <c r="A523"/>
  <c r="A553"/>
  <c r="A508"/>
  <c r="A525"/>
  <c r="A545"/>
  <c r="A543"/>
  <c r="A531"/>
  <c r="A527"/>
  <c r="A526"/>
  <c r="A522"/>
  <c r="A524"/>
  <c r="A520"/>
  <c r="A519"/>
  <c r="A521"/>
  <c r="A515"/>
  <c r="A517"/>
  <c r="A512"/>
  <c r="A514"/>
  <c r="A507"/>
  <c r="A503"/>
  <c r="A502"/>
  <c r="A501"/>
  <c r="A499"/>
  <c r="A500"/>
  <c r="A495"/>
  <c r="A274"/>
  <c r="A275"/>
  <c r="B296" l="1"/>
  <c r="B298"/>
  <c r="B295"/>
  <c r="B297"/>
  <c r="M332"/>
  <c r="B332"/>
  <c r="E332"/>
  <c r="AA332" s="1"/>
  <c r="B333"/>
  <c r="E333"/>
  <c r="AA333" s="1"/>
  <c r="B246"/>
  <c r="E246"/>
  <c r="AA246" s="1"/>
  <c r="K246"/>
  <c r="M246" s="1"/>
  <c r="B247"/>
  <c r="E247"/>
  <c r="AA247" s="1"/>
  <c r="K247"/>
  <c r="M247" s="1"/>
  <c r="B294"/>
  <c r="E294"/>
  <c r="AA294" s="1"/>
  <c r="B291"/>
  <c r="E291"/>
  <c r="AA291" s="1"/>
  <c r="B289"/>
  <c r="E289"/>
  <c r="AA289" s="1"/>
  <c r="B290"/>
  <c r="E290"/>
  <c r="AA290" s="1"/>
  <c r="B292"/>
  <c r="E292"/>
  <c r="AA292" s="1"/>
  <c r="B293"/>
  <c r="E293"/>
  <c r="AA293" s="1"/>
  <c r="B397"/>
  <c r="E397"/>
  <c r="AA397" s="1"/>
  <c r="A398"/>
  <c r="E288"/>
  <c r="AA288" s="1"/>
  <c r="B288"/>
  <c r="E287"/>
  <c r="AA287" s="1"/>
  <c r="B287"/>
  <c r="E286"/>
  <c r="AA286" s="1"/>
  <c r="B286"/>
  <c r="B396"/>
  <c r="E396"/>
  <c r="AA396" s="1"/>
  <c r="Q287" l="1"/>
  <c r="R287"/>
  <c r="S287"/>
  <c r="A293"/>
  <c r="Q293"/>
  <c r="R293"/>
  <c r="S293"/>
  <c r="A298"/>
  <c r="S298"/>
  <c r="Q298"/>
  <c r="R298"/>
  <c r="A396"/>
  <c r="Q396"/>
  <c r="R396"/>
  <c r="S396"/>
  <c r="A247"/>
  <c r="Q247"/>
  <c r="R247"/>
  <c r="S247"/>
  <c r="A296"/>
  <c r="S296"/>
  <c r="Q296"/>
  <c r="R296"/>
  <c r="S286"/>
  <c r="Q286"/>
  <c r="R286"/>
  <c r="S288"/>
  <c r="Q288"/>
  <c r="R288"/>
  <c r="A397"/>
  <c r="S397"/>
  <c r="Q397"/>
  <c r="R397"/>
  <c r="A292"/>
  <c r="S292"/>
  <c r="Q292"/>
  <c r="R292"/>
  <c r="A289"/>
  <c r="Q289"/>
  <c r="R289"/>
  <c r="S289"/>
  <c r="A294"/>
  <c r="S294"/>
  <c r="Q294"/>
  <c r="R294"/>
  <c r="A333"/>
  <c r="Q333"/>
  <c r="R333"/>
  <c r="S333"/>
  <c r="A297"/>
  <c r="Q297"/>
  <c r="R297"/>
  <c r="S297"/>
  <c r="A295"/>
  <c r="Q295"/>
  <c r="R295"/>
  <c r="S295"/>
  <c r="A246"/>
  <c r="S246"/>
  <c r="Q246"/>
  <c r="R246"/>
  <c r="A290"/>
  <c r="S290"/>
  <c r="Q290"/>
  <c r="R290"/>
  <c r="A291"/>
  <c r="Q291"/>
  <c r="R291"/>
  <c r="S291"/>
  <c r="A332"/>
  <c r="S332"/>
  <c r="Q332"/>
  <c r="R332"/>
  <c r="A287"/>
  <c r="A286"/>
  <c r="A288"/>
  <c r="M330" l="1"/>
  <c r="B330"/>
  <c r="E330"/>
  <c r="AA330" s="1"/>
  <c r="B331"/>
  <c r="E331"/>
  <c r="AA331" s="1"/>
  <c r="B395"/>
  <c r="E395"/>
  <c r="AA395" s="1"/>
  <c r="B393"/>
  <c r="E393"/>
  <c r="AA393" s="1"/>
  <c r="B394"/>
  <c r="E394"/>
  <c r="AA394" s="1"/>
  <c r="M328"/>
  <c r="E329"/>
  <c r="AA329" s="1"/>
  <c r="B329"/>
  <c r="E328"/>
  <c r="AA328" s="1"/>
  <c r="B328"/>
  <c r="B245"/>
  <c r="E245"/>
  <c r="AA245" s="1"/>
  <c r="K245"/>
  <c r="M245" s="1"/>
  <c r="B243"/>
  <c r="E243"/>
  <c r="AA243" s="1"/>
  <c r="K243"/>
  <c r="M243" s="1"/>
  <c r="B244"/>
  <c r="E244"/>
  <c r="AA244" s="1"/>
  <c r="K244"/>
  <c r="M244" s="1"/>
  <c r="E392"/>
  <c r="AA392" s="1"/>
  <c r="B327"/>
  <c r="E327"/>
  <c r="AA327" s="1"/>
  <c r="M324"/>
  <c r="M325"/>
  <c r="M326"/>
  <c r="M323"/>
  <c r="G55" i="55" a="1"/>
  <c r="G55" s="1"/>
  <c r="I55" a="1"/>
  <c r="I55" s="1"/>
  <c r="E324" i="34"/>
  <c r="AA324" s="1"/>
  <c r="E325"/>
  <c r="AA325" s="1"/>
  <c r="E326"/>
  <c r="AA326" s="1"/>
  <c r="E323"/>
  <c r="AA323" s="1"/>
  <c r="E285"/>
  <c r="AA285" s="1"/>
  <c r="B285"/>
  <c r="E284"/>
  <c r="AA284" s="1"/>
  <c r="B284"/>
  <c r="E283"/>
  <c r="AA283" s="1"/>
  <c r="B283"/>
  <c r="B280"/>
  <c r="E280"/>
  <c r="AA280" s="1"/>
  <c r="E281"/>
  <c r="AA281" s="1"/>
  <c r="E282"/>
  <c r="AA282" s="1"/>
  <c r="K242"/>
  <c r="M242" s="1"/>
  <c r="K241"/>
  <c r="M241" s="1"/>
  <c r="B241"/>
  <c r="E241"/>
  <c r="AA241" s="1"/>
  <c r="B242"/>
  <c r="E242"/>
  <c r="AA242" s="1"/>
  <c r="Q283" l="1"/>
  <c r="R283"/>
  <c r="S283"/>
  <c r="Q285"/>
  <c r="R285"/>
  <c r="S285"/>
  <c r="A243"/>
  <c r="Q243"/>
  <c r="R243"/>
  <c r="S243"/>
  <c r="S328"/>
  <c r="Q328"/>
  <c r="R328"/>
  <c r="A393"/>
  <c r="S393"/>
  <c r="Q393"/>
  <c r="R393"/>
  <c r="A331"/>
  <c r="Q331"/>
  <c r="R331"/>
  <c r="S331"/>
  <c r="A241"/>
  <c r="Q241"/>
  <c r="R241"/>
  <c r="S241"/>
  <c r="A327"/>
  <c r="Q327"/>
  <c r="R327"/>
  <c r="S327"/>
  <c r="A244"/>
  <c r="S244"/>
  <c r="Q244"/>
  <c r="R244"/>
  <c r="S284"/>
  <c r="Q284"/>
  <c r="R284"/>
  <c r="Q329"/>
  <c r="R329"/>
  <c r="S329"/>
  <c r="A394"/>
  <c r="Q394"/>
  <c r="R394"/>
  <c r="S394"/>
  <c r="A395"/>
  <c r="S395"/>
  <c r="Q395"/>
  <c r="R395"/>
  <c r="A330"/>
  <c r="S330"/>
  <c r="Q330"/>
  <c r="R330"/>
  <c r="S242"/>
  <c r="Q242"/>
  <c r="R242"/>
  <c r="S280"/>
  <c r="Q280"/>
  <c r="R280"/>
  <c r="A245"/>
  <c r="Q245"/>
  <c r="R245"/>
  <c r="S245"/>
  <c r="G23" i="62" a="1"/>
  <c r="G23" s="1"/>
  <c r="I23" a="1"/>
  <c r="I23" s="1"/>
  <c r="G22" a="1"/>
  <c r="G22" s="1"/>
  <c r="I22" a="1"/>
  <c r="I22" s="1"/>
  <c r="A284" i="34"/>
  <c r="A328"/>
  <c r="A329"/>
  <c r="K55" i="55"/>
  <c r="A283" i="34"/>
  <c r="A285"/>
  <c r="A242"/>
  <c r="F56" i="55"/>
  <c r="F57" s="1"/>
  <c r="B54"/>
  <c r="A54" s="1"/>
  <c r="G54" a="1"/>
  <c r="G54" s="1"/>
  <c r="I54" a="1"/>
  <c r="I54" s="1"/>
  <c r="M23" i="62" l="1"/>
  <c r="K23"/>
  <c r="K22"/>
  <c r="M22"/>
  <c r="K54" i="55"/>
  <c r="E279" i="34" l="1"/>
  <c r="AA279" s="1"/>
  <c r="B279"/>
  <c r="E278"/>
  <c r="AA278" s="1"/>
  <c r="B278"/>
  <c r="E277"/>
  <c r="AA277" s="1"/>
  <c r="B277"/>
  <c r="B272"/>
  <c r="B273"/>
  <c r="B1775"/>
  <c r="B1774"/>
  <c r="B1773"/>
  <c r="B1772"/>
  <c r="B1771"/>
  <c r="B1770"/>
  <c r="B1769"/>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1894"/>
  <c r="B1895"/>
  <c r="B1896"/>
  <c r="B1897"/>
  <c r="B1898"/>
  <c r="B1866"/>
  <c r="B1867"/>
  <c r="B1868"/>
  <c r="B1869"/>
  <c r="B1870"/>
  <c r="R1867" l="1"/>
  <c r="S1867"/>
  <c r="Q1867"/>
  <c r="Q2130"/>
  <c r="R2130"/>
  <c r="S2130"/>
  <c r="Q2106"/>
  <c r="R2106"/>
  <c r="S2106"/>
  <c r="Q2094"/>
  <c r="R2094"/>
  <c r="S2094"/>
  <c r="R2078"/>
  <c r="S2078"/>
  <c r="Q2078"/>
  <c r="Q2050"/>
  <c r="R2050"/>
  <c r="S2050"/>
  <c r="R1895"/>
  <c r="S1895"/>
  <c r="Q1895"/>
  <c r="S2129"/>
  <c r="Q2129"/>
  <c r="R2129"/>
  <c r="R1869"/>
  <c r="S1869"/>
  <c r="Q1869"/>
  <c r="Q1894"/>
  <c r="R1894"/>
  <c r="S1894"/>
  <c r="Q2132"/>
  <c r="R2132"/>
  <c r="S2132"/>
  <c r="Q2128"/>
  <c r="R2128"/>
  <c r="S2128"/>
  <c r="Q2120"/>
  <c r="R2120"/>
  <c r="S2120"/>
  <c r="Q2112"/>
  <c r="R2112"/>
  <c r="S2112"/>
  <c r="Q2104"/>
  <c r="R2104"/>
  <c r="S2104"/>
  <c r="S2096"/>
  <c r="Q2096"/>
  <c r="R2096"/>
  <c r="S2088"/>
  <c r="Q2088"/>
  <c r="R2088"/>
  <c r="R2076"/>
  <c r="S2076"/>
  <c r="Q2076"/>
  <c r="Q2068"/>
  <c r="R2068"/>
  <c r="S2068"/>
  <c r="Q1868"/>
  <c r="R1868"/>
  <c r="S1868"/>
  <c r="R1897"/>
  <c r="S1897"/>
  <c r="Q1897"/>
  <c r="S2139"/>
  <c r="Q2139"/>
  <c r="R2139"/>
  <c r="S2135"/>
  <c r="Q2135"/>
  <c r="R2135"/>
  <c r="S2131"/>
  <c r="Q2131"/>
  <c r="R2131"/>
  <c r="S2127"/>
  <c r="Q2127"/>
  <c r="R2127"/>
  <c r="S2123"/>
  <c r="Q2123"/>
  <c r="R2123"/>
  <c r="S2119"/>
  <c r="Q2119"/>
  <c r="R2119"/>
  <c r="S2115"/>
  <c r="Q2115"/>
  <c r="R2115"/>
  <c r="S2111"/>
  <c r="Q2111"/>
  <c r="R2111"/>
  <c r="S2107"/>
  <c r="Q2107"/>
  <c r="R2107"/>
  <c r="S2103"/>
  <c r="Q2103"/>
  <c r="R2103"/>
  <c r="R2099"/>
  <c r="Q2099"/>
  <c r="S2099"/>
  <c r="R2095"/>
  <c r="Q2095"/>
  <c r="S2095"/>
  <c r="R2091"/>
  <c r="Q2091"/>
  <c r="S2091"/>
  <c r="R2087"/>
  <c r="Q2087"/>
  <c r="S2087"/>
  <c r="R2083"/>
  <c r="S2083"/>
  <c r="Q2083"/>
  <c r="R2079"/>
  <c r="S2079"/>
  <c r="Q2079"/>
  <c r="R2075"/>
  <c r="S2075"/>
  <c r="Q2075"/>
  <c r="R2071"/>
  <c r="S2071"/>
  <c r="Q2071"/>
  <c r="R2067"/>
  <c r="S2067"/>
  <c r="Q2067"/>
  <c r="R2063"/>
  <c r="S2063"/>
  <c r="Q2063"/>
  <c r="R2059"/>
  <c r="S2059"/>
  <c r="Q2059"/>
  <c r="R2055"/>
  <c r="S2055"/>
  <c r="Q2055"/>
  <c r="R2051"/>
  <c r="S2051"/>
  <c r="Q2051"/>
  <c r="R2047"/>
  <c r="S2047"/>
  <c r="Q2047"/>
  <c r="R2043"/>
  <c r="S2043"/>
  <c r="Q2043"/>
  <c r="R2039"/>
  <c r="S2039"/>
  <c r="Q2039"/>
  <c r="R2035"/>
  <c r="S2035"/>
  <c r="Q2035"/>
  <c r="R2031"/>
  <c r="S2031"/>
  <c r="Q2031"/>
  <c r="R2027"/>
  <c r="S2027"/>
  <c r="Q2027"/>
  <c r="R2023"/>
  <c r="S2023"/>
  <c r="Q2023"/>
  <c r="R2019"/>
  <c r="S2019"/>
  <c r="Q2019"/>
  <c r="R2015"/>
  <c r="S2015"/>
  <c r="Q2015"/>
  <c r="R2011"/>
  <c r="S2011"/>
  <c r="Q2011"/>
  <c r="R2007"/>
  <c r="S2007"/>
  <c r="Q2007"/>
  <c r="R2003"/>
  <c r="S2003"/>
  <c r="Q2003"/>
  <c r="R1999"/>
  <c r="S1999"/>
  <c r="Q1999"/>
  <c r="R1995"/>
  <c r="S1995"/>
  <c r="Q1995"/>
  <c r="R1991"/>
  <c r="S1991"/>
  <c r="Q1991"/>
  <c r="R1987"/>
  <c r="S1987"/>
  <c r="Q1987"/>
  <c r="R1983"/>
  <c r="S1983"/>
  <c r="Q1983"/>
  <c r="R1979"/>
  <c r="S1979"/>
  <c r="Q1979"/>
  <c r="R1975"/>
  <c r="S1975"/>
  <c r="Q1975"/>
  <c r="R1971"/>
  <c r="S1971"/>
  <c r="Q1971"/>
  <c r="R1967"/>
  <c r="S1967"/>
  <c r="Q1967"/>
  <c r="R1963"/>
  <c r="S1963"/>
  <c r="Q1963"/>
  <c r="R1772"/>
  <c r="Q1772"/>
  <c r="S1772"/>
  <c r="A273"/>
  <c r="R273"/>
  <c r="S273"/>
  <c r="Q273"/>
  <c r="R278"/>
  <c r="Q278"/>
  <c r="S278"/>
  <c r="Q2134"/>
  <c r="R2134"/>
  <c r="S2134"/>
  <c r="Q2118"/>
  <c r="R2118"/>
  <c r="S2118"/>
  <c r="Q2102"/>
  <c r="R2102"/>
  <c r="S2102"/>
  <c r="Q2086"/>
  <c r="R2086"/>
  <c r="S2086"/>
  <c r="Q2070"/>
  <c r="R2070"/>
  <c r="S2070"/>
  <c r="Q2066"/>
  <c r="R2066"/>
  <c r="S2066"/>
  <c r="Q2054"/>
  <c r="R2054"/>
  <c r="S2054"/>
  <c r="Q2046"/>
  <c r="R2046"/>
  <c r="S2046"/>
  <c r="Q2042"/>
  <c r="R2042"/>
  <c r="S2042"/>
  <c r="Q2038"/>
  <c r="R2038"/>
  <c r="S2038"/>
  <c r="Q2034"/>
  <c r="R2034"/>
  <c r="S2034"/>
  <c r="Q2030"/>
  <c r="R2030"/>
  <c r="S2030"/>
  <c r="Q2026"/>
  <c r="R2026"/>
  <c r="S2026"/>
  <c r="Q2022"/>
  <c r="R2022"/>
  <c r="S2022"/>
  <c r="Q2018"/>
  <c r="R2018"/>
  <c r="S2018"/>
  <c r="Q2014"/>
  <c r="R2014"/>
  <c r="S2014"/>
  <c r="Q2010"/>
  <c r="R2010"/>
  <c r="S2010"/>
  <c r="Q2006"/>
  <c r="R2006"/>
  <c r="S2006"/>
  <c r="Q2002"/>
  <c r="R2002"/>
  <c r="S2002"/>
  <c r="Q1998"/>
  <c r="R1998"/>
  <c r="S1998"/>
  <c r="Q1994"/>
  <c r="R1994"/>
  <c r="S1994"/>
  <c r="Q1990"/>
  <c r="R1990"/>
  <c r="S1990"/>
  <c r="Q1986"/>
  <c r="R1986"/>
  <c r="S1986"/>
  <c r="Q1982"/>
  <c r="R1982"/>
  <c r="S1982"/>
  <c r="Q1978"/>
  <c r="R1978"/>
  <c r="S1978"/>
  <c r="Q1974"/>
  <c r="R1974"/>
  <c r="S1974"/>
  <c r="Q1970"/>
  <c r="R1970"/>
  <c r="S1970"/>
  <c r="Q1966"/>
  <c r="R1966"/>
  <c r="S1966"/>
  <c r="R1769"/>
  <c r="Q1769"/>
  <c r="S1769"/>
  <c r="R1773"/>
  <c r="Q1773"/>
  <c r="S1773"/>
  <c r="A272"/>
  <c r="Q272"/>
  <c r="R272"/>
  <c r="S272"/>
  <c r="Q1896"/>
  <c r="R1896"/>
  <c r="S1896"/>
  <c r="Q2126"/>
  <c r="R2126"/>
  <c r="S2126"/>
  <c r="Q2110"/>
  <c r="R2110"/>
  <c r="S2110"/>
  <c r="Q2090"/>
  <c r="R2090"/>
  <c r="S2090"/>
  <c r="Q2074"/>
  <c r="R2074"/>
  <c r="S2074"/>
  <c r="Q2062"/>
  <c r="R2062"/>
  <c r="S2062"/>
  <c r="Q1866"/>
  <c r="R1866"/>
  <c r="S1866"/>
  <c r="S2133"/>
  <c r="Q2133"/>
  <c r="R2133"/>
  <c r="S2121"/>
  <c r="Q2121"/>
  <c r="R2121"/>
  <c r="S2117"/>
  <c r="Q2117"/>
  <c r="R2117"/>
  <c r="S2113"/>
  <c r="Q2113"/>
  <c r="R2113"/>
  <c r="S2109"/>
  <c r="Q2109"/>
  <c r="R2109"/>
  <c r="S2105"/>
  <c r="Q2105"/>
  <c r="R2105"/>
  <c r="R2101"/>
  <c r="S2101"/>
  <c r="Q2101"/>
  <c r="R2097"/>
  <c r="S2097"/>
  <c r="Q2097"/>
  <c r="R2093"/>
  <c r="S2093"/>
  <c r="Q2093"/>
  <c r="R2089"/>
  <c r="S2089"/>
  <c r="Q2089"/>
  <c r="R2085"/>
  <c r="S2085"/>
  <c r="Q2085"/>
  <c r="R2081"/>
  <c r="S2081"/>
  <c r="Q2081"/>
  <c r="R2077"/>
  <c r="S2077"/>
  <c r="Q2077"/>
  <c r="R2073"/>
  <c r="S2073"/>
  <c r="Q2073"/>
  <c r="R2069"/>
  <c r="S2069"/>
  <c r="Q2069"/>
  <c r="R2065"/>
  <c r="S2065"/>
  <c r="Q2065"/>
  <c r="R2061"/>
  <c r="S2061"/>
  <c r="Q2061"/>
  <c r="R2057"/>
  <c r="S2057"/>
  <c r="Q2057"/>
  <c r="R2053"/>
  <c r="S2053"/>
  <c r="Q2053"/>
  <c r="R2049"/>
  <c r="S2049"/>
  <c r="Q2049"/>
  <c r="R2045"/>
  <c r="S2045"/>
  <c r="Q2045"/>
  <c r="R2041"/>
  <c r="S2041"/>
  <c r="Q2041"/>
  <c r="R2037"/>
  <c r="S2037"/>
  <c r="Q2037"/>
  <c r="R2033"/>
  <c r="S2033"/>
  <c r="Q2033"/>
  <c r="R2029"/>
  <c r="S2029"/>
  <c r="Q2029"/>
  <c r="R2025"/>
  <c r="S2025"/>
  <c r="Q2025"/>
  <c r="R2021"/>
  <c r="S2021"/>
  <c r="Q2021"/>
  <c r="R2017"/>
  <c r="S2017"/>
  <c r="Q2017"/>
  <c r="R2013"/>
  <c r="S2013"/>
  <c r="Q2013"/>
  <c r="R2009"/>
  <c r="S2009"/>
  <c r="Q2009"/>
  <c r="R2005"/>
  <c r="S2005"/>
  <c r="Q2005"/>
  <c r="R2001"/>
  <c r="S2001"/>
  <c r="Q2001"/>
  <c r="R1997"/>
  <c r="S1997"/>
  <c r="Q1997"/>
  <c r="R1993"/>
  <c r="S1993"/>
  <c r="Q1993"/>
  <c r="R1989"/>
  <c r="S1989"/>
  <c r="Q1989"/>
  <c r="R1985"/>
  <c r="S1985"/>
  <c r="Q1985"/>
  <c r="R1981"/>
  <c r="S1981"/>
  <c r="Q1981"/>
  <c r="R1977"/>
  <c r="S1977"/>
  <c r="Q1977"/>
  <c r="R1973"/>
  <c r="S1973"/>
  <c r="Q1973"/>
  <c r="R1969"/>
  <c r="S1969"/>
  <c r="Q1969"/>
  <c r="R1965"/>
  <c r="S1965"/>
  <c r="Q1965"/>
  <c r="R1770"/>
  <c r="Q1770"/>
  <c r="S1770"/>
  <c r="R1774"/>
  <c r="Q1774"/>
  <c r="S1774"/>
  <c r="R277"/>
  <c r="Q277"/>
  <c r="S277"/>
  <c r="R279"/>
  <c r="S279"/>
  <c r="Q279"/>
  <c r="Q2138"/>
  <c r="R2138"/>
  <c r="S2138"/>
  <c r="Q2122"/>
  <c r="R2122"/>
  <c r="S2122"/>
  <c r="Q2114"/>
  <c r="R2114"/>
  <c r="S2114"/>
  <c r="Q2098"/>
  <c r="R2098"/>
  <c r="S2098"/>
  <c r="R2082"/>
  <c r="S2082"/>
  <c r="Q2082"/>
  <c r="Q2058"/>
  <c r="R2058"/>
  <c r="S2058"/>
  <c r="Q1870"/>
  <c r="R1870"/>
  <c r="S1870"/>
  <c r="S2137"/>
  <c r="Q2137"/>
  <c r="R2137"/>
  <c r="S2125"/>
  <c r="Q2125"/>
  <c r="R2125"/>
  <c r="Q1898"/>
  <c r="R1898"/>
  <c r="S1898"/>
  <c r="Q2136"/>
  <c r="R2136"/>
  <c r="S2136"/>
  <c r="Q2124"/>
  <c r="R2124"/>
  <c r="S2124"/>
  <c r="Q2116"/>
  <c r="R2116"/>
  <c r="S2116"/>
  <c r="Q2108"/>
  <c r="R2108"/>
  <c r="S2108"/>
  <c r="S2100"/>
  <c r="Q2100"/>
  <c r="R2100"/>
  <c r="S2092"/>
  <c r="Q2092"/>
  <c r="R2092"/>
  <c r="R2084"/>
  <c r="S2084"/>
  <c r="Q2084"/>
  <c r="R2080"/>
  <c r="S2080"/>
  <c r="Q2080"/>
  <c r="Q2072"/>
  <c r="R2072"/>
  <c r="S2072"/>
  <c r="Q2064"/>
  <c r="R2064"/>
  <c r="S2064"/>
  <c r="Q2060"/>
  <c r="R2060"/>
  <c r="S2060"/>
  <c r="Q2056"/>
  <c r="R2056"/>
  <c r="S2056"/>
  <c r="Q2052"/>
  <c r="R2052"/>
  <c r="S2052"/>
  <c r="Q2048"/>
  <c r="R2048"/>
  <c r="S2048"/>
  <c r="Q2044"/>
  <c r="R2044"/>
  <c r="S2044"/>
  <c r="Q2040"/>
  <c r="R2040"/>
  <c r="S2040"/>
  <c r="Q2036"/>
  <c r="R2036"/>
  <c r="S2036"/>
  <c r="Q2032"/>
  <c r="R2032"/>
  <c r="S2032"/>
  <c r="Q2028"/>
  <c r="R2028"/>
  <c r="S2028"/>
  <c r="Q2024"/>
  <c r="R2024"/>
  <c r="S2024"/>
  <c r="Q2020"/>
  <c r="R2020"/>
  <c r="S2020"/>
  <c r="Q2016"/>
  <c r="R2016"/>
  <c r="S2016"/>
  <c r="Q2012"/>
  <c r="R2012"/>
  <c r="S2012"/>
  <c r="Q2008"/>
  <c r="R2008"/>
  <c r="S2008"/>
  <c r="Q2004"/>
  <c r="R2004"/>
  <c r="S2004"/>
  <c r="Q2000"/>
  <c r="R2000"/>
  <c r="S2000"/>
  <c r="Q1996"/>
  <c r="R1996"/>
  <c r="S1996"/>
  <c r="Q1992"/>
  <c r="R1992"/>
  <c r="S1992"/>
  <c r="Q1988"/>
  <c r="R1988"/>
  <c r="S1988"/>
  <c r="Q1984"/>
  <c r="R1984"/>
  <c r="S1984"/>
  <c r="Q1980"/>
  <c r="R1980"/>
  <c r="S1980"/>
  <c r="Q1976"/>
  <c r="R1976"/>
  <c r="S1976"/>
  <c r="Q1972"/>
  <c r="R1972"/>
  <c r="S1972"/>
  <c r="Q1968"/>
  <c r="R1968"/>
  <c r="S1968"/>
  <c r="Q1964"/>
  <c r="R1964"/>
  <c r="S1964"/>
  <c r="R1771"/>
  <c r="Q1771"/>
  <c r="S1771"/>
  <c r="R1775"/>
  <c r="Q1775"/>
  <c r="S1775"/>
  <c r="A278"/>
  <c r="A277"/>
  <c r="A279"/>
  <c r="A1769"/>
  <c r="A1770"/>
  <c r="A1771"/>
  <c r="A1772"/>
  <c r="A1773"/>
  <c r="A1774"/>
  <c r="A1775"/>
  <c r="B1893" l="1"/>
  <c r="B1892"/>
  <c r="B1891"/>
  <c r="B1913"/>
  <c r="B1912"/>
  <c r="B1911"/>
  <c r="B1910"/>
  <c r="B1905"/>
  <c r="B1904"/>
  <c r="B1903"/>
  <c r="B1902"/>
  <c r="B1695"/>
  <c r="B1694"/>
  <c r="B1693"/>
  <c r="B1683"/>
  <c r="M298" i="60"/>
  <c r="R1694" i="34" l="1"/>
  <c r="S1694"/>
  <c r="Q1694"/>
  <c r="Q1904"/>
  <c r="R1904"/>
  <c r="S1904"/>
  <c r="Q1912"/>
  <c r="R1912"/>
  <c r="S1912"/>
  <c r="Q1695"/>
  <c r="R1695"/>
  <c r="S1695"/>
  <c r="R1905"/>
  <c r="S1905"/>
  <c r="Q1905"/>
  <c r="R1913"/>
  <c r="S1913"/>
  <c r="Q1913"/>
  <c r="Q1683"/>
  <c r="R1683"/>
  <c r="S1683"/>
  <c r="Q1902"/>
  <c r="R1902"/>
  <c r="S1902"/>
  <c r="Q1910"/>
  <c r="R1910"/>
  <c r="S1910"/>
  <c r="R1891"/>
  <c r="S1891"/>
  <c r="Q1891"/>
  <c r="Q1693"/>
  <c r="R1693"/>
  <c r="S1693"/>
  <c r="R1903"/>
  <c r="S1903"/>
  <c r="Q1903"/>
  <c r="R1911"/>
  <c r="S1911"/>
  <c r="Q1911"/>
  <c r="Q1892"/>
  <c r="R1892"/>
  <c r="S1892"/>
  <c r="R1893"/>
  <c r="S1893"/>
  <c r="Q1893"/>
  <c r="A1913"/>
  <c r="A1911"/>
  <c r="A1905"/>
  <c r="A1892"/>
  <c r="A1894"/>
  <c r="A1891"/>
  <c r="A1893"/>
  <c r="A1912"/>
  <c r="A1910"/>
  <c r="A1902"/>
  <c r="A1904"/>
  <c r="A1903"/>
  <c r="A1693"/>
  <c r="A1694"/>
  <c r="A1695"/>
  <c r="A1683"/>
  <c r="B1264"/>
  <c r="B1239"/>
  <c r="Q1264" l="1"/>
  <c r="R1264"/>
  <c r="S1264"/>
  <c r="R1239"/>
  <c r="S1239"/>
  <c r="Q1239"/>
  <c r="A1264"/>
  <c r="A1239"/>
  <c r="B2386" l="1"/>
  <c r="B2385"/>
  <c r="Q2386" l="1"/>
  <c r="R2386"/>
  <c r="S2386"/>
  <c r="S2385"/>
  <c r="Q2385"/>
  <c r="R2385"/>
  <c r="A2385"/>
  <c r="A2386"/>
  <c r="V287" i="60" l="1"/>
  <c r="V288"/>
  <c r="V289"/>
  <c r="O298"/>
  <c r="B901" i="34"/>
  <c r="B900"/>
  <c r="B899"/>
  <c r="B898"/>
  <c r="B897"/>
  <c r="B896"/>
  <c r="B895"/>
  <c r="B874"/>
  <c r="B873"/>
  <c r="R873" l="1"/>
  <c r="S873"/>
  <c r="Q873"/>
  <c r="R897"/>
  <c r="S897"/>
  <c r="Q897"/>
  <c r="R901"/>
  <c r="S901"/>
  <c r="Q901"/>
  <c r="Q874"/>
  <c r="R874"/>
  <c r="S874"/>
  <c r="Q898"/>
  <c r="R898"/>
  <c r="S898"/>
  <c r="R895"/>
  <c r="S895"/>
  <c r="Q895"/>
  <c r="R899"/>
  <c r="S899"/>
  <c r="Q899"/>
  <c r="Q896"/>
  <c r="R896"/>
  <c r="S896"/>
  <c r="Q900"/>
  <c r="R900"/>
  <c r="S900"/>
  <c r="B1373"/>
  <c r="B1377"/>
  <c r="B1371"/>
  <c r="B1375"/>
  <c r="B1368"/>
  <c r="B1370"/>
  <c r="B1372"/>
  <c r="B1374"/>
  <c r="B1376"/>
  <c r="B1369"/>
  <c r="A874"/>
  <c r="A897"/>
  <c r="A895"/>
  <c r="A899"/>
  <c r="A901"/>
  <c r="A896"/>
  <c r="A898"/>
  <c r="A900"/>
  <c r="A873"/>
  <c r="R1370" l="1"/>
  <c r="S1370"/>
  <c r="Q1370"/>
  <c r="R1377"/>
  <c r="Q1377"/>
  <c r="S1377"/>
  <c r="R1376"/>
  <c r="S1376"/>
  <c r="Q1376"/>
  <c r="R1368"/>
  <c r="S1368"/>
  <c r="Q1368"/>
  <c r="R1373"/>
  <c r="Q1373"/>
  <c r="S1373"/>
  <c r="R1374"/>
  <c r="S1374"/>
  <c r="Q1374"/>
  <c r="R1375"/>
  <c r="Q1375"/>
  <c r="S1375"/>
  <c r="R1372"/>
  <c r="S1372"/>
  <c r="Q1372"/>
  <c r="R1371"/>
  <c r="Q1371"/>
  <c r="S1371"/>
  <c r="R1369"/>
  <c r="Q1369"/>
  <c r="S1369"/>
  <c r="A1377"/>
  <c r="A1373"/>
  <c r="A1375"/>
  <c r="A1371"/>
  <c r="A1369"/>
  <c r="A1376"/>
  <c r="A1368"/>
  <c r="A1374"/>
  <c r="A1372"/>
  <c r="A1370"/>
  <c r="B959"/>
  <c r="B892"/>
  <c r="B891"/>
  <c r="B890"/>
  <c r="B889"/>
  <c r="B888"/>
  <c r="B887"/>
  <c r="B886"/>
  <c r="B885"/>
  <c r="B884"/>
  <c r="B883"/>
  <c r="B882"/>
  <c r="B881"/>
  <c r="B880"/>
  <c r="B879"/>
  <c r="B878"/>
  <c r="B877"/>
  <c r="B876"/>
  <c r="B875"/>
  <c r="E298" i="60"/>
  <c r="G285"/>
  <c r="D295"/>
  <c r="G295" s="1"/>
  <c r="G284"/>
  <c r="V307"/>
  <c r="R881" i="34" l="1"/>
  <c r="S881"/>
  <c r="Q881"/>
  <c r="R889"/>
  <c r="S889"/>
  <c r="Q889"/>
  <c r="Q878"/>
  <c r="R878"/>
  <c r="S878"/>
  <c r="Q882"/>
  <c r="R882"/>
  <c r="S882"/>
  <c r="Q886"/>
  <c r="R886"/>
  <c r="S886"/>
  <c r="Q890"/>
  <c r="R890"/>
  <c r="S890"/>
  <c r="R877"/>
  <c r="S877"/>
  <c r="Q877"/>
  <c r="R885"/>
  <c r="S885"/>
  <c r="Q885"/>
  <c r="R959"/>
  <c r="S959"/>
  <c r="Q959"/>
  <c r="R875"/>
  <c r="S875"/>
  <c r="Q875"/>
  <c r="R879"/>
  <c r="S879"/>
  <c r="Q879"/>
  <c r="R883"/>
  <c r="S883"/>
  <c r="Q883"/>
  <c r="R887"/>
  <c r="S887"/>
  <c r="Q887"/>
  <c r="R891"/>
  <c r="S891"/>
  <c r="Q891"/>
  <c r="Q876"/>
  <c r="R876"/>
  <c r="S876"/>
  <c r="Q880"/>
  <c r="R880"/>
  <c r="S880"/>
  <c r="Q884"/>
  <c r="R884"/>
  <c r="S884"/>
  <c r="Q888"/>
  <c r="R888"/>
  <c r="S888"/>
  <c r="Q892"/>
  <c r="R892"/>
  <c r="S892"/>
  <c r="A890"/>
  <c r="A880"/>
  <c r="A891"/>
  <c r="A959"/>
  <c r="A878"/>
  <c r="A876"/>
  <c r="A883"/>
  <c r="A886"/>
  <c r="A881"/>
  <c r="A885"/>
  <c r="A892"/>
  <c r="A887"/>
  <c r="A889"/>
  <c r="A888"/>
  <c r="A882"/>
  <c r="A884"/>
  <c r="A879"/>
  <c r="A875"/>
  <c r="A877"/>
  <c r="D294" i="60"/>
  <c r="G294" s="1"/>
  <c r="G286"/>
  <c r="G287"/>
  <c r="D288"/>
  <c r="G288" s="1"/>
  <c r="D289"/>
  <c r="G289" s="1"/>
  <c r="D290"/>
  <c r="G290" s="1"/>
  <c r="D291"/>
  <c r="G291" s="1"/>
  <c r="D292"/>
  <c r="G292" s="1"/>
  <c r="D293"/>
  <c r="G293" s="1"/>
  <c r="D296"/>
  <c r="G296" s="1"/>
  <c r="D282"/>
  <c r="G282" s="1"/>
  <c r="N282" s="1"/>
  <c r="D283"/>
  <c r="A284"/>
  <c r="A285" s="1"/>
  <c r="A286" s="1"/>
  <c r="A287" s="1"/>
  <c r="A288" s="1"/>
  <c r="A289" s="1"/>
  <c r="A290" s="1"/>
  <c r="A291" s="1"/>
  <c r="A292" s="1"/>
  <c r="A293" s="1"/>
  <c r="A294" s="1"/>
  <c r="A295" s="1"/>
  <c r="A296" s="1"/>
  <c r="B1962" i="34"/>
  <c r="B1961"/>
  <c r="B1960"/>
  <c r="B1959"/>
  <c r="B1958"/>
  <c r="B1957"/>
  <c r="B1956"/>
  <c r="B1955"/>
  <c r="B1954"/>
  <c r="B1953"/>
  <c r="B1952"/>
  <c r="B1951"/>
  <c r="B1950"/>
  <c r="B1949"/>
  <c r="B1948"/>
  <c r="B1947"/>
  <c r="B1946"/>
  <c r="B1945"/>
  <c r="B1944"/>
  <c r="B1943"/>
  <c r="B1942"/>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263" i="60"/>
  <c r="M263"/>
  <c r="E238"/>
  <c r="E263"/>
  <c r="E240" i="34"/>
  <c r="AA240" s="1"/>
  <c r="B240"/>
  <c r="E239"/>
  <c r="AA239" s="1"/>
  <c r="B239"/>
  <c r="M238"/>
  <c r="M240" s="1"/>
  <c r="E238"/>
  <c r="AA238" s="1"/>
  <c r="B238"/>
  <c r="M237"/>
  <c r="M239" s="1"/>
  <c r="E237"/>
  <c r="AA237" s="1"/>
  <c r="B237"/>
  <c r="M236"/>
  <c r="E236"/>
  <c r="AA236" s="1"/>
  <c r="B236"/>
  <c r="M235"/>
  <c r="E235"/>
  <c r="AA235" s="1"/>
  <c r="B235"/>
  <c r="M234"/>
  <c r="E234"/>
  <c r="AA234" s="1"/>
  <c r="B234"/>
  <c r="M233"/>
  <c r="E233"/>
  <c r="AA233" s="1"/>
  <c r="B233"/>
  <c r="M232"/>
  <c r="E232"/>
  <c r="AA232" s="1"/>
  <c r="B232"/>
  <c r="M231"/>
  <c r="E231"/>
  <c r="AA231" s="1"/>
  <c r="B231"/>
  <c r="M230"/>
  <c r="E230"/>
  <c r="AA230" s="1"/>
  <c r="B230"/>
  <c r="M229"/>
  <c r="E229"/>
  <c r="AA229" s="1"/>
  <c r="B229"/>
  <c r="E228"/>
  <c r="AA228" s="1"/>
  <c r="B228"/>
  <c r="E227"/>
  <c r="AA227" s="1"/>
  <c r="B227"/>
  <c r="E60"/>
  <c r="AA60" s="1"/>
  <c r="B60"/>
  <c r="E59"/>
  <c r="AA59" s="1"/>
  <c r="B59"/>
  <c r="E58"/>
  <c r="AA58" s="1"/>
  <c r="B58"/>
  <c r="S228" l="1"/>
  <c r="Q228"/>
  <c r="R228"/>
  <c r="Q231"/>
  <c r="R231"/>
  <c r="S231"/>
  <c r="Q1952"/>
  <c r="R1952"/>
  <c r="S1952"/>
  <c r="S230"/>
  <c r="Q230"/>
  <c r="R230"/>
  <c r="S238"/>
  <c r="Q238"/>
  <c r="R238"/>
  <c r="R1945"/>
  <c r="S1945"/>
  <c r="Q1945"/>
  <c r="R1949"/>
  <c r="S1949"/>
  <c r="Q1949"/>
  <c r="R1953"/>
  <c r="S1953"/>
  <c r="Q1953"/>
  <c r="R1957"/>
  <c r="S1957"/>
  <c r="Q1957"/>
  <c r="R1961"/>
  <c r="S1961"/>
  <c r="Q1961"/>
  <c r="R58"/>
  <c r="S58"/>
  <c r="Q58"/>
  <c r="Q239"/>
  <c r="R239"/>
  <c r="S239"/>
  <c r="Q1948"/>
  <c r="R1948"/>
  <c r="S1948"/>
  <c r="Q1960"/>
  <c r="R1960"/>
  <c r="S1960"/>
  <c r="S234"/>
  <c r="Q234"/>
  <c r="R234"/>
  <c r="Q59"/>
  <c r="R59"/>
  <c r="S59"/>
  <c r="Q227"/>
  <c r="R227"/>
  <c r="S227"/>
  <c r="Q229"/>
  <c r="R229"/>
  <c r="S229"/>
  <c r="Q233"/>
  <c r="R233"/>
  <c r="S233"/>
  <c r="Q237"/>
  <c r="R237"/>
  <c r="S237"/>
  <c r="S240"/>
  <c r="Q240"/>
  <c r="R240"/>
  <c r="Q1942"/>
  <c r="R1942"/>
  <c r="S1942"/>
  <c r="Q1946"/>
  <c r="R1946"/>
  <c r="S1946"/>
  <c r="Q1950"/>
  <c r="R1950"/>
  <c r="S1950"/>
  <c r="Q1954"/>
  <c r="R1954"/>
  <c r="S1954"/>
  <c r="Q1958"/>
  <c r="R1958"/>
  <c r="S1958"/>
  <c r="Q1962"/>
  <c r="R1962"/>
  <c r="S1962"/>
  <c r="R60"/>
  <c r="S60"/>
  <c r="Q60"/>
  <c r="Q235"/>
  <c r="R235"/>
  <c r="S235"/>
  <c r="A1944"/>
  <c r="Q1944"/>
  <c r="R1944"/>
  <c r="S1944"/>
  <c r="Q1956"/>
  <c r="R1956"/>
  <c r="S1956"/>
  <c r="S232"/>
  <c r="Q232"/>
  <c r="R232"/>
  <c r="S236"/>
  <c r="Q236"/>
  <c r="R236"/>
  <c r="R1943"/>
  <c r="S1943"/>
  <c r="Q1943"/>
  <c r="R1947"/>
  <c r="S1947"/>
  <c r="Q1947"/>
  <c r="R1951"/>
  <c r="S1951"/>
  <c r="Q1951"/>
  <c r="R1955"/>
  <c r="S1955"/>
  <c r="Q1955"/>
  <c r="R1959"/>
  <c r="S1959"/>
  <c r="Q1959"/>
  <c r="G298" i="60"/>
  <c r="D298"/>
  <c r="A1956" i="34"/>
  <c r="A1952"/>
  <c r="A1958"/>
  <c r="A1954"/>
  <c r="A1960"/>
  <c r="A1946"/>
  <c r="A1948"/>
  <c r="A1962"/>
  <c r="A1942"/>
  <c r="A1950"/>
  <c r="A1943"/>
  <c r="A1947"/>
  <c r="A1951"/>
  <c r="A1955"/>
  <c r="A1959"/>
  <c r="A1961"/>
  <c r="A1945"/>
  <c r="A1949"/>
  <c r="A1953"/>
  <c r="A1957"/>
  <c r="A240"/>
  <c r="A228"/>
  <c r="A229"/>
  <c r="A231"/>
  <c r="A233"/>
  <c r="A235"/>
  <c r="A237"/>
  <c r="A239"/>
  <c r="A227"/>
  <c r="A230"/>
  <c r="A232"/>
  <c r="A234"/>
  <c r="A236"/>
  <c r="A238"/>
  <c r="A59"/>
  <c r="A60"/>
  <c r="A58"/>
  <c r="K284" i="60" l="1"/>
  <c r="J284"/>
  <c r="H283"/>
  <c r="H284"/>
  <c r="Q46" i="43"/>
  <c r="Q47"/>
  <c r="Q45"/>
  <c r="P11" i="34"/>
  <c r="T11"/>
  <c r="U11"/>
  <c r="V11"/>
  <c r="W11"/>
  <c r="Y11"/>
  <c r="AB11"/>
  <c r="AC11"/>
  <c r="B905"/>
  <c r="B909"/>
  <c r="B863"/>
  <c r="B862"/>
  <c r="B908"/>
  <c r="B907"/>
  <c r="B906"/>
  <c r="B975"/>
  <c r="B974"/>
  <c r="B961"/>
  <c r="B894"/>
  <c r="B872"/>
  <c r="B868"/>
  <c r="B870"/>
  <c r="B1349"/>
  <c r="B1348"/>
  <c r="B1347"/>
  <c r="B1346"/>
  <c r="B1345"/>
  <c r="B1344"/>
  <c r="B1343"/>
  <c r="B1342"/>
  <c r="B1341"/>
  <c r="B1340"/>
  <c r="B1339"/>
  <c r="B1338"/>
  <c r="B1337"/>
  <c r="B1336"/>
  <c r="B1335"/>
  <c r="B1334"/>
  <c r="B1333"/>
  <c r="B1332"/>
  <c r="B1331"/>
  <c r="B1330"/>
  <c r="B1329"/>
  <c r="B1328"/>
  <c r="B1327"/>
  <c r="B1326"/>
  <c r="B1325"/>
  <c r="B1324"/>
  <c r="B1317"/>
  <c r="B1316"/>
  <c r="B1323"/>
  <c r="B1322"/>
  <c r="V306" i="60"/>
  <c r="V305"/>
  <c r="V304"/>
  <c r="V303"/>
  <c r="V302"/>
  <c r="V301"/>
  <c r="V300"/>
  <c r="V299"/>
  <c r="V298"/>
  <c r="V286"/>
  <c r="V285"/>
  <c r="V293"/>
  <c r="A262"/>
  <c r="B2374" i="34"/>
  <c r="B2375"/>
  <c r="B2376"/>
  <c r="B2377"/>
  <c r="B2378"/>
  <c r="B2379"/>
  <c r="B2380"/>
  <c r="B2381"/>
  <c r="B2382"/>
  <c r="B2383"/>
  <c r="B2384"/>
  <c r="B2387"/>
  <c r="B2388"/>
  <c r="B2389"/>
  <c r="B2390"/>
  <c r="B2391"/>
  <c r="B2392"/>
  <c r="B2393"/>
  <c r="B2394"/>
  <c r="B2395"/>
  <c r="B2396"/>
  <c r="B2397"/>
  <c r="B2398"/>
  <c r="B2399"/>
  <c r="B2400"/>
  <c r="B2373"/>
  <c r="A50" i="12"/>
  <c r="B2363" i="34"/>
  <c r="B2364"/>
  <c r="B2365"/>
  <c r="B2366"/>
  <c r="B2367"/>
  <c r="B2368"/>
  <c r="B2369"/>
  <c r="B2370"/>
  <c r="B581"/>
  <c r="B2361"/>
  <c r="B2362"/>
  <c r="B574"/>
  <c r="B575"/>
  <c r="B893"/>
  <c r="B867"/>
  <c r="B871"/>
  <c r="B869"/>
  <c r="B866"/>
  <c r="B861"/>
  <c r="B580"/>
  <c r="B1358"/>
  <c r="B1359"/>
  <c r="B1357"/>
  <c r="B1315"/>
  <c r="B1318"/>
  <c r="B1319"/>
  <c r="B1320"/>
  <c r="B1321"/>
  <c r="B1301"/>
  <c r="B1302"/>
  <c r="B1303"/>
  <c r="B1304"/>
  <c r="B1305"/>
  <c r="B1306"/>
  <c r="B1307"/>
  <c r="B1308"/>
  <c r="B1309"/>
  <c r="B1310"/>
  <c r="B1311"/>
  <c r="B1312"/>
  <c r="B1313"/>
  <c r="B1314"/>
  <c r="B1300"/>
  <c r="R1307" l="1"/>
  <c r="S1307"/>
  <c r="Q1307"/>
  <c r="R1357"/>
  <c r="S1357"/>
  <c r="Q1357"/>
  <c r="Q2362"/>
  <c r="R2362"/>
  <c r="S2362"/>
  <c r="S2397"/>
  <c r="Q2397"/>
  <c r="R2397"/>
  <c r="S2379"/>
  <c r="Q2379"/>
  <c r="R2379"/>
  <c r="R1333"/>
  <c r="S1333"/>
  <c r="Q1333"/>
  <c r="R1345"/>
  <c r="S1345"/>
  <c r="Q1345"/>
  <c r="Q894"/>
  <c r="R894"/>
  <c r="S894"/>
  <c r="Q1314"/>
  <c r="R1314"/>
  <c r="S1314"/>
  <c r="Q1306"/>
  <c r="R1306"/>
  <c r="S1306"/>
  <c r="R1359"/>
  <c r="S1359"/>
  <c r="Q1359"/>
  <c r="S2361"/>
  <c r="Q2361"/>
  <c r="R2361"/>
  <c r="Q2400"/>
  <c r="R2400"/>
  <c r="S2400"/>
  <c r="Q2388"/>
  <c r="R2388"/>
  <c r="S2388"/>
  <c r="R1313"/>
  <c r="S1313"/>
  <c r="Q1313"/>
  <c r="R1309"/>
  <c r="S1309"/>
  <c r="Q1309"/>
  <c r="R1305"/>
  <c r="S1305"/>
  <c r="Q1305"/>
  <c r="R1301"/>
  <c r="S1301"/>
  <c r="Q1301"/>
  <c r="Q1318"/>
  <c r="R1318"/>
  <c r="S1318"/>
  <c r="Q1358"/>
  <c r="R1358"/>
  <c r="S1358"/>
  <c r="R869"/>
  <c r="S869"/>
  <c r="Q869"/>
  <c r="R575"/>
  <c r="S575"/>
  <c r="Q575"/>
  <c r="R581"/>
  <c r="S581"/>
  <c r="Q581"/>
  <c r="S2367"/>
  <c r="Q2367"/>
  <c r="R2367"/>
  <c r="S2363"/>
  <c r="Q2363"/>
  <c r="R2363"/>
  <c r="S2399"/>
  <c r="Q2399"/>
  <c r="R2399"/>
  <c r="S2395"/>
  <c r="Q2395"/>
  <c r="R2395"/>
  <c r="S2391"/>
  <c r="Q2391"/>
  <c r="R2391"/>
  <c r="S2387"/>
  <c r="Q2387"/>
  <c r="R2387"/>
  <c r="S2381"/>
  <c r="Q2381"/>
  <c r="R2381"/>
  <c r="S2377"/>
  <c r="Q2377"/>
  <c r="R2377"/>
  <c r="R1317"/>
  <c r="S1317"/>
  <c r="Q1317"/>
  <c r="R1327"/>
  <c r="S1327"/>
  <c r="Q1327"/>
  <c r="R1331"/>
  <c r="S1331"/>
  <c r="Q1331"/>
  <c r="R1335"/>
  <c r="S1335"/>
  <c r="Q1335"/>
  <c r="R1339"/>
  <c r="S1339"/>
  <c r="Q1339"/>
  <c r="R1343"/>
  <c r="S1343"/>
  <c r="Q1343"/>
  <c r="R1347"/>
  <c r="S1347"/>
  <c r="Q1347"/>
  <c r="Q868"/>
  <c r="R868"/>
  <c r="S868"/>
  <c r="Q974"/>
  <c r="R974"/>
  <c r="S974"/>
  <c r="Q908"/>
  <c r="R908"/>
  <c r="S908"/>
  <c r="R905"/>
  <c r="S905"/>
  <c r="Q905"/>
  <c r="R1311"/>
  <c r="S1311"/>
  <c r="Q1311"/>
  <c r="R861"/>
  <c r="S861"/>
  <c r="Q861"/>
  <c r="S2369"/>
  <c r="Q2369"/>
  <c r="R2369"/>
  <c r="S2393"/>
  <c r="Q2393"/>
  <c r="R2393"/>
  <c r="S2375"/>
  <c r="Q2375"/>
  <c r="R2375"/>
  <c r="R1329"/>
  <c r="S1329"/>
  <c r="Q1329"/>
  <c r="R1337"/>
  <c r="S1337"/>
  <c r="Q1337"/>
  <c r="R863"/>
  <c r="S863"/>
  <c r="Q863"/>
  <c r="Q1310"/>
  <c r="R1310"/>
  <c r="S1310"/>
  <c r="R1319"/>
  <c r="S1319"/>
  <c r="Q1319"/>
  <c r="R893"/>
  <c r="S893"/>
  <c r="Q893"/>
  <c r="Q2364"/>
  <c r="R2364"/>
  <c r="S2364"/>
  <c r="Q2392"/>
  <c r="R2392"/>
  <c r="S2392"/>
  <c r="Q1312"/>
  <c r="R1312"/>
  <c r="S1312"/>
  <c r="Q1308"/>
  <c r="R1308"/>
  <c r="S1308"/>
  <c r="Q1304"/>
  <c r="R1304"/>
  <c r="S1304"/>
  <c r="R1321"/>
  <c r="S1321"/>
  <c r="Q1321"/>
  <c r="R1315"/>
  <c r="S1315"/>
  <c r="Q1315"/>
  <c r="Q580"/>
  <c r="R580"/>
  <c r="S580"/>
  <c r="R871"/>
  <c r="S871"/>
  <c r="Q871"/>
  <c r="Q574"/>
  <c r="R574"/>
  <c r="S574"/>
  <c r="Q2370"/>
  <c r="R2370"/>
  <c r="S2370"/>
  <c r="Q2366"/>
  <c r="R2366"/>
  <c r="S2366"/>
  <c r="Q2398"/>
  <c r="R2398"/>
  <c r="S2398"/>
  <c r="Q2394"/>
  <c r="R2394"/>
  <c r="S2394"/>
  <c r="Q2390"/>
  <c r="R2390"/>
  <c r="S2390"/>
  <c r="Q2384"/>
  <c r="R2384"/>
  <c r="S2384"/>
  <c r="Q2380"/>
  <c r="R2380"/>
  <c r="S2380"/>
  <c r="Q2376"/>
  <c r="R2376"/>
  <c r="S2376"/>
  <c r="Q1322"/>
  <c r="R1322"/>
  <c r="S1322"/>
  <c r="Q1324"/>
  <c r="R1324"/>
  <c r="S1324"/>
  <c r="Q1328"/>
  <c r="R1328"/>
  <c r="S1328"/>
  <c r="Q1332"/>
  <c r="R1332"/>
  <c r="S1332"/>
  <c r="Q1336"/>
  <c r="R1336"/>
  <c r="S1336"/>
  <c r="Q1340"/>
  <c r="R1340"/>
  <c r="S1340"/>
  <c r="Q1344"/>
  <c r="R1344"/>
  <c r="S1344"/>
  <c r="Q1348"/>
  <c r="R1348"/>
  <c r="S1348"/>
  <c r="Q872"/>
  <c r="R872"/>
  <c r="S872"/>
  <c r="R975"/>
  <c r="S975"/>
  <c r="Q975"/>
  <c r="Q862"/>
  <c r="R862"/>
  <c r="S862"/>
  <c r="R1303"/>
  <c r="S1303"/>
  <c r="Q1303"/>
  <c r="S2373"/>
  <c r="Q2373"/>
  <c r="R2373"/>
  <c r="R1325"/>
  <c r="S1325"/>
  <c r="Q1325"/>
  <c r="Q1300"/>
  <c r="R1300"/>
  <c r="S1300"/>
  <c r="Q1320"/>
  <c r="R1320"/>
  <c r="S1320"/>
  <c r="R867"/>
  <c r="S867"/>
  <c r="Q867"/>
  <c r="S2365"/>
  <c r="Q2365"/>
  <c r="R2365"/>
  <c r="S2389"/>
  <c r="Q2389"/>
  <c r="R2389"/>
  <c r="S2383"/>
  <c r="Q2383"/>
  <c r="R2383"/>
  <c r="R1323"/>
  <c r="S1323"/>
  <c r="Q1323"/>
  <c r="R1341"/>
  <c r="S1341"/>
  <c r="Q1341"/>
  <c r="R1349"/>
  <c r="S1349"/>
  <c r="Q1349"/>
  <c r="Q906"/>
  <c r="R906"/>
  <c r="S906"/>
  <c r="Q1302"/>
  <c r="R1302"/>
  <c r="S1302"/>
  <c r="Q866"/>
  <c r="R866"/>
  <c r="S866"/>
  <c r="Q2368"/>
  <c r="R2368"/>
  <c r="S2368"/>
  <c r="Q2396"/>
  <c r="R2396"/>
  <c r="S2396"/>
  <c r="Q2382"/>
  <c r="R2382"/>
  <c r="S2382"/>
  <c r="Q2378"/>
  <c r="R2378"/>
  <c r="S2378"/>
  <c r="Q2374"/>
  <c r="R2374"/>
  <c r="S2374"/>
  <c r="Q1316"/>
  <c r="R1316"/>
  <c r="S1316"/>
  <c r="Q1326"/>
  <c r="R1326"/>
  <c r="S1326"/>
  <c r="Q1330"/>
  <c r="R1330"/>
  <c r="S1330"/>
  <c r="Q1334"/>
  <c r="R1334"/>
  <c r="S1334"/>
  <c r="Q1338"/>
  <c r="R1338"/>
  <c r="S1338"/>
  <c r="Q1342"/>
  <c r="R1342"/>
  <c r="S1342"/>
  <c r="Q1346"/>
  <c r="R1346"/>
  <c r="S1346"/>
  <c r="Q870"/>
  <c r="R870"/>
  <c r="S870"/>
  <c r="R961"/>
  <c r="S961"/>
  <c r="Q961"/>
  <c r="R907"/>
  <c r="S907"/>
  <c r="Q907"/>
  <c r="R909"/>
  <c r="S909"/>
  <c r="Q909"/>
  <c r="A1314"/>
  <c r="A1310"/>
  <c r="A1306"/>
  <c r="A1300"/>
  <c r="A1313"/>
  <c r="A1311"/>
  <c r="A1309"/>
  <c r="A1307"/>
  <c r="A1305"/>
  <c r="A1303"/>
  <c r="A1301"/>
  <c r="A1321"/>
  <c r="A1320"/>
  <c r="A1318"/>
  <c r="A1315"/>
  <c r="A871"/>
  <c r="A867"/>
  <c r="A893"/>
  <c r="A574"/>
  <c r="A2361"/>
  <c r="A581"/>
  <c r="A2369"/>
  <c r="A2367"/>
  <c r="A2365"/>
  <c r="A2363"/>
  <c r="A2373"/>
  <c r="A2399"/>
  <c r="A2397"/>
  <c r="A2395"/>
  <c r="A2393"/>
  <c r="A2391"/>
  <c r="A2389"/>
  <c r="A2387"/>
  <c r="A2383"/>
  <c r="A2381"/>
  <c r="A2379"/>
  <c r="A2377"/>
  <c r="A2375"/>
  <c r="A1312"/>
  <c r="A1308"/>
  <c r="A1304"/>
  <c r="A1302"/>
  <c r="A1319"/>
  <c r="A580"/>
  <c r="A575"/>
  <c r="A2362"/>
  <c r="A2370"/>
  <c r="A2368"/>
  <c r="A2366"/>
  <c r="A2364"/>
  <c r="A2400"/>
  <c r="A2398"/>
  <c r="A2396"/>
  <c r="A2394"/>
  <c r="A2392"/>
  <c r="A2390"/>
  <c r="A2388"/>
  <c r="A2384"/>
  <c r="A2382"/>
  <c r="A2380"/>
  <c r="A2378"/>
  <c r="A2376"/>
  <c r="A2374"/>
  <c r="A905"/>
  <c r="A863"/>
  <c r="A909"/>
  <c r="A862"/>
  <c r="A908"/>
  <c r="A906"/>
  <c r="A907"/>
  <c r="A961"/>
  <c r="A975"/>
  <c r="A974"/>
  <c r="B972"/>
  <c r="B973"/>
  <c r="A894"/>
  <c r="A872"/>
  <c r="A868"/>
  <c r="B847"/>
  <c r="A870"/>
  <c r="A1332"/>
  <c r="A1344"/>
  <c r="A1336"/>
  <c r="A1325"/>
  <c r="A1337"/>
  <c r="A1345"/>
  <c r="A1341"/>
  <c r="A1333"/>
  <c r="A1328"/>
  <c r="A1329"/>
  <c r="A1348"/>
  <c r="A1349"/>
  <c r="A1342"/>
  <c r="A1343"/>
  <c r="A1346"/>
  <c r="A1347"/>
  <c r="A1340"/>
  <c r="A1334"/>
  <c r="A1335"/>
  <c r="A1338"/>
  <c r="A1339"/>
  <c r="A1330"/>
  <c r="A1331"/>
  <c r="A1324"/>
  <c r="A1326"/>
  <c r="A1327"/>
  <c r="A1316"/>
  <c r="A1317"/>
  <c r="A1322"/>
  <c r="A1323"/>
  <c r="A866"/>
  <c r="A869"/>
  <c r="A861"/>
  <c r="A1358"/>
  <c r="A1359"/>
  <c r="A1357"/>
  <c r="B578"/>
  <c r="B579"/>
  <c r="B576"/>
  <c r="B577"/>
  <c r="B1356"/>
  <c r="B1355"/>
  <c r="B1354"/>
  <c r="B1353"/>
  <c r="B2336"/>
  <c r="B2337"/>
  <c r="B2338"/>
  <c r="B2339"/>
  <c r="B856"/>
  <c r="B855"/>
  <c r="Q576" l="1"/>
  <c r="R576"/>
  <c r="S576"/>
  <c r="Q856"/>
  <c r="R856"/>
  <c r="S856"/>
  <c r="Q2336"/>
  <c r="R2336"/>
  <c r="S2336"/>
  <c r="Q1356"/>
  <c r="R1356"/>
  <c r="S1356"/>
  <c r="Q578"/>
  <c r="R578"/>
  <c r="S578"/>
  <c r="Q2338"/>
  <c r="R2338"/>
  <c r="S2338"/>
  <c r="S2339"/>
  <c r="Q2339"/>
  <c r="R2339"/>
  <c r="R1353"/>
  <c r="S1353"/>
  <c r="Q1353"/>
  <c r="R577"/>
  <c r="S577"/>
  <c r="Q577"/>
  <c r="Q1354"/>
  <c r="R1354"/>
  <c r="S1354"/>
  <c r="R973"/>
  <c r="S973"/>
  <c r="Q973"/>
  <c r="R847"/>
  <c r="S847"/>
  <c r="Q847"/>
  <c r="R855"/>
  <c r="S855"/>
  <c r="Q855"/>
  <c r="S2337"/>
  <c r="Q2337"/>
  <c r="R2337"/>
  <c r="R1355"/>
  <c r="S1355"/>
  <c r="Q1355"/>
  <c r="R579"/>
  <c r="S579"/>
  <c r="Q579"/>
  <c r="Q972"/>
  <c r="R972"/>
  <c r="S972"/>
  <c r="A2337"/>
  <c r="A579"/>
  <c r="A2339"/>
  <c r="A855"/>
  <c r="A856"/>
  <c r="A2338"/>
  <c r="A2336"/>
  <c r="A577"/>
  <c r="A576"/>
  <c r="A578"/>
  <c r="A973"/>
  <c r="A972"/>
  <c r="A847"/>
  <c r="A1355"/>
  <c r="A1356"/>
  <c r="A1353"/>
  <c r="A1354"/>
  <c r="B1795"/>
  <c r="B1794"/>
  <c r="B1793"/>
  <c r="B1792"/>
  <c r="B1791"/>
  <c r="B1790"/>
  <c r="B1789"/>
  <c r="B1788"/>
  <c r="B1787"/>
  <c r="B25"/>
  <c r="B26"/>
  <c r="B27"/>
  <c r="B28"/>
  <c r="B29"/>
  <c r="B30"/>
  <c r="B31"/>
  <c r="B32"/>
  <c r="B33"/>
  <c r="B34"/>
  <c r="B35"/>
  <c r="B36"/>
  <c r="B37"/>
  <c r="B38"/>
  <c r="B39"/>
  <c r="B40"/>
  <c r="B41"/>
  <c r="B42"/>
  <c r="B43"/>
  <c r="B44"/>
  <c r="B45"/>
  <c r="B46"/>
  <c r="B47"/>
  <c r="B48"/>
  <c r="B49"/>
  <c r="B50"/>
  <c r="B51"/>
  <c r="B52"/>
  <c r="B53"/>
  <c r="B54"/>
  <c r="B55"/>
  <c r="B56"/>
  <c r="B57"/>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71"/>
  <c r="B281"/>
  <c r="B282"/>
  <c r="B323"/>
  <c r="B324"/>
  <c r="B325"/>
  <c r="B326"/>
  <c r="B392"/>
  <c r="B486"/>
  <c r="B487"/>
  <c r="B488"/>
  <c r="B489"/>
  <c r="B490"/>
  <c r="B491"/>
  <c r="B492"/>
  <c r="B493"/>
  <c r="B494"/>
  <c r="B498"/>
  <c r="B504"/>
  <c r="B505"/>
  <c r="B506"/>
  <c r="B509"/>
  <c r="B510"/>
  <c r="B511"/>
  <c r="B528"/>
  <c r="B532"/>
  <c r="B533"/>
  <c r="B534"/>
  <c r="B536"/>
  <c r="B542"/>
  <c r="B546"/>
  <c r="B547"/>
  <c r="B550"/>
  <c r="B557"/>
  <c r="B558"/>
  <c r="B559"/>
  <c r="B560"/>
  <c r="B561"/>
  <c r="B562"/>
  <c r="B563"/>
  <c r="B564"/>
  <c r="B565"/>
  <c r="B566"/>
  <c r="B567"/>
  <c r="B568"/>
  <c r="B569"/>
  <c r="B570"/>
  <c r="B682"/>
  <c r="B685"/>
  <c r="B686"/>
  <c r="B689"/>
  <c r="B696"/>
  <c r="B698"/>
  <c r="B699"/>
  <c r="B702"/>
  <c r="B705"/>
  <c r="B708"/>
  <c r="B711"/>
  <c r="B714"/>
  <c r="B717"/>
  <c r="B719"/>
  <c r="B722"/>
  <c r="B723"/>
  <c r="B724"/>
  <c r="B725"/>
  <c r="B728"/>
  <c r="B735"/>
  <c r="B736"/>
  <c r="B737"/>
  <c r="B738"/>
  <c r="B739"/>
  <c r="B740"/>
  <c r="B741"/>
  <c r="B742"/>
  <c r="B743"/>
  <c r="B744"/>
  <c r="B746"/>
  <c r="B747"/>
  <c r="B748"/>
  <c r="B749"/>
  <c r="B751"/>
  <c r="B752"/>
  <c r="B753"/>
  <c r="B754"/>
  <c r="B755"/>
  <c r="B756"/>
  <c r="B757"/>
  <c r="B758"/>
  <c r="B759"/>
  <c r="B760"/>
  <c r="B761"/>
  <c r="B762"/>
  <c r="B763"/>
  <c r="B764"/>
  <c r="B765"/>
  <c r="B766"/>
  <c r="B767"/>
  <c r="B768"/>
  <c r="B770"/>
  <c r="B771"/>
  <c r="B772"/>
  <c r="B776"/>
  <c r="B777"/>
  <c r="B780"/>
  <c r="B781"/>
  <c r="B784"/>
  <c r="B787"/>
  <c r="B790"/>
  <c r="B791"/>
  <c r="B793"/>
  <c r="B794"/>
  <c r="B795"/>
  <c r="B797"/>
  <c r="B796"/>
  <c r="B799"/>
  <c r="B804"/>
  <c r="B830"/>
  <c r="B831"/>
  <c r="B829"/>
  <c r="B848"/>
  <c r="B849"/>
  <c r="B850"/>
  <c r="B851"/>
  <c r="B852"/>
  <c r="B853"/>
  <c r="B854"/>
  <c r="B857"/>
  <c r="B858"/>
  <c r="B859"/>
  <c r="B860"/>
  <c r="B864"/>
  <c r="B865"/>
  <c r="B902"/>
  <c r="B903"/>
  <c r="B904"/>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8"/>
  <c r="B1241"/>
  <c r="B1243"/>
  <c r="B1245"/>
  <c r="B1247"/>
  <c r="B1266"/>
  <c r="B1267"/>
  <c r="B1268"/>
  <c r="B1269"/>
  <c r="B1270"/>
  <c r="B1271"/>
  <c r="B1272"/>
  <c r="B1273"/>
  <c r="B1274"/>
  <c r="B1275"/>
  <c r="B1276"/>
  <c r="B1277"/>
  <c r="B1278"/>
  <c r="B1279"/>
  <c r="B1280"/>
  <c r="B1281"/>
  <c r="B1282"/>
  <c r="B1283"/>
  <c r="B1284"/>
  <c r="B1285"/>
  <c r="B1286"/>
  <c r="B1287"/>
  <c r="B1288"/>
  <c r="B1289"/>
  <c r="B1290"/>
  <c r="B1291"/>
  <c r="B1292"/>
  <c r="B1293"/>
  <c r="B1296"/>
  <c r="B1297"/>
  <c r="B1298"/>
  <c r="B1299"/>
  <c r="B1294"/>
  <c r="B1295"/>
  <c r="B1350"/>
  <c r="B1351"/>
  <c r="B1352"/>
  <c r="B1628"/>
  <c r="B1629"/>
  <c r="B1630"/>
  <c r="B1631"/>
  <c r="B1632"/>
  <c r="B1633"/>
  <c r="B1634"/>
  <c r="B1635"/>
  <c r="B1636"/>
  <c r="B1637"/>
  <c r="B1638"/>
  <c r="B1639"/>
  <c r="B1640"/>
  <c r="B1641"/>
  <c r="B1642"/>
  <c r="B1643"/>
  <c r="B1644"/>
  <c r="B1645"/>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4"/>
  <c r="B1685"/>
  <c r="B1686"/>
  <c r="B1687"/>
  <c r="B1688"/>
  <c r="B1689"/>
  <c r="B1690"/>
  <c r="B1691"/>
  <c r="B1692"/>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76"/>
  <c r="B1777"/>
  <c r="B1778"/>
  <c r="B1779"/>
  <c r="B1780"/>
  <c r="B1781"/>
  <c r="B1782"/>
  <c r="B1783"/>
  <c r="B1784"/>
  <c r="B1731"/>
  <c r="B1732"/>
  <c r="B1733"/>
  <c r="B1734"/>
  <c r="B1761"/>
  <c r="B1762"/>
  <c r="B1763"/>
  <c r="B1764"/>
  <c r="B1765"/>
  <c r="B1766"/>
  <c r="B1767"/>
  <c r="B1768"/>
  <c r="B1798"/>
  <c r="B1799"/>
  <c r="B1800"/>
  <c r="B1801"/>
  <c r="B1802"/>
  <c r="B1803"/>
  <c r="B1804"/>
  <c r="B1805"/>
  <c r="B1806"/>
  <c r="B1807"/>
  <c r="B1808"/>
  <c r="B1809"/>
  <c r="B1810"/>
  <c r="B1825"/>
  <c r="B1826"/>
  <c r="B1827"/>
  <c r="B1828"/>
  <c r="B1829"/>
  <c r="B1830"/>
  <c r="B1831"/>
  <c r="B1832"/>
  <c r="B1833"/>
  <c r="B1834"/>
  <c r="B1835"/>
  <c r="B1836"/>
  <c r="B1837"/>
  <c r="B1838"/>
  <c r="B1839"/>
  <c r="B1840"/>
  <c r="B1841"/>
  <c r="B1842"/>
  <c r="B1843"/>
  <c r="B1844"/>
  <c r="B1845"/>
  <c r="B1846"/>
  <c r="B1847"/>
  <c r="B1848"/>
  <c r="B1849"/>
  <c r="B1850"/>
  <c r="B1851"/>
  <c r="B1852"/>
  <c r="B1853"/>
  <c r="B1854"/>
  <c r="B1855"/>
  <c r="B1856"/>
  <c r="B1857"/>
  <c r="B1858"/>
  <c r="B1859"/>
  <c r="B1860"/>
  <c r="B1861"/>
  <c r="B1862"/>
  <c r="B1863"/>
  <c r="B1864"/>
  <c r="B1865"/>
  <c r="B1871"/>
  <c r="B1872"/>
  <c r="B1873"/>
  <c r="B1874"/>
  <c r="B1875"/>
  <c r="B1876"/>
  <c r="B1877"/>
  <c r="B1878"/>
  <c r="B1879"/>
  <c r="B1880"/>
  <c r="B1881"/>
  <c r="B1882"/>
  <c r="B1883"/>
  <c r="B1884"/>
  <c r="B1885"/>
  <c r="B1886"/>
  <c r="B1887"/>
  <c r="B1888"/>
  <c r="B1889"/>
  <c r="B1890"/>
  <c r="B1899"/>
  <c r="B1900"/>
  <c r="B1901"/>
  <c r="B1906"/>
  <c r="B1907"/>
  <c r="B1908"/>
  <c r="B1909"/>
  <c r="B1914"/>
  <c r="B1915"/>
  <c r="B1916"/>
  <c r="B1917"/>
  <c r="B1918"/>
  <c r="B1919"/>
  <c r="B1920"/>
  <c r="B1921"/>
  <c r="B1922"/>
  <c r="B1923"/>
  <c r="B1924"/>
  <c r="B1925"/>
  <c r="B1926"/>
  <c r="B1927"/>
  <c r="B1928"/>
  <c r="B1929"/>
  <c r="B1930"/>
  <c r="B1931"/>
  <c r="B1932"/>
  <c r="B1933"/>
  <c r="B1934"/>
  <c r="B1935"/>
  <c r="B1936"/>
  <c r="B1937"/>
  <c r="B1938"/>
  <c r="B1939"/>
  <c r="B1940"/>
  <c r="B1941"/>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40"/>
  <c r="B2341"/>
  <c r="B2342"/>
  <c r="B2343"/>
  <c r="B2344"/>
  <c r="B2345"/>
  <c r="B2346"/>
  <c r="B2347"/>
  <c r="B2348"/>
  <c r="B2349"/>
  <c r="B2350"/>
  <c r="B2351"/>
  <c r="B2352"/>
  <c r="B2353"/>
  <c r="B2354"/>
  <c r="B2355"/>
  <c r="B2356"/>
  <c r="B2357"/>
  <c r="B2358"/>
  <c r="B2359"/>
  <c r="B2360"/>
  <c r="B2371"/>
  <c r="B2372"/>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8"/>
  <c r="B2489"/>
  <c r="B2490"/>
  <c r="B2491"/>
  <c r="B2492"/>
  <c r="B2493"/>
  <c r="B2494"/>
  <c r="B2496"/>
  <c r="B2497"/>
  <c r="B2498"/>
  <c r="B2499"/>
  <c r="B2500"/>
  <c r="B2501"/>
  <c r="B2502"/>
  <c r="B2503"/>
  <c r="B2504"/>
  <c r="B2505"/>
  <c r="B2506"/>
  <c r="B2507"/>
  <c r="B2508"/>
  <c r="B2509"/>
  <c r="B2510"/>
  <c r="B2511"/>
  <c r="B2512"/>
  <c r="B2513"/>
  <c r="B2514"/>
  <c r="B2515"/>
  <c r="B2516"/>
  <c r="B2520"/>
  <c r="B2521"/>
  <c r="B2522"/>
  <c r="B2523"/>
  <c r="B2524"/>
  <c r="B2526"/>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4"/>
  <c r="B2565"/>
  <c r="B2566"/>
  <c r="B2567"/>
  <c r="B2568"/>
  <c r="B2569"/>
  <c r="B2570"/>
  <c r="B2571"/>
  <c r="B2572"/>
  <c r="B2573"/>
  <c r="B2576"/>
  <c r="B2577"/>
  <c r="B2578"/>
  <c r="B2579"/>
  <c r="B2580"/>
  <c r="B2581"/>
  <c r="B2582"/>
  <c r="B2583"/>
  <c r="B2584"/>
  <c r="B2585"/>
  <c r="B2586"/>
  <c r="B2587"/>
  <c r="B2588"/>
  <c r="B2589"/>
  <c r="B2590"/>
  <c r="B2591"/>
  <c r="B2592"/>
  <c r="B2593"/>
  <c r="B2594"/>
  <c r="B2595"/>
  <c r="B2596"/>
  <c r="B2597"/>
  <c r="B2598"/>
  <c r="B2599"/>
  <c r="B2600"/>
  <c r="B2606"/>
  <c r="B2607"/>
  <c r="B2608"/>
  <c r="B2609"/>
  <c r="B2610"/>
  <c r="B2611"/>
  <c r="B2612"/>
  <c r="B2613"/>
  <c r="B2614"/>
  <c r="B2615"/>
  <c r="B2616"/>
  <c r="B2617"/>
  <c r="B2618"/>
  <c r="B2619"/>
  <c r="B2620"/>
  <c r="B2626"/>
  <c r="B2627"/>
  <c r="B2628"/>
  <c r="B2629"/>
  <c r="B2630"/>
  <c r="B2631"/>
  <c r="B2632"/>
  <c r="B2633"/>
  <c r="B2634"/>
  <c r="B2635"/>
  <c r="B2636"/>
  <c r="B2637"/>
  <c r="B2638"/>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93"/>
  <c r="B3094"/>
  <c r="B3095"/>
  <c r="B3096"/>
  <c r="B3097"/>
  <c r="B3099"/>
  <c r="B3100"/>
  <c r="B3101"/>
  <c r="B3102"/>
  <c r="B3103"/>
  <c r="B3104"/>
  <c r="B3105"/>
  <c r="B3106"/>
  <c r="B3107"/>
  <c r="B3108"/>
  <c r="B3109"/>
  <c r="B3112"/>
  <c r="B3113"/>
  <c r="B3114"/>
  <c r="B3115"/>
  <c r="B3116"/>
  <c r="B3117"/>
  <c r="B3118"/>
  <c r="B3119"/>
  <c r="B3120"/>
  <c r="B3121"/>
  <c r="B3184"/>
  <c r="B3185"/>
  <c r="B3186"/>
  <c r="B3187"/>
  <c r="B3190"/>
  <c r="B3191"/>
  <c r="B3192"/>
  <c r="B3193"/>
  <c r="B3194"/>
  <c r="B3195"/>
  <c r="B3198"/>
  <c r="B3199"/>
  <c r="B3206"/>
  <c r="B3207"/>
  <c r="B3210"/>
  <c r="B3211"/>
  <c r="B3220"/>
  <c r="B3221"/>
  <c r="B3222"/>
  <c r="B3223"/>
  <c r="B3224"/>
  <c r="B3225"/>
  <c r="B3226"/>
  <c r="B3297"/>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A1917"/>
  <c r="A1916"/>
  <c r="A1915"/>
  <c r="A1918"/>
  <c r="A1873"/>
  <c r="A1835"/>
  <c r="Q4056" l="1"/>
  <c r="R4056"/>
  <c r="S4056"/>
  <c r="S4048"/>
  <c r="Q4048"/>
  <c r="R4048"/>
  <c r="Q4036"/>
  <c r="R4036"/>
  <c r="S4036"/>
  <c r="S4028"/>
  <c r="Q4028"/>
  <c r="R4028"/>
  <c r="S4016"/>
  <c r="Q4016"/>
  <c r="R4016"/>
  <c r="S4008"/>
  <c r="Q4008"/>
  <c r="R4008"/>
  <c r="S4000"/>
  <c r="Q4000"/>
  <c r="R4000"/>
  <c r="S3988"/>
  <c r="Q3988"/>
  <c r="R3988"/>
  <c r="S3976"/>
  <c r="Q3976"/>
  <c r="R3976"/>
  <c r="S3972"/>
  <c r="Q3972"/>
  <c r="R3972"/>
  <c r="S3952"/>
  <c r="Q3952"/>
  <c r="R3952"/>
  <c r="S3940"/>
  <c r="Q3940"/>
  <c r="R3940"/>
  <c r="S3928"/>
  <c r="Q3928"/>
  <c r="R3928"/>
  <c r="S3920"/>
  <c r="Q3920"/>
  <c r="R3920"/>
  <c r="S3908"/>
  <c r="Q3908"/>
  <c r="R3908"/>
  <c r="S3900"/>
  <c r="Q3900"/>
  <c r="R3900"/>
  <c r="Q4059"/>
  <c r="R4059"/>
  <c r="S4059"/>
  <c r="Q4051"/>
  <c r="R4051"/>
  <c r="S4051"/>
  <c r="Q4043"/>
  <c r="R4043"/>
  <c r="S4043"/>
  <c r="Q4039"/>
  <c r="R4039"/>
  <c r="S4039"/>
  <c r="Q4035"/>
  <c r="R4035"/>
  <c r="S4035"/>
  <c r="Q4031"/>
  <c r="R4031"/>
  <c r="S4031"/>
  <c r="Q4027"/>
  <c r="R4027"/>
  <c r="S4027"/>
  <c r="Q4023"/>
  <c r="R4023"/>
  <c r="S4023"/>
  <c r="Q4019"/>
  <c r="R4019"/>
  <c r="S4019"/>
  <c r="Q4015"/>
  <c r="R4015"/>
  <c r="S4015"/>
  <c r="Q4011"/>
  <c r="R4011"/>
  <c r="S4011"/>
  <c r="Q4007"/>
  <c r="R4007"/>
  <c r="S4007"/>
  <c r="Q4003"/>
  <c r="R4003"/>
  <c r="S4003"/>
  <c r="Q3999"/>
  <c r="R3999"/>
  <c r="S3999"/>
  <c r="Q3995"/>
  <c r="R3995"/>
  <c r="S3995"/>
  <c r="Q3991"/>
  <c r="R3991"/>
  <c r="S3991"/>
  <c r="Q3987"/>
  <c r="R3987"/>
  <c r="S3987"/>
  <c r="Q3983"/>
  <c r="R3983"/>
  <c r="S3983"/>
  <c r="Q3979"/>
  <c r="R3979"/>
  <c r="S3979"/>
  <c r="Q3975"/>
  <c r="R3975"/>
  <c r="S3975"/>
  <c r="Q3971"/>
  <c r="R3971"/>
  <c r="S3971"/>
  <c r="Q3967"/>
  <c r="R3967"/>
  <c r="S3967"/>
  <c r="Q3963"/>
  <c r="R3963"/>
  <c r="S3963"/>
  <c r="Q3959"/>
  <c r="R3959"/>
  <c r="S3959"/>
  <c r="Q3955"/>
  <c r="R3955"/>
  <c r="S3955"/>
  <c r="Q3951"/>
  <c r="R3951"/>
  <c r="S3951"/>
  <c r="Q3947"/>
  <c r="R3947"/>
  <c r="S3947"/>
  <c r="Q3943"/>
  <c r="R3943"/>
  <c r="S3943"/>
  <c r="Q3939"/>
  <c r="R3939"/>
  <c r="S3939"/>
  <c r="Q3935"/>
  <c r="R3935"/>
  <c r="S3935"/>
  <c r="Q3931"/>
  <c r="R3931"/>
  <c r="S3931"/>
  <c r="Q3927"/>
  <c r="R3927"/>
  <c r="S3927"/>
  <c r="Q3923"/>
  <c r="R3923"/>
  <c r="S3923"/>
  <c r="Q3919"/>
  <c r="R3919"/>
  <c r="S3919"/>
  <c r="Q3915"/>
  <c r="R3915"/>
  <c r="S3915"/>
  <c r="Q3911"/>
  <c r="R3911"/>
  <c r="S3911"/>
  <c r="Q3907"/>
  <c r="R3907"/>
  <c r="S3907"/>
  <c r="Q3903"/>
  <c r="R3903"/>
  <c r="S3903"/>
  <c r="Q3899"/>
  <c r="R3899"/>
  <c r="S3899"/>
  <c r="Q3895"/>
  <c r="R3895"/>
  <c r="S3895"/>
  <c r="Q3891"/>
  <c r="R3891"/>
  <c r="S3891"/>
  <c r="Q3887"/>
  <c r="R3887"/>
  <c r="S3887"/>
  <c r="Q3883"/>
  <c r="R3883"/>
  <c r="S3883"/>
  <c r="Q3879"/>
  <c r="R3879"/>
  <c r="S3879"/>
  <c r="Q3875"/>
  <c r="R3875"/>
  <c r="S3875"/>
  <c r="Q3871"/>
  <c r="R3871"/>
  <c r="S3871"/>
  <c r="Q3867"/>
  <c r="R3867"/>
  <c r="S3867"/>
  <c r="Q3863"/>
  <c r="R3863"/>
  <c r="S3863"/>
  <c r="Q3859"/>
  <c r="R3859"/>
  <c r="S3859"/>
  <c r="Q3855"/>
  <c r="R3855"/>
  <c r="S3855"/>
  <c r="Q3851"/>
  <c r="R3851"/>
  <c r="S3851"/>
  <c r="Q3847"/>
  <c r="R3847"/>
  <c r="S3847"/>
  <c r="Q3843"/>
  <c r="R3843"/>
  <c r="S3843"/>
  <c r="Q3839"/>
  <c r="R3839"/>
  <c r="S3839"/>
  <c r="Q3835"/>
  <c r="R3835"/>
  <c r="S3835"/>
  <c r="Q3831"/>
  <c r="R3831"/>
  <c r="S3831"/>
  <c r="Q3827"/>
  <c r="R3827"/>
  <c r="S3827"/>
  <c r="Q3823"/>
  <c r="R3823"/>
  <c r="S3823"/>
  <c r="Q3819"/>
  <c r="R3819"/>
  <c r="S3819"/>
  <c r="Q3815"/>
  <c r="R3815"/>
  <c r="S3815"/>
  <c r="Q3811"/>
  <c r="R3811"/>
  <c r="S3811"/>
  <c r="Q3807"/>
  <c r="R3807"/>
  <c r="S3807"/>
  <c r="Q3803"/>
  <c r="R3803"/>
  <c r="S3803"/>
  <c r="Q3799"/>
  <c r="R3799"/>
  <c r="S3799"/>
  <c r="Q3795"/>
  <c r="R3795"/>
  <c r="S3795"/>
  <c r="Q3791"/>
  <c r="R3791"/>
  <c r="S3791"/>
  <c r="Q3787"/>
  <c r="R3787"/>
  <c r="S3787"/>
  <c r="Q3783"/>
  <c r="R3783"/>
  <c r="S3783"/>
  <c r="Q3779"/>
  <c r="R3779"/>
  <c r="S3779"/>
  <c r="Q3775"/>
  <c r="R3775"/>
  <c r="S3775"/>
  <c r="Q3771"/>
  <c r="R3771"/>
  <c r="S3771"/>
  <c r="Q3767"/>
  <c r="R3767"/>
  <c r="S3767"/>
  <c r="Q3763"/>
  <c r="R3763"/>
  <c r="S3763"/>
  <c r="Q3759"/>
  <c r="R3759"/>
  <c r="S3759"/>
  <c r="Q3755"/>
  <c r="R3755"/>
  <c r="S3755"/>
  <c r="Q3751"/>
  <c r="R3751"/>
  <c r="S3751"/>
  <c r="Q3747"/>
  <c r="R3747"/>
  <c r="S3747"/>
  <c r="Q3743"/>
  <c r="R3743"/>
  <c r="S3743"/>
  <c r="Q3739"/>
  <c r="R3739"/>
  <c r="S3739"/>
  <c r="Q3735"/>
  <c r="R3735"/>
  <c r="S3735"/>
  <c r="Q3731"/>
  <c r="R3731"/>
  <c r="S3731"/>
  <c r="Q3727"/>
  <c r="R3727"/>
  <c r="S3727"/>
  <c r="Q3723"/>
  <c r="R3723"/>
  <c r="S3723"/>
  <c r="Q3719"/>
  <c r="R3719"/>
  <c r="S3719"/>
  <c r="Q3715"/>
  <c r="R3715"/>
  <c r="S3715"/>
  <c r="Q3711"/>
  <c r="R3711"/>
  <c r="S3711"/>
  <c r="Q3707"/>
  <c r="R3707"/>
  <c r="S3707"/>
  <c r="Q3703"/>
  <c r="R3703"/>
  <c r="S3703"/>
  <c r="Q3699"/>
  <c r="R3699"/>
  <c r="S3699"/>
  <c r="Q3695"/>
  <c r="R3695"/>
  <c r="S3695"/>
  <c r="Q3691"/>
  <c r="R3691"/>
  <c r="S3691"/>
  <c r="Q3687"/>
  <c r="R3687"/>
  <c r="S3687"/>
  <c r="Q3683"/>
  <c r="R3683"/>
  <c r="S3683"/>
  <c r="Q3679"/>
  <c r="R3679"/>
  <c r="S3679"/>
  <c r="Q3675"/>
  <c r="R3675"/>
  <c r="S3675"/>
  <c r="Q3671"/>
  <c r="R3671"/>
  <c r="S3671"/>
  <c r="Q3667"/>
  <c r="R3667"/>
  <c r="S3667"/>
  <c r="Q3663"/>
  <c r="R3663"/>
  <c r="S3663"/>
  <c r="Q3659"/>
  <c r="R3659"/>
  <c r="S3659"/>
  <c r="Q3655"/>
  <c r="R3655"/>
  <c r="S3655"/>
  <c r="Q3651"/>
  <c r="R3651"/>
  <c r="S3651"/>
  <c r="Q3647"/>
  <c r="R3647"/>
  <c r="S3647"/>
  <c r="Q3643"/>
  <c r="R3643"/>
  <c r="S3643"/>
  <c r="Q3639"/>
  <c r="R3639"/>
  <c r="S3639"/>
  <c r="Q3635"/>
  <c r="R3635"/>
  <c r="S3635"/>
  <c r="Q3631"/>
  <c r="R3631"/>
  <c r="S3631"/>
  <c r="Q3627"/>
  <c r="R3627"/>
  <c r="S3627"/>
  <c r="Q3623"/>
  <c r="R3623"/>
  <c r="S3623"/>
  <c r="Q3619"/>
  <c r="R3619"/>
  <c r="S3619"/>
  <c r="Q3615"/>
  <c r="R3615"/>
  <c r="S3615"/>
  <c r="Q3611"/>
  <c r="R3611"/>
  <c r="S3611"/>
  <c r="Q3607"/>
  <c r="R3607"/>
  <c r="S3607"/>
  <c r="Q3603"/>
  <c r="R3603"/>
  <c r="S3603"/>
  <c r="Q3599"/>
  <c r="R3599"/>
  <c r="S3599"/>
  <c r="Q3595"/>
  <c r="R3595"/>
  <c r="S3595"/>
  <c r="Q3591"/>
  <c r="R3591"/>
  <c r="S3591"/>
  <c r="Q3587"/>
  <c r="R3587"/>
  <c r="S3587"/>
  <c r="Q3583"/>
  <c r="R3583"/>
  <c r="S3583"/>
  <c r="Q3579"/>
  <c r="R3579"/>
  <c r="S3579"/>
  <c r="Q3575"/>
  <c r="R3575"/>
  <c r="S3575"/>
  <c r="Q3571"/>
  <c r="R3571"/>
  <c r="S3571"/>
  <c r="Q3567"/>
  <c r="R3567"/>
  <c r="S3567"/>
  <c r="Q3563"/>
  <c r="R3563"/>
  <c r="S3563"/>
  <c r="Q3559"/>
  <c r="R3559"/>
  <c r="S3559"/>
  <c r="Q3555"/>
  <c r="R3555"/>
  <c r="S3555"/>
  <c r="Q3551"/>
  <c r="R3551"/>
  <c r="S3551"/>
  <c r="Q3547"/>
  <c r="R3547"/>
  <c r="S3547"/>
  <c r="Q3543"/>
  <c r="R3543"/>
  <c r="S3543"/>
  <c r="Q3539"/>
  <c r="R3539"/>
  <c r="S3539"/>
  <c r="Q3535"/>
  <c r="R3535"/>
  <c r="S3535"/>
  <c r="Q3531"/>
  <c r="R3531"/>
  <c r="S3531"/>
  <c r="Q3527"/>
  <c r="R3527"/>
  <c r="S3527"/>
  <c r="Q3523"/>
  <c r="R3523"/>
  <c r="S3523"/>
  <c r="Q3519"/>
  <c r="R3519"/>
  <c r="S3519"/>
  <c r="Q3515"/>
  <c r="R3515"/>
  <c r="S3515"/>
  <c r="Q3511"/>
  <c r="R3511"/>
  <c r="S3511"/>
  <c r="Q3507"/>
  <c r="R3507"/>
  <c r="S3507"/>
  <c r="Q3503"/>
  <c r="R3503"/>
  <c r="S3503"/>
  <c r="Q3499"/>
  <c r="R3499"/>
  <c r="S3499"/>
  <c r="Q3495"/>
  <c r="R3495"/>
  <c r="S3495"/>
  <c r="Q3491"/>
  <c r="R3491"/>
  <c r="S3491"/>
  <c r="Q3487"/>
  <c r="R3487"/>
  <c r="S3487"/>
  <c r="Q3483"/>
  <c r="R3483"/>
  <c r="S3483"/>
  <c r="Q3479"/>
  <c r="R3479"/>
  <c r="S3479"/>
  <c r="Q3475"/>
  <c r="R3475"/>
  <c r="S3475"/>
  <c r="Q3471"/>
  <c r="R3471"/>
  <c r="S3471"/>
  <c r="Q3467"/>
  <c r="R3467"/>
  <c r="S3467"/>
  <c r="Q3463"/>
  <c r="R3463"/>
  <c r="S3463"/>
  <c r="Q3459"/>
  <c r="R3459"/>
  <c r="S3459"/>
  <c r="Q3455"/>
  <c r="R3455"/>
  <c r="S3455"/>
  <c r="Q3451"/>
  <c r="R3451"/>
  <c r="S3451"/>
  <c r="Q3447"/>
  <c r="R3447"/>
  <c r="S3447"/>
  <c r="Q3443"/>
  <c r="R3443"/>
  <c r="S3443"/>
  <c r="Q3439"/>
  <c r="R3439"/>
  <c r="S3439"/>
  <c r="R3435"/>
  <c r="S3435"/>
  <c r="Q3435"/>
  <c r="R3431"/>
  <c r="S3431"/>
  <c r="Q3431"/>
  <c r="R3427"/>
  <c r="Q3427"/>
  <c r="S3427"/>
  <c r="R3423"/>
  <c r="Q3423"/>
  <c r="S3423"/>
  <c r="R3419"/>
  <c r="Q3419"/>
  <c r="S3419"/>
  <c r="R3415"/>
  <c r="Q3415"/>
  <c r="S3415"/>
  <c r="R3411"/>
  <c r="S3411"/>
  <c r="Q3411"/>
  <c r="R3407"/>
  <c r="S3407"/>
  <c r="Q3407"/>
  <c r="R3403"/>
  <c r="S3403"/>
  <c r="Q3403"/>
  <c r="Q3399"/>
  <c r="R3399"/>
  <c r="S3399"/>
  <c r="Q3395"/>
  <c r="R3395"/>
  <c r="S3395"/>
  <c r="Q3391"/>
  <c r="R3391"/>
  <c r="S3391"/>
  <c r="Q3387"/>
  <c r="R3387"/>
  <c r="S3387"/>
  <c r="Q3383"/>
  <c r="R3383"/>
  <c r="S3383"/>
  <c r="Q3379"/>
  <c r="R3379"/>
  <c r="S3379"/>
  <c r="Q3375"/>
  <c r="R3375"/>
  <c r="S3375"/>
  <c r="Q3371"/>
  <c r="R3371"/>
  <c r="S3371"/>
  <c r="Q3367"/>
  <c r="R3367"/>
  <c r="S3367"/>
  <c r="Q3363"/>
  <c r="R3363"/>
  <c r="S3363"/>
  <c r="Q3359"/>
  <c r="R3359"/>
  <c r="S3359"/>
  <c r="Q3355"/>
  <c r="R3355"/>
  <c r="S3355"/>
  <c r="Q3351"/>
  <c r="R3351"/>
  <c r="S3351"/>
  <c r="Q3347"/>
  <c r="R3347"/>
  <c r="S3347"/>
  <c r="Q3343"/>
  <c r="R3343"/>
  <c r="S3343"/>
  <c r="Q3339"/>
  <c r="R3339"/>
  <c r="S3339"/>
  <c r="Q3335"/>
  <c r="R3335"/>
  <c r="S3335"/>
  <c r="Q3331"/>
  <c r="R3331"/>
  <c r="S3331"/>
  <c r="Q3327"/>
  <c r="R3327"/>
  <c r="S3327"/>
  <c r="Q3323"/>
  <c r="R3323"/>
  <c r="S3323"/>
  <c r="Q3319"/>
  <c r="R3319"/>
  <c r="S3319"/>
  <c r="Q3315"/>
  <c r="R3315"/>
  <c r="S3315"/>
  <c r="Q3311"/>
  <c r="R3311"/>
  <c r="S3311"/>
  <c r="S3226"/>
  <c r="Q3226"/>
  <c r="R3226"/>
  <c r="S3222"/>
  <c r="Q3222"/>
  <c r="R3222"/>
  <c r="S3210"/>
  <c r="Q3210"/>
  <c r="R3210"/>
  <c r="S3198"/>
  <c r="Q3198"/>
  <c r="R3198"/>
  <c r="S3192"/>
  <c r="Q3192"/>
  <c r="R3192"/>
  <c r="S3186"/>
  <c r="Q3186"/>
  <c r="R3186"/>
  <c r="S3120"/>
  <c r="Q3120"/>
  <c r="R3120"/>
  <c r="S3116"/>
  <c r="Q3116"/>
  <c r="R3116"/>
  <c r="S3112"/>
  <c r="Q3112"/>
  <c r="R3112"/>
  <c r="S3106"/>
  <c r="Q3106"/>
  <c r="R3106"/>
  <c r="S3102"/>
  <c r="Q3102"/>
  <c r="R3102"/>
  <c r="Q3097"/>
  <c r="R3097"/>
  <c r="S3097"/>
  <c r="Q3093"/>
  <c r="R3093"/>
  <c r="S3093"/>
  <c r="S3068"/>
  <c r="Q3068"/>
  <c r="R3068"/>
  <c r="S3064"/>
  <c r="Q3064"/>
  <c r="R3064"/>
  <c r="S3060"/>
  <c r="Q3060"/>
  <c r="R3060"/>
  <c r="S3056"/>
  <c r="Q3056"/>
  <c r="R3056"/>
  <c r="S3052"/>
  <c r="Q3052"/>
  <c r="R3052"/>
  <c r="S3048"/>
  <c r="Q3048"/>
  <c r="R3048"/>
  <c r="S3044"/>
  <c r="Q3044"/>
  <c r="R3044"/>
  <c r="S3040"/>
  <c r="Q3040"/>
  <c r="R3040"/>
  <c r="S3036"/>
  <c r="Q3036"/>
  <c r="R3036"/>
  <c r="S3032"/>
  <c r="Q3032"/>
  <c r="R3032"/>
  <c r="S3028"/>
  <c r="Q3028"/>
  <c r="R3028"/>
  <c r="S3024"/>
  <c r="Q3024"/>
  <c r="R3024"/>
  <c r="S3020"/>
  <c r="Q3020"/>
  <c r="R3020"/>
  <c r="S3016"/>
  <c r="Q3016"/>
  <c r="R3016"/>
  <c r="S3012"/>
  <c r="Q3012"/>
  <c r="R3012"/>
  <c r="S3008"/>
  <c r="Q3008"/>
  <c r="R3008"/>
  <c r="S3004"/>
  <c r="Q3004"/>
  <c r="R3004"/>
  <c r="S3000"/>
  <c r="Q3000"/>
  <c r="R3000"/>
  <c r="S2996"/>
  <c r="Q2996"/>
  <c r="R2996"/>
  <c r="Q2911"/>
  <c r="R2911"/>
  <c r="S2911"/>
  <c r="Q2907"/>
  <c r="R2907"/>
  <c r="S2907"/>
  <c r="Q2903"/>
  <c r="R2903"/>
  <c r="S2903"/>
  <c r="Q2899"/>
  <c r="R2899"/>
  <c r="S2899"/>
  <c r="Q2895"/>
  <c r="R2895"/>
  <c r="S2895"/>
  <c r="Q2891"/>
  <c r="R2891"/>
  <c r="S2891"/>
  <c r="Q2887"/>
  <c r="R2887"/>
  <c r="S2887"/>
  <c r="Q2883"/>
  <c r="R2883"/>
  <c r="S2883"/>
  <c r="Q2879"/>
  <c r="R2879"/>
  <c r="S2879"/>
  <c r="Q2875"/>
  <c r="R2875"/>
  <c r="S2875"/>
  <c r="Q2871"/>
  <c r="R2871"/>
  <c r="S2871"/>
  <c r="Q2867"/>
  <c r="R2867"/>
  <c r="S2867"/>
  <c r="Q2863"/>
  <c r="R2863"/>
  <c r="S2863"/>
  <c r="Q2859"/>
  <c r="R2859"/>
  <c r="S2859"/>
  <c r="Q2855"/>
  <c r="R2855"/>
  <c r="S2855"/>
  <c r="Q2851"/>
  <c r="R2851"/>
  <c r="S2851"/>
  <c r="Q2847"/>
  <c r="R2847"/>
  <c r="S2847"/>
  <c r="Q2843"/>
  <c r="R2843"/>
  <c r="S2843"/>
  <c r="Q2839"/>
  <c r="R2839"/>
  <c r="S2839"/>
  <c r="S2834"/>
  <c r="Q2834"/>
  <c r="R2834"/>
  <c r="S2830"/>
  <c r="Q2830"/>
  <c r="R2830"/>
  <c r="S2826"/>
  <c r="Q2826"/>
  <c r="R2826"/>
  <c r="S2822"/>
  <c r="Q2822"/>
  <c r="R2822"/>
  <c r="S2818"/>
  <c r="Q2818"/>
  <c r="R2818"/>
  <c r="S2814"/>
  <c r="Q2814"/>
  <c r="R2814"/>
  <c r="S2810"/>
  <c r="Q2810"/>
  <c r="R2810"/>
  <c r="S2806"/>
  <c r="Q2806"/>
  <c r="R2806"/>
  <c r="Q2801"/>
  <c r="R2801"/>
  <c r="S2801"/>
  <c r="Q2797"/>
  <c r="R2797"/>
  <c r="S2797"/>
  <c r="Q2793"/>
  <c r="R2793"/>
  <c r="S2793"/>
  <c r="Q2789"/>
  <c r="R2789"/>
  <c r="S2789"/>
  <c r="Q2785"/>
  <c r="R2785"/>
  <c r="S2785"/>
  <c r="Q2781"/>
  <c r="R2781"/>
  <c r="S2781"/>
  <c r="Q2777"/>
  <c r="R2777"/>
  <c r="S2777"/>
  <c r="Q2773"/>
  <c r="R2773"/>
  <c r="S2773"/>
  <c r="Q2769"/>
  <c r="R2769"/>
  <c r="S2769"/>
  <c r="Q2765"/>
  <c r="R2765"/>
  <c r="S2765"/>
  <c r="Q2761"/>
  <c r="R2761"/>
  <c r="S2761"/>
  <c r="S2757"/>
  <c r="R2757"/>
  <c r="Q2757"/>
  <c r="S2753"/>
  <c r="R2753"/>
  <c r="Q2753"/>
  <c r="S2749"/>
  <c r="R2749"/>
  <c r="Q2749"/>
  <c r="S2745"/>
  <c r="R2745"/>
  <c r="Q2745"/>
  <c r="S2741"/>
  <c r="R2741"/>
  <c r="Q2741"/>
  <c r="S2737"/>
  <c r="Q2737"/>
  <c r="R2737"/>
  <c r="S2733"/>
  <c r="Q2733"/>
  <c r="R2733"/>
  <c r="S2729"/>
  <c r="Q2729"/>
  <c r="R2729"/>
  <c r="S2725"/>
  <c r="Q2725"/>
  <c r="R2725"/>
  <c r="S2721"/>
  <c r="Q2721"/>
  <c r="R2721"/>
  <c r="S2717"/>
  <c r="Q2717"/>
  <c r="R2717"/>
  <c r="S2713"/>
  <c r="Q2713"/>
  <c r="R2713"/>
  <c r="S2709"/>
  <c r="Q2709"/>
  <c r="R2709"/>
  <c r="S2705"/>
  <c r="Q2705"/>
  <c r="R2705"/>
  <c r="S2701"/>
  <c r="Q2701"/>
  <c r="R2701"/>
  <c r="S2697"/>
  <c r="Q2697"/>
  <c r="R2697"/>
  <c r="S2693"/>
  <c r="Q2693"/>
  <c r="R2693"/>
  <c r="S2689"/>
  <c r="Q2689"/>
  <c r="R2689"/>
  <c r="S2685"/>
  <c r="Q2685"/>
  <c r="R2685"/>
  <c r="S2681"/>
  <c r="Q2681"/>
  <c r="R2681"/>
  <c r="S2677"/>
  <c r="Q2677"/>
  <c r="R2677"/>
  <c r="S2673"/>
  <c r="Q2673"/>
  <c r="R2673"/>
  <c r="S2669"/>
  <c r="Q2669"/>
  <c r="R2669"/>
  <c r="S2665"/>
  <c r="Q2665"/>
  <c r="R2665"/>
  <c r="S2661"/>
  <c r="Q2661"/>
  <c r="R2661"/>
  <c r="S2657"/>
  <c r="Q2657"/>
  <c r="R2657"/>
  <c r="S2653"/>
  <c r="Q2653"/>
  <c r="R2653"/>
  <c r="S2649"/>
  <c r="Q2649"/>
  <c r="R2649"/>
  <c r="S2645"/>
  <c r="Q2645"/>
  <c r="R2645"/>
  <c r="S2637"/>
  <c r="Q2637"/>
  <c r="R2637"/>
  <c r="S2633"/>
  <c r="Q2633"/>
  <c r="R2633"/>
  <c r="S2629"/>
  <c r="Q2629"/>
  <c r="R2629"/>
  <c r="Q2620"/>
  <c r="R2620"/>
  <c r="S2620"/>
  <c r="Q2616"/>
  <c r="R2616"/>
  <c r="S2616"/>
  <c r="Q2612"/>
  <c r="R2612"/>
  <c r="S2612"/>
  <c r="Q2608"/>
  <c r="R2608"/>
  <c r="S2608"/>
  <c r="S2599"/>
  <c r="Q2599"/>
  <c r="R2599"/>
  <c r="S2595"/>
  <c r="Q2595"/>
  <c r="R2595"/>
  <c r="S2591"/>
  <c r="Q2591"/>
  <c r="R2591"/>
  <c r="S2587"/>
  <c r="Q2587"/>
  <c r="R2587"/>
  <c r="S2583"/>
  <c r="Q2583"/>
  <c r="R2583"/>
  <c r="S2579"/>
  <c r="Q2579"/>
  <c r="R2579"/>
  <c r="S2573"/>
  <c r="Q2573"/>
  <c r="R2573"/>
  <c r="S2569"/>
  <c r="Q2569"/>
  <c r="R2569"/>
  <c r="S2565"/>
  <c r="Q2565"/>
  <c r="R2565"/>
  <c r="Q2560"/>
  <c r="R2560"/>
  <c r="S2560"/>
  <c r="Q2556"/>
  <c r="R2556"/>
  <c r="S2556"/>
  <c r="Q2552"/>
  <c r="R2552"/>
  <c r="S2552"/>
  <c r="Q2548"/>
  <c r="R2548"/>
  <c r="S2548"/>
  <c r="Q2544"/>
  <c r="R2544"/>
  <c r="S2544"/>
  <c r="Q2540"/>
  <c r="R2540"/>
  <c r="S2540"/>
  <c r="Q2536"/>
  <c r="R2536"/>
  <c r="S2536"/>
  <c r="Q2532"/>
  <c r="R2532"/>
  <c r="S2532"/>
  <c r="Q2526"/>
  <c r="R2526"/>
  <c r="S2526"/>
  <c r="S2521"/>
  <c r="Q2521"/>
  <c r="R2521"/>
  <c r="Q2514"/>
  <c r="R2514"/>
  <c r="S2514"/>
  <c r="Q2510"/>
  <c r="R2510"/>
  <c r="S2510"/>
  <c r="Q2506"/>
  <c r="R2506"/>
  <c r="S2506"/>
  <c r="Q2502"/>
  <c r="R2502"/>
  <c r="S2502"/>
  <c r="Q2498"/>
  <c r="R2498"/>
  <c r="S2498"/>
  <c r="S2493"/>
  <c r="Q2493"/>
  <c r="R2493"/>
  <c r="S2489"/>
  <c r="Q2489"/>
  <c r="R2489"/>
  <c r="Q2484"/>
  <c r="R2484"/>
  <c r="S2484"/>
  <c r="Q2480"/>
  <c r="R2480"/>
  <c r="S2480"/>
  <c r="Q2476"/>
  <c r="R2476"/>
  <c r="S2476"/>
  <c r="Q2472"/>
  <c r="R2472"/>
  <c r="S2472"/>
  <c r="Q2468"/>
  <c r="R2468"/>
  <c r="S2468"/>
  <c r="Q2464"/>
  <c r="R2464"/>
  <c r="S2464"/>
  <c r="Q2460"/>
  <c r="R2460"/>
  <c r="S2460"/>
  <c r="Q2456"/>
  <c r="R2456"/>
  <c r="S2456"/>
  <c r="S2451"/>
  <c r="Q2451"/>
  <c r="R2451"/>
  <c r="S2447"/>
  <c r="Q2447"/>
  <c r="R2447"/>
  <c r="S2443"/>
  <c r="Q2443"/>
  <c r="R2443"/>
  <c r="S2439"/>
  <c r="Q2439"/>
  <c r="R2439"/>
  <c r="S2435"/>
  <c r="Q2435"/>
  <c r="R2435"/>
  <c r="S2431"/>
  <c r="Q2431"/>
  <c r="R2431"/>
  <c r="S2427"/>
  <c r="Q2427"/>
  <c r="R2427"/>
  <c r="S2423"/>
  <c r="Q2423"/>
  <c r="R2423"/>
  <c r="S2419"/>
  <c r="Q2419"/>
  <c r="R2419"/>
  <c r="S2415"/>
  <c r="Q2415"/>
  <c r="R2415"/>
  <c r="S2411"/>
  <c r="Q2411"/>
  <c r="R2411"/>
  <c r="S2407"/>
  <c r="Q2407"/>
  <c r="R2407"/>
  <c r="S2403"/>
  <c r="Q2403"/>
  <c r="R2403"/>
  <c r="S2371"/>
  <c r="Q2371"/>
  <c r="R2371"/>
  <c r="S2357"/>
  <c r="Q2357"/>
  <c r="R2357"/>
  <c r="S2353"/>
  <c r="Q2353"/>
  <c r="R2353"/>
  <c r="S2349"/>
  <c r="Q2349"/>
  <c r="R2349"/>
  <c r="S2345"/>
  <c r="Q2345"/>
  <c r="R2345"/>
  <c r="S2341"/>
  <c r="Q2341"/>
  <c r="R2341"/>
  <c r="S2333"/>
  <c r="Q2333"/>
  <c r="R2333"/>
  <c r="S2329"/>
  <c r="Q2329"/>
  <c r="R2329"/>
  <c r="S2325"/>
  <c r="Q2325"/>
  <c r="R2325"/>
  <c r="S2321"/>
  <c r="Q2321"/>
  <c r="R2321"/>
  <c r="S2317"/>
  <c r="Q2317"/>
  <c r="R2317"/>
  <c r="S2313"/>
  <c r="Q2313"/>
  <c r="R2313"/>
  <c r="S2309"/>
  <c r="Q2309"/>
  <c r="R2309"/>
  <c r="S2305"/>
  <c r="Q2305"/>
  <c r="R2305"/>
  <c r="S2301"/>
  <c r="Q2301"/>
  <c r="R2301"/>
  <c r="S2297"/>
  <c r="Q2297"/>
  <c r="R2297"/>
  <c r="S2293"/>
  <c r="Q2293"/>
  <c r="R2293"/>
  <c r="S2289"/>
  <c r="Q2289"/>
  <c r="R2289"/>
  <c r="S2285"/>
  <c r="Q2285"/>
  <c r="R2285"/>
  <c r="S2281"/>
  <c r="Q2281"/>
  <c r="R2281"/>
  <c r="S2277"/>
  <c r="Q2277"/>
  <c r="R2277"/>
  <c r="S2273"/>
  <c r="Q2273"/>
  <c r="R2273"/>
  <c r="S2269"/>
  <c r="Q2269"/>
  <c r="R2269"/>
  <c r="S2265"/>
  <c r="Q2265"/>
  <c r="R2265"/>
  <c r="S2261"/>
  <c r="Q2261"/>
  <c r="R2261"/>
  <c r="S2257"/>
  <c r="Q2257"/>
  <c r="R2257"/>
  <c r="S2253"/>
  <c r="Q2253"/>
  <c r="R2253"/>
  <c r="S2249"/>
  <c r="Q2249"/>
  <c r="R2249"/>
  <c r="S2245"/>
  <c r="Q2245"/>
  <c r="R2245"/>
  <c r="S2241"/>
  <c r="Q2241"/>
  <c r="R2241"/>
  <c r="S2237"/>
  <c r="Q2237"/>
  <c r="R2237"/>
  <c r="S2233"/>
  <c r="Q2233"/>
  <c r="R2233"/>
  <c r="S2229"/>
  <c r="Q2229"/>
  <c r="R2229"/>
  <c r="S2225"/>
  <c r="Q2225"/>
  <c r="R2225"/>
  <c r="S2221"/>
  <c r="Q2221"/>
  <c r="R2221"/>
  <c r="S2217"/>
  <c r="Q2217"/>
  <c r="R2217"/>
  <c r="S2213"/>
  <c r="Q2213"/>
  <c r="R2213"/>
  <c r="S2209"/>
  <c r="Q2209"/>
  <c r="R2209"/>
  <c r="S2205"/>
  <c r="Q2205"/>
  <c r="R2205"/>
  <c r="S2201"/>
  <c r="Q2201"/>
  <c r="R2201"/>
  <c r="S2197"/>
  <c r="Q2197"/>
  <c r="R2197"/>
  <c r="S2193"/>
  <c r="Q2193"/>
  <c r="R2193"/>
  <c r="S2189"/>
  <c r="Q2189"/>
  <c r="R2189"/>
  <c r="S2185"/>
  <c r="Q2185"/>
  <c r="R2185"/>
  <c r="S2181"/>
  <c r="Q2181"/>
  <c r="R2181"/>
  <c r="S2177"/>
  <c r="Q2177"/>
  <c r="R2177"/>
  <c r="S2173"/>
  <c r="Q2173"/>
  <c r="R2173"/>
  <c r="S2169"/>
  <c r="Q2169"/>
  <c r="R2169"/>
  <c r="S2165"/>
  <c r="Q2165"/>
  <c r="R2165"/>
  <c r="S2161"/>
  <c r="Q2161"/>
  <c r="R2161"/>
  <c r="S2157"/>
  <c r="Q2157"/>
  <c r="R2157"/>
  <c r="S2153"/>
  <c r="Q2153"/>
  <c r="R2153"/>
  <c r="S2149"/>
  <c r="Q2149"/>
  <c r="R2149"/>
  <c r="S2145"/>
  <c r="Q2145"/>
  <c r="R2145"/>
  <c r="S2141"/>
  <c r="Q2141"/>
  <c r="R2141"/>
  <c r="R1939"/>
  <c r="S1939"/>
  <c r="Q1939"/>
  <c r="R1935"/>
  <c r="S1935"/>
  <c r="Q1935"/>
  <c r="R1931"/>
  <c r="S1931"/>
  <c r="Q1931"/>
  <c r="R1927"/>
  <c r="S1927"/>
  <c r="Q1927"/>
  <c r="R1923"/>
  <c r="S1923"/>
  <c r="Q1923"/>
  <c r="R1919"/>
  <c r="S1919"/>
  <c r="Q1919"/>
  <c r="R1915"/>
  <c r="S1915"/>
  <c r="Q1915"/>
  <c r="R1907"/>
  <c r="S1907"/>
  <c r="Q1907"/>
  <c r="R1899"/>
  <c r="S1899"/>
  <c r="Q1899"/>
  <c r="R1887"/>
  <c r="S1887"/>
  <c r="Q1887"/>
  <c r="R1883"/>
  <c r="S1883"/>
  <c r="Q1883"/>
  <c r="R1879"/>
  <c r="S1879"/>
  <c r="Q1879"/>
  <c r="R1875"/>
  <c r="S1875"/>
  <c r="Q1875"/>
  <c r="R1871"/>
  <c r="S1871"/>
  <c r="Q1871"/>
  <c r="Q1862"/>
  <c r="R1862"/>
  <c r="S1862"/>
  <c r="Q1858"/>
  <c r="R1858"/>
  <c r="S1858"/>
  <c r="Q1854"/>
  <c r="R1854"/>
  <c r="S1854"/>
  <c r="Q1850"/>
  <c r="R1850"/>
  <c r="S1850"/>
  <c r="Q1846"/>
  <c r="R1846"/>
  <c r="S1846"/>
  <c r="Q1842"/>
  <c r="R1842"/>
  <c r="S1842"/>
  <c r="Q1838"/>
  <c r="R1838"/>
  <c r="S1838"/>
  <c r="Q1834"/>
  <c r="R1834"/>
  <c r="S1834"/>
  <c r="Q1830"/>
  <c r="R1830"/>
  <c r="S1830"/>
  <c r="Q1826"/>
  <c r="R1826"/>
  <c r="S1826"/>
  <c r="Q1808"/>
  <c r="R1808"/>
  <c r="S1808"/>
  <c r="Q1804"/>
  <c r="R1804"/>
  <c r="S1804"/>
  <c r="Q1800"/>
  <c r="R1800"/>
  <c r="S1800"/>
  <c r="R1767"/>
  <c r="Q1767"/>
  <c r="S1767"/>
  <c r="R1763"/>
  <c r="Q1763"/>
  <c r="S1763"/>
  <c r="R1733"/>
  <c r="Q1733"/>
  <c r="S1733"/>
  <c r="R1783"/>
  <c r="Q1783"/>
  <c r="S1783"/>
  <c r="R1779"/>
  <c r="Q1779"/>
  <c r="S1779"/>
  <c r="R1730"/>
  <c r="Q1730"/>
  <c r="S1730"/>
  <c r="R1726"/>
  <c r="Q1726"/>
  <c r="S1726"/>
  <c r="R1722"/>
  <c r="S1722"/>
  <c r="Q1722"/>
  <c r="R1718"/>
  <c r="S1718"/>
  <c r="Q1718"/>
  <c r="R1714"/>
  <c r="S1714"/>
  <c r="Q1714"/>
  <c r="R1710"/>
  <c r="S1710"/>
  <c r="Q1710"/>
  <c r="R1706"/>
  <c r="S1706"/>
  <c r="Q1706"/>
  <c r="R1702"/>
  <c r="S1702"/>
  <c r="Q1702"/>
  <c r="R1698"/>
  <c r="S1698"/>
  <c r="Q1698"/>
  <c r="Q1691"/>
  <c r="R1691"/>
  <c r="S1691"/>
  <c r="Q1687"/>
  <c r="R1687"/>
  <c r="S1687"/>
  <c r="R1682"/>
  <c r="S1682"/>
  <c r="Q1682"/>
  <c r="R1678"/>
  <c r="S1678"/>
  <c r="Q1678"/>
  <c r="R1674"/>
  <c r="S1674"/>
  <c r="Q1674"/>
  <c r="R1670"/>
  <c r="S1670"/>
  <c r="Q1670"/>
  <c r="R1666"/>
  <c r="S1666"/>
  <c r="Q1666"/>
  <c r="R1662"/>
  <c r="S1662"/>
  <c r="Q1662"/>
  <c r="R1658"/>
  <c r="S1658"/>
  <c r="Q1658"/>
  <c r="R1654"/>
  <c r="S1654"/>
  <c r="Q1654"/>
  <c r="R1650"/>
  <c r="S1650"/>
  <c r="Q1650"/>
  <c r="R1646"/>
  <c r="S1646"/>
  <c r="Q1646"/>
  <c r="R1642"/>
  <c r="S1642"/>
  <c r="Q1642"/>
  <c r="R1638"/>
  <c r="S1638"/>
  <c r="Q1638"/>
  <c r="R1634"/>
  <c r="S1634"/>
  <c r="Q1634"/>
  <c r="R1630"/>
  <c r="S1630"/>
  <c r="Q1630"/>
  <c r="R1351"/>
  <c r="S1351"/>
  <c r="Q1351"/>
  <c r="R1299"/>
  <c r="S1299"/>
  <c r="Q1299"/>
  <c r="R1293"/>
  <c r="S1293"/>
  <c r="Q1293"/>
  <c r="R1289"/>
  <c r="S1289"/>
  <c r="Q1289"/>
  <c r="R1285"/>
  <c r="S1285"/>
  <c r="Q1285"/>
  <c r="R1281"/>
  <c r="S1281"/>
  <c r="Q1281"/>
  <c r="R1277"/>
  <c r="S1277"/>
  <c r="Q1277"/>
  <c r="R1273"/>
  <c r="S1273"/>
  <c r="Q1273"/>
  <c r="R1269"/>
  <c r="S1269"/>
  <c r="Q1269"/>
  <c r="R1247"/>
  <c r="S1247"/>
  <c r="Q1247"/>
  <c r="Q1238"/>
  <c r="R1238"/>
  <c r="S1238"/>
  <c r="R1233"/>
  <c r="S1233"/>
  <c r="Q1233"/>
  <c r="R1229"/>
  <c r="S1229"/>
  <c r="Q1229"/>
  <c r="R1225"/>
  <c r="S1225"/>
  <c r="Q1225"/>
  <c r="R1221"/>
  <c r="S1221"/>
  <c r="Q1221"/>
  <c r="R1217"/>
  <c r="S1217"/>
  <c r="Q1217"/>
  <c r="R1213"/>
  <c r="S1213"/>
  <c r="Q1213"/>
  <c r="R1209"/>
  <c r="S1209"/>
  <c r="Q1209"/>
  <c r="R1205"/>
  <c r="S1205"/>
  <c r="Q1205"/>
  <c r="R1201"/>
  <c r="S1201"/>
  <c r="Q1201"/>
  <c r="R1197"/>
  <c r="S1197"/>
  <c r="Q1197"/>
  <c r="R1193"/>
  <c r="S1193"/>
  <c r="Q1193"/>
  <c r="R1189"/>
  <c r="S1189"/>
  <c r="Q1189"/>
  <c r="R1185"/>
  <c r="S1185"/>
  <c r="Q1185"/>
  <c r="R1181"/>
  <c r="S1181"/>
  <c r="Q1181"/>
  <c r="R1177"/>
  <c r="S1177"/>
  <c r="Q1177"/>
  <c r="R1173"/>
  <c r="S1173"/>
  <c r="Q1173"/>
  <c r="R1169"/>
  <c r="S1169"/>
  <c r="Q1169"/>
  <c r="R1165"/>
  <c r="S1165"/>
  <c r="Q1165"/>
  <c r="R1161"/>
  <c r="S1161"/>
  <c r="Q1161"/>
  <c r="R1157"/>
  <c r="S1157"/>
  <c r="Q1157"/>
  <c r="R1153"/>
  <c r="S1153"/>
  <c r="Q1153"/>
  <c r="R1149"/>
  <c r="S1149"/>
  <c r="Q1149"/>
  <c r="R1145"/>
  <c r="S1145"/>
  <c r="Q1145"/>
  <c r="R1141"/>
  <c r="S1141"/>
  <c r="Q1141"/>
  <c r="R1137"/>
  <c r="S1137"/>
  <c r="Q1137"/>
  <c r="R1133"/>
  <c r="S1133"/>
  <c r="Q1133"/>
  <c r="R1129"/>
  <c r="S1129"/>
  <c r="Q1129"/>
  <c r="R1125"/>
  <c r="S1125"/>
  <c r="Q1125"/>
  <c r="R1121"/>
  <c r="S1121"/>
  <c r="Q1121"/>
  <c r="R1117"/>
  <c r="S1117"/>
  <c r="Q1117"/>
  <c r="R1113"/>
  <c r="S1113"/>
  <c r="Q1113"/>
  <c r="R1109"/>
  <c r="S1109"/>
  <c r="Q1109"/>
  <c r="R1105"/>
  <c r="Q1105"/>
  <c r="S1105"/>
  <c r="R1101"/>
  <c r="Q1101"/>
  <c r="S1101"/>
  <c r="R1097"/>
  <c r="Q1097"/>
  <c r="S1097"/>
  <c r="R1093"/>
  <c r="Q1093"/>
  <c r="S1093"/>
  <c r="R1089"/>
  <c r="Q1089"/>
  <c r="S1089"/>
  <c r="R1085"/>
  <c r="Q1085"/>
  <c r="S1085"/>
  <c r="R1081"/>
  <c r="S1081"/>
  <c r="Q1081"/>
  <c r="R1077"/>
  <c r="S1077"/>
  <c r="Q1077"/>
  <c r="R1073"/>
  <c r="S1073"/>
  <c r="Q1073"/>
  <c r="R1069"/>
  <c r="S1069"/>
  <c r="Q1069"/>
  <c r="R1065"/>
  <c r="S1065"/>
  <c r="Q1065"/>
  <c r="R1061"/>
  <c r="S1061"/>
  <c r="Q1061"/>
  <c r="R1057"/>
  <c r="S1057"/>
  <c r="Q1057"/>
  <c r="R1053"/>
  <c r="S1053"/>
  <c r="Q1053"/>
  <c r="R1049"/>
  <c r="S1049"/>
  <c r="Q1049"/>
  <c r="R1045"/>
  <c r="S1045"/>
  <c r="Q1045"/>
  <c r="R1041"/>
  <c r="S1041"/>
  <c r="Q1041"/>
  <c r="R1037"/>
  <c r="S1037"/>
  <c r="Q1037"/>
  <c r="R1033"/>
  <c r="S1033"/>
  <c r="Q1033"/>
  <c r="R1029"/>
  <c r="S1029"/>
  <c r="Q1029"/>
  <c r="R1025"/>
  <c r="S1025"/>
  <c r="Q1025"/>
  <c r="R1021"/>
  <c r="S1021"/>
  <c r="Q1021"/>
  <c r="Q904"/>
  <c r="R904"/>
  <c r="S904"/>
  <c r="Q864"/>
  <c r="R864"/>
  <c r="S864"/>
  <c r="R857"/>
  <c r="S857"/>
  <c r="Q857"/>
  <c r="R851"/>
  <c r="S851"/>
  <c r="Q851"/>
  <c r="R829"/>
  <c r="S829"/>
  <c r="Q829"/>
  <c r="R799"/>
  <c r="Q799"/>
  <c r="S799"/>
  <c r="R794"/>
  <c r="Q794"/>
  <c r="S794"/>
  <c r="R787"/>
  <c r="Q787"/>
  <c r="S787"/>
  <c r="S777"/>
  <c r="Q777"/>
  <c r="R777"/>
  <c r="Q770"/>
  <c r="R770"/>
  <c r="S770"/>
  <c r="S765"/>
  <c r="Q765"/>
  <c r="R765"/>
  <c r="S761"/>
  <c r="Q761"/>
  <c r="R761"/>
  <c r="S757"/>
  <c r="Q757"/>
  <c r="R757"/>
  <c r="S753"/>
  <c r="Q753"/>
  <c r="R753"/>
  <c r="Q748"/>
  <c r="R748"/>
  <c r="S748"/>
  <c r="S743"/>
  <c r="Q743"/>
  <c r="R743"/>
  <c r="S739"/>
  <c r="Q739"/>
  <c r="R739"/>
  <c r="S735"/>
  <c r="Q735"/>
  <c r="R735"/>
  <c r="S723"/>
  <c r="Q723"/>
  <c r="R723"/>
  <c r="Q714"/>
  <c r="R714"/>
  <c r="S714"/>
  <c r="Q702"/>
  <c r="R702"/>
  <c r="S702"/>
  <c r="S689"/>
  <c r="Q689"/>
  <c r="R689"/>
  <c r="Q570"/>
  <c r="R570"/>
  <c r="S570"/>
  <c r="Q566"/>
  <c r="R566"/>
  <c r="S566"/>
  <c r="Q562"/>
  <c r="R562"/>
  <c r="S562"/>
  <c r="Q558"/>
  <c r="R558"/>
  <c r="S558"/>
  <c r="Q546"/>
  <c r="R546"/>
  <c r="S546"/>
  <c r="R533"/>
  <c r="S533"/>
  <c r="Q533"/>
  <c r="S510"/>
  <c r="Q510"/>
  <c r="R510"/>
  <c r="S504"/>
  <c r="Q504"/>
  <c r="R504"/>
  <c r="S492"/>
  <c r="Q492"/>
  <c r="R492"/>
  <c r="S488"/>
  <c r="Q488"/>
  <c r="R488"/>
  <c r="S364"/>
  <c r="Q364"/>
  <c r="R364"/>
  <c r="Q323"/>
  <c r="R323"/>
  <c r="S323"/>
  <c r="S226"/>
  <c r="Q226"/>
  <c r="R226"/>
  <c r="Q222"/>
  <c r="R222"/>
  <c r="S222"/>
  <c r="R218"/>
  <c r="Q218"/>
  <c r="S218"/>
  <c r="R214"/>
  <c r="Q214"/>
  <c r="S214"/>
  <c r="R210"/>
  <c r="Q210"/>
  <c r="S210"/>
  <c r="Q206"/>
  <c r="R206"/>
  <c r="S206"/>
  <c r="Q202"/>
  <c r="R202"/>
  <c r="S202"/>
  <c r="Q198"/>
  <c r="R198"/>
  <c r="S198"/>
  <c r="Q194"/>
  <c r="R194"/>
  <c r="S194"/>
  <c r="Q190"/>
  <c r="R190"/>
  <c r="S190"/>
  <c r="Q186"/>
  <c r="R186"/>
  <c r="S186"/>
  <c r="Q182"/>
  <c r="R182"/>
  <c r="S182"/>
  <c r="Q178"/>
  <c r="R178"/>
  <c r="S178"/>
  <c r="Q174"/>
  <c r="R174"/>
  <c r="S174"/>
  <c r="Q170"/>
  <c r="R170"/>
  <c r="S170"/>
  <c r="Q166"/>
  <c r="R166"/>
  <c r="S166"/>
  <c r="Q162"/>
  <c r="R162"/>
  <c r="S162"/>
  <c r="Q158"/>
  <c r="R158"/>
  <c r="S158"/>
  <c r="Q154"/>
  <c r="R154"/>
  <c r="S154"/>
  <c r="Q150"/>
  <c r="R150"/>
  <c r="S150"/>
  <c r="Q146"/>
  <c r="R146"/>
  <c r="S146"/>
  <c r="Q142"/>
  <c r="R142"/>
  <c r="S142"/>
  <c r="Q138"/>
  <c r="R138"/>
  <c r="S138"/>
  <c r="Q134"/>
  <c r="R134"/>
  <c r="S134"/>
  <c r="Q130"/>
  <c r="R130"/>
  <c r="S130"/>
  <c r="R126"/>
  <c r="S126"/>
  <c r="Q126"/>
  <c r="R122"/>
  <c r="S122"/>
  <c r="Q122"/>
  <c r="Q118"/>
  <c r="R118"/>
  <c r="S118"/>
  <c r="Q114"/>
  <c r="R114"/>
  <c r="S114"/>
  <c r="Q110"/>
  <c r="R110"/>
  <c r="S110"/>
  <c r="Q106"/>
  <c r="R106"/>
  <c r="S106"/>
  <c r="Q102"/>
  <c r="R102"/>
  <c r="S102"/>
  <c r="Q98"/>
  <c r="R98"/>
  <c r="S98"/>
  <c r="Q94"/>
  <c r="R94"/>
  <c r="S94"/>
  <c r="Q90"/>
  <c r="R90"/>
  <c r="S90"/>
  <c r="Q86"/>
  <c r="R86"/>
  <c r="S86"/>
  <c r="Q82"/>
  <c r="R82"/>
  <c r="S82"/>
  <c r="Q78"/>
  <c r="R78"/>
  <c r="S78"/>
  <c r="S74"/>
  <c r="Q74"/>
  <c r="R74"/>
  <c r="Q55"/>
  <c r="R55"/>
  <c r="S55"/>
  <c r="Q51"/>
  <c r="R51"/>
  <c r="S51"/>
  <c r="Q47"/>
  <c r="R47"/>
  <c r="S47"/>
  <c r="Q43"/>
  <c r="R43"/>
  <c r="S43"/>
  <c r="Q39"/>
  <c r="R39"/>
  <c r="S39"/>
  <c r="Q35"/>
  <c r="R35"/>
  <c r="S35"/>
  <c r="Q31"/>
  <c r="R31"/>
  <c r="S31"/>
  <c r="Q27"/>
  <c r="R27"/>
  <c r="S27"/>
  <c r="R1788"/>
  <c r="Q1788"/>
  <c r="S1788"/>
  <c r="R1792"/>
  <c r="Q1792"/>
  <c r="S1792"/>
  <c r="S4064"/>
  <c r="Q4064"/>
  <c r="R4064"/>
  <c r="S4052"/>
  <c r="Q4052"/>
  <c r="R4052"/>
  <c r="S4044"/>
  <c r="Q4044"/>
  <c r="R4044"/>
  <c r="S4032"/>
  <c r="Q4032"/>
  <c r="R4032"/>
  <c r="S4024"/>
  <c r="Q4024"/>
  <c r="R4024"/>
  <c r="S4020"/>
  <c r="Q4020"/>
  <c r="R4020"/>
  <c r="S4012"/>
  <c r="Q4012"/>
  <c r="R4012"/>
  <c r="S4004"/>
  <c r="Q4004"/>
  <c r="R4004"/>
  <c r="S3996"/>
  <c r="Q3996"/>
  <c r="R3996"/>
  <c r="S3992"/>
  <c r="Q3992"/>
  <c r="R3992"/>
  <c r="S3980"/>
  <c r="Q3980"/>
  <c r="R3980"/>
  <c r="S3964"/>
  <c r="Q3964"/>
  <c r="R3964"/>
  <c r="S3956"/>
  <c r="Q3956"/>
  <c r="R3956"/>
  <c r="S3944"/>
  <c r="Q3944"/>
  <c r="R3944"/>
  <c r="S3932"/>
  <c r="Q3932"/>
  <c r="R3932"/>
  <c r="S3924"/>
  <c r="Q3924"/>
  <c r="R3924"/>
  <c r="S3912"/>
  <c r="Q3912"/>
  <c r="R3912"/>
  <c r="S3904"/>
  <c r="Q3904"/>
  <c r="R3904"/>
  <c r="S3896"/>
  <c r="Q3896"/>
  <c r="R3896"/>
  <c r="Q4063"/>
  <c r="R4063"/>
  <c r="S4063"/>
  <c r="Q4055"/>
  <c r="R4055"/>
  <c r="S4055"/>
  <c r="Q4047"/>
  <c r="R4047"/>
  <c r="S4047"/>
  <c r="S4066"/>
  <c r="Q4066"/>
  <c r="R4066"/>
  <c r="Q4062"/>
  <c r="R4062"/>
  <c r="S4062"/>
  <c r="Q4058"/>
  <c r="R4058"/>
  <c r="S4058"/>
  <c r="Q4054"/>
  <c r="R4054"/>
  <c r="S4054"/>
  <c r="S4050"/>
  <c r="Q4050"/>
  <c r="R4050"/>
  <c r="S4046"/>
  <c r="Q4046"/>
  <c r="R4046"/>
  <c r="Q4042"/>
  <c r="R4042"/>
  <c r="S4042"/>
  <c r="S4038"/>
  <c r="Q4038"/>
  <c r="R4038"/>
  <c r="S4034"/>
  <c r="Q4034"/>
  <c r="R4034"/>
  <c r="S4030"/>
  <c r="Q4030"/>
  <c r="R4030"/>
  <c r="S4026"/>
  <c r="Q4026"/>
  <c r="R4026"/>
  <c r="S4022"/>
  <c r="Q4022"/>
  <c r="R4022"/>
  <c r="S4018"/>
  <c r="Q4018"/>
  <c r="R4018"/>
  <c r="S4014"/>
  <c r="Q4014"/>
  <c r="R4014"/>
  <c r="S4010"/>
  <c r="Q4010"/>
  <c r="R4010"/>
  <c r="S4006"/>
  <c r="Q4006"/>
  <c r="R4006"/>
  <c r="S4002"/>
  <c r="Q4002"/>
  <c r="R4002"/>
  <c r="S3998"/>
  <c r="Q3998"/>
  <c r="R3998"/>
  <c r="S3994"/>
  <c r="Q3994"/>
  <c r="R3994"/>
  <c r="S3990"/>
  <c r="Q3990"/>
  <c r="R3990"/>
  <c r="S3986"/>
  <c r="Q3986"/>
  <c r="R3986"/>
  <c r="S3982"/>
  <c r="Q3982"/>
  <c r="R3982"/>
  <c r="S3978"/>
  <c r="Q3978"/>
  <c r="R3978"/>
  <c r="S3974"/>
  <c r="Q3974"/>
  <c r="R3974"/>
  <c r="S3970"/>
  <c r="Q3970"/>
  <c r="R3970"/>
  <c r="S3966"/>
  <c r="Q3966"/>
  <c r="R3966"/>
  <c r="S3962"/>
  <c r="Q3962"/>
  <c r="R3962"/>
  <c r="S3958"/>
  <c r="Q3958"/>
  <c r="R3958"/>
  <c r="S3954"/>
  <c r="Q3954"/>
  <c r="R3954"/>
  <c r="S3950"/>
  <c r="Q3950"/>
  <c r="R3950"/>
  <c r="S3946"/>
  <c r="Q3946"/>
  <c r="R3946"/>
  <c r="S3942"/>
  <c r="Q3942"/>
  <c r="R3942"/>
  <c r="S3938"/>
  <c r="Q3938"/>
  <c r="R3938"/>
  <c r="S3934"/>
  <c r="Q3934"/>
  <c r="R3934"/>
  <c r="S3930"/>
  <c r="Q3930"/>
  <c r="R3930"/>
  <c r="S3926"/>
  <c r="Q3926"/>
  <c r="R3926"/>
  <c r="S3922"/>
  <c r="Q3922"/>
  <c r="R3922"/>
  <c r="S3918"/>
  <c r="Q3918"/>
  <c r="R3918"/>
  <c r="S3914"/>
  <c r="Q3914"/>
  <c r="R3914"/>
  <c r="S3910"/>
  <c r="Q3910"/>
  <c r="R3910"/>
  <c r="S3906"/>
  <c r="Q3906"/>
  <c r="R3906"/>
  <c r="S3902"/>
  <c r="Q3902"/>
  <c r="R3902"/>
  <c r="S3898"/>
  <c r="Q3898"/>
  <c r="R3898"/>
  <c r="S3894"/>
  <c r="Q3894"/>
  <c r="R3894"/>
  <c r="S3890"/>
  <c r="Q3890"/>
  <c r="R3890"/>
  <c r="S3886"/>
  <c r="Q3886"/>
  <c r="R3886"/>
  <c r="S3882"/>
  <c r="Q3882"/>
  <c r="R3882"/>
  <c r="S3878"/>
  <c r="Q3878"/>
  <c r="R3878"/>
  <c r="S3874"/>
  <c r="Q3874"/>
  <c r="R3874"/>
  <c r="S3870"/>
  <c r="Q3870"/>
  <c r="R3870"/>
  <c r="S3866"/>
  <c r="Q3866"/>
  <c r="R3866"/>
  <c r="S3862"/>
  <c r="Q3862"/>
  <c r="R3862"/>
  <c r="S3858"/>
  <c r="Q3858"/>
  <c r="R3858"/>
  <c r="S3854"/>
  <c r="Q3854"/>
  <c r="R3854"/>
  <c r="S3850"/>
  <c r="Q3850"/>
  <c r="R3850"/>
  <c r="S3846"/>
  <c r="Q3846"/>
  <c r="R3846"/>
  <c r="S3842"/>
  <c r="Q3842"/>
  <c r="R3842"/>
  <c r="S3838"/>
  <c r="Q3838"/>
  <c r="R3838"/>
  <c r="S3834"/>
  <c r="Q3834"/>
  <c r="R3834"/>
  <c r="S3830"/>
  <c r="Q3830"/>
  <c r="R3830"/>
  <c r="S3826"/>
  <c r="Q3826"/>
  <c r="R3826"/>
  <c r="S3822"/>
  <c r="Q3822"/>
  <c r="R3822"/>
  <c r="S3818"/>
  <c r="Q3818"/>
  <c r="R3818"/>
  <c r="S3814"/>
  <c r="Q3814"/>
  <c r="R3814"/>
  <c r="S3810"/>
  <c r="Q3810"/>
  <c r="R3810"/>
  <c r="S3806"/>
  <c r="Q3806"/>
  <c r="R3806"/>
  <c r="S3802"/>
  <c r="Q3802"/>
  <c r="R3802"/>
  <c r="S3798"/>
  <c r="Q3798"/>
  <c r="R3798"/>
  <c r="S3794"/>
  <c r="Q3794"/>
  <c r="R3794"/>
  <c r="S3790"/>
  <c r="Q3790"/>
  <c r="R3790"/>
  <c r="S3786"/>
  <c r="Q3786"/>
  <c r="R3786"/>
  <c r="S3782"/>
  <c r="Q3782"/>
  <c r="R3782"/>
  <c r="S3778"/>
  <c r="Q3778"/>
  <c r="R3778"/>
  <c r="S3774"/>
  <c r="Q3774"/>
  <c r="R3774"/>
  <c r="S3770"/>
  <c r="Q3770"/>
  <c r="R3770"/>
  <c r="S3766"/>
  <c r="Q3766"/>
  <c r="R3766"/>
  <c r="S3762"/>
  <c r="Q3762"/>
  <c r="R3762"/>
  <c r="S3758"/>
  <c r="Q3758"/>
  <c r="R3758"/>
  <c r="S3754"/>
  <c r="Q3754"/>
  <c r="R3754"/>
  <c r="S3750"/>
  <c r="Q3750"/>
  <c r="R3750"/>
  <c r="S3746"/>
  <c r="Q3746"/>
  <c r="R3746"/>
  <c r="S3742"/>
  <c r="Q3742"/>
  <c r="R3742"/>
  <c r="S3738"/>
  <c r="Q3738"/>
  <c r="R3738"/>
  <c r="S3734"/>
  <c r="Q3734"/>
  <c r="R3734"/>
  <c r="S3730"/>
  <c r="Q3730"/>
  <c r="R3730"/>
  <c r="S3726"/>
  <c r="Q3726"/>
  <c r="R3726"/>
  <c r="S3722"/>
  <c r="Q3722"/>
  <c r="R3722"/>
  <c r="S3718"/>
  <c r="Q3718"/>
  <c r="R3718"/>
  <c r="S3714"/>
  <c r="Q3714"/>
  <c r="R3714"/>
  <c r="S3710"/>
  <c r="Q3710"/>
  <c r="R3710"/>
  <c r="S3706"/>
  <c r="Q3706"/>
  <c r="R3706"/>
  <c r="S3702"/>
  <c r="Q3702"/>
  <c r="R3702"/>
  <c r="S3698"/>
  <c r="Q3698"/>
  <c r="R3698"/>
  <c r="S3694"/>
  <c r="Q3694"/>
  <c r="R3694"/>
  <c r="S3690"/>
  <c r="Q3690"/>
  <c r="R3690"/>
  <c r="S3686"/>
  <c r="Q3686"/>
  <c r="R3686"/>
  <c r="S3682"/>
  <c r="Q3682"/>
  <c r="R3682"/>
  <c r="S3678"/>
  <c r="Q3678"/>
  <c r="R3678"/>
  <c r="S3674"/>
  <c r="Q3674"/>
  <c r="R3674"/>
  <c r="S3670"/>
  <c r="Q3670"/>
  <c r="R3670"/>
  <c r="S3666"/>
  <c r="Q3666"/>
  <c r="R3666"/>
  <c r="S3662"/>
  <c r="Q3662"/>
  <c r="R3662"/>
  <c r="S3658"/>
  <c r="Q3658"/>
  <c r="R3658"/>
  <c r="S3654"/>
  <c r="Q3654"/>
  <c r="R3654"/>
  <c r="S3650"/>
  <c r="Q3650"/>
  <c r="R3650"/>
  <c r="S3646"/>
  <c r="Q3646"/>
  <c r="R3646"/>
  <c r="S3642"/>
  <c r="Q3642"/>
  <c r="R3642"/>
  <c r="S3638"/>
  <c r="Q3638"/>
  <c r="R3638"/>
  <c r="S3634"/>
  <c r="Q3634"/>
  <c r="R3634"/>
  <c r="S3630"/>
  <c r="Q3630"/>
  <c r="R3630"/>
  <c r="S3626"/>
  <c r="Q3626"/>
  <c r="R3626"/>
  <c r="S3622"/>
  <c r="Q3622"/>
  <c r="R3622"/>
  <c r="S3618"/>
  <c r="Q3618"/>
  <c r="R3618"/>
  <c r="S3614"/>
  <c r="Q3614"/>
  <c r="R3614"/>
  <c r="S3610"/>
  <c r="Q3610"/>
  <c r="R3610"/>
  <c r="S3606"/>
  <c r="Q3606"/>
  <c r="R3606"/>
  <c r="S3602"/>
  <c r="Q3602"/>
  <c r="R3602"/>
  <c r="S3598"/>
  <c r="Q3598"/>
  <c r="R3598"/>
  <c r="S3594"/>
  <c r="Q3594"/>
  <c r="R3594"/>
  <c r="S3590"/>
  <c r="Q3590"/>
  <c r="R3590"/>
  <c r="S3586"/>
  <c r="Q3586"/>
  <c r="R3586"/>
  <c r="S3582"/>
  <c r="Q3582"/>
  <c r="R3582"/>
  <c r="S3578"/>
  <c r="Q3578"/>
  <c r="R3578"/>
  <c r="S3574"/>
  <c r="Q3574"/>
  <c r="R3574"/>
  <c r="S3570"/>
  <c r="Q3570"/>
  <c r="R3570"/>
  <c r="S3566"/>
  <c r="Q3566"/>
  <c r="R3566"/>
  <c r="S3562"/>
  <c r="Q3562"/>
  <c r="R3562"/>
  <c r="S3558"/>
  <c r="Q3558"/>
  <c r="R3558"/>
  <c r="S3554"/>
  <c r="Q3554"/>
  <c r="R3554"/>
  <c r="S3550"/>
  <c r="Q3550"/>
  <c r="R3550"/>
  <c r="S3546"/>
  <c r="Q3546"/>
  <c r="R3546"/>
  <c r="S3542"/>
  <c r="Q3542"/>
  <c r="R3542"/>
  <c r="S3538"/>
  <c r="Q3538"/>
  <c r="R3538"/>
  <c r="S3534"/>
  <c r="Q3534"/>
  <c r="R3534"/>
  <c r="S3530"/>
  <c r="Q3530"/>
  <c r="R3530"/>
  <c r="S3526"/>
  <c r="Q3526"/>
  <c r="R3526"/>
  <c r="S3522"/>
  <c r="Q3522"/>
  <c r="R3522"/>
  <c r="S3518"/>
  <c r="Q3518"/>
  <c r="R3518"/>
  <c r="S3514"/>
  <c r="Q3514"/>
  <c r="R3514"/>
  <c r="S3510"/>
  <c r="Q3510"/>
  <c r="R3510"/>
  <c r="S3506"/>
  <c r="Q3506"/>
  <c r="R3506"/>
  <c r="S3502"/>
  <c r="Q3502"/>
  <c r="R3502"/>
  <c r="S3498"/>
  <c r="Q3498"/>
  <c r="R3498"/>
  <c r="S3494"/>
  <c r="Q3494"/>
  <c r="R3494"/>
  <c r="S3490"/>
  <c r="Q3490"/>
  <c r="R3490"/>
  <c r="S3486"/>
  <c r="Q3486"/>
  <c r="R3486"/>
  <c r="S3482"/>
  <c r="Q3482"/>
  <c r="R3482"/>
  <c r="S3478"/>
  <c r="Q3478"/>
  <c r="R3478"/>
  <c r="S3474"/>
  <c r="Q3474"/>
  <c r="R3474"/>
  <c r="S3470"/>
  <c r="Q3470"/>
  <c r="R3470"/>
  <c r="S3466"/>
  <c r="Q3466"/>
  <c r="R3466"/>
  <c r="S3462"/>
  <c r="Q3462"/>
  <c r="R3462"/>
  <c r="S3458"/>
  <c r="Q3458"/>
  <c r="R3458"/>
  <c r="S3454"/>
  <c r="Q3454"/>
  <c r="R3454"/>
  <c r="S3450"/>
  <c r="Q3450"/>
  <c r="R3450"/>
  <c r="S3446"/>
  <c r="Q3446"/>
  <c r="R3446"/>
  <c r="S3442"/>
  <c r="Q3442"/>
  <c r="R3442"/>
  <c r="S3438"/>
  <c r="Q3438"/>
  <c r="R3438"/>
  <c r="R3434"/>
  <c r="Q3434"/>
  <c r="S3434"/>
  <c r="R3430"/>
  <c r="Q3430"/>
  <c r="S3430"/>
  <c r="R3426"/>
  <c r="Q3426"/>
  <c r="S3426"/>
  <c r="R3422"/>
  <c r="Q3422"/>
  <c r="S3422"/>
  <c r="R3418"/>
  <c r="Q3418"/>
  <c r="S3418"/>
  <c r="R3414"/>
  <c r="Q3414"/>
  <c r="S3414"/>
  <c r="Q3410"/>
  <c r="R3410"/>
  <c r="S3410"/>
  <c r="Q3406"/>
  <c r="R3406"/>
  <c r="S3406"/>
  <c r="S3402"/>
  <c r="Q3402"/>
  <c r="R3402"/>
  <c r="S3398"/>
  <c r="Q3398"/>
  <c r="R3398"/>
  <c r="S3394"/>
  <c r="Q3394"/>
  <c r="R3394"/>
  <c r="S3390"/>
  <c r="Q3390"/>
  <c r="R3390"/>
  <c r="S3386"/>
  <c r="Q3386"/>
  <c r="R3386"/>
  <c r="S3382"/>
  <c r="Q3382"/>
  <c r="R3382"/>
  <c r="S3378"/>
  <c r="Q3378"/>
  <c r="R3378"/>
  <c r="S3374"/>
  <c r="Q3374"/>
  <c r="R3374"/>
  <c r="S3370"/>
  <c r="Q3370"/>
  <c r="R3370"/>
  <c r="S3366"/>
  <c r="Q3366"/>
  <c r="R3366"/>
  <c r="S3362"/>
  <c r="Q3362"/>
  <c r="R3362"/>
  <c r="S3358"/>
  <c r="Q3358"/>
  <c r="R3358"/>
  <c r="S3354"/>
  <c r="Q3354"/>
  <c r="R3354"/>
  <c r="S3350"/>
  <c r="Q3350"/>
  <c r="R3350"/>
  <c r="S3346"/>
  <c r="Q3346"/>
  <c r="R3346"/>
  <c r="S3342"/>
  <c r="Q3342"/>
  <c r="R3342"/>
  <c r="S3338"/>
  <c r="Q3338"/>
  <c r="R3338"/>
  <c r="S3334"/>
  <c r="Q3334"/>
  <c r="R3334"/>
  <c r="S3330"/>
  <c r="Q3330"/>
  <c r="R3330"/>
  <c r="S3326"/>
  <c r="Q3326"/>
  <c r="R3326"/>
  <c r="S3322"/>
  <c r="Q3322"/>
  <c r="R3322"/>
  <c r="S3318"/>
  <c r="Q3318"/>
  <c r="R3318"/>
  <c r="S3314"/>
  <c r="Q3314"/>
  <c r="R3314"/>
  <c r="S3310"/>
  <c r="Q3310"/>
  <c r="R3310"/>
  <c r="Q3225"/>
  <c r="R3225"/>
  <c r="S3225"/>
  <c r="Q3221"/>
  <c r="R3221"/>
  <c r="S3221"/>
  <c r="Q3207"/>
  <c r="R3207"/>
  <c r="S3207"/>
  <c r="Q3195"/>
  <c r="R3195"/>
  <c r="S3195"/>
  <c r="Q3191"/>
  <c r="R3191"/>
  <c r="S3191"/>
  <c r="Q3185"/>
  <c r="R3185"/>
  <c r="S3185"/>
  <c r="Q3119"/>
  <c r="R3119"/>
  <c r="S3119"/>
  <c r="Q3115"/>
  <c r="R3115"/>
  <c r="S3115"/>
  <c r="Q3109"/>
  <c r="R3109"/>
  <c r="S3109"/>
  <c r="Q3105"/>
  <c r="R3105"/>
  <c r="S3105"/>
  <c r="Q3101"/>
  <c r="R3101"/>
  <c r="S3101"/>
  <c r="S3096"/>
  <c r="Q3096"/>
  <c r="R3096"/>
  <c r="Q3071"/>
  <c r="R3071"/>
  <c r="S3071"/>
  <c r="Q3067"/>
  <c r="R3067"/>
  <c r="S3067"/>
  <c r="Q3063"/>
  <c r="R3063"/>
  <c r="S3063"/>
  <c r="Q3059"/>
  <c r="R3059"/>
  <c r="S3059"/>
  <c r="Q3055"/>
  <c r="R3055"/>
  <c r="S3055"/>
  <c r="Q3051"/>
  <c r="R3051"/>
  <c r="S3051"/>
  <c r="Q3047"/>
  <c r="R3047"/>
  <c r="S3047"/>
  <c r="Q3043"/>
  <c r="R3043"/>
  <c r="S3043"/>
  <c r="Q3039"/>
  <c r="R3039"/>
  <c r="S3039"/>
  <c r="Q3035"/>
  <c r="R3035"/>
  <c r="S3035"/>
  <c r="Q3031"/>
  <c r="R3031"/>
  <c r="S3031"/>
  <c r="Q3027"/>
  <c r="R3027"/>
  <c r="S3027"/>
  <c r="Q3023"/>
  <c r="R3023"/>
  <c r="S3023"/>
  <c r="Q3019"/>
  <c r="R3019"/>
  <c r="S3019"/>
  <c r="Q3015"/>
  <c r="R3015"/>
  <c r="S3015"/>
  <c r="Q3011"/>
  <c r="R3011"/>
  <c r="S3011"/>
  <c r="Q3007"/>
  <c r="R3007"/>
  <c r="S3007"/>
  <c r="Q3003"/>
  <c r="R3003"/>
  <c r="S3003"/>
  <c r="Q2999"/>
  <c r="R2999"/>
  <c r="S2999"/>
  <c r="S2914"/>
  <c r="Q2914"/>
  <c r="R2914"/>
  <c r="S2910"/>
  <c r="Q2910"/>
  <c r="R2910"/>
  <c r="S2906"/>
  <c r="Q2906"/>
  <c r="R2906"/>
  <c r="S2902"/>
  <c r="Q2902"/>
  <c r="R2902"/>
  <c r="S2898"/>
  <c r="Q2898"/>
  <c r="R2898"/>
  <c r="S2894"/>
  <c r="Q2894"/>
  <c r="R2894"/>
  <c r="S2890"/>
  <c r="Q2890"/>
  <c r="R2890"/>
  <c r="S2886"/>
  <c r="Q2886"/>
  <c r="R2886"/>
  <c r="S2882"/>
  <c r="Q2882"/>
  <c r="R2882"/>
  <c r="S2878"/>
  <c r="Q2878"/>
  <c r="R2878"/>
  <c r="S2874"/>
  <c r="Q2874"/>
  <c r="R2874"/>
  <c r="S2870"/>
  <c r="Q2870"/>
  <c r="R2870"/>
  <c r="S2866"/>
  <c r="Q2866"/>
  <c r="R2866"/>
  <c r="S2862"/>
  <c r="Q2862"/>
  <c r="R2862"/>
  <c r="S2858"/>
  <c r="Q2858"/>
  <c r="R2858"/>
  <c r="S2854"/>
  <c r="Q2854"/>
  <c r="R2854"/>
  <c r="S2850"/>
  <c r="Q2850"/>
  <c r="R2850"/>
  <c r="S2846"/>
  <c r="Q2846"/>
  <c r="R2846"/>
  <c r="S2842"/>
  <c r="Q2842"/>
  <c r="R2842"/>
  <c r="S2838"/>
  <c r="Q2838"/>
  <c r="R2838"/>
  <c r="Q2833"/>
  <c r="R2833"/>
  <c r="S2833"/>
  <c r="Q2829"/>
  <c r="R2829"/>
  <c r="S2829"/>
  <c r="Q2825"/>
  <c r="R2825"/>
  <c r="S2825"/>
  <c r="Q2821"/>
  <c r="R2821"/>
  <c r="S2821"/>
  <c r="Q2817"/>
  <c r="R2817"/>
  <c r="S2817"/>
  <c r="Q2813"/>
  <c r="R2813"/>
  <c r="S2813"/>
  <c r="Q2809"/>
  <c r="R2809"/>
  <c r="S2809"/>
  <c r="Q2805"/>
  <c r="R2805"/>
  <c r="S2805"/>
  <c r="S2800"/>
  <c r="Q2800"/>
  <c r="R2800"/>
  <c r="S2796"/>
  <c r="Q2796"/>
  <c r="R2796"/>
  <c r="S2792"/>
  <c r="Q2792"/>
  <c r="R2792"/>
  <c r="S2788"/>
  <c r="Q2788"/>
  <c r="R2788"/>
  <c r="S2784"/>
  <c r="Q2784"/>
  <c r="R2784"/>
  <c r="S2780"/>
  <c r="Q2780"/>
  <c r="R2780"/>
  <c r="S2776"/>
  <c r="Q2776"/>
  <c r="R2776"/>
  <c r="S2772"/>
  <c r="Q2772"/>
  <c r="R2772"/>
  <c r="S2768"/>
  <c r="Q2768"/>
  <c r="R2768"/>
  <c r="S2764"/>
  <c r="Q2764"/>
  <c r="R2764"/>
  <c r="S2760"/>
  <c r="Q2760"/>
  <c r="R2760"/>
  <c r="Q2756"/>
  <c r="R2756"/>
  <c r="S2756"/>
  <c r="Q2752"/>
  <c r="R2752"/>
  <c r="S2752"/>
  <c r="Q2748"/>
  <c r="R2748"/>
  <c r="S2748"/>
  <c r="Q2744"/>
  <c r="R2744"/>
  <c r="S2744"/>
  <c r="Q2740"/>
  <c r="R2740"/>
  <c r="S2740"/>
  <c r="Q2736"/>
  <c r="R2736"/>
  <c r="S2736"/>
  <c r="Q2732"/>
  <c r="R2732"/>
  <c r="S2732"/>
  <c r="Q2728"/>
  <c r="R2728"/>
  <c r="S2728"/>
  <c r="Q2724"/>
  <c r="R2724"/>
  <c r="S2724"/>
  <c r="Q2720"/>
  <c r="R2720"/>
  <c r="S2720"/>
  <c r="Q2716"/>
  <c r="R2716"/>
  <c r="S2716"/>
  <c r="Q2712"/>
  <c r="R2712"/>
  <c r="S2712"/>
  <c r="Q2708"/>
  <c r="R2708"/>
  <c r="S2708"/>
  <c r="Q2704"/>
  <c r="R2704"/>
  <c r="S2704"/>
  <c r="Q2700"/>
  <c r="R2700"/>
  <c r="S2700"/>
  <c r="Q2696"/>
  <c r="R2696"/>
  <c r="S2696"/>
  <c r="Q2692"/>
  <c r="R2692"/>
  <c r="S2692"/>
  <c r="Q2688"/>
  <c r="R2688"/>
  <c r="S2688"/>
  <c r="Q2684"/>
  <c r="R2684"/>
  <c r="S2684"/>
  <c r="Q2680"/>
  <c r="R2680"/>
  <c r="S2680"/>
  <c r="Q2676"/>
  <c r="R2676"/>
  <c r="S2676"/>
  <c r="Q2672"/>
  <c r="R2672"/>
  <c r="S2672"/>
  <c r="Q2668"/>
  <c r="R2668"/>
  <c r="S2668"/>
  <c r="Q2664"/>
  <c r="R2664"/>
  <c r="S2664"/>
  <c r="Q2660"/>
  <c r="R2660"/>
  <c r="S2660"/>
  <c r="Q2656"/>
  <c r="R2656"/>
  <c r="S2656"/>
  <c r="Q2652"/>
  <c r="R2652"/>
  <c r="S2652"/>
  <c r="Q2648"/>
  <c r="R2648"/>
  <c r="S2648"/>
  <c r="Q2644"/>
  <c r="R2644"/>
  <c r="S2644"/>
  <c r="Q2636"/>
  <c r="R2636"/>
  <c r="S2636"/>
  <c r="Q2632"/>
  <c r="R2632"/>
  <c r="S2632"/>
  <c r="Q2628"/>
  <c r="R2628"/>
  <c r="S2628"/>
  <c r="S2619"/>
  <c r="Q2619"/>
  <c r="R2619"/>
  <c r="S2615"/>
  <c r="Q2615"/>
  <c r="R2615"/>
  <c r="S2611"/>
  <c r="Q2611"/>
  <c r="R2611"/>
  <c r="S2607"/>
  <c r="Q2607"/>
  <c r="R2607"/>
  <c r="Q2598"/>
  <c r="R2598"/>
  <c r="S2598"/>
  <c r="Q2594"/>
  <c r="R2594"/>
  <c r="S2594"/>
  <c r="Q2590"/>
  <c r="R2590"/>
  <c r="S2590"/>
  <c r="Q2586"/>
  <c r="R2586"/>
  <c r="S2586"/>
  <c r="Q2582"/>
  <c r="R2582"/>
  <c r="S2582"/>
  <c r="Q2578"/>
  <c r="R2578"/>
  <c r="S2578"/>
  <c r="Q2572"/>
  <c r="R2572"/>
  <c r="S2572"/>
  <c r="Q2568"/>
  <c r="R2568"/>
  <c r="S2568"/>
  <c r="Q2564"/>
  <c r="R2564"/>
  <c r="S2564"/>
  <c r="S2559"/>
  <c r="Q2559"/>
  <c r="R2559"/>
  <c r="S2555"/>
  <c r="Q2555"/>
  <c r="R2555"/>
  <c r="S2551"/>
  <c r="Q2551"/>
  <c r="R2551"/>
  <c r="S2547"/>
  <c r="Q2547"/>
  <c r="R2547"/>
  <c r="S2543"/>
  <c r="Q2543"/>
  <c r="R2543"/>
  <c r="S2539"/>
  <c r="Q2539"/>
  <c r="R2539"/>
  <c r="S2535"/>
  <c r="Q2535"/>
  <c r="R2535"/>
  <c r="S2531"/>
  <c r="Q2531"/>
  <c r="R2531"/>
  <c r="Q2524"/>
  <c r="R2524"/>
  <c r="S2524"/>
  <c r="Q2520"/>
  <c r="R2520"/>
  <c r="S2520"/>
  <c r="S2513"/>
  <c r="Q2513"/>
  <c r="R2513"/>
  <c r="S2509"/>
  <c r="Q2509"/>
  <c r="R2509"/>
  <c r="S2505"/>
  <c r="Q2505"/>
  <c r="R2505"/>
  <c r="S2501"/>
  <c r="Q2501"/>
  <c r="R2501"/>
  <c r="S2497"/>
  <c r="Q2497"/>
  <c r="R2497"/>
  <c r="Q2492"/>
  <c r="R2492"/>
  <c r="S2492"/>
  <c r="Q2488"/>
  <c r="R2488"/>
  <c r="S2488"/>
  <c r="S2483"/>
  <c r="Q2483"/>
  <c r="R2483"/>
  <c r="S2479"/>
  <c r="Q2479"/>
  <c r="R2479"/>
  <c r="S2475"/>
  <c r="Q2475"/>
  <c r="R2475"/>
  <c r="S2471"/>
  <c r="Q2471"/>
  <c r="R2471"/>
  <c r="S2467"/>
  <c r="Q2467"/>
  <c r="R2467"/>
  <c r="S2463"/>
  <c r="Q2463"/>
  <c r="R2463"/>
  <c r="S2459"/>
  <c r="Q2459"/>
  <c r="R2459"/>
  <c r="S2455"/>
  <c r="Q2455"/>
  <c r="R2455"/>
  <c r="Q2450"/>
  <c r="R2450"/>
  <c r="S2450"/>
  <c r="Q2446"/>
  <c r="R2446"/>
  <c r="S2446"/>
  <c r="Q2442"/>
  <c r="R2442"/>
  <c r="S2442"/>
  <c r="Q2438"/>
  <c r="R2438"/>
  <c r="S2438"/>
  <c r="Q2434"/>
  <c r="R2434"/>
  <c r="S2434"/>
  <c r="Q2430"/>
  <c r="R2430"/>
  <c r="S2430"/>
  <c r="Q2426"/>
  <c r="R2426"/>
  <c r="S2426"/>
  <c r="Q2422"/>
  <c r="R2422"/>
  <c r="S2422"/>
  <c r="Q2418"/>
  <c r="R2418"/>
  <c r="S2418"/>
  <c r="Q2414"/>
  <c r="R2414"/>
  <c r="S2414"/>
  <c r="Q2410"/>
  <c r="R2410"/>
  <c r="S2410"/>
  <c r="Q2406"/>
  <c r="R2406"/>
  <c r="S2406"/>
  <c r="Q2402"/>
  <c r="R2402"/>
  <c r="S2402"/>
  <c r="Q2360"/>
  <c r="R2360"/>
  <c r="S2360"/>
  <c r="Q2356"/>
  <c r="R2356"/>
  <c r="S2356"/>
  <c r="Q2352"/>
  <c r="R2352"/>
  <c r="S2352"/>
  <c r="Q2348"/>
  <c r="R2348"/>
  <c r="S2348"/>
  <c r="Q2344"/>
  <c r="R2344"/>
  <c r="S2344"/>
  <c r="Q2340"/>
  <c r="R2340"/>
  <c r="S2340"/>
  <c r="Q2332"/>
  <c r="R2332"/>
  <c r="S2332"/>
  <c r="Q2328"/>
  <c r="R2328"/>
  <c r="S2328"/>
  <c r="Q2324"/>
  <c r="R2324"/>
  <c r="S2324"/>
  <c r="Q2320"/>
  <c r="R2320"/>
  <c r="S2320"/>
  <c r="Q2316"/>
  <c r="R2316"/>
  <c r="S2316"/>
  <c r="Q2312"/>
  <c r="R2312"/>
  <c r="S2312"/>
  <c r="Q2308"/>
  <c r="R2308"/>
  <c r="S2308"/>
  <c r="Q2304"/>
  <c r="R2304"/>
  <c r="S2304"/>
  <c r="Q2300"/>
  <c r="R2300"/>
  <c r="S2300"/>
  <c r="Q2296"/>
  <c r="R2296"/>
  <c r="S2296"/>
  <c r="Q2292"/>
  <c r="R2292"/>
  <c r="S2292"/>
  <c r="Q2288"/>
  <c r="R2288"/>
  <c r="S2288"/>
  <c r="Q2284"/>
  <c r="R2284"/>
  <c r="S2284"/>
  <c r="Q2280"/>
  <c r="R2280"/>
  <c r="S2280"/>
  <c r="Q2276"/>
  <c r="R2276"/>
  <c r="S2276"/>
  <c r="Q2272"/>
  <c r="R2272"/>
  <c r="S2272"/>
  <c r="Q2268"/>
  <c r="R2268"/>
  <c r="S2268"/>
  <c r="Q2264"/>
  <c r="R2264"/>
  <c r="S2264"/>
  <c r="Q2260"/>
  <c r="R2260"/>
  <c r="S2260"/>
  <c r="Q2256"/>
  <c r="R2256"/>
  <c r="S2256"/>
  <c r="Q2252"/>
  <c r="R2252"/>
  <c r="S2252"/>
  <c r="Q2248"/>
  <c r="R2248"/>
  <c r="S2248"/>
  <c r="Q2244"/>
  <c r="R2244"/>
  <c r="S2244"/>
  <c r="Q2240"/>
  <c r="R2240"/>
  <c r="S2240"/>
  <c r="Q2236"/>
  <c r="R2236"/>
  <c r="S2236"/>
  <c r="Q2232"/>
  <c r="R2232"/>
  <c r="S2232"/>
  <c r="Q2228"/>
  <c r="R2228"/>
  <c r="S2228"/>
  <c r="Q2224"/>
  <c r="R2224"/>
  <c r="S2224"/>
  <c r="Q2220"/>
  <c r="R2220"/>
  <c r="S2220"/>
  <c r="Q2216"/>
  <c r="R2216"/>
  <c r="S2216"/>
  <c r="Q2212"/>
  <c r="R2212"/>
  <c r="S2212"/>
  <c r="Q2208"/>
  <c r="R2208"/>
  <c r="S2208"/>
  <c r="Q2204"/>
  <c r="R2204"/>
  <c r="S2204"/>
  <c r="Q2200"/>
  <c r="R2200"/>
  <c r="S2200"/>
  <c r="Q2196"/>
  <c r="R2196"/>
  <c r="S2196"/>
  <c r="Q2192"/>
  <c r="R2192"/>
  <c r="S2192"/>
  <c r="Q2188"/>
  <c r="R2188"/>
  <c r="S2188"/>
  <c r="Q2184"/>
  <c r="R2184"/>
  <c r="S2184"/>
  <c r="Q2180"/>
  <c r="R2180"/>
  <c r="S2180"/>
  <c r="Q2176"/>
  <c r="R2176"/>
  <c r="S2176"/>
  <c r="Q2172"/>
  <c r="R2172"/>
  <c r="S2172"/>
  <c r="Q2168"/>
  <c r="R2168"/>
  <c r="S2168"/>
  <c r="Q2164"/>
  <c r="R2164"/>
  <c r="S2164"/>
  <c r="Q2160"/>
  <c r="R2160"/>
  <c r="S2160"/>
  <c r="Q2156"/>
  <c r="R2156"/>
  <c r="S2156"/>
  <c r="Q2152"/>
  <c r="R2152"/>
  <c r="S2152"/>
  <c r="Q2148"/>
  <c r="R2148"/>
  <c r="S2148"/>
  <c r="Q2144"/>
  <c r="R2144"/>
  <c r="S2144"/>
  <c r="Q2140"/>
  <c r="R2140"/>
  <c r="S2140"/>
  <c r="Q1938"/>
  <c r="R1938"/>
  <c r="S1938"/>
  <c r="Q1934"/>
  <c r="R1934"/>
  <c r="S1934"/>
  <c r="Q1930"/>
  <c r="R1930"/>
  <c r="S1930"/>
  <c r="Q1926"/>
  <c r="R1926"/>
  <c r="S1926"/>
  <c r="Q1922"/>
  <c r="R1922"/>
  <c r="S1922"/>
  <c r="Q1918"/>
  <c r="R1918"/>
  <c r="S1918"/>
  <c r="Q1914"/>
  <c r="R1914"/>
  <c r="S1914"/>
  <c r="Q1906"/>
  <c r="R1906"/>
  <c r="S1906"/>
  <c r="Q1890"/>
  <c r="R1890"/>
  <c r="S1890"/>
  <c r="Q1886"/>
  <c r="R1886"/>
  <c r="S1886"/>
  <c r="Q1882"/>
  <c r="R1882"/>
  <c r="S1882"/>
  <c r="Q1878"/>
  <c r="R1878"/>
  <c r="S1878"/>
  <c r="A1874"/>
  <c r="Q1874"/>
  <c r="R1874"/>
  <c r="S1874"/>
  <c r="R1865"/>
  <c r="S1865"/>
  <c r="Q1865"/>
  <c r="R1861"/>
  <c r="S1861"/>
  <c r="Q1861"/>
  <c r="R1857"/>
  <c r="S1857"/>
  <c r="Q1857"/>
  <c r="R1853"/>
  <c r="S1853"/>
  <c r="Q1853"/>
  <c r="R1849"/>
  <c r="S1849"/>
  <c r="Q1849"/>
  <c r="R1845"/>
  <c r="S1845"/>
  <c r="Q1845"/>
  <c r="R1841"/>
  <c r="S1841"/>
  <c r="Q1841"/>
  <c r="A1837"/>
  <c r="R1837"/>
  <c r="S1837"/>
  <c r="Q1837"/>
  <c r="R1833"/>
  <c r="S1833"/>
  <c r="Q1833"/>
  <c r="R1829"/>
  <c r="S1829"/>
  <c r="Q1829"/>
  <c r="R1825"/>
  <c r="S1825"/>
  <c r="Q1825"/>
  <c r="R1807"/>
  <c r="S1807"/>
  <c r="Q1807"/>
  <c r="R1803"/>
  <c r="S1803"/>
  <c r="Q1803"/>
  <c r="R1799"/>
  <c r="S1799"/>
  <c r="Q1799"/>
  <c r="R1766"/>
  <c r="Q1766"/>
  <c r="S1766"/>
  <c r="R1762"/>
  <c r="Q1762"/>
  <c r="S1762"/>
  <c r="R1732"/>
  <c r="Q1732"/>
  <c r="S1732"/>
  <c r="R1782"/>
  <c r="Q1782"/>
  <c r="S1782"/>
  <c r="R1778"/>
  <c r="Q1778"/>
  <c r="S1778"/>
  <c r="R1729"/>
  <c r="Q1729"/>
  <c r="S1729"/>
  <c r="R1725"/>
  <c r="Q1725"/>
  <c r="S1725"/>
  <c r="Q1721"/>
  <c r="R1721"/>
  <c r="S1721"/>
  <c r="Q1717"/>
  <c r="R1717"/>
  <c r="S1717"/>
  <c r="Q1713"/>
  <c r="R1713"/>
  <c r="S1713"/>
  <c r="Q1709"/>
  <c r="R1709"/>
  <c r="S1709"/>
  <c r="Q1705"/>
  <c r="R1705"/>
  <c r="S1705"/>
  <c r="Q1701"/>
  <c r="R1701"/>
  <c r="S1701"/>
  <c r="Q1697"/>
  <c r="R1697"/>
  <c r="S1697"/>
  <c r="R1690"/>
  <c r="S1690"/>
  <c r="Q1690"/>
  <c r="R1686"/>
  <c r="S1686"/>
  <c r="Q1686"/>
  <c r="Q1681"/>
  <c r="R1681"/>
  <c r="S1681"/>
  <c r="Q1677"/>
  <c r="R1677"/>
  <c r="S1677"/>
  <c r="Q1673"/>
  <c r="R1673"/>
  <c r="S1673"/>
  <c r="Q1669"/>
  <c r="R1669"/>
  <c r="S1669"/>
  <c r="Q1665"/>
  <c r="R1665"/>
  <c r="S1665"/>
  <c r="Q1661"/>
  <c r="R1661"/>
  <c r="S1661"/>
  <c r="Q1657"/>
  <c r="R1657"/>
  <c r="S1657"/>
  <c r="Q1653"/>
  <c r="R1653"/>
  <c r="S1653"/>
  <c r="Q1649"/>
  <c r="R1649"/>
  <c r="S1649"/>
  <c r="Q1645"/>
  <c r="R1645"/>
  <c r="S1645"/>
  <c r="Q1641"/>
  <c r="R1641"/>
  <c r="S1641"/>
  <c r="Q1637"/>
  <c r="R1637"/>
  <c r="S1637"/>
  <c r="Q1633"/>
  <c r="R1633"/>
  <c r="S1633"/>
  <c r="Q1629"/>
  <c r="R1629"/>
  <c r="S1629"/>
  <c r="Q1350"/>
  <c r="R1350"/>
  <c r="S1350"/>
  <c r="Q1298"/>
  <c r="R1298"/>
  <c r="S1298"/>
  <c r="Q1292"/>
  <c r="R1292"/>
  <c r="S1292"/>
  <c r="Q1288"/>
  <c r="R1288"/>
  <c r="S1288"/>
  <c r="Q1284"/>
  <c r="R1284"/>
  <c r="S1284"/>
  <c r="Q1280"/>
  <c r="R1280"/>
  <c r="S1280"/>
  <c r="Q1276"/>
  <c r="R1276"/>
  <c r="S1276"/>
  <c r="Q1272"/>
  <c r="R1272"/>
  <c r="S1272"/>
  <c r="Q1268"/>
  <c r="R1268"/>
  <c r="S1268"/>
  <c r="R1245"/>
  <c r="S1245"/>
  <c r="Q1245"/>
  <c r="Q1236"/>
  <c r="R1236"/>
  <c r="S1236"/>
  <c r="Q1232"/>
  <c r="R1232"/>
  <c r="S1232"/>
  <c r="Q1228"/>
  <c r="R1228"/>
  <c r="S1228"/>
  <c r="Q1224"/>
  <c r="R1224"/>
  <c r="S1224"/>
  <c r="Q1220"/>
  <c r="R1220"/>
  <c r="S1220"/>
  <c r="Q1216"/>
  <c r="R1216"/>
  <c r="S1216"/>
  <c r="Q1212"/>
  <c r="R1212"/>
  <c r="S1212"/>
  <c r="Q1208"/>
  <c r="R1208"/>
  <c r="S1208"/>
  <c r="Q1204"/>
  <c r="R1204"/>
  <c r="S1204"/>
  <c r="Q1200"/>
  <c r="R1200"/>
  <c r="S1200"/>
  <c r="Q1196"/>
  <c r="R1196"/>
  <c r="S1196"/>
  <c r="Q1192"/>
  <c r="R1192"/>
  <c r="S1192"/>
  <c r="Q1188"/>
  <c r="R1188"/>
  <c r="S1188"/>
  <c r="Q1184"/>
  <c r="R1184"/>
  <c r="S1184"/>
  <c r="Q1180"/>
  <c r="R1180"/>
  <c r="S1180"/>
  <c r="Q1176"/>
  <c r="R1176"/>
  <c r="S1176"/>
  <c r="Q1172"/>
  <c r="R1172"/>
  <c r="S1172"/>
  <c r="Q1168"/>
  <c r="R1168"/>
  <c r="S1168"/>
  <c r="Q1164"/>
  <c r="R1164"/>
  <c r="S1164"/>
  <c r="Q1160"/>
  <c r="R1160"/>
  <c r="S1160"/>
  <c r="Q1156"/>
  <c r="R1156"/>
  <c r="S1156"/>
  <c r="Q1152"/>
  <c r="R1152"/>
  <c r="S1152"/>
  <c r="Q1148"/>
  <c r="R1148"/>
  <c r="S1148"/>
  <c r="Q1144"/>
  <c r="R1144"/>
  <c r="S1144"/>
  <c r="Q1140"/>
  <c r="R1140"/>
  <c r="S1140"/>
  <c r="Q1136"/>
  <c r="R1136"/>
  <c r="S1136"/>
  <c r="Q1132"/>
  <c r="R1132"/>
  <c r="S1132"/>
  <c r="Q1128"/>
  <c r="R1128"/>
  <c r="S1128"/>
  <c r="R1124"/>
  <c r="S1124"/>
  <c r="Q1124"/>
  <c r="R1120"/>
  <c r="S1120"/>
  <c r="Q1120"/>
  <c r="R1116"/>
  <c r="S1116"/>
  <c r="Q1116"/>
  <c r="R1112"/>
  <c r="S1112"/>
  <c r="Q1112"/>
  <c r="R1108"/>
  <c r="S1108"/>
  <c r="Q1108"/>
  <c r="R1104"/>
  <c r="S1104"/>
  <c r="Q1104"/>
  <c r="R1100"/>
  <c r="S1100"/>
  <c r="Q1100"/>
  <c r="R1096"/>
  <c r="S1096"/>
  <c r="Q1096"/>
  <c r="R1092"/>
  <c r="S1092"/>
  <c r="Q1092"/>
  <c r="R1088"/>
  <c r="S1088"/>
  <c r="Q1088"/>
  <c r="R1084"/>
  <c r="S1084"/>
  <c r="Q1084"/>
  <c r="Q1080"/>
  <c r="R1080"/>
  <c r="S1080"/>
  <c r="Q1076"/>
  <c r="R1076"/>
  <c r="S1076"/>
  <c r="Q1072"/>
  <c r="R1072"/>
  <c r="S1072"/>
  <c r="Q1068"/>
  <c r="R1068"/>
  <c r="S1068"/>
  <c r="Q1064"/>
  <c r="R1064"/>
  <c r="S1064"/>
  <c r="Q1060"/>
  <c r="R1060"/>
  <c r="S1060"/>
  <c r="Q1056"/>
  <c r="R1056"/>
  <c r="S1056"/>
  <c r="Q1052"/>
  <c r="R1052"/>
  <c r="S1052"/>
  <c r="Q1048"/>
  <c r="R1048"/>
  <c r="S1048"/>
  <c r="Q1044"/>
  <c r="R1044"/>
  <c r="S1044"/>
  <c r="Q1040"/>
  <c r="R1040"/>
  <c r="S1040"/>
  <c r="Q1036"/>
  <c r="R1036"/>
  <c r="S1036"/>
  <c r="Q1032"/>
  <c r="R1032"/>
  <c r="S1032"/>
  <c r="Q1028"/>
  <c r="R1028"/>
  <c r="S1028"/>
  <c r="Q1024"/>
  <c r="R1024"/>
  <c r="S1024"/>
  <c r="Q1020"/>
  <c r="R1020"/>
  <c r="S1020"/>
  <c r="R903"/>
  <c r="S903"/>
  <c r="Q903"/>
  <c r="Q860"/>
  <c r="R860"/>
  <c r="S860"/>
  <c r="Q854"/>
  <c r="R854"/>
  <c r="S854"/>
  <c r="Q850"/>
  <c r="R850"/>
  <c r="S850"/>
  <c r="R831"/>
  <c r="S831"/>
  <c r="Q831"/>
  <c r="R796"/>
  <c r="Q796"/>
  <c r="S796"/>
  <c r="R793"/>
  <c r="Q793"/>
  <c r="S793"/>
  <c r="R784"/>
  <c r="Q784"/>
  <c r="S784"/>
  <c r="Q776"/>
  <c r="R776"/>
  <c r="S776"/>
  <c r="Q768"/>
  <c r="R768"/>
  <c r="S768"/>
  <c r="Q764"/>
  <c r="R764"/>
  <c r="S764"/>
  <c r="Q760"/>
  <c r="R760"/>
  <c r="S760"/>
  <c r="Q756"/>
  <c r="R756"/>
  <c r="S756"/>
  <c r="Q752"/>
  <c r="R752"/>
  <c r="S752"/>
  <c r="S747"/>
  <c r="Q747"/>
  <c r="R747"/>
  <c r="Q742"/>
  <c r="R742"/>
  <c r="S742"/>
  <c r="Q738"/>
  <c r="R738"/>
  <c r="S738"/>
  <c r="Q728"/>
  <c r="R728"/>
  <c r="S728"/>
  <c r="Q722"/>
  <c r="R722"/>
  <c r="S722"/>
  <c r="S711"/>
  <c r="Q711"/>
  <c r="R711"/>
  <c r="S699"/>
  <c r="Q699"/>
  <c r="R699"/>
  <c r="Q686"/>
  <c r="R686"/>
  <c r="S686"/>
  <c r="R569"/>
  <c r="S569"/>
  <c r="Q569"/>
  <c r="R565"/>
  <c r="S565"/>
  <c r="Q565"/>
  <c r="R561"/>
  <c r="S561"/>
  <c r="Q561"/>
  <c r="R557"/>
  <c r="S557"/>
  <c r="Q557"/>
  <c r="Q542"/>
  <c r="R542"/>
  <c r="S542"/>
  <c r="R532"/>
  <c r="Q532"/>
  <c r="S532"/>
  <c r="Q509"/>
  <c r="R509"/>
  <c r="S509"/>
  <c r="S498"/>
  <c r="Q498"/>
  <c r="R498"/>
  <c r="Q491"/>
  <c r="R491"/>
  <c r="S491"/>
  <c r="Q487"/>
  <c r="R487"/>
  <c r="S487"/>
  <c r="S326"/>
  <c r="Q326"/>
  <c r="R326"/>
  <c r="S282"/>
  <c r="Q282"/>
  <c r="R282"/>
  <c r="R225"/>
  <c r="Q225"/>
  <c r="S225"/>
  <c r="R221"/>
  <c r="Q221"/>
  <c r="S221"/>
  <c r="R217"/>
  <c r="Q217"/>
  <c r="S217"/>
  <c r="R213"/>
  <c r="Q213"/>
  <c r="S213"/>
  <c r="R209"/>
  <c r="Q209"/>
  <c r="S209"/>
  <c r="R205"/>
  <c r="S205"/>
  <c r="Q205"/>
  <c r="R201"/>
  <c r="S201"/>
  <c r="Q201"/>
  <c r="R197"/>
  <c r="S197"/>
  <c r="Q197"/>
  <c r="R193"/>
  <c r="S193"/>
  <c r="Q193"/>
  <c r="R189"/>
  <c r="S189"/>
  <c r="Q189"/>
  <c r="R185"/>
  <c r="S185"/>
  <c r="Q185"/>
  <c r="R181"/>
  <c r="S181"/>
  <c r="Q181"/>
  <c r="R177"/>
  <c r="S177"/>
  <c r="Q177"/>
  <c r="R173"/>
  <c r="S173"/>
  <c r="Q173"/>
  <c r="R169"/>
  <c r="S169"/>
  <c r="Q169"/>
  <c r="R165"/>
  <c r="S165"/>
  <c r="Q165"/>
  <c r="R161"/>
  <c r="S161"/>
  <c r="Q161"/>
  <c r="R157"/>
  <c r="S157"/>
  <c r="Q157"/>
  <c r="R153"/>
  <c r="S153"/>
  <c r="Q153"/>
  <c r="R149"/>
  <c r="S149"/>
  <c r="Q149"/>
  <c r="R145"/>
  <c r="S145"/>
  <c r="Q145"/>
  <c r="R141"/>
  <c r="S141"/>
  <c r="Q141"/>
  <c r="R137"/>
  <c r="S137"/>
  <c r="Q137"/>
  <c r="R133"/>
  <c r="S133"/>
  <c r="Q133"/>
  <c r="R129"/>
  <c r="Q129"/>
  <c r="S129"/>
  <c r="R125"/>
  <c r="Q125"/>
  <c r="S125"/>
  <c r="R121"/>
  <c r="Q121"/>
  <c r="S121"/>
  <c r="R117"/>
  <c r="S117"/>
  <c r="Q117"/>
  <c r="R113"/>
  <c r="S113"/>
  <c r="Q113"/>
  <c r="R109"/>
  <c r="S109"/>
  <c r="Q109"/>
  <c r="R105"/>
  <c r="S105"/>
  <c r="Q105"/>
  <c r="R101"/>
  <c r="S101"/>
  <c r="Q101"/>
  <c r="R97"/>
  <c r="S97"/>
  <c r="Q97"/>
  <c r="R93"/>
  <c r="S93"/>
  <c r="Q93"/>
  <c r="R89"/>
  <c r="S89"/>
  <c r="Q89"/>
  <c r="R85"/>
  <c r="S85"/>
  <c r="Q85"/>
  <c r="R81"/>
  <c r="S81"/>
  <c r="Q81"/>
  <c r="R77"/>
  <c r="Q77"/>
  <c r="S77"/>
  <c r="R73"/>
  <c r="Q73"/>
  <c r="S73"/>
  <c r="R54"/>
  <c r="S54"/>
  <c r="Q54"/>
  <c r="R50"/>
  <c r="S50"/>
  <c r="Q50"/>
  <c r="R46"/>
  <c r="S46"/>
  <c r="Q46"/>
  <c r="R42"/>
  <c r="S42"/>
  <c r="Q42"/>
  <c r="R38"/>
  <c r="S38"/>
  <c r="Q38"/>
  <c r="R34"/>
  <c r="S34"/>
  <c r="Q34"/>
  <c r="R30"/>
  <c r="S30"/>
  <c r="Q30"/>
  <c r="R26"/>
  <c r="S26"/>
  <c r="Q26"/>
  <c r="R1789"/>
  <c r="Q1789"/>
  <c r="S1789"/>
  <c r="R1793"/>
  <c r="S1793"/>
  <c r="Q1793"/>
  <c r="Q4060"/>
  <c r="R4060"/>
  <c r="S4060"/>
  <c r="Q4040"/>
  <c r="R4040"/>
  <c r="S4040"/>
  <c r="Q4065"/>
  <c r="R4065"/>
  <c r="S4065"/>
  <c r="Q4061"/>
  <c r="R4061"/>
  <c r="S4061"/>
  <c r="Q4057"/>
  <c r="R4057"/>
  <c r="S4057"/>
  <c r="Q4053"/>
  <c r="R4053"/>
  <c r="S4053"/>
  <c r="Q4049"/>
  <c r="R4049"/>
  <c r="S4049"/>
  <c r="Q4045"/>
  <c r="R4045"/>
  <c r="S4045"/>
  <c r="Q4041"/>
  <c r="R4041"/>
  <c r="S4041"/>
  <c r="R4037"/>
  <c r="S4037"/>
  <c r="Q4037"/>
  <c r="Q4033"/>
  <c r="R4033"/>
  <c r="S4033"/>
  <c r="Q4029"/>
  <c r="R4029"/>
  <c r="S4029"/>
  <c r="Q4025"/>
  <c r="R4025"/>
  <c r="S4025"/>
  <c r="Q4021"/>
  <c r="R4021"/>
  <c r="S4021"/>
  <c r="Q4017"/>
  <c r="R4017"/>
  <c r="S4017"/>
  <c r="Q4013"/>
  <c r="R4013"/>
  <c r="S4013"/>
  <c r="Q4009"/>
  <c r="R4009"/>
  <c r="S4009"/>
  <c r="Q4005"/>
  <c r="R4005"/>
  <c r="S4005"/>
  <c r="Q4001"/>
  <c r="R4001"/>
  <c r="S4001"/>
  <c r="Q3997"/>
  <c r="R3997"/>
  <c r="S3997"/>
  <c r="Q3993"/>
  <c r="R3993"/>
  <c r="S3993"/>
  <c r="Q3989"/>
  <c r="R3989"/>
  <c r="S3989"/>
  <c r="Q3985"/>
  <c r="R3985"/>
  <c r="S3985"/>
  <c r="Q3981"/>
  <c r="R3981"/>
  <c r="S3981"/>
  <c r="Q3977"/>
  <c r="R3977"/>
  <c r="S3977"/>
  <c r="Q3973"/>
  <c r="R3973"/>
  <c r="S3973"/>
  <c r="Q3969"/>
  <c r="R3969"/>
  <c r="S3969"/>
  <c r="Q3965"/>
  <c r="R3965"/>
  <c r="S3965"/>
  <c r="Q3961"/>
  <c r="R3961"/>
  <c r="S3961"/>
  <c r="Q3957"/>
  <c r="R3957"/>
  <c r="S3957"/>
  <c r="Q3953"/>
  <c r="R3953"/>
  <c r="S3953"/>
  <c r="Q3949"/>
  <c r="R3949"/>
  <c r="S3949"/>
  <c r="Q3945"/>
  <c r="R3945"/>
  <c r="S3945"/>
  <c r="Q3941"/>
  <c r="R3941"/>
  <c r="S3941"/>
  <c r="Q3937"/>
  <c r="R3937"/>
  <c r="S3937"/>
  <c r="Q3933"/>
  <c r="R3933"/>
  <c r="S3933"/>
  <c r="Q3929"/>
  <c r="R3929"/>
  <c r="S3929"/>
  <c r="Q3925"/>
  <c r="R3925"/>
  <c r="S3925"/>
  <c r="Q3921"/>
  <c r="R3921"/>
  <c r="S3921"/>
  <c r="Q3917"/>
  <c r="R3917"/>
  <c r="S3917"/>
  <c r="Q3913"/>
  <c r="R3913"/>
  <c r="S3913"/>
  <c r="Q3909"/>
  <c r="R3909"/>
  <c r="S3909"/>
  <c r="Q3905"/>
  <c r="R3905"/>
  <c r="S3905"/>
  <c r="Q3901"/>
  <c r="R3901"/>
  <c r="S3901"/>
  <c r="Q3897"/>
  <c r="R3897"/>
  <c r="S3897"/>
  <c r="Q3893"/>
  <c r="R3893"/>
  <c r="S3893"/>
  <c r="Q3889"/>
  <c r="R3889"/>
  <c r="S3889"/>
  <c r="Q3885"/>
  <c r="R3885"/>
  <c r="S3885"/>
  <c r="Q3881"/>
  <c r="R3881"/>
  <c r="S3881"/>
  <c r="Q3877"/>
  <c r="R3877"/>
  <c r="S3877"/>
  <c r="Q3873"/>
  <c r="R3873"/>
  <c r="S3873"/>
  <c r="Q3869"/>
  <c r="R3869"/>
  <c r="S3869"/>
  <c r="Q3865"/>
  <c r="R3865"/>
  <c r="S3865"/>
  <c r="Q3861"/>
  <c r="R3861"/>
  <c r="S3861"/>
  <c r="Q3857"/>
  <c r="R3857"/>
  <c r="S3857"/>
  <c r="Q3853"/>
  <c r="R3853"/>
  <c r="S3853"/>
  <c r="Q3849"/>
  <c r="R3849"/>
  <c r="S3849"/>
  <c r="Q3845"/>
  <c r="R3845"/>
  <c r="S3845"/>
  <c r="Q3841"/>
  <c r="R3841"/>
  <c r="S3841"/>
  <c r="Q3837"/>
  <c r="R3837"/>
  <c r="S3837"/>
  <c r="Q3833"/>
  <c r="R3833"/>
  <c r="S3833"/>
  <c r="Q3829"/>
  <c r="R3829"/>
  <c r="S3829"/>
  <c r="Q3825"/>
  <c r="R3825"/>
  <c r="S3825"/>
  <c r="Q3821"/>
  <c r="R3821"/>
  <c r="S3821"/>
  <c r="Q3817"/>
  <c r="R3817"/>
  <c r="S3817"/>
  <c r="Q3813"/>
  <c r="R3813"/>
  <c r="S3813"/>
  <c r="Q3809"/>
  <c r="R3809"/>
  <c r="S3809"/>
  <c r="Q3805"/>
  <c r="R3805"/>
  <c r="S3805"/>
  <c r="Q3801"/>
  <c r="R3801"/>
  <c r="S3801"/>
  <c r="Q3797"/>
  <c r="R3797"/>
  <c r="S3797"/>
  <c r="Q3793"/>
  <c r="R3793"/>
  <c r="S3793"/>
  <c r="Q3789"/>
  <c r="R3789"/>
  <c r="S3789"/>
  <c r="Q3785"/>
  <c r="R3785"/>
  <c r="S3785"/>
  <c r="Q3781"/>
  <c r="R3781"/>
  <c r="S3781"/>
  <c r="Q3777"/>
  <c r="R3777"/>
  <c r="S3777"/>
  <c r="Q3773"/>
  <c r="R3773"/>
  <c r="S3773"/>
  <c r="Q3769"/>
  <c r="R3769"/>
  <c r="S3769"/>
  <c r="Q3765"/>
  <c r="R3765"/>
  <c r="S3765"/>
  <c r="Q3761"/>
  <c r="R3761"/>
  <c r="S3761"/>
  <c r="Q3757"/>
  <c r="R3757"/>
  <c r="S3757"/>
  <c r="Q3753"/>
  <c r="R3753"/>
  <c r="S3753"/>
  <c r="Q3749"/>
  <c r="R3749"/>
  <c r="S3749"/>
  <c r="Q3745"/>
  <c r="R3745"/>
  <c r="S3745"/>
  <c r="Q3741"/>
  <c r="R3741"/>
  <c r="S3741"/>
  <c r="Q3737"/>
  <c r="R3737"/>
  <c r="S3737"/>
  <c r="Q3733"/>
  <c r="R3733"/>
  <c r="S3733"/>
  <c r="Q3729"/>
  <c r="R3729"/>
  <c r="S3729"/>
  <c r="Q3725"/>
  <c r="R3725"/>
  <c r="S3725"/>
  <c r="Q3721"/>
  <c r="R3721"/>
  <c r="S3721"/>
  <c r="Q3717"/>
  <c r="R3717"/>
  <c r="S3717"/>
  <c r="Q3713"/>
  <c r="R3713"/>
  <c r="S3713"/>
  <c r="Q3709"/>
  <c r="R3709"/>
  <c r="S3709"/>
  <c r="Q3705"/>
  <c r="R3705"/>
  <c r="S3705"/>
  <c r="Q3701"/>
  <c r="R3701"/>
  <c r="S3701"/>
  <c r="Q3697"/>
  <c r="R3697"/>
  <c r="S3697"/>
  <c r="Q3693"/>
  <c r="R3693"/>
  <c r="S3693"/>
  <c r="Q3689"/>
  <c r="R3689"/>
  <c r="S3689"/>
  <c r="Q3685"/>
  <c r="R3685"/>
  <c r="S3685"/>
  <c r="Q3681"/>
  <c r="R3681"/>
  <c r="S3681"/>
  <c r="Q3677"/>
  <c r="R3677"/>
  <c r="S3677"/>
  <c r="Q3673"/>
  <c r="R3673"/>
  <c r="S3673"/>
  <c r="Q3669"/>
  <c r="R3669"/>
  <c r="S3669"/>
  <c r="Q3665"/>
  <c r="R3665"/>
  <c r="S3665"/>
  <c r="Q3661"/>
  <c r="R3661"/>
  <c r="S3661"/>
  <c r="Q3657"/>
  <c r="R3657"/>
  <c r="S3657"/>
  <c r="Q3653"/>
  <c r="R3653"/>
  <c r="S3653"/>
  <c r="Q3649"/>
  <c r="R3649"/>
  <c r="S3649"/>
  <c r="Q3645"/>
  <c r="R3645"/>
  <c r="S3645"/>
  <c r="Q3641"/>
  <c r="R3641"/>
  <c r="S3641"/>
  <c r="Q3637"/>
  <c r="R3637"/>
  <c r="S3637"/>
  <c r="Q3633"/>
  <c r="R3633"/>
  <c r="S3633"/>
  <c r="Q3629"/>
  <c r="R3629"/>
  <c r="S3629"/>
  <c r="Q3625"/>
  <c r="R3625"/>
  <c r="S3625"/>
  <c r="Q3621"/>
  <c r="R3621"/>
  <c r="S3621"/>
  <c r="Q3617"/>
  <c r="R3617"/>
  <c r="S3617"/>
  <c r="Q3613"/>
  <c r="R3613"/>
  <c r="S3613"/>
  <c r="Q3609"/>
  <c r="R3609"/>
  <c r="S3609"/>
  <c r="Q3605"/>
  <c r="R3605"/>
  <c r="S3605"/>
  <c r="Q3601"/>
  <c r="R3601"/>
  <c r="S3601"/>
  <c r="Q3597"/>
  <c r="R3597"/>
  <c r="S3597"/>
  <c r="Q3593"/>
  <c r="R3593"/>
  <c r="S3593"/>
  <c r="Q3589"/>
  <c r="R3589"/>
  <c r="S3589"/>
  <c r="Q3585"/>
  <c r="R3585"/>
  <c r="S3585"/>
  <c r="Q3581"/>
  <c r="R3581"/>
  <c r="S3581"/>
  <c r="Q3577"/>
  <c r="R3577"/>
  <c r="S3577"/>
  <c r="Q3573"/>
  <c r="R3573"/>
  <c r="S3573"/>
  <c r="Q3569"/>
  <c r="R3569"/>
  <c r="S3569"/>
  <c r="Q3565"/>
  <c r="R3565"/>
  <c r="S3565"/>
  <c r="Q3561"/>
  <c r="R3561"/>
  <c r="S3561"/>
  <c r="Q3557"/>
  <c r="R3557"/>
  <c r="S3557"/>
  <c r="Q3553"/>
  <c r="R3553"/>
  <c r="S3553"/>
  <c r="Q3549"/>
  <c r="R3549"/>
  <c r="S3549"/>
  <c r="Q3545"/>
  <c r="R3545"/>
  <c r="S3545"/>
  <c r="Q3541"/>
  <c r="R3541"/>
  <c r="S3541"/>
  <c r="Q3537"/>
  <c r="R3537"/>
  <c r="S3537"/>
  <c r="Q3533"/>
  <c r="R3533"/>
  <c r="S3533"/>
  <c r="Q3529"/>
  <c r="R3529"/>
  <c r="S3529"/>
  <c r="Q3525"/>
  <c r="R3525"/>
  <c r="S3525"/>
  <c r="Q3521"/>
  <c r="R3521"/>
  <c r="S3521"/>
  <c r="Q3517"/>
  <c r="R3517"/>
  <c r="S3517"/>
  <c r="Q3513"/>
  <c r="R3513"/>
  <c r="S3513"/>
  <c r="Q3509"/>
  <c r="R3509"/>
  <c r="S3509"/>
  <c r="Q3505"/>
  <c r="R3505"/>
  <c r="S3505"/>
  <c r="Q3501"/>
  <c r="R3501"/>
  <c r="S3501"/>
  <c r="Q3497"/>
  <c r="R3497"/>
  <c r="S3497"/>
  <c r="Q3493"/>
  <c r="R3493"/>
  <c r="S3493"/>
  <c r="Q3489"/>
  <c r="R3489"/>
  <c r="S3489"/>
  <c r="Q3485"/>
  <c r="R3485"/>
  <c r="S3485"/>
  <c r="Q3481"/>
  <c r="R3481"/>
  <c r="S3481"/>
  <c r="Q3477"/>
  <c r="R3477"/>
  <c r="S3477"/>
  <c r="Q3473"/>
  <c r="R3473"/>
  <c r="S3473"/>
  <c r="Q3469"/>
  <c r="R3469"/>
  <c r="S3469"/>
  <c r="Q3465"/>
  <c r="R3465"/>
  <c r="S3465"/>
  <c r="Q3461"/>
  <c r="R3461"/>
  <c r="S3461"/>
  <c r="Q3457"/>
  <c r="R3457"/>
  <c r="S3457"/>
  <c r="Q3453"/>
  <c r="R3453"/>
  <c r="S3453"/>
  <c r="Q3449"/>
  <c r="R3449"/>
  <c r="S3449"/>
  <c r="Q3445"/>
  <c r="R3445"/>
  <c r="S3445"/>
  <c r="Q3441"/>
  <c r="R3441"/>
  <c r="S3441"/>
  <c r="Q3437"/>
  <c r="R3437"/>
  <c r="S3437"/>
  <c r="Q3433"/>
  <c r="R3433"/>
  <c r="S3433"/>
  <c r="R3429"/>
  <c r="Q3429"/>
  <c r="S3429"/>
  <c r="R3425"/>
  <c r="Q3425"/>
  <c r="S3425"/>
  <c r="R3421"/>
  <c r="Q3421"/>
  <c r="S3421"/>
  <c r="R3417"/>
  <c r="Q3417"/>
  <c r="S3417"/>
  <c r="R3413"/>
  <c r="Q3413"/>
  <c r="S3413"/>
  <c r="R3409"/>
  <c r="S3409"/>
  <c r="Q3409"/>
  <c r="R3405"/>
  <c r="S3405"/>
  <c r="Q3405"/>
  <c r="Q3401"/>
  <c r="R3401"/>
  <c r="S3401"/>
  <c r="Q3397"/>
  <c r="R3397"/>
  <c r="S3397"/>
  <c r="Q3393"/>
  <c r="R3393"/>
  <c r="S3393"/>
  <c r="Q3389"/>
  <c r="R3389"/>
  <c r="S3389"/>
  <c r="Q3385"/>
  <c r="R3385"/>
  <c r="S3385"/>
  <c r="Q3381"/>
  <c r="R3381"/>
  <c r="S3381"/>
  <c r="Q3377"/>
  <c r="R3377"/>
  <c r="S3377"/>
  <c r="Q3373"/>
  <c r="R3373"/>
  <c r="S3373"/>
  <c r="Q3369"/>
  <c r="R3369"/>
  <c r="S3369"/>
  <c r="Q3365"/>
  <c r="R3365"/>
  <c r="S3365"/>
  <c r="Q3361"/>
  <c r="R3361"/>
  <c r="S3361"/>
  <c r="Q3357"/>
  <c r="R3357"/>
  <c r="S3357"/>
  <c r="Q3353"/>
  <c r="R3353"/>
  <c r="S3353"/>
  <c r="Q3349"/>
  <c r="R3349"/>
  <c r="S3349"/>
  <c r="Q3345"/>
  <c r="R3345"/>
  <c r="S3345"/>
  <c r="Q3341"/>
  <c r="R3341"/>
  <c r="S3341"/>
  <c r="Q3337"/>
  <c r="R3337"/>
  <c r="S3337"/>
  <c r="Q3333"/>
  <c r="R3333"/>
  <c r="S3333"/>
  <c r="Q3329"/>
  <c r="R3329"/>
  <c r="S3329"/>
  <c r="Q3325"/>
  <c r="R3325"/>
  <c r="S3325"/>
  <c r="Q3321"/>
  <c r="R3321"/>
  <c r="S3321"/>
  <c r="Q3317"/>
  <c r="R3317"/>
  <c r="S3317"/>
  <c r="Q3313"/>
  <c r="R3313"/>
  <c r="S3313"/>
  <c r="Q3309"/>
  <c r="R3309"/>
  <c r="S3309"/>
  <c r="S3224"/>
  <c r="Q3224"/>
  <c r="R3224"/>
  <c r="S3220"/>
  <c r="Q3220"/>
  <c r="R3220"/>
  <c r="S3206"/>
  <c r="Q3206"/>
  <c r="R3206"/>
  <c r="S3194"/>
  <c r="Q3194"/>
  <c r="R3194"/>
  <c r="S3190"/>
  <c r="Q3190"/>
  <c r="R3190"/>
  <c r="S3184"/>
  <c r="Q3184"/>
  <c r="R3184"/>
  <c r="S3118"/>
  <c r="Q3118"/>
  <c r="R3118"/>
  <c r="S3114"/>
  <c r="Q3114"/>
  <c r="R3114"/>
  <c r="S3108"/>
  <c r="Q3108"/>
  <c r="R3108"/>
  <c r="S3104"/>
  <c r="Q3104"/>
  <c r="R3104"/>
  <c r="S3100"/>
  <c r="Q3100"/>
  <c r="R3100"/>
  <c r="Q3095"/>
  <c r="R3095"/>
  <c r="S3095"/>
  <c r="S3070"/>
  <c r="Q3070"/>
  <c r="R3070"/>
  <c r="S3066"/>
  <c r="Q3066"/>
  <c r="R3066"/>
  <c r="S3062"/>
  <c r="Q3062"/>
  <c r="R3062"/>
  <c r="S3058"/>
  <c r="Q3058"/>
  <c r="R3058"/>
  <c r="S3054"/>
  <c r="Q3054"/>
  <c r="R3054"/>
  <c r="S3050"/>
  <c r="Q3050"/>
  <c r="R3050"/>
  <c r="S3046"/>
  <c r="Q3046"/>
  <c r="R3046"/>
  <c r="S3042"/>
  <c r="Q3042"/>
  <c r="R3042"/>
  <c r="S3038"/>
  <c r="Q3038"/>
  <c r="R3038"/>
  <c r="S3034"/>
  <c r="Q3034"/>
  <c r="R3034"/>
  <c r="S3030"/>
  <c r="Q3030"/>
  <c r="R3030"/>
  <c r="S3026"/>
  <c r="Q3026"/>
  <c r="R3026"/>
  <c r="S3022"/>
  <c r="Q3022"/>
  <c r="R3022"/>
  <c r="S3018"/>
  <c r="Q3018"/>
  <c r="R3018"/>
  <c r="S3014"/>
  <c r="Q3014"/>
  <c r="R3014"/>
  <c r="S3010"/>
  <c r="Q3010"/>
  <c r="R3010"/>
  <c r="S3006"/>
  <c r="Q3006"/>
  <c r="R3006"/>
  <c r="S3002"/>
  <c r="Q3002"/>
  <c r="R3002"/>
  <c r="S2998"/>
  <c r="Q2998"/>
  <c r="R2998"/>
  <c r="Q2913"/>
  <c r="R2913"/>
  <c r="S2913"/>
  <c r="Q2909"/>
  <c r="R2909"/>
  <c r="S2909"/>
  <c r="Q2905"/>
  <c r="R2905"/>
  <c r="S2905"/>
  <c r="Q2901"/>
  <c r="R2901"/>
  <c r="S2901"/>
  <c r="Q2897"/>
  <c r="R2897"/>
  <c r="S2897"/>
  <c r="Q2893"/>
  <c r="R2893"/>
  <c r="S2893"/>
  <c r="Q2889"/>
  <c r="R2889"/>
  <c r="S2889"/>
  <c r="Q2885"/>
  <c r="R2885"/>
  <c r="S2885"/>
  <c r="Q2881"/>
  <c r="R2881"/>
  <c r="S2881"/>
  <c r="Q2877"/>
  <c r="R2877"/>
  <c r="S2877"/>
  <c r="Q2873"/>
  <c r="R2873"/>
  <c r="S2873"/>
  <c r="Q2869"/>
  <c r="R2869"/>
  <c r="S2869"/>
  <c r="Q2865"/>
  <c r="R2865"/>
  <c r="S2865"/>
  <c r="Q2861"/>
  <c r="R2861"/>
  <c r="S2861"/>
  <c r="Q2857"/>
  <c r="R2857"/>
  <c r="S2857"/>
  <c r="Q2853"/>
  <c r="R2853"/>
  <c r="S2853"/>
  <c r="Q2849"/>
  <c r="R2849"/>
  <c r="S2849"/>
  <c r="Q2845"/>
  <c r="R2845"/>
  <c r="S2845"/>
  <c r="Q2841"/>
  <c r="R2841"/>
  <c r="S2841"/>
  <c r="Q2837"/>
  <c r="R2837"/>
  <c r="S2837"/>
  <c r="S2832"/>
  <c r="Q2832"/>
  <c r="R2832"/>
  <c r="S2828"/>
  <c r="Q2828"/>
  <c r="R2828"/>
  <c r="S2824"/>
  <c r="Q2824"/>
  <c r="R2824"/>
  <c r="S2820"/>
  <c r="Q2820"/>
  <c r="R2820"/>
  <c r="S2816"/>
  <c r="Q2816"/>
  <c r="R2816"/>
  <c r="S2812"/>
  <c r="Q2812"/>
  <c r="R2812"/>
  <c r="S2808"/>
  <c r="Q2808"/>
  <c r="R2808"/>
  <c r="Q2803"/>
  <c r="R2803"/>
  <c r="S2803"/>
  <c r="Q2799"/>
  <c r="R2799"/>
  <c r="S2799"/>
  <c r="Q2795"/>
  <c r="R2795"/>
  <c r="S2795"/>
  <c r="Q2791"/>
  <c r="R2791"/>
  <c r="S2791"/>
  <c r="Q2787"/>
  <c r="R2787"/>
  <c r="S2787"/>
  <c r="Q2783"/>
  <c r="R2783"/>
  <c r="S2783"/>
  <c r="Q2779"/>
  <c r="R2779"/>
  <c r="S2779"/>
  <c r="Q2775"/>
  <c r="R2775"/>
  <c r="S2775"/>
  <c r="Q2771"/>
  <c r="R2771"/>
  <c r="S2771"/>
  <c r="Q2767"/>
  <c r="R2767"/>
  <c r="S2767"/>
  <c r="Q2763"/>
  <c r="R2763"/>
  <c r="S2763"/>
  <c r="Q2759"/>
  <c r="R2759"/>
  <c r="S2759"/>
  <c r="S2755"/>
  <c r="R2755"/>
  <c r="Q2755"/>
  <c r="S2751"/>
  <c r="R2751"/>
  <c r="Q2751"/>
  <c r="S2747"/>
  <c r="R2747"/>
  <c r="Q2747"/>
  <c r="S2743"/>
  <c r="R2743"/>
  <c r="Q2743"/>
  <c r="S2739"/>
  <c r="Q2739"/>
  <c r="R2739"/>
  <c r="S2735"/>
  <c r="Q2735"/>
  <c r="R2735"/>
  <c r="S2731"/>
  <c r="Q2731"/>
  <c r="R2731"/>
  <c r="S2727"/>
  <c r="Q2727"/>
  <c r="R2727"/>
  <c r="S2723"/>
  <c r="Q2723"/>
  <c r="R2723"/>
  <c r="S2719"/>
  <c r="Q2719"/>
  <c r="R2719"/>
  <c r="S2715"/>
  <c r="Q2715"/>
  <c r="R2715"/>
  <c r="S2711"/>
  <c r="Q2711"/>
  <c r="R2711"/>
  <c r="S2707"/>
  <c r="Q2707"/>
  <c r="R2707"/>
  <c r="S2703"/>
  <c r="Q2703"/>
  <c r="R2703"/>
  <c r="S2699"/>
  <c r="Q2699"/>
  <c r="R2699"/>
  <c r="S2695"/>
  <c r="Q2695"/>
  <c r="R2695"/>
  <c r="S2691"/>
  <c r="Q2691"/>
  <c r="R2691"/>
  <c r="S2687"/>
  <c r="Q2687"/>
  <c r="R2687"/>
  <c r="S2683"/>
  <c r="Q2683"/>
  <c r="R2683"/>
  <c r="S2679"/>
  <c r="Q2679"/>
  <c r="R2679"/>
  <c r="S2675"/>
  <c r="Q2675"/>
  <c r="R2675"/>
  <c r="S2671"/>
  <c r="Q2671"/>
  <c r="R2671"/>
  <c r="S2667"/>
  <c r="Q2667"/>
  <c r="R2667"/>
  <c r="S2663"/>
  <c r="Q2663"/>
  <c r="R2663"/>
  <c r="S2659"/>
  <c r="Q2659"/>
  <c r="R2659"/>
  <c r="S2655"/>
  <c r="Q2655"/>
  <c r="R2655"/>
  <c r="S2651"/>
  <c r="Q2651"/>
  <c r="R2651"/>
  <c r="S2647"/>
  <c r="Q2647"/>
  <c r="R2647"/>
  <c r="S2643"/>
  <c r="Q2643"/>
  <c r="R2643"/>
  <c r="S2635"/>
  <c r="Q2635"/>
  <c r="R2635"/>
  <c r="S2631"/>
  <c r="Q2631"/>
  <c r="R2631"/>
  <c r="S2627"/>
  <c r="Q2627"/>
  <c r="R2627"/>
  <c r="Q2618"/>
  <c r="R2618"/>
  <c r="S2618"/>
  <c r="Q2614"/>
  <c r="R2614"/>
  <c r="S2614"/>
  <c r="Q2610"/>
  <c r="R2610"/>
  <c r="S2610"/>
  <c r="Q2606"/>
  <c r="R2606"/>
  <c r="S2606"/>
  <c r="S2597"/>
  <c r="Q2597"/>
  <c r="R2597"/>
  <c r="S2593"/>
  <c r="Q2593"/>
  <c r="R2593"/>
  <c r="S2589"/>
  <c r="Q2589"/>
  <c r="R2589"/>
  <c r="S2585"/>
  <c r="Q2585"/>
  <c r="R2585"/>
  <c r="S2581"/>
  <c r="Q2581"/>
  <c r="R2581"/>
  <c r="S2577"/>
  <c r="Q2577"/>
  <c r="R2577"/>
  <c r="S2571"/>
  <c r="Q2571"/>
  <c r="R2571"/>
  <c r="S2567"/>
  <c r="Q2567"/>
  <c r="R2567"/>
  <c r="Q2562"/>
  <c r="R2562"/>
  <c r="S2562"/>
  <c r="Q2558"/>
  <c r="R2558"/>
  <c r="S2558"/>
  <c r="Q2554"/>
  <c r="R2554"/>
  <c r="S2554"/>
  <c r="Q2550"/>
  <c r="R2550"/>
  <c r="S2550"/>
  <c r="Q2546"/>
  <c r="R2546"/>
  <c r="S2546"/>
  <c r="Q2542"/>
  <c r="R2542"/>
  <c r="S2542"/>
  <c r="Q2538"/>
  <c r="R2538"/>
  <c r="S2538"/>
  <c r="Q2534"/>
  <c r="R2534"/>
  <c r="S2534"/>
  <c r="Q2530"/>
  <c r="R2530"/>
  <c r="S2530"/>
  <c r="S2523"/>
  <c r="Q2523"/>
  <c r="R2523"/>
  <c r="Q2516"/>
  <c r="R2516"/>
  <c r="S2516"/>
  <c r="Q2512"/>
  <c r="R2512"/>
  <c r="S2512"/>
  <c r="Q2508"/>
  <c r="R2508"/>
  <c r="S2508"/>
  <c r="Q2504"/>
  <c r="R2504"/>
  <c r="S2504"/>
  <c r="Q2500"/>
  <c r="R2500"/>
  <c r="S2500"/>
  <c r="Q2496"/>
  <c r="R2496"/>
  <c r="S2496"/>
  <c r="S2491"/>
  <c r="Q2491"/>
  <c r="R2491"/>
  <c r="Q2486"/>
  <c r="R2486"/>
  <c r="S2486"/>
  <c r="Q2482"/>
  <c r="R2482"/>
  <c r="S2482"/>
  <c r="Q2478"/>
  <c r="R2478"/>
  <c r="S2478"/>
  <c r="Q2474"/>
  <c r="R2474"/>
  <c r="S2474"/>
  <c r="Q2470"/>
  <c r="R2470"/>
  <c r="S2470"/>
  <c r="Q2466"/>
  <c r="R2466"/>
  <c r="S2466"/>
  <c r="Q2462"/>
  <c r="R2462"/>
  <c r="S2462"/>
  <c r="Q2458"/>
  <c r="R2458"/>
  <c r="S2458"/>
  <c r="Q2454"/>
  <c r="R2454"/>
  <c r="S2454"/>
  <c r="S2449"/>
  <c r="Q2449"/>
  <c r="R2449"/>
  <c r="S2445"/>
  <c r="Q2445"/>
  <c r="R2445"/>
  <c r="S2441"/>
  <c r="Q2441"/>
  <c r="R2441"/>
  <c r="S2437"/>
  <c r="Q2437"/>
  <c r="R2437"/>
  <c r="S2433"/>
  <c r="Q2433"/>
  <c r="R2433"/>
  <c r="S2429"/>
  <c r="Q2429"/>
  <c r="R2429"/>
  <c r="S2425"/>
  <c r="Q2425"/>
  <c r="R2425"/>
  <c r="S2421"/>
  <c r="Q2421"/>
  <c r="R2421"/>
  <c r="S2417"/>
  <c r="Q2417"/>
  <c r="R2417"/>
  <c r="S2413"/>
  <c r="Q2413"/>
  <c r="R2413"/>
  <c r="S2409"/>
  <c r="Q2409"/>
  <c r="R2409"/>
  <c r="S2405"/>
  <c r="Q2405"/>
  <c r="R2405"/>
  <c r="S2401"/>
  <c r="Q2401"/>
  <c r="R2401"/>
  <c r="S2359"/>
  <c r="Q2359"/>
  <c r="R2359"/>
  <c r="S2355"/>
  <c r="Q2355"/>
  <c r="R2355"/>
  <c r="S2351"/>
  <c r="Q2351"/>
  <c r="R2351"/>
  <c r="S2347"/>
  <c r="Q2347"/>
  <c r="R2347"/>
  <c r="S2343"/>
  <c r="Q2343"/>
  <c r="R2343"/>
  <c r="S2335"/>
  <c r="Q2335"/>
  <c r="R2335"/>
  <c r="S2331"/>
  <c r="Q2331"/>
  <c r="R2331"/>
  <c r="S2327"/>
  <c r="Q2327"/>
  <c r="R2327"/>
  <c r="S2323"/>
  <c r="Q2323"/>
  <c r="R2323"/>
  <c r="S2319"/>
  <c r="Q2319"/>
  <c r="R2319"/>
  <c r="S2315"/>
  <c r="Q2315"/>
  <c r="R2315"/>
  <c r="S2311"/>
  <c r="Q2311"/>
  <c r="R2311"/>
  <c r="S2307"/>
  <c r="Q2307"/>
  <c r="R2307"/>
  <c r="S2303"/>
  <c r="Q2303"/>
  <c r="R2303"/>
  <c r="S2299"/>
  <c r="Q2299"/>
  <c r="R2299"/>
  <c r="S2295"/>
  <c r="Q2295"/>
  <c r="R2295"/>
  <c r="S2291"/>
  <c r="Q2291"/>
  <c r="R2291"/>
  <c r="S2287"/>
  <c r="Q2287"/>
  <c r="R2287"/>
  <c r="S2283"/>
  <c r="Q2283"/>
  <c r="R2283"/>
  <c r="S2279"/>
  <c r="Q2279"/>
  <c r="R2279"/>
  <c r="S2275"/>
  <c r="Q2275"/>
  <c r="R2275"/>
  <c r="S2271"/>
  <c r="Q2271"/>
  <c r="R2271"/>
  <c r="S2267"/>
  <c r="Q2267"/>
  <c r="R2267"/>
  <c r="S2263"/>
  <c r="Q2263"/>
  <c r="R2263"/>
  <c r="S2259"/>
  <c r="Q2259"/>
  <c r="R2259"/>
  <c r="S2255"/>
  <c r="Q2255"/>
  <c r="R2255"/>
  <c r="S2251"/>
  <c r="Q2251"/>
  <c r="R2251"/>
  <c r="S2247"/>
  <c r="Q2247"/>
  <c r="R2247"/>
  <c r="S2243"/>
  <c r="Q2243"/>
  <c r="R2243"/>
  <c r="S2239"/>
  <c r="Q2239"/>
  <c r="R2239"/>
  <c r="S2235"/>
  <c r="Q2235"/>
  <c r="R2235"/>
  <c r="S2231"/>
  <c r="Q2231"/>
  <c r="R2231"/>
  <c r="S2227"/>
  <c r="Q2227"/>
  <c r="R2227"/>
  <c r="S2223"/>
  <c r="Q2223"/>
  <c r="R2223"/>
  <c r="S2219"/>
  <c r="Q2219"/>
  <c r="R2219"/>
  <c r="S2215"/>
  <c r="Q2215"/>
  <c r="R2215"/>
  <c r="S2211"/>
  <c r="Q2211"/>
  <c r="R2211"/>
  <c r="S2207"/>
  <c r="Q2207"/>
  <c r="R2207"/>
  <c r="S2203"/>
  <c r="Q2203"/>
  <c r="R2203"/>
  <c r="S2199"/>
  <c r="Q2199"/>
  <c r="R2199"/>
  <c r="S2195"/>
  <c r="Q2195"/>
  <c r="R2195"/>
  <c r="S2191"/>
  <c r="Q2191"/>
  <c r="R2191"/>
  <c r="S2187"/>
  <c r="Q2187"/>
  <c r="R2187"/>
  <c r="S2183"/>
  <c r="Q2183"/>
  <c r="R2183"/>
  <c r="S2179"/>
  <c r="Q2179"/>
  <c r="R2179"/>
  <c r="S2175"/>
  <c r="Q2175"/>
  <c r="R2175"/>
  <c r="S2171"/>
  <c r="Q2171"/>
  <c r="R2171"/>
  <c r="S2167"/>
  <c r="Q2167"/>
  <c r="R2167"/>
  <c r="S2163"/>
  <c r="Q2163"/>
  <c r="R2163"/>
  <c r="S2159"/>
  <c r="Q2159"/>
  <c r="R2159"/>
  <c r="S2155"/>
  <c r="Q2155"/>
  <c r="R2155"/>
  <c r="S2151"/>
  <c r="Q2151"/>
  <c r="R2151"/>
  <c r="S2147"/>
  <c r="Q2147"/>
  <c r="R2147"/>
  <c r="S2143"/>
  <c r="Q2143"/>
  <c r="R2143"/>
  <c r="R1941"/>
  <c r="S1941"/>
  <c r="Q1941"/>
  <c r="R1937"/>
  <c r="S1937"/>
  <c r="Q1937"/>
  <c r="R1933"/>
  <c r="S1933"/>
  <c r="Q1933"/>
  <c r="R1929"/>
  <c r="S1929"/>
  <c r="Q1929"/>
  <c r="R1925"/>
  <c r="S1925"/>
  <c r="Q1925"/>
  <c r="R1921"/>
  <c r="S1921"/>
  <c r="Q1921"/>
  <c r="R1917"/>
  <c r="S1917"/>
  <c r="Q1917"/>
  <c r="R1909"/>
  <c r="S1909"/>
  <c r="Q1909"/>
  <c r="R1901"/>
  <c r="S1901"/>
  <c r="Q1901"/>
  <c r="A1889"/>
  <c r="R1889"/>
  <c r="S1889"/>
  <c r="Q1889"/>
  <c r="R1885"/>
  <c r="S1885"/>
  <c r="Q1885"/>
  <c r="R1881"/>
  <c r="S1881"/>
  <c r="Q1881"/>
  <c r="R1877"/>
  <c r="S1877"/>
  <c r="Q1877"/>
  <c r="R1873"/>
  <c r="S1873"/>
  <c r="Q1873"/>
  <c r="Q1864"/>
  <c r="R1864"/>
  <c r="S1864"/>
  <c r="Q1860"/>
  <c r="R1860"/>
  <c r="S1860"/>
  <c r="Q1856"/>
  <c r="R1856"/>
  <c r="S1856"/>
  <c r="Q1852"/>
  <c r="R1852"/>
  <c r="S1852"/>
  <c r="Q1848"/>
  <c r="R1848"/>
  <c r="S1848"/>
  <c r="Q1844"/>
  <c r="R1844"/>
  <c r="S1844"/>
  <c r="Q1840"/>
  <c r="R1840"/>
  <c r="S1840"/>
  <c r="A1836"/>
  <c r="Q1836"/>
  <c r="R1836"/>
  <c r="S1836"/>
  <c r="Q1832"/>
  <c r="R1832"/>
  <c r="S1832"/>
  <c r="Q1828"/>
  <c r="R1828"/>
  <c r="S1828"/>
  <c r="Q1810"/>
  <c r="R1810"/>
  <c r="S1810"/>
  <c r="Q1806"/>
  <c r="R1806"/>
  <c r="S1806"/>
  <c r="Q1802"/>
  <c r="R1802"/>
  <c r="S1802"/>
  <c r="Q1798"/>
  <c r="R1798"/>
  <c r="S1798"/>
  <c r="R1765"/>
  <c r="Q1765"/>
  <c r="S1765"/>
  <c r="R1761"/>
  <c r="Q1761"/>
  <c r="S1761"/>
  <c r="R1731"/>
  <c r="Q1731"/>
  <c r="S1731"/>
  <c r="R1781"/>
  <c r="Q1781"/>
  <c r="S1781"/>
  <c r="R1777"/>
  <c r="Q1777"/>
  <c r="S1777"/>
  <c r="R1728"/>
  <c r="Q1728"/>
  <c r="S1728"/>
  <c r="R1724"/>
  <c r="S1724"/>
  <c r="Q1724"/>
  <c r="R1720"/>
  <c r="S1720"/>
  <c r="Q1720"/>
  <c r="R1716"/>
  <c r="S1716"/>
  <c r="Q1716"/>
  <c r="R1712"/>
  <c r="S1712"/>
  <c r="Q1712"/>
  <c r="R1708"/>
  <c r="S1708"/>
  <c r="Q1708"/>
  <c r="R1704"/>
  <c r="S1704"/>
  <c r="Q1704"/>
  <c r="R1700"/>
  <c r="S1700"/>
  <c r="Q1700"/>
  <c r="R1696"/>
  <c r="S1696"/>
  <c r="Q1696"/>
  <c r="Q1689"/>
  <c r="R1689"/>
  <c r="S1689"/>
  <c r="Q1685"/>
  <c r="R1685"/>
  <c r="S1685"/>
  <c r="R1680"/>
  <c r="S1680"/>
  <c r="Q1680"/>
  <c r="R1676"/>
  <c r="S1676"/>
  <c r="Q1676"/>
  <c r="R1672"/>
  <c r="S1672"/>
  <c r="Q1672"/>
  <c r="R1668"/>
  <c r="S1668"/>
  <c r="Q1668"/>
  <c r="R1664"/>
  <c r="S1664"/>
  <c r="Q1664"/>
  <c r="R1660"/>
  <c r="S1660"/>
  <c r="Q1660"/>
  <c r="R1656"/>
  <c r="S1656"/>
  <c r="Q1656"/>
  <c r="R1652"/>
  <c r="S1652"/>
  <c r="Q1652"/>
  <c r="R1648"/>
  <c r="S1648"/>
  <c r="Q1648"/>
  <c r="R1644"/>
  <c r="S1644"/>
  <c r="Q1644"/>
  <c r="R1640"/>
  <c r="S1640"/>
  <c r="Q1640"/>
  <c r="R1636"/>
  <c r="S1636"/>
  <c r="Q1636"/>
  <c r="R1632"/>
  <c r="S1632"/>
  <c r="Q1632"/>
  <c r="R1628"/>
  <c r="S1628"/>
  <c r="Q1628"/>
  <c r="R1295"/>
  <c r="S1295"/>
  <c r="Q1295"/>
  <c r="R1297"/>
  <c r="S1297"/>
  <c r="Q1297"/>
  <c r="R1291"/>
  <c r="S1291"/>
  <c r="Q1291"/>
  <c r="R1287"/>
  <c r="S1287"/>
  <c r="Q1287"/>
  <c r="R1283"/>
  <c r="S1283"/>
  <c r="Q1283"/>
  <c r="R1279"/>
  <c r="S1279"/>
  <c r="Q1279"/>
  <c r="R1275"/>
  <c r="S1275"/>
  <c r="Q1275"/>
  <c r="R1271"/>
  <c r="S1271"/>
  <c r="Q1271"/>
  <c r="R1267"/>
  <c r="S1267"/>
  <c r="Q1267"/>
  <c r="R1243"/>
  <c r="S1243"/>
  <c r="Q1243"/>
  <c r="R1235"/>
  <c r="S1235"/>
  <c r="Q1235"/>
  <c r="R1231"/>
  <c r="S1231"/>
  <c r="Q1231"/>
  <c r="R1227"/>
  <c r="S1227"/>
  <c r="Q1227"/>
  <c r="R1223"/>
  <c r="S1223"/>
  <c r="Q1223"/>
  <c r="R1219"/>
  <c r="S1219"/>
  <c r="Q1219"/>
  <c r="R1215"/>
  <c r="S1215"/>
  <c r="Q1215"/>
  <c r="R1211"/>
  <c r="S1211"/>
  <c r="Q1211"/>
  <c r="R1207"/>
  <c r="S1207"/>
  <c r="Q1207"/>
  <c r="R1203"/>
  <c r="S1203"/>
  <c r="Q1203"/>
  <c r="R1199"/>
  <c r="S1199"/>
  <c r="Q1199"/>
  <c r="R1195"/>
  <c r="S1195"/>
  <c r="Q1195"/>
  <c r="R1191"/>
  <c r="S1191"/>
  <c r="Q1191"/>
  <c r="R1187"/>
  <c r="S1187"/>
  <c r="Q1187"/>
  <c r="R1183"/>
  <c r="S1183"/>
  <c r="Q1183"/>
  <c r="R1179"/>
  <c r="S1179"/>
  <c r="Q1179"/>
  <c r="R1175"/>
  <c r="S1175"/>
  <c r="Q1175"/>
  <c r="R1171"/>
  <c r="S1171"/>
  <c r="Q1171"/>
  <c r="R1167"/>
  <c r="S1167"/>
  <c r="Q1167"/>
  <c r="R1163"/>
  <c r="S1163"/>
  <c r="Q1163"/>
  <c r="R1159"/>
  <c r="S1159"/>
  <c r="Q1159"/>
  <c r="R1155"/>
  <c r="S1155"/>
  <c r="Q1155"/>
  <c r="R1151"/>
  <c r="S1151"/>
  <c r="Q1151"/>
  <c r="R1147"/>
  <c r="S1147"/>
  <c r="Q1147"/>
  <c r="R1143"/>
  <c r="S1143"/>
  <c r="Q1143"/>
  <c r="R1139"/>
  <c r="S1139"/>
  <c r="Q1139"/>
  <c r="R1135"/>
  <c r="S1135"/>
  <c r="Q1135"/>
  <c r="R1131"/>
  <c r="S1131"/>
  <c r="Q1131"/>
  <c r="R1127"/>
  <c r="Q1127"/>
  <c r="S1127"/>
  <c r="R1123"/>
  <c r="S1123"/>
  <c r="Q1123"/>
  <c r="R1119"/>
  <c r="S1119"/>
  <c r="Q1119"/>
  <c r="R1115"/>
  <c r="S1115"/>
  <c r="Q1115"/>
  <c r="R1111"/>
  <c r="S1111"/>
  <c r="Q1111"/>
  <c r="R1107"/>
  <c r="S1107"/>
  <c r="Q1107"/>
  <c r="R1103"/>
  <c r="Q1103"/>
  <c r="S1103"/>
  <c r="R1099"/>
  <c r="Q1099"/>
  <c r="S1099"/>
  <c r="R1095"/>
  <c r="Q1095"/>
  <c r="S1095"/>
  <c r="R1091"/>
  <c r="Q1091"/>
  <c r="S1091"/>
  <c r="R1087"/>
  <c r="Q1087"/>
  <c r="S1087"/>
  <c r="R1083"/>
  <c r="Q1083"/>
  <c r="S1083"/>
  <c r="R1079"/>
  <c r="S1079"/>
  <c r="Q1079"/>
  <c r="R1075"/>
  <c r="S1075"/>
  <c r="Q1075"/>
  <c r="R1071"/>
  <c r="S1071"/>
  <c r="Q1071"/>
  <c r="R1067"/>
  <c r="S1067"/>
  <c r="Q1067"/>
  <c r="R1063"/>
  <c r="S1063"/>
  <c r="Q1063"/>
  <c r="R1059"/>
  <c r="S1059"/>
  <c r="Q1059"/>
  <c r="R1055"/>
  <c r="S1055"/>
  <c r="Q1055"/>
  <c r="R1051"/>
  <c r="S1051"/>
  <c r="Q1051"/>
  <c r="R1047"/>
  <c r="S1047"/>
  <c r="Q1047"/>
  <c r="R1043"/>
  <c r="S1043"/>
  <c r="Q1043"/>
  <c r="R1039"/>
  <c r="S1039"/>
  <c r="Q1039"/>
  <c r="R1035"/>
  <c r="S1035"/>
  <c r="Q1035"/>
  <c r="R1031"/>
  <c r="S1031"/>
  <c r="Q1031"/>
  <c r="R1027"/>
  <c r="S1027"/>
  <c r="Q1027"/>
  <c r="R1023"/>
  <c r="S1023"/>
  <c r="Q1023"/>
  <c r="R1019"/>
  <c r="S1019"/>
  <c r="Q1019"/>
  <c r="Q902"/>
  <c r="R902"/>
  <c r="S902"/>
  <c r="R859"/>
  <c r="S859"/>
  <c r="Q859"/>
  <c r="R853"/>
  <c r="S853"/>
  <c r="Q853"/>
  <c r="R849"/>
  <c r="S849"/>
  <c r="Q849"/>
  <c r="Q830"/>
  <c r="R830"/>
  <c r="S830"/>
  <c r="R797"/>
  <c r="Q797"/>
  <c r="S797"/>
  <c r="R791"/>
  <c r="Q791"/>
  <c r="S791"/>
  <c r="S781"/>
  <c r="Q781"/>
  <c r="R781"/>
  <c r="Q772"/>
  <c r="R772"/>
  <c r="S772"/>
  <c r="S767"/>
  <c r="Q767"/>
  <c r="R767"/>
  <c r="S763"/>
  <c r="Q763"/>
  <c r="R763"/>
  <c r="S759"/>
  <c r="Q759"/>
  <c r="R759"/>
  <c r="S755"/>
  <c r="Q755"/>
  <c r="R755"/>
  <c r="S751"/>
  <c r="Q751"/>
  <c r="R751"/>
  <c r="Q746"/>
  <c r="R746"/>
  <c r="S746"/>
  <c r="S741"/>
  <c r="Q741"/>
  <c r="R741"/>
  <c r="S737"/>
  <c r="Q737"/>
  <c r="R737"/>
  <c r="S725"/>
  <c r="Q725"/>
  <c r="R725"/>
  <c r="S719"/>
  <c r="Q719"/>
  <c r="R719"/>
  <c r="Q708"/>
  <c r="R708"/>
  <c r="S708"/>
  <c r="Q698"/>
  <c r="R698"/>
  <c r="S698"/>
  <c r="S685"/>
  <c r="Q685"/>
  <c r="R685"/>
  <c r="Q568"/>
  <c r="R568"/>
  <c r="S568"/>
  <c r="Q564"/>
  <c r="R564"/>
  <c r="S564"/>
  <c r="Q560"/>
  <c r="R560"/>
  <c r="S560"/>
  <c r="Q550"/>
  <c r="R550"/>
  <c r="S550"/>
  <c r="Q536"/>
  <c r="R536"/>
  <c r="S536"/>
  <c r="R528"/>
  <c r="S528"/>
  <c r="Q528"/>
  <c r="S506"/>
  <c r="Q506"/>
  <c r="R506"/>
  <c r="S494"/>
  <c r="Q494"/>
  <c r="R494"/>
  <c r="S490"/>
  <c r="Q490"/>
  <c r="R490"/>
  <c r="S486"/>
  <c r="Q486"/>
  <c r="R486"/>
  <c r="Q325"/>
  <c r="R325"/>
  <c r="S325"/>
  <c r="Q281"/>
  <c r="R281"/>
  <c r="S281"/>
  <c r="Q224"/>
  <c r="R224"/>
  <c r="S224"/>
  <c r="R220"/>
  <c r="Q220"/>
  <c r="S220"/>
  <c r="R216"/>
  <c r="Q216"/>
  <c r="S216"/>
  <c r="R212"/>
  <c r="Q212"/>
  <c r="S212"/>
  <c r="Q208"/>
  <c r="R208"/>
  <c r="S208"/>
  <c r="Q204"/>
  <c r="R204"/>
  <c r="S204"/>
  <c r="Q200"/>
  <c r="R200"/>
  <c r="S200"/>
  <c r="Q196"/>
  <c r="R196"/>
  <c r="S196"/>
  <c r="Q192"/>
  <c r="R192"/>
  <c r="S192"/>
  <c r="Q188"/>
  <c r="R188"/>
  <c r="S188"/>
  <c r="Q184"/>
  <c r="R184"/>
  <c r="S184"/>
  <c r="Q180"/>
  <c r="R180"/>
  <c r="S180"/>
  <c r="Q176"/>
  <c r="R176"/>
  <c r="S176"/>
  <c r="Q172"/>
  <c r="R172"/>
  <c r="S172"/>
  <c r="Q168"/>
  <c r="R168"/>
  <c r="S168"/>
  <c r="Q164"/>
  <c r="R164"/>
  <c r="S164"/>
  <c r="Q160"/>
  <c r="R160"/>
  <c r="S160"/>
  <c r="Q156"/>
  <c r="R156"/>
  <c r="S156"/>
  <c r="Q152"/>
  <c r="R152"/>
  <c r="S152"/>
  <c r="Q148"/>
  <c r="R148"/>
  <c r="S148"/>
  <c r="Q144"/>
  <c r="R144"/>
  <c r="S144"/>
  <c r="Q140"/>
  <c r="R140"/>
  <c r="S140"/>
  <c r="Q136"/>
  <c r="R136"/>
  <c r="S136"/>
  <c r="Q132"/>
  <c r="R132"/>
  <c r="S132"/>
  <c r="R128"/>
  <c r="Q128"/>
  <c r="S128"/>
  <c r="R124"/>
  <c r="S124"/>
  <c r="Q124"/>
  <c r="Q120"/>
  <c r="R120"/>
  <c r="S120"/>
  <c r="Q116"/>
  <c r="R116"/>
  <c r="S116"/>
  <c r="Q112"/>
  <c r="R112"/>
  <c r="S112"/>
  <c r="Q108"/>
  <c r="R108"/>
  <c r="S108"/>
  <c r="Q104"/>
  <c r="R104"/>
  <c r="S104"/>
  <c r="Q100"/>
  <c r="R100"/>
  <c r="S100"/>
  <c r="Q96"/>
  <c r="R96"/>
  <c r="S96"/>
  <c r="Q92"/>
  <c r="R92"/>
  <c r="S92"/>
  <c r="Q88"/>
  <c r="R88"/>
  <c r="S88"/>
  <c r="Q84"/>
  <c r="R84"/>
  <c r="S84"/>
  <c r="Q80"/>
  <c r="R80"/>
  <c r="S80"/>
  <c r="R76"/>
  <c r="S76"/>
  <c r="Q76"/>
  <c r="Q57"/>
  <c r="R57"/>
  <c r="S57"/>
  <c r="Q53"/>
  <c r="R53"/>
  <c r="S53"/>
  <c r="Q49"/>
  <c r="R49"/>
  <c r="S49"/>
  <c r="Q45"/>
  <c r="R45"/>
  <c r="S45"/>
  <c r="Q41"/>
  <c r="R41"/>
  <c r="S41"/>
  <c r="Q37"/>
  <c r="R37"/>
  <c r="S37"/>
  <c r="Q33"/>
  <c r="R33"/>
  <c r="S33"/>
  <c r="Q29"/>
  <c r="R29"/>
  <c r="S29"/>
  <c r="Q25"/>
  <c r="R25"/>
  <c r="S25"/>
  <c r="R1790"/>
  <c r="Q1790"/>
  <c r="S1790"/>
  <c r="R1794"/>
  <c r="Q1794"/>
  <c r="S1794"/>
  <c r="S3984"/>
  <c r="Q3984"/>
  <c r="R3984"/>
  <c r="S3968"/>
  <c r="Q3968"/>
  <c r="R3968"/>
  <c r="S3960"/>
  <c r="Q3960"/>
  <c r="R3960"/>
  <c r="S3948"/>
  <c r="Q3948"/>
  <c r="R3948"/>
  <c r="S3936"/>
  <c r="Q3936"/>
  <c r="R3936"/>
  <c r="S3916"/>
  <c r="Q3916"/>
  <c r="R3916"/>
  <c r="S3892"/>
  <c r="Q3892"/>
  <c r="R3892"/>
  <c r="S3888"/>
  <c r="Q3888"/>
  <c r="R3888"/>
  <c r="S3884"/>
  <c r="Q3884"/>
  <c r="R3884"/>
  <c r="S3880"/>
  <c r="Q3880"/>
  <c r="R3880"/>
  <c r="S3876"/>
  <c r="Q3876"/>
  <c r="R3876"/>
  <c r="S3872"/>
  <c r="Q3872"/>
  <c r="R3872"/>
  <c r="S3868"/>
  <c r="Q3868"/>
  <c r="R3868"/>
  <c r="S3864"/>
  <c r="Q3864"/>
  <c r="R3864"/>
  <c r="S3860"/>
  <c r="Q3860"/>
  <c r="R3860"/>
  <c r="S3856"/>
  <c r="Q3856"/>
  <c r="R3856"/>
  <c r="S3852"/>
  <c r="Q3852"/>
  <c r="R3852"/>
  <c r="S3848"/>
  <c r="Q3848"/>
  <c r="R3848"/>
  <c r="S3844"/>
  <c r="Q3844"/>
  <c r="R3844"/>
  <c r="S3840"/>
  <c r="Q3840"/>
  <c r="R3840"/>
  <c r="S3836"/>
  <c r="Q3836"/>
  <c r="R3836"/>
  <c r="S3832"/>
  <c r="Q3832"/>
  <c r="R3832"/>
  <c r="S3828"/>
  <c r="Q3828"/>
  <c r="R3828"/>
  <c r="S3824"/>
  <c r="Q3824"/>
  <c r="R3824"/>
  <c r="S3820"/>
  <c r="Q3820"/>
  <c r="R3820"/>
  <c r="S3816"/>
  <c r="Q3816"/>
  <c r="R3816"/>
  <c r="S3812"/>
  <c r="Q3812"/>
  <c r="R3812"/>
  <c r="S3808"/>
  <c r="Q3808"/>
  <c r="R3808"/>
  <c r="S3804"/>
  <c r="Q3804"/>
  <c r="R3804"/>
  <c r="S3800"/>
  <c r="Q3800"/>
  <c r="R3800"/>
  <c r="S3796"/>
  <c r="Q3796"/>
  <c r="R3796"/>
  <c r="S3792"/>
  <c r="Q3792"/>
  <c r="R3792"/>
  <c r="S3788"/>
  <c r="Q3788"/>
  <c r="R3788"/>
  <c r="S3784"/>
  <c r="Q3784"/>
  <c r="R3784"/>
  <c r="S3780"/>
  <c r="Q3780"/>
  <c r="R3780"/>
  <c r="S3776"/>
  <c r="Q3776"/>
  <c r="R3776"/>
  <c r="S3772"/>
  <c r="Q3772"/>
  <c r="R3772"/>
  <c r="S3768"/>
  <c r="Q3768"/>
  <c r="R3768"/>
  <c r="S3764"/>
  <c r="Q3764"/>
  <c r="R3764"/>
  <c r="S3760"/>
  <c r="Q3760"/>
  <c r="R3760"/>
  <c r="S3756"/>
  <c r="Q3756"/>
  <c r="R3756"/>
  <c r="S3752"/>
  <c r="Q3752"/>
  <c r="R3752"/>
  <c r="S3748"/>
  <c r="Q3748"/>
  <c r="R3748"/>
  <c r="S3744"/>
  <c r="Q3744"/>
  <c r="R3744"/>
  <c r="S3740"/>
  <c r="Q3740"/>
  <c r="R3740"/>
  <c r="S3736"/>
  <c r="Q3736"/>
  <c r="R3736"/>
  <c r="S3732"/>
  <c r="Q3732"/>
  <c r="R3732"/>
  <c r="S3728"/>
  <c r="Q3728"/>
  <c r="R3728"/>
  <c r="S3724"/>
  <c r="Q3724"/>
  <c r="R3724"/>
  <c r="S3720"/>
  <c r="Q3720"/>
  <c r="R3720"/>
  <c r="S3716"/>
  <c r="Q3716"/>
  <c r="R3716"/>
  <c r="S3712"/>
  <c r="Q3712"/>
  <c r="R3712"/>
  <c r="S3708"/>
  <c r="Q3708"/>
  <c r="R3708"/>
  <c r="S3704"/>
  <c r="Q3704"/>
  <c r="R3704"/>
  <c r="S3700"/>
  <c r="Q3700"/>
  <c r="R3700"/>
  <c r="S3696"/>
  <c r="Q3696"/>
  <c r="R3696"/>
  <c r="S3692"/>
  <c r="Q3692"/>
  <c r="R3692"/>
  <c r="S3688"/>
  <c r="Q3688"/>
  <c r="R3688"/>
  <c r="S3684"/>
  <c r="Q3684"/>
  <c r="R3684"/>
  <c r="S3680"/>
  <c r="Q3680"/>
  <c r="R3680"/>
  <c r="S3676"/>
  <c r="Q3676"/>
  <c r="R3676"/>
  <c r="S3672"/>
  <c r="Q3672"/>
  <c r="R3672"/>
  <c r="S3668"/>
  <c r="Q3668"/>
  <c r="R3668"/>
  <c r="S3664"/>
  <c r="Q3664"/>
  <c r="R3664"/>
  <c r="S3660"/>
  <c r="Q3660"/>
  <c r="R3660"/>
  <c r="S3656"/>
  <c r="Q3656"/>
  <c r="R3656"/>
  <c r="S3652"/>
  <c r="Q3652"/>
  <c r="R3652"/>
  <c r="S3648"/>
  <c r="Q3648"/>
  <c r="R3648"/>
  <c r="S3644"/>
  <c r="Q3644"/>
  <c r="R3644"/>
  <c r="S3640"/>
  <c r="Q3640"/>
  <c r="R3640"/>
  <c r="S3636"/>
  <c r="Q3636"/>
  <c r="R3636"/>
  <c r="S3632"/>
  <c r="Q3632"/>
  <c r="R3632"/>
  <c r="S3628"/>
  <c r="Q3628"/>
  <c r="R3628"/>
  <c r="S3624"/>
  <c r="Q3624"/>
  <c r="R3624"/>
  <c r="S3620"/>
  <c r="Q3620"/>
  <c r="R3620"/>
  <c r="S3616"/>
  <c r="Q3616"/>
  <c r="R3616"/>
  <c r="S3612"/>
  <c r="Q3612"/>
  <c r="R3612"/>
  <c r="S3608"/>
  <c r="Q3608"/>
  <c r="R3608"/>
  <c r="S3604"/>
  <c r="Q3604"/>
  <c r="R3604"/>
  <c r="S3600"/>
  <c r="Q3600"/>
  <c r="R3600"/>
  <c r="S3596"/>
  <c r="Q3596"/>
  <c r="R3596"/>
  <c r="S3592"/>
  <c r="Q3592"/>
  <c r="R3592"/>
  <c r="S3588"/>
  <c r="Q3588"/>
  <c r="R3588"/>
  <c r="S3584"/>
  <c r="Q3584"/>
  <c r="R3584"/>
  <c r="S3580"/>
  <c r="Q3580"/>
  <c r="R3580"/>
  <c r="S3576"/>
  <c r="Q3576"/>
  <c r="R3576"/>
  <c r="S3572"/>
  <c r="Q3572"/>
  <c r="R3572"/>
  <c r="S3568"/>
  <c r="Q3568"/>
  <c r="R3568"/>
  <c r="S3564"/>
  <c r="Q3564"/>
  <c r="R3564"/>
  <c r="S3560"/>
  <c r="Q3560"/>
  <c r="R3560"/>
  <c r="S3556"/>
  <c r="Q3556"/>
  <c r="R3556"/>
  <c r="S3552"/>
  <c r="Q3552"/>
  <c r="R3552"/>
  <c r="S3548"/>
  <c r="Q3548"/>
  <c r="R3548"/>
  <c r="S3544"/>
  <c r="Q3544"/>
  <c r="R3544"/>
  <c r="S3540"/>
  <c r="Q3540"/>
  <c r="R3540"/>
  <c r="S3536"/>
  <c r="Q3536"/>
  <c r="R3536"/>
  <c r="S3532"/>
  <c r="Q3532"/>
  <c r="R3532"/>
  <c r="S3528"/>
  <c r="Q3528"/>
  <c r="R3528"/>
  <c r="S3524"/>
  <c r="Q3524"/>
  <c r="R3524"/>
  <c r="S3520"/>
  <c r="Q3520"/>
  <c r="R3520"/>
  <c r="S3516"/>
  <c r="Q3516"/>
  <c r="R3516"/>
  <c r="S3512"/>
  <c r="Q3512"/>
  <c r="R3512"/>
  <c r="S3508"/>
  <c r="Q3508"/>
  <c r="R3508"/>
  <c r="S3504"/>
  <c r="Q3504"/>
  <c r="R3504"/>
  <c r="S3500"/>
  <c r="Q3500"/>
  <c r="R3500"/>
  <c r="S3496"/>
  <c r="Q3496"/>
  <c r="R3496"/>
  <c r="S3492"/>
  <c r="Q3492"/>
  <c r="R3492"/>
  <c r="S3488"/>
  <c r="Q3488"/>
  <c r="R3488"/>
  <c r="S3484"/>
  <c r="Q3484"/>
  <c r="R3484"/>
  <c r="S3480"/>
  <c r="Q3480"/>
  <c r="R3480"/>
  <c r="S3476"/>
  <c r="Q3476"/>
  <c r="R3476"/>
  <c r="S3472"/>
  <c r="Q3472"/>
  <c r="R3472"/>
  <c r="S3468"/>
  <c r="Q3468"/>
  <c r="R3468"/>
  <c r="S3464"/>
  <c r="Q3464"/>
  <c r="R3464"/>
  <c r="S3460"/>
  <c r="Q3460"/>
  <c r="R3460"/>
  <c r="S3456"/>
  <c r="Q3456"/>
  <c r="R3456"/>
  <c r="S3452"/>
  <c r="Q3452"/>
  <c r="R3452"/>
  <c r="S3448"/>
  <c r="Q3448"/>
  <c r="R3448"/>
  <c r="S3444"/>
  <c r="Q3444"/>
  <c r="R3444"/>
  <c r="S3440"/>
  <c r="Q3440"/>
  <c r="R3440"/>
  <c r="R3436"/>
  <c r="Q3436"/>
  <c r="S3436"/>
  <c r="R3432"/>
  <c r="Q3432"/>
  <c r="S3432"/>
  <c r="R3428"/>
  <c r="Q3428"/>
  <c r="S3428"/>
  <c r="R3424"/>
  <c r="Q3424"/>
  <c r="S3424"/>
  <c r="R3420"/>
  <c r="Q3420"/>
  <c r="S3420"/>
  <c r="R3416"/>
  <c r="Q3416"/>
  <c r="S3416"/>
  <c r="R3412"/>
  <c r="Q3412"/>
  <c r="S3412"/>
  <c r="Q3408"/>
  <c r="R3408"/>
  <c r="S3408"/>
  <c r="Q3404"/>
  <c r="R3404"/>
  <c r="S3404"/>
  <c r="S3400"/>
  <c r="Q3400"/>
  <c r="R3400"/>
  <c r="S3396"/>
  <c r="Q3396"/>
  <c r="R3396"/>
  <c r="S3392"/>
  <c r="Q3392"/>
  <c r="R3392"/>
  <c r="S3388"/>
  <c r="Q3388"/>
  <c r="R3388"/>
  <c r="S3384"/>
  <c r="Q3384"/>
  <c r="R3384"/>
  <c r="S3380"/>
  <c r="Q3380"/>
  <c r="R3380"/>
  <c r="S3376"/>
  <c r="Q3376"/>
  <c r="R3376"/>
  <c r="S3372"/>
  <c r="Q3372"/>
  <c r="R3372"/>
  <c r="S3368"/>
  <c r="Q3368"/>
  <c r="R3368"/>
  <c r="S3364"/>
  <c r="Q3364"/>
  <c r="R3364"/>
  <c r="S3360"/>
  <c r="Q3360"/>
  <c r="R3360"/>
  <c r="S3356"/>
  <c r="Q3356"/>
  <c r="R3356"/>
  <c r="S3352"/>
  <c r="Q3352"/>
  <c r="R3352"/>
  <c r="S3348"/>
  <c r="Q3348"/>
  <c r="R3348"/>
  <c r="S3344"/>
  <c r="Q3344"/>
  <c r="R3344"/>
  <c r="S3340"/>
  <c r="Q3340"/>
  <c r="R3340"/>
  <c r="S3336"/>
  <c r="Q3336"/>
  <c r="R3336"/>
  <c r="S3332"/>
  <c r="Q3332"/>
  <c r="R3332"/>
  <c r="S3328"/>
  <c r="Q3328"/>
  <c r="R3328"/>
  <c r="S3324"/>
  <c r="Q3324"/>
  <c r="R3324"/>
  <c r="S3320"/>
  <c r="Q3320"/>
  <c r="R3320"/>
  <c r="S3316"/>
  <c r="Q3316"/>
  <c r="R3316"/>
  <c r="S3312"/>
  <c r="Q3312"/>
  <c r="R3312"/>
  <c r="Q3297"/>
  <c r="R3297"/>
  <c r="S3297"/>
  <c r="Q3223"/>
  <c r="R3223"/>
  <c r="S3223"/>
  <c r="Q3211"/>
  <c r="R3211"/>
  <c r="S3211"/>
  <c r="Q3199"/>
  <c r="R3199"/>
  <c r="S3199"/>
  <c r="Q3193"/>
  <c r="R3193"/>
  <c r="S3193"/>
  <c r="Q3187"/>
  <c r="R3187"/>
  <c r="S3187"/>
  <c r="Q3121"/>
  <c r="R3121"/>
  <c r="S3121"/>
  <c r="Q3117"/>
  <c r="R3117"/>
  <c r="S3117"/>
  <c r="Q3113"/>
  <c r="R3113"/>
  <c r="S3113"/>
  <c r="Q3107"/>
  <c r="R3107"/>
  <c r="S3107"/>
  <c r="Q3103"/>
  <c r="R3103"/>
  <c r="S3103"/>
  <c r="Q3099"/>
  <c r="R3099"/>
  <c r="S3099"/>
  <c r="S3094"/>
  <c r="Q3094"/>
  <c r="R3094"/>
  <c r="Q3069"/>
  <c r="R3069"/>
  <c r="S3069"/>
  <c r="Q3065"/>
  <c r="R3065"/>
  <c r="S3065"/>
  <c r="Q3061"/>
  <c r="R3061"/>
  <c r="S3061"/>
  <c r="Q3057"/>
  <c r="R3057"/>
  <c r="S3057"/>
  <c r="Q3053"/>
  <c r="R3053"/>
  <c r="S3053"/>
  <c r="Q3049"/>
  <c r="R3049"/>
  <c r="S3049"/>
  <c r="Q3045"/>
  <c r="R3045"/>
  <c r="S3045"/>
  <c r="Q3041"/>
  <c r="R3041"/>
  <c r="S3041"/>
  <c r="Q3037"/>
  <c r="R3037"/>
  <c r="S3037"/>
  <c r="Q3033"/>
  <c r="R3033"/>
  <c r="S3033"/>
  <c r="Q3029"/>
  <c r="R3029"/>
  <c r="S3029"/>
  <c r="Q3025"/>
  <c r="R3025"/>
  <c r="S3025"/>
  <c r="Q3021"/>
  <c r="R3021"/>
  <c r="S3021"/>
  <c r="Q3017"/>
  <c r="R3017"/>
  <c r="S3017"/>
  <c r="Q3013"/>
  <c r="R3013"/>
  <c r="S3013"/>
  <c r="Q3009"/>
  <c r="R3009"/>
  <c r="S3009"/>
  <c r="Q3005"/>
  <c r="R3005"/>
  <c r="S3005"/>
  <c r="Q3001"/>
  <c r="R3001"/>
  <c r="S3001"/>
  <c r="Q2997"/>
  <c r="R2997"/>
  <c r="S2997"/>
  <c r="S2912"/>
  <c r="Q2912"/>
  <c r="R2912"/>
  <c r="S2908"/>
  <c r="Q2908"/>
  <c r="R2908"/>
  <c r="S2904"/>
  <c r="Q2904"/>
  <c r="R2904"/>
  <c r="S2900"/>
  <c r="Q2900"/>
  <c r="R2900"/>
  <c r="S2896"/>
  <c r="Q2896"/>
  <c r="R2896"/>
  <c r="S2892"/>
  <c r="Q2892"/>
  <c r="R2892"/>
  <c r="S2888"/>
  <c r="Q2888"/>
  <c r="R2888"/>
  <c r="S2884"/>
  <c r="Q2884"/>
  <c r="R2884"/>
  <c r="S2880"/>
  <c r="Q2880"/>
  <c r="R2880"/>
  <c r="S2876"/>
  <c r="Q2876"/>
  <c r="R2876"/>
  <c r="S2872"/>
  <c r="Q2872"/>
  <c r="R2872"/>
  <c r="S2868"/>
  <c r="Q2868"/>
  <c r="R2868"/>
  <c r="S2864"/>
  <c r="Q2864"/>
  <c r="R2864"/>
  <c r="S2860"/>
  <c r="Q2860"/>
  <c r="R2860"/>
  <c r="S2856"/>
  <c r="Q2856"/>
  <c r="R2856"/>
  <c r="S2852"/>
  <c r="Q2852"/>
  <c r="R2852"/>
  <c r="S2848"/>
  <c r="Q2848"/>
  <c r="R2848"/>
  <c r="S2844"/>
  <c r="Q2844"/>
  <c r="R2844"/>
  <c r="S2840"/>
  <c r="Q2840"/>
  <c r="R2840"/>
  <c r="Q2835"/>
  <c r="R2835"/>
  <c r="S2835"/>
  <c r="Q2831"/>
  <c r="R2831"/>
  <c r="S2831"/>
  <c r="Q2827"/>
  <c r="R2827"/>
  <c r="S2827"/>
  <c r="Q2823"/>
  <c r="R2823"/>
  <c r="S2823"/>
  <c r="Q2819"/>
  <c r="R2819"/>
  <c r="S2819"/>
  <c r="Q2815"/>
  <c r="R2815"/>
  <c r="S2815"/>
  <c r="Q2811"/>
  <c r="R2811"/>
  <c r="S2811"/>
  <c r="Q2807"/>
  <c r="R2807"/>
  <c r="S2807"/>
  <c r="S2802"/>
  <c r="Q2802"/>
  <c r="R2802"/>
  <c r="S2798"/>
  <c r="Q2798"/>
  <c r="R2798"/>
  <c r="S2794"/>
  <c r="Q2794"/>
  <c r="R2794"/>
  <c r="S2790"/>
  <c r="Q2790"/>
  <c r="R2790"/>
  <c r="S2786"/>
  <c r="Q2786"/>
  <c r="R2786"/>
  <c r="S2782"/>
  <c r="Q2782"/>
  <c r="R2782"/>
  <c r="S2778"/>
  <c r="Q2778"/>
  <c r="R2778"/>
  <c r="S2774"/>
  <c r="Q2774"/>
  <c r="R2774"/>
  <c r="S2770"/>
  <c r="Q2770"/>
  <c r="R2770"/>
  <c r="S2766"/>
  <c r="Q2766"/>
  <c r="R2766"/>
  <c r="S2762"/>
  <c r="Q2762"/>
  <c r="R2762"/>
  <c r="Q2758"/>
  <c r="R2758"/>
  <c r="S2758"/>
  <c r="Q2754"/>
  <c r="R2754"/>
  <c r="S2754"/>
  <c r="Q2750"/>
  <c r="R2750"/>
  <c r="S2750"/>
  <c r="Q2746"/>
  <c r="R2746"/>
  <c r="S2746"/>
  <c r="Q2742"/>
  <c r="R2742"/>
  <c r="S2742"/>
  <c r="Q2738"/>
  <c r="R2738"/>
  <c r="S2738"/>
  <c r="Q2734"/>
  <c r="R2734"/>
  <c r="S2734"/>
  <c r="Q2730"/>
  <c r="R2730"/>
  <c r="S2730"/>
  <c r="Q2726"/>
  <c r="R2726"/>
  <c r="S2726"/>
  <c r="Q2722"/>
  <c r="R2722"/>
  <c r="S2722"/>
  <c r="Q2718"/>
  <c r="R2718"/>
  <c r="S2718"/>
  <c r="Q2714"/>
  <c r="R2714"/>
  <c r="S2714"/>
  <c r="Q2710"/>
  <c r="R2710"/>
  <c r="S2710"/>
  <c r="Q2706"/>
  <c r="R2706"/>
  <c r="S2706"/>
  <c r="Q2702"/>
  <c r="R2702"/>
  <c r="S2702"/>
  <c r="Q2698"/>
  <c r="R2698"/>
  <c r="S2698"/>
  <c r="Q2694"/>
  <c r="R2694"/>
  <c r="S2694"/>
  <c r="Q2690"/>
  <c r="R2690"/>
  <c r="S2690"/>
  <c r="Q2686"/>
  <c r="R2686"/>
  <c r="S2686"/>
  <c r="Q2682"/>
  <c r="R2682"/>
  <c r="S2682"/>
  <c r="Q2678"/>
  <c r="R2678"/>
  <c r="S2678"/>
  <c r="Q2674"/>
  <c r="R2674"/>
  <c r="S2674"/>
  <c r="Q2670"/>
  <c r="R2670"/>
  <c r="S2670"/>
  <c r="Q2666"/>
  <c r="R2666"/>
  <c r="S2666"/>
  <c r="Q2662"/>
  <c r="R2662"/>
  <c r="S2662"/>
  <c r="Q2658"/>
  <c r="R2658"/>
  <c r="S2658"/>
  <c r="Q2654"/>
  <c r="R2654"/>
  <c r="S2654"/>
  <c r="Q2650"/>
  <c r="R2650"/>
  <c r="S2650"/>
  <c r="Q2646"/>
  <c r="R2646"/>
  <c r="S2646"/>
  <c r="Q2638"/>
  <c r="R2638"/>
  <c r="S2638"/>
  <c r="Q2634"/>
  <c r="R2634"/>
  <c r="S2634"/>
  <c r="Q2630"/>
  <c r="R2630"/>
  <c r="S2630"/>
  <c r="Q2626"/>
  <c r="R2626"/>
  <c r="S2626"/>
  <c r="S2617"/>
  <c r="Q2617"/>
  <c r="R2617"/>
  <c r="S2613"/>
  <c r="Q2613"/>
  <c r="R2613"/>
  <c r="S2609"/>
  <c r="Q2609"/>
  <c r="R2609"/>
  <c r="Q2600"/>
  <c r="R2600"/>
  <c r="S2600"/>
  <c r="Q2596"/>
  <c r="R2596"/>
  <c r="S2596"/>
  <c r="Q2592"/>
  <c r="R2592"/>
  <c r="S2592"/>
  <c r="Q2588"/>
  <c r="R2588"/>
  <c r="S2588"/>
  <c r="Q2584"/>
  <c r="R2584"/>
  <c r="S2584"/>
  <c r="Q2580"/>
  <c r="R2580"/>
  <c r="S2580"/>
  <c r="Q2576"/>
  <c r="R2576"/>
  <c r="S2576"/>
  <c r="Q2570"/>
  <c r="R2570"/>
  <c r="S2570"/>
  <c r="Q2566"/>
  <c r="R2566"/>
  <c r="S2566"/>
  <c r="S2561"/>
  <c r="Q2561"/>
  <c r="R2561"/>
  <c r="S2557"/>
  <c r="Q2557"/>
  <c r="R2557"/>
  <c r="S2553"/>
  <c r="Q2553"/>
  <c r="R2553"/>
  <c r="S2549"/>
  <c r="Q2549"/>
  <c r="R2549"/>
  <c r="S2545"/>
  <c r="Q2545"/>
  <c r="R2545"/>
  <c r="S2541"/>
  <c r="Q2541"/>
  <c r="R2541"/>
  <c r="S2537"/>
  <c r="Q2537"/>
  <c r="R2537"/>
  <c r="S2533"/>
  <c r="Q2533"/>
  <c r="R2533"/>
  <c r="S2529"/>
  <c r="Q2529"/>
  <c r="R2529"/>
  <c r="Q2522"/>
  <c r="R2522"/>
  <c r="S2522"/>
  <c r="S2515"/>
  <c r="Q2515"/>
  <c r="R2515"/>
  <c r="S2511"/>
  <c r="Q2511"/>
  <c r="R2511"/>
  <c r="S2507"/>
  <c r="Q2507"/>
  <c r="R2507"/>
  <c r="S2503"/>
  <c r="Q2503"/>
  <c r="R2503"/>
  <c r="S2499"/>
  <c r="Q2499"/>
  <c r="R2499"/>
  <c r="Q2494"/>
  <c r="R2494"/>
  <c r="S2494"/>
  <c r="Q2490"/>
  <c r="R2490"/>
  <c r="S2490"/>
  <c r="S2485"/>
  <c r="Q2485"/>
  <c r="R2485"/>
  <c r="S2481"/>
  <c r="Q2481"/>
  <c r="R2481"/>
  <c r="S2477"/>
  <c r="Q2477"/>
  <c r="R2477"/>
  <c r="S2473"/>
  <c r="Q2473"/>
  <c r="R2473"/>
  <c r="S2469"/>
  <c r="Q2469"/>
  <c r="R2469"/>
  <c r="S2465"/>
  <c r="Q2465"/>
  <c r="R2465"/>
  <c r="S2461"/>
  <c r="Q2461"/>
  <c r="R2461"/>
  <c r="S2457"/>
  <c r="Q2457"/>
  <c r="R2457"/>
  <c r="S2453"/>
  <c r="Q2453"/>
  <c r="R2453"/>
  <c r="Q2448"/>
  <c r="R2448"/>
  <c r="S2448"/>
  <c r="Q2444"/>
  <c r="R2444"/>
  <c r="S2444"/>
  <c r="Q2440"/>
  <c r="R2440"/>
  <c r="S2440"/>
  <c r="Q2436"/>
  <c r="R2436"/>
  <c r="S2436"/>
  <c r="Q2432"/>
  <c r="R2432"/>
  <c r="S2432"/>
  <c r="Q2428"/>
  <c r="R2428"/>
  <c r="S2428"/>
  <c r="Q2424"/>
  <c r="R2424"/>
  <c r="S2424"/>
  <c r="Q2420"/>
  <c r="R2420"/>
  <c r="S2420"/>
  <c r="Q2416"/>
  <c r="R2416"/>
  <c r="S2416"/>
  <c r="Q2412"/>
  <c r="R2412"/>
  <c r="S2412"/>
  <c r="Q2408"/>
  <c r="R2408"/>
  <c r="S2408"/>
  <c r="Q2404"/>
  <c r="R2404"/>
  <c r="S2404"/>
  <c r="Q2372"/>
  <c r="R2372"/>
  <c r="S2372"/>
  <c r="Q2358"/>
  <c r="R2358"/>
  <c r="S2358"/>
  <c r="Q2354"/>
  <c r="R2354"/>
  <c r="S2354"/>
  <c r="Q2350"/>
  <c r="R2350"/>
  <c r="S2350"/>
  <c r="Q2346"/>
  <c r="R2346"/>
  <c r="S2346"/>
  <c r="Q2342"/>
  <c r="R2342"/>
  <c r="S2342"/>
  <c r="Q2334"/>
  <c r="R2334"/>
  <c r="S2334"/>
  <c r="Q2330"/>
  <c r="R2330"/>
  <c r="S2330"/>
  <c r="Q2326"/>
  <c r="R2326"/>
  <c r="S2326"/>
  <c r="Q2322"/>
  <c r="R2322"/>
  <c r="S2322"/>
  <c r="Q2318"/>
  <c r="R2318"/>
  <c r="S2318"/>
  <c r="Q2314"/>
  <c r="R2314"/>
  <c r="S2314"/>
  <c r="Q2310"/>
  <c r="R2310"/>
  <c r="S2310"/>
  <c r="Q2306"/>
  <c r="R2306"/>
  <c r="S2306"/>
  <c r="Q2302"/>
  <c r="R2302"/>
  <c r="S2302"/>
  <c r="Q2298"/>
  <c r="R2298"/>
  <c r="S2298"/>
  <c r="Q2294"/>
  <c r="R2294"/>
  <c r="S2294"/>
  <c r="Q2290"/>
  <c r="R2290"/>
  <c r="S2290"/>
  <c r="Q2286"/>
  <c r="R2286"/>
  <c r="S2286"/>
  <c r="Q2282"/>
  <c r="R2282"/>
  <c r="S2282"/>
  <c r="Q2278"/>
  <c r="R2278"/>
  <c r="S2278"/>
  <c r="Q2274"/>
  <c r="R2274"/>
  <c r="S2274"/>
  <c r="Q2270"/>
  <c r="R2270"/>
  <c r="S2270"/>
  <c r="Q2266"/>
  <c r="R2266"/>
  <c r="S2266"/>
  <c r="Q2262"/>
  <c r="R2262"/>
  <c r="S2262"/>
  <c r="Q2258"/>
  <c r="R2258"/>
  <c r="S2258"/>
  <c r="Q2254"/>
  <c r="R2254"/>
  <c r="S2254"/>
  <c r="Q2250"/>
  <c r="R2250"/>
  <c r="S2250"/>
  <c r="Q2246"/>
  <c r="R2246"/>
  <c r="S2246"/>
  <c r="Q2242"/>
  <c r="R2242"/>
  <c r="S2242"/>
  <c r="Q2238"/>
  <c r="R2238"/>
  <c r="S2238"/>
  <c r="Q2234"/>
  <c r="R2234"/>
  <c r="S2234"/>
  <c r="Q2230"/>
  <c r="R2230"/>
  <c r="S2230"/>
  <c r="Q2226"/>
  <c r="R2226"/>
  <c r="S2226"/>
  <c r="Q2222"/>
  <c r="R2222"/>
  <c r="S2222"/>
  <c r="Q2218"/>
  <c r="R2218"/>
  <c r="S2218"/>
  <c r="Q2214"/>
  <c r="R2214"/>
  <c r="S2214"/>
  <c r="Q2210"/>
  <c r="R2210"/>
  <c r="S2210"/>
  <c r="Q2206"/>
  <c r="R2206"/>
  <c r="S2206"/>
  <c r="Q2202"/>
  <c r="R2202"/>
  <c r="S2202"/>
  <c r="Q2198"/>
  <c r="R2198"/>
  <c r="S2198"/>
  <c r="Q2194"/>
  <c r="R2194"/>
  <c r="S2194"/>
  <c r="Q2190"/>
  <c r="R2190"/>
  <c r="S2190"/>
  <c r="Q2186"/>
  <c r="R2186"/>
  <c r="S2186"/>
  <c r="Q2182"/>
  <c r="R2182"/>
  <c r="S2182"/>
  <c r="Q2178"/>
  <c r="R2178"/>
  <c r="S2178"/>
  <c r="Q2174"/>
  <c r="R2174"/>
  <c r="S2174"/>
  <c r="Q2170"/>
  <c r="R2170"/>
  <c r="S2170"/>
  <c r="Q2166"/>
  <c r="R2166"/>
  <c r="S2166"/>
  <c r="Q2162"/>
  <c r="R2162"/>
  <c r="S2162"/>
  <c r="Q2158"/>
  <c r="R2158"/>
  <c r="S2158"/>
  <c r="Q2154"/>
  <c r="R2154"/>
  <c r="S2154"/>
  <c r="Q2150"/>
  <c r="R2150"/>
  <c r="S2150"/>
  <c r="Q2146"/>
  <c r="R2146"/>
  <c r="S2146"/>
  <c r="Q2142"/>
  <c r="R2142"/>
  <c r="S2142"/>
  <c r="Q1940"/>
  <c r="R1940"/>
  <c r="S1940"/>
  <c r="Q1936"/>
  <c r="R1936"/>
  <c r="S1936"/>
  <c r="Q1932"/>
  <c r="R1932"/>
  <c r="S1932"/>
  <c r="Q1928"/>
  <c r="R1928"/>
  <c r="S1928"/>
  <c r="Q1924"/>
  <c r="R1924"/>
  <c r="S1924"/>
  <c r="Q1920"/>
  <c r="R1920"/>
  <c r="S1920"/>
  <c r="Q1916"/>
  <c r="R1916"/>
  <c r="S1916"/>
  <c r="Q1908"/>
  <c r="R1908"/>
  <c r="S1908"/>
  <c r="Q1900"/>
  <c r="R1900"/>
  <c r="S1900"/>
  <c r="A1888"/>
  <c r="Q1888"/>
  <c r="R1888"/>
  <c r="S1888"/>
  <c r="Q1884"/>
  <c r="R1884"/>
  <c r="S1884"/>
  <c r="Q1880"/>
  <c r="R1880"/>
  <c r="S1880"/>
  <c r="Q1876"/>
  <c r="R1876"/>
  <c r="S1876"/>
  <c r="A1872"/>
  <c r="Q1872"/>
  <c r="R1872"/>
  <c r="S1872"/>
  <c r="R1863"/>
  <c r="S1863"/>
  <c r="Q1863"/>
  <c r="R1859"/>
  <c r="S1859"/>
  <c r="Q1859"/>
  <c r="R1855"/>
  <c r="S1855"/>
  <c r="Q1855"/>
  <c r="R1851"/>
  <c r="S1851"/>
  <c r="Q1851"/>
  <c r="R1847"/>
  <c r="S1847"/>
  <c r="Q1847"/>
  <c r="R1843"/>
  <c r="S1843"/>
  <c r="Q1843"/>
  <c r="R1839"/>
  <c r="S1839"/>
  <c r="Q1839"/>
  <c r="R1835"/>
  <c r="S1835"/>
  <c r="Q1835"/>
  <c r="R1831"/>
  <c r="S1831"/>
  <c r="Q1831"/>
  <c r="R1827"/>
  <c r="S1827"/>
  <c r="Q1827"/>
  <c r="R1809"/>
  <c r="S1809"/>
  <c r="Q1809"/>
  <c r="R1805"/>
  <c r="S1805"/>
  <c r="Q1805"/>
  <c r="R1801"/>
  <c r="S1801"/>
  <c r="Q1801"/>
  <c r="R1768"/>
  <c r="Q1768"/>
  <c r="S1768"/>
  <c r="R1764"/>
  <c r="Q1764"/>
  <c r="S1764"/>
  <c r="R1734"/>
  <c r="Q1734"/>
  <c r="S1734"/>
  <c r="R1784"/>
  <c r="Q1784"/>
  <c r="S1784"/>
  <c r="R1780"/>
  <c r="Q1780"/>
  <c r="S1780"/>
  <c r="R1776"/>
  <c r="Q1776"/>
  <c r="S1776"/>
  <c r="R1727"/>
  <c r="Q1727"/>
  <c r="S1727"/>
  <c r="Q1723"/>
  <c r="R1723"/>
  <c r="S1723"/>
  <c r="Q1719"/>
  <c r="R1719"/>
  <c r="S1719"/>
  <c r="Q1715"/>
  <c r="R1715"/>
  <c r="S1715"/>
  <c r="Q1711"/>
  <c r="R1711"/>
  <c r="S1711"/>
  <c r="Q1707"/>
  <c r="R1707"/>
  <c r="S1707"/>
  <c r="Q1703"/>
  <c r="R1703"/>
  <c r="S1703"/>
  <c r="Q1699"/>
  <c r="R1699"/>
  <c r="S1699"/>
  <c r="R1692"/>
  <c r="S1692"/>
  <c r="Q1692"/>
  <c r="R1688"/>
  <c r="S1688"/>
  <c r="Q1688"/>
  <c r="R1684"/>
  <c r="S1684"/>
  <c r="Q1684"/>
  <c r="Q1679"/>
  <c r="R1679"/>
  <c r="S1679"/>
  <c r="Q1675"/>
  <c r="R1675"/>
  <c r="S1675"/>
  <c r="Q1671"/>
  <c r="R1671"/>
  <c r="S1671"/>
  <c r="Q1667"/>
  <c r="R1667"/>
  <c r="S1667"/>
  <c r="Q1663"/>
  <c r="R1663"/>
  <c r="S1663"/>
  <c r="Q1659"/>
  <c r="R1659"/>
  <c r="S1659"/>
  <c r="Q1655"/>
  <c r="R1655"/>
  <c r="S1655"/>
  <c r="Q1651"/>
  <c r="R1651"/>
  <c r="S1651"/>
  <c r="Q1647"/>
  <c r="R1647"/>
  <c r="S1647"/>
  <c r="Q1643"/>
  <c r="R1643"/>
  <c r="S1643"/>
  <c r="Q1639"/>
  <c r="R1639"/>
  <c r="S1639"/>
  <c r="Q1635"/>
  <c r="R1635"/>
  <c r="S1635"/>
  <c r="Q1631"/>
  <c r="R1631"/>
  <c r="S1631"/>
  <c r="Q1352"/>
  <c r="R1352"/>
  <c r="S1352"/>
  <c r="Q1294"/>
  <c r="R1294"/>
  <c r="S1294"/>
  <c r="Q1296"/>
  <c r="R1296"/>
  <c r="S1296"/>
  <c r="Q1290"/>
  <c r="R1290"/>
  <c r="S1290"/>
  <c r="Q1286"/>
  <c r="R1286"/>
  <c r="S1286"/>
  <c r="Q1282"/>
  <c r="R1282"/>
  <c r="S1282"/>
  <c r="Q1278"/>
  <c r="R1278"/>
  <c r="S1278"/>
  <c r="Q1274"/>
  <c r="R1274"/>
  <c r="S1274"/>
  <c r="Q1270"/>
  <c r="R1270"/>
  <c r="S1270"/>
  <c r="Q1266"/>
  <c r="R1266"/>
  <c r="S1266"/>
  <c r="R1241"/>
  <c r="S1241"/>
  <c r="Q1241"/>
  <c r="Q1234"/>
  <c r="R1234"/>
  <c r="S1234"/>
  <c r="Q1230"/>
  <c r="R1230"/>
  <c r="S1230"/>
  <c r="Q1226"/>
  <c r="R1226"/>
  <c r="S1226"/>
  <c r="Q1222"/>
  <c r="R1222"/>
  <c r="S1222"/>
  <c r="Q1218"/>
  <c r="R1218"/>
  <c r="S1218"/>
  <c r="Q1214"/>
  <c r="R1214"/>
  <c r="S1214"/>
  <c r="Q1210"/>
  <c r="R1210"/>
  <c r="S1210"/>
  <c r="Q1206"/>
  <c r="R1206"/>
  <c r="S1206"/>
  <c r="Q1202"/>
  <c r="R1202"/>
  <c r="S1202"/>
  <c r="Q1198"/>
  <c r="R1198"/>
  <c r="S1198"/>
  <c r="Q1194"/>
  <c r="R1194"/>
  <c r="S1194"/>
  <c r="Q1190"/>
  <c r="R1190"/>
  <c r="S1190"/>
  <c r="Q1186"/>
  <c r="R1186"/>
  <c r="S1186"/>
  <c r="Q1182"/>
  <c r="R1182"/>
  <c r="S1182"/>
  <c r="Q1178"/>
  <c r="R1178"/>
  <c r="S1178"/>
  <c r="Q1174"/>
  <c r="R1174"/>
  <c r="S1174"/>
  <c r="Q1170"/>
  <c r="R1170"/>
  <c r="S1170"/>
  <c r="Q1166"/>
  <c r="R1166"/>
  <c r="S1166"/>
  <c r="Q1162"/>
  <c r="R1162"/>
  <c r="S1162"/>
  <c r="Q1158"/>
  <c r="R1158"/>
  <c r="S1158"/>
  <c r="Q1154"/>
  <c r="R1154"/>
  <c r="S1154"/>
  <c r="Q1150"/>
  <c r="R1150"/>
  <c r="S1150"/>
  <c r="Q1146"/>
  <c r="R1146"/>
  <c r="S1146"/>
  <c r="Q1142"/>
  <c r="R1142"/>
  <c r="S1142"/>
  <c r="Q1138"/>
  <c r="R1138"/>
  <c r="S1138"/>
  <c r="Q1134"/>
  <c r="R1134"/>
  <c r="S1134"/>
  <c r="Q1130"/>
  <c r="R1130"/>
  <c r="S1130"/>
  <c r="R1126"/>
  <c r="S1126"/>
  <c r="Q1126"/>
  <c r="R1122"/>
  <c r="S1122"/>
  <c r="Q1122"/>
  <c r="R1118"/>
  <c r="S1118"/>
  <c r="Q1118"/>
  <c r="R1114"/>
  <c r="S1114"/>
  <c r="Q1114"/>
  <c r="R1110"/>
  <c r="S1110"/>
  <c r="Q1110"/>
  <c r="R1106"/>
  <c r="S1106"/>
  <c r="Q1106"/>
  <c r="R1102"/>
  <c r="S1102"/>
  <c r="Q1102"/>
  <c r="R1098"/>
  <c r="S1098"/>
  <c r="Q1098"/>
  <c r="R1094"/>
  <c r="S1094"/>
  <c r="Q1094"/>
  <c r="R1090"/>
  <c r="S1090"/>
  <c r="Q1090"/>
  <c r="R1086"/>
  <c r="S1086"/>
  <c r="Q1086"/>
  <c r="Q1082"/>
  <c r="R1082"/>
  <c r="S1082"/>
  <c r="Q1078"/>
  <c r="R1078"/>
  <c r="S1078"/>
  <c r="Q1074"/>
  <c r="R1074"/>
  <c r="S1074"/>
  <c r="Q1070"/>
  <c r="R1070"/>
  <c r="S1070"/>
  <c r="Q1066"/>
  <c r="R1066"/>
  <c r="S1066"/>
  <c r="Q1062"/>
  <c r="R1062"/>
  <c r="S1062"/>
  <c r="Q1058"/>
  <c r="R1058"/>
  <c r="S1058"/>
  <c r="Q1054"/>
  <c r="R1054"/>
  <c r="S1054"/>
  <c r="Q1050"/>
  <c r="R1050"/>
  <c r="S1050"/>
  <c r="Q1046"/>
  <c r="R1046"/>
  <c r="S1046"/>
  <c r="Q1042"/>
  <c r="R1042"/>
  <c r="S1042"/>
  <c r="Q1038"/>
  <c r="R1038"/>
  <c r="S1038"/>
  <c r="Q1034"/>
  <c r="R1034"/>
  <c r="S1034"/>
  <c r="Q1030"/>
  <c r="R1030"/>
  <c r="S1030"/>
  <c r="Q1026"/>
  <c r="R1026"/>
  <c r="S1026"/>
  <c r="Q1022"/>
  <c r="R1022"/>
  <c r="S1022"/>
  <c r="Q1018"/>
  <c r="R1018"/>
  <c r="S1018"/>
  <c r="R865"/>
  <c r="S865"/>
  <c r="Q865"/>
  <c r="Q858"/>
  <c r="R858"/>
  <c r="S858"/>
  <c r="Q852"/>
  <c r="R852"/>
  <c r="S852"/>
  <c r="Q848"/>
  <c r="R848"/>
  <c r="S848"/>
  <c r="R804"/>
  <c r="Q804"/>
  <c r="S804"/>
  <c r="R795"/>
  <c r="Q795"/>
  <c r="S795"/>
  <c r="R790"/>
  <c r="Q790"/>
  <c r="S790"/>
  <c r="Q780"/>
  <c r="R780"/>
  <c r="S780"/>
  <c r="S771"/>
  <c r="Q771"/>
  <c r="R771"/>
  <c r="Q766"/>
  <c r="R766"/>
  <c r="S766"/>
  <c r="Q762"/>
  <c r="R762"/>
  <c r="S762"/>
  <c r="Q758"/>
  <c r="R758"/>
  <c r="S758"/>
  <c r="Q754"/>
  <c r="R754"/>
  <c r="S754"/>
  <c r="S749"/>
  <c r="Q749"/>
  <c r="R749"/>
  <c r="Q744"/>
  <c r="R744"/>
  <c r="S744"/>
  <c r="Q740"/>
  <c r="R740"/>
  <c r="S740"/>
  <c r="Q736"/>
  <c r="R736"/>
  <c r="S736"/>
  <c r="Q724"/>
  <c r="R724"/>
  <c r="S724"/>
  <c r="S717"/>
  <c r="Q717"/>
  <c r="R717"/>
  <c r="S705"/>
  <c r="Q705"/>
  <c r="R705"/>
  <c r="Q696"/>
  <c r="R696"/>
  <c r="S696"/>
  <c r="Q682"/>
  <c r="R682"/>
  <c r="S682"/>
  <c r="R567"/>
  <c r="S567"/>
  <c r="Q567"/>
  <c r="R563"/>
  <c r="S563"/>
  <c r="Q563"/>
  <c r="R559"/>
  <c r="S559"/>
  <c r="Q559"/>
  <c r="R547"/>
  <c r="S547"/>
  <c r="Q547"/>
  <c r="Q534"/>
  <c r="R534"/>
  <c r="S534"/>
  <c r="Q511"/>
  <c r="R511"/>
  <c r="S511"/>
  <c r="Q505"/>
  <c r="R505"/>
  <c r="S505"/>
  <c r="Q493"/>
  <c r="R493"/>
  <c r="S493"/>
  <c r="Q489"/>
  <c r="R489"/>
  <c r="S489"/>
  <c r="Q392"/>
  <c r="R392"/>
  <c r="S392"/>
  <c r="S324"/>
  <c r="Q324"/>
  <c r="R324"/>
  <c r="R271"/>
  <c r="S271"/>
  <c r="Q271"/>
  <c r="R223"/>
  <c r="Q223"/>
  <c r="S223"/>
  <c r="R219"/>
  <c r="S219"/>
  <c r="Q219"/>
  <c r="R215"/>
  <c r="S215"/>
  <c r="Q215"/>
  <c r="R211"/>
  <c r="S211"/>
  <c r="Q211"/>
  <c r="R207"/>
  <c r="S207"/>
  <c r="Q207"/>
  <c r="R203"/>
  <c r="S203"/>
  <c r="Q203"/>
  <c r="R199"/>
  <c r="S199"/>
  <c r="Q199"/>
  <c r="R195"/>
  <c r="S195"/>
  <c r="Q195"/>
  <c r="R191"/>
  <c r="S191"/>
  <c r="Q191"/>
  <c r="R187"/>
  <c r="S187"/>
  <c r="Q187"/>
  <c r="R183"/>
  <c r="S183"/>
  <c r="Q183"/>
  <c r="R179"/>
  <c r="S179"/>
  <c r="Q179"/>
  <c r="R175"/>
  <c r="S175"/>
  <c r="Q175"/>
  <c r="R171"/>
  <c r="S171"/>
  <c r="Q171"/>
  <c r="R167"/>
  <c r="S167"/>
  <c r="Q167"/>
  <c r="R163"/>
  <c r="S163"/>
  <c r="Q163"/>
  <c r="R159"/>
  <c r="S159"/>
  <c r="Q159"/>
  <c r="R155"/>
  <c r="S155"/>
  <c r="Q155"/>
  <c r="R151"/>
  <c r="S151"/>
  <c r="Q151"/>
  <c r="R147"/>
  <c r="S147"/>
  <c r="Q147"/>
  <c r="R143"/>
  <c r="S143"/>
  <c r="Q143"/>
  <c r="R139"/>
  <c r="S139"/>
  <c r="Q139"/>
  <c r="R135"/>
  <c r="S135"/>
  <c r="Q135"/>
  <c r="R131"/>
  <c r="S131"/>
  <c r="Q131"/>
  <c r="R127"/>
  <c r="Q127"/>
  <c r="S127"/>
  <c r="R123"/>
  <c r="Q123"/>
  <c r="S123"/>
  <c r="R119"/>
  <c r="S119"/>
  <c r="Q119"/>
  <c r="R115"/>
  <c r="S115"/>
  <c r="Q115"/>
  <c r="R111"/>
  <c r="S111"/>
  <c r="Q111"/>
  <c r="R107"/>
  <c r="S107"/>
  <c r="Q107"/>
  <c r="R103"/>
  <c r="S103"/>
  <c r="Q103"/>
  <c r="R99"/>
  <c r="S99"/>
  <c r="Q99"/>
  <c r="R95"/>
  <c r="S95"/>
  <c r="Q95"/>
  <c r="R91"/>
  <c r="S91"/>
  <c r="Q91"/>
  <c r="R87"/>
  <c r="S87"/>
  <c r="Q87"/>
  <c r="R83"/>
  <c r="S83"/>
  <c r="Q83"/>
  <c r="R79"/>
  <c r="S79"/>
  <c r="Q79"/>
  <c r="R75"/>
  <c r="S75"/>
  <c r="Q75"/>
  <c r="R56"/>
  <c r="S56"/>
  <c r="Q56"/>
  <c r="R52"/>
  <c r="S52"/>
  <c r="Q52"/>
  <c r="R48"/>
  <c r="S48"/>
  <c r="Q48"/>
  <c r="R44"/>
  <c r="S44"/>
  <c r="Q44"/>
  <c r="R40"/>
  <c r="S40"/>
  <c r="Q40"/>
  <c r="R36"/>
  <c r="S36"/>
  <c r="Q36"/>
  <c r="R32"/>
  <c r="S32"/>
  <c r="Q32"/>
  <c r="R28"/>
  <c r="S28"/>
  <c r="Q28"/>
  <c r="R1787"/>
  <c r="Q1787"/>
  <c r="S1787"/>
  <c r="R1791"/>
  <c r="Q1791"/>
  <c r="S1791"/>
  <c r="Q1795"/>
  <c r="R1795"/>
  <c r="S1795"/>
  <c r="B1250"/>
  <c r="B1786"/>
  <c r="B1263"/>
  <c r="B1252"/>
  <c r="B1248"/>
  <c r="B1246"/>
  <c r="B1244"/>
  <c r="B1242"/>
  <c r="B1240"/>
  <c r="B1237"/>
  <c r="B1265"/>
  <c r="B1262"/>
  <c r="B1251"/>
  <c r="B1249"/>
  <c r="B1360"/>
  <c r="B1384"/>
  <c r="B1382"/>
  <c r="B1378"/>
  <c r="B1364"/>
  <c r="B1362"/>
  <c r="B1387"/>
  <c r="A1387" s="1"/>
  <c r="B1785"/>
  <c r="B1363"/>
  <c r="B1361"/>
  <c r="B1365"/>
  <c r="B1367"/>
  <c r="B1379"/>
  <c r="B1381"/>
  <c r="B1383"/>
  <c r="B1385"/>
  <c r="B1366"/>
  <c r="B1380"/>
  <c r="B1256"/>
  <c r="B1386"/>
  <c r="B1254"/>
  <c r="B1253"/>
  <c r="B1255"/>
  <c r="B1257"/>
  <c r="B1258"/>
  <c r="B1260"/>
  <c r="B1259"/>
  <c r="B1261"/>
  <c r="A1793"/>
  <c r="A1789"/>
  <c r="A1788"/>
  <c r="A1792"/>
  <c r="A1787"/>
  <c r="A1791"/>
  <c r="A1795"/>
  <c r="B1796"/>
  <c r="A1790"/>
  <c r="A1794"/>
  <c r="B1797"/>
  <c r="A759"/>
  <c r="A1927"/>
  <c r="A1926"/>
  <c r="A1882"/>
  <c r="A1881"/>
  <c r="A1858"/>
  <c r="A1857"/>
  <c r="A1854"/>
  <c r="A1786"/>
  <c r="A1931"/>
  <c r="A1728"/>
  <c r="D206" i="60"/>
  <c r="D207"/>
  <c r="D208"/>
  <c r="D209"/>
  <c r="D210"/>
  <c r="D211"/>
  <c r="A1678" i="34"/>
  <c r="A236" i="60"/>
  <c r="A113" i="55"/>
  <c r="A114"/>
  <c r="A115"/>
  <c r="A73"/>
  <c r="A49" i="12"/>
  <c r="R1796" i="34" l="1"/>
  <c r="Q1796"/>
  <c r="S1796"/>
  <c r="Q1258"/>
  <c r="R1258"/>
  <c r="S1258"/>
  <c r="Q1254"/>
  <c r="R1254"/>
  <c r="S1254"/>
  <c r="R1366"/>
  <c r="S1366"/>
  <c r="Q1366"/>
  <c r="R1379"/>
  <c r="Q1379"/>
  <c r="S1379"/>
  <c r="R1363"/>
  <c r="S1363"/>
  <c r="Q1363"/>
  <c r="A1364"/>
  <c r="Q1364"/>
  <c r="R1364"/>
  <c r="S1364"/>
  <c r="A1360"/>
  <c r="Q1360"/>
  <c r="R1360"/>
  <c r="S1360"/>
  <c r="R1265"/>
  <c r="S1265"/>
  <c r="Q1265"/>
  <c r="Q1244"/>
  <c r="R1244"/>
  <c r="S1244"/>
  <c r="R1263"/>
  <c r="S1263"/>
  <c r="Q1263"/>
  <c r="R1797"/>
  <c r="S1797"/>
  <c r="Q1797"/>
  <c r="R1261"/>
  <c r="S1261"/>
  <c r="Q1261"/>
  <c r="R1257"/>
  <c r="S1257"/>
  <c r="Q1257"/>
  <c r="R1386"/>
  <c r="Q1386"/>
  <c r="S1386"/>
  <c r="R1385"/>
  <c r="Q1385"/>
  <c r="S1385"/>
  <c r="R1367"/>
  <c r="Q1367"/>
  <c r="S1367"/>
  <c r="A1785"/>
  <c r="R1785"/>
  <c r="Q1785"/>
  <c r="S1785"/>
  <c r="A1378"/>
  <c r="R1378"/>
  <c r="S1378"/>
  <c r="Q1378"/>
  <c r="R1249"/>
  <c r="S1249"/>
  <c r="Q1249"/>
  <c r="R1237"/>
  <c r="S1237"/>
  <c r="Q1237"/>
  <c r="Q1246"/>
  <c r="R1246"/>
  <c r="S1246"/>
  <c r="R1786"/>
  <c r="Q1786"/>
  <c r="S1786"/>
  <c r="R1259"/>
  <c r="S1259"/>
  <c r="Q1259"/>
  <c r="R1255"/>
  <c r="S1255"/>
  <c r="Q1255"/>
  <c r="Q1256"/>
  <c r="R1256"/>
  <c r="S1256"/>
  <c r="R1383"/>
  <c r="Q1383"/>
  <c r="S1383"/>
  <c r="R1365"/>
  <c r="Q1365"/>
  <c r="S1365"/>
  <c r="R1387"/>
  <c r="Q1387"/>
  <c r="S1387"/>
  <c r="A1382"/>
  <c r="R1382"/>
  <c r="S1382"/>
  <c r="Q1382"/>
  <c r="R1251"/>
  <c r="S1251"/>
  <c r="Q1251"/>
  <c r="Q1240"/>
  <c r="R1240"/>
  <c r="S1240"/>
  <c r="Q1248"/>
  <c r="R1248"/>
  <c r="S1248"/>
  <c r="Q1250"/>
  <c r="R1250"/>
  <c r="S1250"/>
  <c r="Q1260"/>
  <c r="R1260"/>
  <c r="S1260"/>
  <c r="R1253"/>
  <c r="S1253"/>
  <c r="Q1253"/>
  <c r="R1380"/>
  <c r="S1380"/>
  <c r="Q1380"/>
  <c r="R1381"/>
  <c r="Q1381"/>
  <c r="S1381"/>
  <c r="R1361"/>
  <c r="S1361"/>
  <c r="Q1361"/>
  <c r="A1362"/>
  <c r="Q1362"/>
  <c r="R1362"/>
  <c r="S1362"/>
  <c r="A1384"/>
  <c r="R1384"/>
  <c r="Q1384"/>
  <c r="S1384"/>
  <c r="Q1262"/>
  <c r="R1262"/>
  <c r="S1262"/>
  <c r="Q1242"/>
  <c r="R1242"/>
  <c r="S1242"/>
  <c r="Q1252"/>
  <c r="R1252"/>
  <c r="S1252"/>
  <c r="B1822"/>
  <c r="B1823"/>
  <c r="A1365"/>
  <c r="A1363"/>
  <c r="B1824"/>
  <c r="A1367"/>
  <c r="A1361"/>
  <c r="A1385"/>
  <c r="A1386"/>
  <c r="A1380"/>
  <c r="A1381"/>
  <c r="A1383"/>
  <c r="A1379"/>
  <c r="A1256"/>
  <c r="A1366"/>
  <c r="A1254"/>
  <c r="A1257"/>
  <c r="A1253"/>
  <c r="A1258"/>
  <c r="A1255"/>
  <c r="A1261"/>
  <c r="A1259"/>
  <c r="A1260"/>
  <c r="A1796"/>
  <c r="A1797"/>
  <c r="B1819"/>
  <c r="B1815"/>
  <c r="B1811"/>
  <c r="B1818"/>
  <c r="B1814"/>
  <c r="B971"/>
  <c r="B1821"/>
  <c r="B1817"/>
  <c r="B1813"/>
  <c r="B1820"/>
  <c r="B1816"/>
  <c r="B1812"/>
  <c r="A2352"/>
  <c r="A2350"/>
  <c r="A2353"/>
  <c r="A2359"/>
  <c r="A2357"/>
  <c r="A2355"/>
  <c r="A2351"/>
  <c r="A2354"/>
  <c r="A2360"/>
  <c r="A2358"/>
  <c r="A2356"/>
  <c r="A864"/>
  <c r="A865"/>
  <c r="A48" i="12"/>
  <c r="A43"/>
  <c r="A44"/>
  <c r="A45"/>
  <c r="A46"/>
  <c r="A47"/>
  <c r="R1821" i="34" l="1"/>
  <c r="S1821"/>
  <c r="Q1821"/>
  <c r="R971"/>
  <c r="S971"/>
  <c r="Q971"/>
  <c r="R1813"/>
  <c r="S1813"/>
  <c r="Q1813"/>
  <c r="R1819"/>
  <c r="S1819"/>
  <c r="Q1819"/>
  <c r="Q1812"/>
  <c r="R1812"/>
  <c r="S1812"/>
  <c r="R1817"/>
  <c r="S1817"/>
  <c r="Q1817"/>
  <c r="Q1818"/>
  <c r="R1818"/>
  <c r="S1818"/>
  <c r="Q1824"/>
  <c r="R1824"/>
  <c r="S1824"/>
  <c r="Q1822"/>
  <c r="R1822"/>
  <c r="S1822"/>
  <c r="Q1816"/>
  <c r="R1816"/>
  <c r="S1816"/>
  <c r="Q1820"/>
  <c r="R1820"/>
  <c r="S1820"/>
  <c r="R1811"/>
  <c r="S1811"/>
  <c r="Q1811"/>
  <c r="R1815"/>
  <c r="S1815"/>
  <c r="Q1815"/>
  <c r="Q1814"/>
  <c r="R1814"/>
  <c r="S1814"/>
  <c r="R1823"/>
  <c r="S1823"/>
  <c r="Q1823"/>
  <c r="A1816"/>
  <c r="A1813"/>
  <c r="A1821"/>
  <c r="A1818"/>
  <c r="A1815"/>
  <c r="A1812"/>
  <c r="A1820"/>
  <c r="A1817"/>
  <c r="A1814"/>
  <c r="A1811"/>
  <c r="A1819"/>
  <c r="A1824"/>
  <c r="A1823"/>
  <c r="A1822"/>
  <c r="A505"/>
  <c r="A511"/>
  <c r="A510"/>
  <c r="A506"/>
  <c r="A532"/>
  <c r="A528"/>
  <c r="A1286"/>
  <c r="A1287"/>
  <c r="A1350"/>
  <c r="A1269"/>
  <c r="A1275"/>
  <c r="A1281"/>
  <c r="A509"/>
  <c r="A1268"/>
  <c r="A1351"/>
  <c r="A1274"/>
  <c r="A1280"/>
  <c r="A1352"/>
  <c r="A971"/>
  <c r="A558"/>
  <c r="A550"/>
  <c r="A546"/>
  <c r="A1294"/>
  <c r="A1295"/>
  <c r="A1298"/>
  <c r="A1299"/>
  <c r="A1296"/>
  <c r="A1297"/>
  <c r="A1292"/>
  <c r="A1293"/>
  <c r="A1290"/>
  <c r="A1291"/>
  <c r="A1288"/>
  <c r="A1289"/>
  <c r="A1284"/>
  <c r="A1285"/>
  <c r="A1282"/>
  <c r="A1283"/>
  <c r="A1278"/>
  <c r="A1279"/>
  <c r="A1276"/>
  <c r="A1277"/>
  <c r="A1270"/>
  <c r="A1271"/>
  <c r="A561"/>
  <c r="A566"/>
  <c r="A563"/>
  <c r="A565"/>
  <c r="A567"/>
  <c r="A560"/>
  <c r="A562"/>
  <c r="A564"/>
  <c r="A547"/>
  <c r="A557"/>
  <c r="A534"/>
  <c r="A542"/>
  <c r="A533"/>
  <c r="A536"/>
  <c r="F37" i="45" l="1"/>
  <c r="G37"/>
  <c r="H37"/>
  <c r="A2348" i="34" l="1"/>
  <c r="A2349"/>
  <c r="A2347"/>
  <c r="A2343"/>
  <c r="A2342"/>
  <c r="A2372"/>
  <c r="A2346"/>
  <c r="A2344"/>
  <c r="A2371"/>
  <c r="A2345"/>
  <c r="A570" l="1"/>
  <c r="A860"/>
  <c r="A852"/>
  <c r="A853"/>
  <c r="A854"/>
  <c r="A857"/>
  <c r="A858"/>
  <c r="A859"/>
  <c r="A850"/>
  <c r="A849"/>
  <c r="A851"/>
  <c r="B846" l="1"/>
  <c r="A1211"/>
  <c r="A1210"/>
  <c r="Q846" l="1"/>
  <c r="R846"/>
  <c r="S846"/>
  <c r="D95" i="12"/>
  <c r="C95"/>
  <c r="A93"/>
  <c r="M220" i="34" l="1"/>
  <c r="M219"/>
  <c r="M206"/>
  <c r="M205"/>
  <c r="M192"/>
  <c r="M191"/>
  <c r="M178"/>
  <c r="M177"/>
  <c r="M164"/>
  <c r="M163"/>
  <c r="M150"/>
  <c r="M149"/>
  <c r="M135"/>
  <c r="M122"/>
  <c r="M121"/>
  <c r="M107"/>
  <c r="M93"/>
  <c r="M89"/>
  <c r="M90"/>
  <c r="M91"/>
  <c r="M92"/>
  <c r="M84"/>
  <c r="M83"/>
  <c r="M82"/>
  <c r="M81"/>
  <c r="M80"/>
  <c r="M79"/>
  <c r="M75"/>
  <c r="M77"/>
  <c r="M76"/>
  <c r="M203"/>
  <c r="M202"/>
  <c r="M201"/>
  <c r="A41" i="12"/>
  <c r="A42"/>
  <c r="A19" i="62" l="1"/>
  <c r="A3958" i="34" l="1"/>
  <c r="A1215"/>
  <c r="A1228"/>
  <c r="A1231"/>
  <c r="A1236"/>
  <c r="A1272"/>
  <c r="A1212"/>
  <c r="A1223"/>
  <c r="A1230"/>
  <c r="A1233"/>
  <c r="A1273"/>
  <c r="A1227"/>
  <c r="A1232"/>
  <c r="A1235"/>
  <c r="A1213"/>
  <c r="A1214"/>
  <c r="A1224"/>
  <c r="A1229"/>
  <c r="A1234"/>
  <c r="A1266"/>
  <c r="A1267"/>
  <c r="A1941"/>
  <c r="A1810"/>
  <c r="A1809"/>
  <c r="A2914"/>
  <c r="A3002"/>
  <c r="A3003"/>
  <c r="A3004"/>
  <c r="A3005"/>
  <c r="A3006"/>
  <c r="A3007"/>
  <c r="A3008"/>
  <c r="A3009"/>
  <c r="A3010"/>
  <c r="A3011"/>
  <c r="A3012"/>
  <c r="A3013"/>
  <c r="A3014"/>
  <c r="A3015"/>
  <c r="A3016"/>
  <c r="A3017"/>
  <c r="A3018"/>
  <c r="A3019"/>
  <c r="A3020"/>
  <c r="A3021"/>
  <c r="A3022"/>
  <c r="A3023"/>
  <c r="A3024"/>
  <c r="A3025"/>
  <c r="A3026"/>
  <c r="A3027"/>
  <c r="A3028"/>
  <c r="A3029"/>
  <c r="A3030"/>
  <c r="A3031"/>
  <c r="A3032"/>
  <c r="A3033"/>
  <c r="A3034"/>
  <c r="A3035"/>
  <c r="A3036"/>
  <c r="A3037"/>
  <c r="A3038"/>
  <c r="A3039"/>
  <c r="A3040"/>
  <c r="A3041"/>
  <c r="A3042"/>
  <c r="A3043"/>
  <c r="A3044"/>
  <c r="A3045"/>
  <c r="A3046"/>
  <c r="A3047"/>
  <c r="A3048"/>
  <c r="A3049"/>
  <c r="A3050"/>
  <c r="A3051"/>
  <c r="A3052"/>
  <c r="A3053"/>
  <c r="A3054"/>
  <c r="A3055"/>
  <c r="A3056"/>
  <c r="A3057"/>
  <c r="A3058"/>
  <c r="A3059"/>
  <c r="A3060"/>
  <c r="A3061"/>
  <c r="A3062"/>
  <c r="A3063"/>
  <c r="A3064"/>
  <c r="A3065"/>
  <c r="A3066"/>
  <c r="A3067"/>
  <c r="A3068"/>
  <c r="A3069"/>
  <c r="A3070"/>
  <c r="A3071"/>
  <c r="A2312" l="1"/>
  <c r="A2311"/>
  <c r="A2313"/>
  <c r="A2310"/>
  <c r="A2334"/>
  <c r="A848"/>
  <c r="A504"/>
  <c r="A559"/>
  <c r="A568"/>
  <c r="A569"/>
  <c r="F72" i="55"/>
  <c r="E72"/>
  <c r="E57" i="34" l="1"/>
  <c r="AA57" s="1"/>
  <c r="A57"/>
  <c r="E56"/>
  <c r="AA56" s="1"/>
  <c r="A56"/>
  <c r="E55"/>
  <c r="AA55" s="1"/>
  <c r="A55"/>
  <c r="A1940"/>
  <c r="A1808"/>
  <c r="A1848"/>
  <c r="A1841"/>
  <c r="A1908"/>
  <c r="A1907"/>
  <c r="A1906"/>
  <c r="A1846"/>
  <c r="A1845"/>
  <c r="A1844"/>
  <c r="A1843"/>
  <c r="A1842"/>
  <c r="A1840"/>
  <c r="A1839"/>
  <c r="A1838"/>
  <c r="A1784"/>
  <c r="A1783"/>
  <c r="A1782"/>
  <c r="A1781"/>
  <c r="A1780"/>
  <c r="A1939"/>
  <c r="A1938"/>
  <c r="A1937"/>
  <c r="A1936"/>
  <c r="A1935"/>
  <c r="A1934"/>
  <c r="A1933"/>
  <c r="A1932"/>
  <c r="A1930"/>
  <c r="A1929"/>
  <c r="A1928"/>
  <c r="A1807"/>
  <c r="A1806"/>
  <c r="A1805"/>
  <c r="A1804"/>
  <c r="A1803"/>
  <c r="A1802"/>
  <c r="A1801"/>
  <c r="A1800"/>
  <c r="A1799"/>
  <c r="A1798"/>
  <c r="A1914"/>
  <c r="A1909"/>
  <c r="A1901"/>
  <c r="A1900"/>
  <c r="A1899"/>
  <c r="A1898"/>
  <c r="A1890"/>
  <c r="A1887"/>
  <c r="A1886"/>
  <c r="A1885"/>
  <c r="A1884"/>
  <c r="A1883"/>
  <c r="A1871"/>
  <c r="A1870"/>
  <c r="A1865"/>
  <c r="A1864"/>
  <c r="A1863"/>
  <c r="A1828"/>
  <c r="A1827"/>
  <c r="A1862"/>
  <c r="A1861"/>
  <c r="A1860"/>
  <c r="A1859"/>
  <c r="A1834"/>
  <c r="A1833"/>
  <c r="A1832"/>
  <c r="A1831"/>
  <c r="A1830"/>
  <c r="A1829"/>
  <c r="A1826"/>
  <c r="A1825"/>
  <c r="A1925"/>
  <c r="A1924"/>
  <c r="A1923"/>
  <c r="A1922"/>
  <c r="A1921"/>
  <c r="A1920"/>
  <c r="A1919"/>
  <c r="A1880"/>
  <c r="A1879"/>
  <c r="A1878"/>
  <c r="A1877"/>
  <c r="A1876"/>
  <c r="A1875"/>
  <c r="A1856"/>
  <c r="A1855"/>
  <c r="A1853"/>
  <c r="A1852"/>
  <c r="A1851"/>
  <c r="A1850"/>
  <c r="A1849"/>
  <c r="J13" i="14"/>
  <c r="I13"/>
  <c r="V247" i="60"/>
  <c r="V246"/>
  <c r="V245"/>
  <c r="V244"/>
  <c r="V243"/>
  <c r="V242"/>
  <c r="W241"/>
  <c r="V239"/>
  <c r="V238"/>
  <c r="V237"/>
  <c r="V236"/>
  <c r="V235"/>
  <c r="V233"/>
  <c r="V269"/>
  <c r="V276" s="1"/>
  <c r="W268"/>
  <c r="V256"/>
  <c r="A256"/>
  <c r="E226" i="34"/>
  <c r="AA226" s="1"/>
  <c r="A226"/>
  <c r="E225"/>
  <c r="AA225" s="1"/>
  <c r="A225"/>
  <c r="M224"/>
  <c r="M226" s="1"/>
  <c r="E224"/>
  <c r="AA224" s="1"/>
  <c r="A224"/>
  <c r="M223"/>
  <c r="M225" s="1"/>
  <c r="E223"/>
  <c r="AA223" s="1"/>
  <c r="A223"/>
  <c r="M222"/>
  <c r="E222"/>
  <c r="AA222" s="1"/>
  <c r="A222"/>
  <c r="M221"/>
  <c r="E221"/>
  <c r="AA221" s="1"/>
  <c r="A221"/>
  <c r="E220"/>
  <c r="AA220" s="1"/>
  <c r="A220"/>
  <c r="E219"/>
  <c r="AA219" s="1"/>
  <c r="A219"/>
  <c r="M218"/>
  <c r="E218"/>
  <c r="AA218" s="1"/>
  <c r="A218"/>
  <c r="M217"/>
  <c r="E217"/>
  <c r="AA217" s="1"/>
  <c r="A217"/>
  <c r="M216"/>
  <c r="E216"/>
  <c r="AA216" s="1"/>
  <c r="A216"/>
  <c r="M215"/>
  <c r="E215"/>
  <c r="AA215" s="1"/>
  <c r="A215"/>
  <c r="E214"/>
  <c r="AA214" s="1"/>
  <c r="A214"/>
  <c r="E213"/>
  <c r="AA213" s="1"/>
  <c r="A213"/>
  <c r="B3072" l="1"/>
  <c r="B3074"/>
  <c r="B3076"/>
  <c r="B3078"/>
  <c r="B3080"/>
  <c r="B3082"/>
  <c r="B3084"/>
  <c r="B3086"/>
  <c r="B3088"/>
  <c r="B3090"/>
  <c r="B3092"/>
  <c r="B3073"/>
  <c r="B3075"/>
  <c r="B3077"/>
  <c r="B3079"/>
  <c r="B3081"/>
  <c r="B3083"/>
  <c r="B3085"/>
  <c r="B3087"/>
  <c r="B3089"/>
  <c r="B3091"/>
  <c r="A1241"/>
  <c r="V268" i="60"/>
  <c r="V248"/>
  <c r="A1222" i="34"/>
  <c r="A1242"/>
  <c r="V241" i="60"/>
  <c r="A1263" i="34"/>
  <c r="A1240"/>
  <c r="A1244"/>
  <c r="A1246"/>
  <c r="A1248"/>
  <c r="A1237"/>
  <c r="A1250"/>
  <c r="A1252"/>
  <c r="A1238"/>
  <c r="A1245"/>
  <c r="A1251"/>
  <c r="A1243"/>
  <c r="A1249"/>
  <c r="A1262"/>
  <c r="A1265"/>
  <c r="A1247"/>
  <c r="Q3087" l="1"/>
  <c r="R3087"/>
  <c r="S3087"/>
  <c r="S3092"/>
  <c r="Q3092"/>
  <c r="R3092"/>
  <c r="S3076"/>
  <c r="Q3076"/>
  <c r="R3076"/>
  <c r="Q3085"/>
  <c r="R3085"/>
  <c r="S3085"/>
  <c r="S3090"/>
  <c r="Q3090"/>
  <c r="R3090"/>
  <c r="S3074"/>
  <c r="Q3074"/>
  <c r="R3074"/>
  <c r="Q3089"/>
  <c r="R3089"/>
  <c r="S3089"/>
  <c r="Q3081"/>
  <c r="R3081"/>
  <c r="S3081"/>
  <c r="Q3073"/>
  <c r="R3073"/>
  <c r="S3073"/>
  <c r="S3086"/>
  <c r="Q3086"/>
  <c r="R3086"/>
  <c r="S3078"/>
  <c r="Q3078"/>
  <c r="R3078"/>
  <c r="Q3079"/>
  <c r="R3079"/>
  <c r="S3079"/>
  <c r="S3084"/>
  <c r="Q3084"/>
  <c r="R3084"/>
  <c r="Q3077"/>
  <c r="R3077"/>
  <c r="S3077"/>
  <c r="S3082"/>
  <c r="Q3082"/>
  <c r="R3082"/>
  <c r="Q3091"/>
  <c r="R3091"/>
  <c r="S3091"/>
  <c r="Q3083"/>
  <c r="R3083"/>
  <c r="S3083"/>
  <c r="Q3075"/>
  <c r="R3075"/>
  <c r="S3075"/>
  <c r="S3088"/>
  <c r="Q3088"/>
  <c r="R3088"/>
  <c r="S3080"/>
  <c r="Q3080"/>
  <c r="R3080"/>
  <c r="S3072"/>
  <c r="Q3072"/>
  <c r="R3072"/>
  <c r="L263" i="60"/>
  <c r="A3089" i="34"/>
  <c r="A3085"/>
  <c r="A3081"/>
  <c r="A3077"/>
  <c r="A3073"/>
  <c r="A3090"/>
  <c r="A3086"/>
  <c r="A3082"/>
  <c r="A3078"/>
  <c r="A3074"/>
  <c r="A3091"/>
  <c r="A3087"/>
  <c r="A3083"/>
  <c r="A3079"/>
  <c r="A3075"/>
  <c r="A3092"/>
  <c r="A3088"/>
  <c r="A3084"/>
  <c r="A3080"/>
  <c r="A3076"/>
  <c r="A3072"/>
  <c r="L238" i="60"/>
  <c r="A40" i="12"/>
  <c r="A2325" i="34" l="1"/>
  <c r="A2332"/>
  <c r="A2331"/>
  <c r="A2326"/>
  <c r="A2330"/>
  <c r="A2327"/>
  <c r="A2329"/>
  <c r="A2328"/>
  <c r="A2333"/>
  <c r="D257" i="60"/>
  <c r="C259"/>
  <c r="C260"/>
  <c r="D260" s="1"/>
  <c r="G260" s="1"/>
  <c r="C261"/>
  <c r="D261" s="1"/>
  <c r="G261" s="1"/>
  <c r="B826" i="34" l="1"/>
  <c r="B827"/>
  <c r="B822"/>
  <c r="B806"/>
  <c r="B798"/>
  <c r="B803"/>
  <c r="B824"/>
  <c r="B800"/>
  <c r="B802"/>
  <c r="G257" i="60"/>
  <c r="A902" i="34"/>
  <c r="A903"/>
  <c r="A904"/>
  <c r="Q824" l="1"/>
  <c r="R824"/>
  <c r="S824"/>
  <c r="R827"/>
  <c r="S827"/>
  <c r="Q827"/>
  <c r="R800"/>
  <c r="Q800"/>
  <c r="S800"/>
  <c r="Q806"/>
  <c r="R806"/>
  <c r="S806"/>
  <c r="Q822"/>
  <c r="R822"/>
  <c r="S822"/>
  <c r="R803"/>
  <c r="Q803"/>
  <c r="S803"/>
  <c r="R802"/>
  <c r="Q802"/>
  <c r="S802"/>
  <c r="R798"/>
  <c r="Q798"/>
  <c r="S798"/>
  <c r="Q826"/>
  <c r="R826"/>
  <c r="S826"/>
  <c r="A827"/>
  <c r="A824"/>
  <c r="A800"/>
  <c r="A798"/>
  <c r="A802"/>
  <c r="A846"/>
  <c r="A822"/>
  <c r="A806"/>
  <c r="A826"/>
  <c r="A2341" l="1"/>
  <c r="A2321"/>
  <c r="A3120"/>
  <c r="A3730"/>
  <c r="A2320"/>
  <c r="A2323"/>
  <c r="A1217"/>
  <c r="A1216"/>
  <c r="A799"/>
  <c r="A2340"/>
  <c r="A2324"/>
  <c r="A2322"/>
  <c r="D259" i="60"/>
  <c r="A53" i="12"/>
  <c r="G259" i="60" l="1"/>
  <c r="A796" i="34"/>
  <c r="A804"/>
  <c r="A831"/>
  <c r="A830"/>
  <c r="A829"/>
  <c r="A18" i="62"/>
  <c r="A2301" i="34" l="1"/>
  <c r="A2303"/>
  <c r="A2300"/>
  <c r="A2298"/>
  <c r="A2302"/>
  <c r="A2299"/>
  <c r="C11"/>
  <c r="AD11" s="1"/>
  <c r="C13"/>
  <c r="AD13" s="1"/>
  <c r="C14"/>
  <c r="AD14" s="1"/>
  <c r="A49"/>
  <c r="A50"/>
  <c r="A51"/>
  <c r="A52"/>
  <c r="A53"/>
  <c r="A54"/>
  <c r="A185"/>
  <c r="A186"/>
  <c r="A187"/>
  <c r="A188"/>
  <c r="A189"/>
  <c r="A190"/>
  <c r="A191"/>
  <c r="A192"/>
  <c r="A193"/>
  <c r="A194"/>
  <c r="A195"/>
  <c r="A196"/>
  <c r="A197"/>
  <c r="A198"/>
  <c r="A199"/>
  <c r="A200"/>
  <c r="A201"/>
  <c r="A202"/>
  <c r="A203"/>
  <c r="A204"/>
  <c r="A205"/>
  <c r="A206"/>
  <c r="A207"/>
  <c r="A208"/>
  <c r="A209"/>
  <c r="A210"/>
  <c r="A211"/>
  <c r="A212"/>
  <c r="A1173"/>
  <c r="A1174"/>
  <c r="A1175"/>
  <c r="A1176"/>
  <c r="A1177"/>
  <c r="A1178"/>
  <c r="A1179"/>
  <c r="A1180"/>
  <c r="A1181"/>
  <c r="A1182"/>
  <c r="A1183"/>
  <c r="A1184"/>
  <c r="A1185"/>
  <c r="A1186"/>
  <c r="A1187"/>
  <c r="A1188"/>
  <c r="A1189"/>
  <c r="A1190"/>
  <c r="A1191"/>
  <c r="A1195"/>
  <c r="A1196"/>
  <c r="A1197"/>
  <c r="A1198"/>
  <c r="A1199"/>
  <c r="A1200"/>
  <c r="A1201"/>
  <c r="A1202"/>
  <c r="A1203"/>
  <c r="A1204"/>
  <c r="A1192"/>
  <c r="A1193"/>
  <c r="A1205"/>
  <c r="A1206"/>
  <c r="A120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80"/>
  <c r="A1681"/>
  <c r="A1682"/>
  <c r="A1700"/>
  <c r="A1674"/>
  <c r="A1684"/>
  <c r="A1685"/>
  <c r="A1686"/>
  <c r="A1701"/>
  <c r="A1662"/>
  <c r="A1663"/>
  <c r="A1664"/>
  <c r="A1675"/>
  <c r="A1687"/>
  <c r="A1688"/>
  <c r="A1665"/>
  <c r="A1666"/>
  <c r="A1667"/>
  <c r="A1676"/>
  <c r="A1689"/>
  <c r="A1690"/>
  <c r="A1691"/>
  <c r="A1702"/>
  <c r="A1668"/>
  <c r="A1669"/>
  <c r="A1670"/>
  <c r="A1677"/>
  <c r="A1692"/>
  <c r="A1696"/>
  <c r="A1697"/>
  <c r="A1703"/>
  <c r="A1671"/>
  <c r="A1672"/>
  <c r="A1673"/>
  <c r="A1679"/>
  <c r="A1698"/>
  <c r="A1699"/>
  <c r="A1704"/>
  <c r="A1705"/>
  <c r="A1706"/>
  <c r="A1707"/>
  <c r="A1712"/>
  <c r="A1714"/>
  <c r="A1715"/>
  <c r="A1716"/>
  <c r="A1717"/>
  <c r="A1731"/>
  <c r="A1718"/>
  <c r="A1719"/>
  <c r="A1720"/>
  <c r="A1721"/>
  <c r="A1732"/>
  <c r="A1708"/>
  <c r="A1709"/>
  <c r="A1710"/>
  <c r="A1711"/>
  <c r="A1713"/>
  <c r="A1722"/>
  <c r="A1723"/>
  <c r="A1724"/>
  <c r="A1725"/>
  <c r="A1733"/>
  <c r="A1726"/>
  <c r="A1727"/>
  <c r="A1729"/>
  <c r="A1734"/>
  <c r="A1730"/>
  <c r="A1761"/>
  <c r="A1762"/>
  <c r="A1763"/>
  <c r="A1764"/>
  <c r="A1765"/>
  <c r="A1766"/>
  <c r="A1767"/>
  <c r="A1768"/>
  <c r="A1776"/>
  <c r="A1777"/>
  <c r="A1778"/>
  <c r="A1779"/>
  <c r="A1847"/>
  <c r="A1163" l="1"/>
  <c r="A1172"/>
  <c r="A1164"/>
  <c r="A1165"/>
  <c r="A1168"/>
  <c r="A1170"/>
  <c r="A1166"/>
  <c r="A1167"/>
  <c r="A1169"/>
  <c r="A1171"/>
  <c r="B789" l="1"/>
  <c r="B792"/>
  <c r="B817"/>
  <c r="B810"/>
  <c r="B820"/>
  <c r="B825"/>
  <c r="B828"/>
  <c r="B815"/>
  <c r="B807"/>
  <c r="B788"/>
  <c r="B783"/>
  <c r="B819"/>
  <c r="B812"/>
  <c r="B801"/>
  <c r="B785"/>
  <c r="B808"/>
  <c r="B816"/>
  <c r="B786"/>
  <c r="B823"/>
  <c r="B814"/>
  <c r="B813"/>
  <c r="B818"/>
  <c r="B821"/>
  <c r="B809"/>
  <c r="B811"/>
  <c r="A494"/>
  <c r="A52" i="12"/>
  <c r="D256" i="60"/>
  <c r="M173" i="34"/>
  <c r="R821" l="1"/>
  <c r="S821"/>
  <c r="Q821"/>
  <c r="R785"/>
  <c r="Q785"/>
  <c r="S785"/>
  <c r="R809"/>
  <c r="S809"/>
  <c r="Q809"/>
  <c r="Q814"/>
  <c r="R814"/>
  <c r="S814"/>
  <c r="Q808"/>
  <c r="R808"/>
  <c r="S808"/>
  <c r="R819"/>
  <c r="S819"/>
  <c r="Q819"/>
  <c r="R815"/>
  <c r="S815"/>
  <c r="Q815"/>
  <c r="Q810"/>
  <c r="R810"/>
  <c r="S810"/>
  <c r="R823"/>
  <c r="S823"/>
  <c r="Q823"/>
  <c r="R783"/>
  <c r="Q783"/>
  <c r="S783"/>
  <c r="Q828"/>
  <c r="R828"/>
  <c r="S828"/>
  <c r="R817"/>
  <c r="S817"/>
  <c r="Q817"/>
  <c r="Q818"/>
  <c r="R818"/>
  <c r="S818"/>
  <c r="R786"/>
  <c r="Q786"/>
  <c r="S786"/>
  <c r="R801"/>
  <c r="Q801"/>
  <c r="S801"/>
  <c r="R788"/>
  <c r="Q788"/>
  <c r="S788"/>
  <c r="R825"/>
  <c r="S825"/>
  <c r="Q825"/>
  <c r="R792"/>
  <c r="Q792"/>
  <c r="S792"/>
  <c r="R811"/>
  <c r="S811"/>
  <c r="Q811"/>
  <c r="R813"/>
  <c r="S813"/>
  <c r="Q813"/>
  <c r="Q816"/>
  <c r="R816"/>
  <c r="S816"/>
  <c r="Q812"/>
  <c r="R812"/>
  <c r="S812"/>
  <c r="R807"/>
  <c r="S807"/>
  <c r="Q807"/>
  <c r="Q820"/>
  <c r="R820"/>
  <c r="S820"/>
  <c r="R789"/>
  <c r="Q789"/>
  <c r="S789"/>
  <c r="G256" i="60"/>
  <c r="N256" s="1"/>
  <c r="P256" s="1"/>
  <c r="A3972" i="34"/>
  <c r="A3973"/>
  <c r="A3980"/>
  <c r="A3981"/>
  <c r="A3986"/>
  <c r="A3987"/>
  <c r="A3995"/>
  <c r="A3997"/>
  <c r="A4005"/>
  <c r="A4006"/>
  <c r="A4058"/>
  <c r="A4059"/>
  <c r="A491"/>
  <c r="A493"/>
  <c r="A1226"/>
  <c r="A1225"/>
  <c r="A794"/>
  <c r="A813"/>
  <c r="A818"/>
  <c r="A821"/>
  <c r="A809"/>
  <c r="A801"/>
  <c r="A788"/>
  <c r="A783"/>
  <c r="A797"/>
  <c r="A814"/>
  <c r="A823"/>
  <c r="A807"/>
  <c r="A812"/>
  <c r="A789"/>
  <c r="A786"/>
  <c r="A492"/>
  <c r="A795"/>
  <c r="A808"/>
  <c r="A816"/>
  <c r="A820"/>
  <c r="A825"/>
  <c r="A811"/>
  <c r="A792"/>
  <c r="A785"/>
  <c r="A819"/>
  <c r="A810"/>
  <c r="A817"/>
  <c r="A815"/>
  <c r="A828"/>
  <c r="I92" i="12"/>
  <c r="A92"/>
  <c r="I91"/>
  <c r="A91"/>
  <c r="I90"/>
  <c r="A90"/>
  <c r="I89"/>
  <c r="A89"/>
  <c r="I87"/>
  <c r="A87"/>
  <c r="I88"/>
  <c r="A88"/>
  <c r="I85"/>
  <c r="A85"/>
  <c r="E54" i="34"/>
  <c r="AA54" s="1"/>
  <c r="E53"/>
  <c r="AA53" s="1"/>
  <c r="E52"/>
  <c r="AA52" s="1"/>
  <c r="E51"/>
  <c r="AA51" s="1"/>
  <c r="E50"/>
  <c r="AA50" s="1"/>
  <c r="E49"/>
  <c r="AA49" s="1"/>
  <c r="E212"/>
  <c r="AA212" s="1"/>
  <c r="E211"/>
  <c r="AA211" s="1"/>
  <c r="E210"/>
  <c r="AA210" s="1"/>
  <c r="M209"/>
  <c r="M211" s="1"/>
  <c r="E209"/>
  <c r="AA209" s="1"/>
  <c r="E208"/>
  <c r="AA208" s="1"/>
  <c r="M207"/>
  <c r="E207"/>
  <c r="AA207" s="1"/>
  <c r="E206"/>
  <c r="AA206" s="1"/>
  <c r="E205"/>
  <c r="AA205" s="1"/>
  <c r="E204"/>
  <c r="AA204" s="1"/>
  <c r="E203"/>
  <c r="AA203" s="1"/>
  <c r="E202"/>
  <c r="AA202" s="1"/>
  <c r="E201"/>
  <c r="AA201" s="1"/>
  <c r="E200"/>
  <c r="AA200" s="1"/>
  <c r="E199"/>
  <c r="AA199" s="1"/>
  <c r="E198"/>
  <c r="AA198" s="1"/>
  <c r="E197"/>
  <c r="AA197" s="1"/>
  <c r="E196"/>
  <c r="AA196" s="1"/>
  <c r="M195"/>
  <c r="M197" s="1"/>
  <c r="E195"/>
  <c r="AA195" s="1"/>
  <c r="E194"/>
  <c r="AA194" s="1"/>
  <c r="M193"/>
  <c r="E193"/>
  <c r="AA193" s="1"/>
  <c r="E192"/>
  <c r="AA192" s="1"/>
  <c r="E191"/>
  <c r="AA191" s="1"/>
  <c r="E190"/>
  <c r="AA190" s="1"/>
  <c r="M189"/>
  <c r="E189"/>
  <c r="AA189" s="1"/>
  <c r="E188"/>
  <c r="AA188" s="1"/>
  <c r="M187"/>
  <c r="E187"/>
  <c r="AA187" s="1"/>
  <c r="E186"/>
  <c r="AA186" s="1"/>
  <c r="E185"/>
  <c r="AA185" s="1"/>
  <c r="A2913" l="1"/>
  <c r="A793"/>
  <c r="A772"/>
  <c r="A2306"/>
  <c r="A2308"/>
  <c r="A780"/>
  <c r="A2304"/>
  <c r="A2305"/>
  <c r="A2307"/>
  <c r="A787"/>
  <c r="A2309"/>
  <c r="M204"/>
  <c r="M208"/>
  <c r="M210"/>
  <c r="M212" s="1"/>
  <c r="M188"/>
  <c r="M190"/>
  <c r="M194"/>
  <c r="M196"/>
  <c r="M198" s="1"/>
  <c r="V223" i="60" l="1"/>
  <c r="V224"/>
  <c r="V225"/>
  <c r="V226"/>
  <c r="A51" i="12"/>
  <c r="B2995" i="34" l="1"/>
  <c r="A2618"/>
  <c r="A2887"/>
  <c r="A2885"/>
  <c r="A2663"/>
  <c r="A2554"/>
  <c r="A2568"/>
  <c r="A2803"/>
  <c r="A2698"/>
  <c r="A2619"/>
  <c r="A2894"/>
  <c r="A2909"/>
  <c r="A2676"/>
  <c r="A2567"/>
  <c r="A2886"/>
  <c r="A2729"/>
  <c r="A791"/>
  <c r="A3297"/>
  <c r="A3574"/>
  <c r="A3660"/>
  <c r="A3907"/>
  <c r="A3921"/>
  <c r="A4048"/>
  <c r="A3106"/>
  <c r="A3105"/>
  <c r="A3524"/>
  <c r="A3386"/>
  <c r="A3339"/>
  <c r="A3311"/>
  <c r="A3199"/>
  <c r="A3193"/>
  <c r="A3186"/>
  <c r="A3198"/>
  <c r="A3192"/>
  <c r="A3185"/>
  <c r="A3679"/>
  <c r="A3643"/>
  <c r="A3603"/>
  <c r="A3661"/>
  <c r="A3642"/>
  <c r="A3588"/>
  <c r="A3387"/>
  <c r="A3350"/>
  <c r="A3312"/>
  <c r="A3548"/>
  <c r="A3817"/>
  <c r="A3799"/>
  <c r="A3777"/>
  <c r="A1220"/>
  <c r="A1218"/>
  <c r="A1221"/>
  <c r="A1219"/>
  <c r="I55" i="12"/>
  <c r="I56"/>
  <c r="I57"/>
  <c r="I58"/>
  <c r="I59"/>
  <c r="I60"/>
  <c r="I61"/>
  <c r="I62"/>
  <c r="I63"/>
  <c r="I64"/>
  <c r="I65"/>
  <c r="I67"/>
  <c r="I68"/>
  <c r="I69"/>
  <c r="I70"/>
  <c r="I71"/>
  <c r="I72"/>
  <c r="I73"/>
  <c r="I74"/>
  <c r="I75"/>
  <c r="I76"/>
  <c r="I78"/>
  <c r="I79"/>
  <c r="I80"/>
  <c r="I81"/>
  <c r="I82"/>
  <c r="I83"/>
  <c r="I84"/>
  <c r="I86"/>
  <c r="Q2995" i="34" l="1"/>
  <c r="R2995"/>
  <c r="S2995"/>
  <c r="B2965"/>
  <c r="B2930"/>
  <c r="B2932"/>
  <c r="B2934"/>
  <c r="B2962"/>
  <c r="B2964"/>
  <c r="B2950"/>
  <c r="B2952"/>
  <c r="B2954"/>
  <c r="B2956"/>
  <c r="B2958"/>
  <c r="B2960"/>
  <c r="B2936"/>
  <c r="B2938"/>
  <c r="B2940"/>
  <c r="B2942"/>
  <c r="B2944"/>
  <c r="B2946"/>
  <c r="B2948"/>
  <c r="B2976"/>
  <c r="B2978"/>
  <c r="B2980"/>
  <c r="B2967"/>
  <c r="B2969"/>
  <c r="B2971"/>
  <c r="B2973"/>
  <c r="B2993"/>
  <c r="B2982"/>
  <c r="B2984"/>
  <c r="B2986"/>
  <c r="B2988"/>
  <c r="B2990"/>
  <c r="B2992"/>
  <c r="B2929"/>
  <c r="B2931"/>
  <c r="B2933"/>
  <c r="B2935"/>
  <c r="B2963"/>
  <c r="B2949"/>
  <c r="B2951"/>
  <c r="B2953"/>
  <c r="B2955"/>
  <c r="B2957"/>
  <c r="B2959"/>
  <c r="B2961"/>
  <c r="B2937"/>
  <c r="B2939"/>
  <c r="B2941"/>
  <c r="B2943"/>
  <c r="B2945"/>
  <c r="B2947"/>
  <c r="B2975"/>
  <c r="B2977"/>
  <c r="B2979"/>
  <c r="B2981"/>
  <c r="B2966"/>
  <c r="B2968"/>
  <c r="B2970"/>
  <c r="B2972"/>
  <c r="B2974"/>
  <c r="B2994"/>
  <c r="B2983"/>
  <c r="B2985"/>
  <c r="B2987"/>
  <c r="B2989"/>
  <c r="B2991"/>
  <c r="A2998"/>
  <c r="A3000"/>
  <c r="A2995"/>
  <c r="Q2989" l="1"/>
  <c r="R2989"/>
  <c r="S2989"/>
  <c r="S2994"/>
  <c r="Q2994"/>
  <c r="R2994"/>
  <c r="S2968"/>
  <c r="Q2968"/>
  <c r="R2968"/>
  <c r="Q2977"/>
  <c r="R2977"/>
  <c r="S2977"/>
  <c r="Q2943"/>
  <c r="R2943"/>
  <c r="S2943"/>
  <c r="Q2961"/>
  <c r="R2961"/>
  <c r="S2961"/>
  <c r="Q2953"/>
  <c r="R2953"/>
  <c r="S2953"/>
  <c r="Q2935"/>
  <c r="R2935"/>
  <c r="S2935"/>
  <c r="S2992"/>
  <c r="Q2992"/>
  <c r="R2992"/>
  <c r="S2984"/>
  <c r="Q2984"/>
  <c r="R2984"/>
  <c r="Q2971"/>
  <c r="R2971"/>
  <c r="S2971"/>
  <c r="S2978"/>
  <c r="Q2978"/>
  <c r="R2978"/>
  <c r="S2944"/>
  <c r="Q2944"/>
  <c r="R2944"/>
  <c r="S2936"/>
  <c r="Q2936"/>
  <c r="R2936"/>
  <c r="S2954"/>
  <c r="Q2954"/>
  <c r="R2954"/>
  <c r="S2962"/>
  <c r="Q2962"/>
  <c r="R2962"/>
  <c r="Q2965"/>
  <c r="R2965"/>
  <c r="S2965"/>
  <c r="Q2987"/>
  <c r="R2987"/>
  <c r="S2987"/>
  <c r="S2974"/>
  <c r="Q2974"/>
  <c r="R2974"/>
  <c r="S2966"/>
  <c r="Q2966"/>
  <c r="R2966"/>
  <c r="Q2975"/>
  <c r="R2975"/>
  <c r="S2975"/>
  <c r="Q2941"/>
  <c r="R2941"/>
  <c r="S2941"/>
  <c r="Q2959"/>
  <c r="R2959"/>
  <c r="S2959"/>
  <c r="Q2951"/>
  <c r="R2951"/>
  <c r="S2951"/>
  <c r="Q2933"/>
  <c r="R2933"/>
  <c r="S2933"/>
  <c r="S2990"/>
  <c r="Q2990"/>
  <c r="R2990"/>
  <c r="S2982"/>
  <c r="Q2982"/>
  <c r="R2982"/>
  <c r="Q2969"/>
  <c r="R2969"/>
  <c r="S2969"/>
  <c r="S2976"/>
  <c r="Q2976"/>
  <c r="R2976"/>
  <c r="S2942"/>
  <c r="Q2942"/>
  <c r="R2942"/>
  <c r="S2960"/>
  <c r="Q2960"/>
  <c r="R2960"/>
  <c r="S2952"/>
  <c r="Q2952"/>
  <c r="R2952"/>
  <c r="S2934"/>
  <c r="Q2934"/>
  <c r="R2934"/>
  <c r="Q2985"/>
  <c r="R2985"/>
  <c r="S2985"/>
  <c r="S2972"/>
  <c r="Q2972"/>
  <c r="R2972"/>
  <c r="Q2981"/>
  <c r="R2981"/>
  <c r="S2981"/>
  <c r="Q2947"/>
  <c r="R2947"/>
  <c r="S2947"/>
  <c r="Q2939"/>
  <c r="R2939"/>
  <c r="S2939"/>
  <c r="Q2957"/>
  <c r="R2957"/>
  <c r="S2957"/>
  <c r="Q2949"/>
  <c r="R2949"/>
  <c r="S2949"/>
  <c r="Q2931"/>
  <c r="R2931"/>
  <c r="S2931"/>
  <c r="S2988"/>
  <c r="Q2988"/>
  <c r="R2988"/>
  <c r="Q2993"/>
  <c r="R2993"/>
  <c r="S2993"/>
  <c r="Q2967"/>
  <c r="R2967"/>
  <c r="S2967"/>
  <c r="S2948"/>
  <c r="Q2948"/>
  <c r="R2948"/>
  <c r="S2940"/>
  <c r="Q2940"/>
  <c r="R2940"/>
  <c r="S2958"/>
  <c r="Q2958"/>
  <c r="R2958"/>
  <c r="S2950"/>
  <c r="Q2950"/>
  <c r="R2950"/>
  <c r="S2932"/>
  <c r="Q2932"/>
  <c r="R2932"/>
  <c r="Q2991"/>
  <c r="R2991"/>
  <c r="S2991"/>
  <c r="Q2983"/>
  <c r="R2983"/>
  <c r="S2983"/>
  <c r="S2970"/>
  <c r="Q2970"/>
  <c r="R2970"/>
  <c r="Q2979"/>
  <c r="R2979"/>
  <c r="S2979"/>
  <c r="Q2945"/>
  <c r="R2945"/>
  <c r="S2945"/>
  <c r="Q2937"/>
  <c r="R2937"/>
  <c r="S2937"/>
  <c r="Q2955"/>
  <c r="R2955"/>
  <c r="S2955"/>
  <c r="Q2963"/>
  <c r="R2963"/>
  <c r="S2963"/>
  <c r="Q2929"/>
  <c r="R2929"/>
  <c r="S2929"/>
  <c r="S2986"/>
  <c r="Q2986"/>
  <c r="R2986"/>
  <c r="Q2973"/>
  <c r="R2973"/>
  <c r="S2973"/>
  <c r="S2980"/>
  <c r="Q2980"/>
  <c r="R2980"/>
  <c r="S2946"/>
  <c r="Q2946"/>
  <c r="R2946"/>
  <c r="S2938"/>
  <c r="Q2938"/>
  <c r="R2938"/>
  <c r="S2956"/>
  <c r="Q2956"/>
  <c r="R2956"/>
  <c r="S2964"/>
  <c r="Q2964"/>
  <c r="R2964"/>
  <c r="S2930"/>
  <c r="Q2930"/>
  <c r="R2930"/>
  <c r="B1623"/>
  <c r="B1624"/>
  <c r="B1625"/>
  <c r="B1619"/>
  <c r="B1616"/>
  <c r="B1620"/>
  <c r="B1617"/>
  <c r="B1621"/>
  <c r="B1614"/>
  <c r="B1618"/>
  <c r="B1615"/>
  <c r="B1622"/>
  <c r="A2932"/>
  <c r="A2962"/>
  <c r="A2930"/>
  <c r="A2943"/>
  <c r="A2948"/>
  <c r="A2942"/>
  <c r="A2945"/>
  <c r="A2936"/>
  <c r="A2960"/>
  <c r="A2941"/>
  <c r="A2958"/>
  <c r="A2950"/>
  <c r="A2956"/>
  <c r="A2954"/>
  <c r="A2980"/>
  <c r="A2978"/>
  <c r="A2976"/>
  <c r="A3001"/>
  <c r="A2985"/>
  <c r="A2997"/>
  <c r="A2994"/>
  <c r="A2983"/>
  <c r="A2974"/>
  <c r="A2972"/>
  <c r="A2970"/>
  <c r="A2968"/>
  <c r="A2966"/>
  <c r="A2940"/>
  <c r="A2949"/>
  <c r="A2935"/>
  <c r="A2931"/>
  <c r="A2992"/>
  <c r="A2990"/>
  <c r="A2986"/>
  <c r="A2982"/>
  <c r="A2965"/>
  <c r="A2964"/>
  <c r="A2934"/>
  <c r="A2946"/>
  <c r="A2938"/>
  <c r="A2947"/>
  <c r="A2939"/>
  <c r="A2937"/>
  <c r="A2961"/>
  <c r="A2952"/>
  <c r="A2959"/>
  <c r="A2951"/>
  <c r="A2957"/>
  <c r="A2955"/>
  <c r="A2981"/>
  <c r="A2979"/>
  <c r="A2977"/>
  <c r="A2975"/>
  <c r="A2989"/>
  <c r="A2999"/>
  <c r="A2996"/>
  <c r="A2987"/>
  <c r="A2993"/>
  <c r="A2973"/>
  <c r="A2971"/>
  <c r="A2969"/>
  <c r="A2967"/>
  <c r="A2944"/>
  <c r="A2953"/>
  <c r="A2963"/>
  <c r="A2933"/>
  <c r="A2929"/>
  <c r="A2991"/>
  <c r="A2988"/>
  <c r="A2984"/>
  <c r="C236" i="60"/>
  <c r="D236" s="1"/>
  <c r="G236" s="1"/>
  <c r="D235"/>
  <c r="G235" s="1"/>
  <c r="D234"/>
  <c r="A212"/>
  <c r="A205"/>
  <c r="A206" s="1"/>
  <c r="A207" s="1"/>
  <c r="A208" s="1"/>
  <c r="A209" s="1"/>
  <c r="A210" s="1"/>
  <c r="A211" s="1"/>
  <c r="V209"/>
  <c r="G209"/>
  <c r="V208"/>
  <c r="G208"/>
  <c r="V207"/>
  <c r="G207"/>
  <c r="D72"/>
  <c r="G72" s="1"/>
  <c r="R1618" i="34" l="1"/>
  <c r="S1618"/>
  <c r="Q1618"/>
  <c r="R1620"/>
  <c r="S1620"/>
  <c r="Q1620"/>
  <c r="R1624"/>
  <c r="S1624"/>
  <c r="Q1624"/>
  <c r="R1614"/>
  <c r="S1614"/>
  <c r="Q1614"/>
  <c r="R1616"/>
  <c r="S1616"/>
  <c r="Q1616"/>
  <c r="Q1623"/>
  <c r="R1623"/>
  <c r="S1623"/>
  <c r="R1622"/>
  <c r="S1622"/>
  <c r="Q1622"/>
  <c r="Q1621"/>
  <c r="R1621"/>
  <c r="S1621"/>
  <c r="Q1619"/>
  <c r="R1619"/>
  <c r="S1619"/>
  <c r="Q1615"/>
  <c r="R1615"/>
  <c r="S1615"/>
  <c r="Q1617"/>
  <c r="R1617"/>
  <c r="S1617"/>
  <c r="Q1625"/>
  <c r="R1625"/>
  <c r="S1625"/>
  <c r="G234" i="60"/>
  <c r="B1470" i="34"/>
  <c r="B1476"/>
  <c r="B1462"/>
  <c r="B1466"/>
  <c r="B1475"/>
  <c r="B1428"/>
  <c r="B1432"/>
  <c r="B1436"/>
  <c r="B1399"/>
  <c r="B1459"/>
  <c r="B1469"/>
  <c r="B1473"/>
  <c r="B1465"/>
  <c r="B1427"/>
  <c r="B1431"/>
  <c r="B1435"/>
  <c r="B1438"/>
  <c r="B1440"/>
  <c r="B1468"/>
  <c r="B1472"/>
  <c r="B1477"/>
  <c r="B1464"/>
  <c r="B1474"/>
  <c r="B1426"/>
  <c r="B1430"/>
  <c r="B1434"/>
  <c r="B1471"/>
  <c r="B1463"/>
  <c r="B1467"/>
  <c r="B1425"/>
  <c r="B1429"/>
  <c r="B1433"/>
  <c r="B1437"/>
  <c r="B1439"/>
  <c r="A757"/>
  <c r="A758"/>
  <c r="A760"/>
  <c r="A762"/>
  <c r="A763"/>
  <c r="A765"/>
  <c r="A767"/>
  <c r="A771"/>
  <c r="A776"/>
  <c r="A781"/>
  <c r="A790"/>
  <c r="A746"/>
  <c r="A1623"/>
  <c r="A1619"/>
  <c r="A1616"/>
  <c r="A1617"/>
  <c r="A1620"/>
  <c r="A1615"/>
  <c r="A4062"/>
  <c r="A754"/>
  <c r="A756"/>
  <c r="A753"/>
  <c r="A755"/>
  <c r="A761"/>
  <c r="A764"/>
  <c r="A766"/>
  <c r="A768"/>
  <c r="A777"/>
  <c r="A784"/>
  <c r="A744"/>
  <c r="A1625"/>
  <c r="A1624"/>
  <c r="A1614"/>
  <c r="A1621"/>
  <c r="A1618"/>
  <c r="A1622"/>
  <c r="E114" i="55"/>
  <c r="D134" i="60"/>
  <c r="R1429" i="34" l="1"/>
  <c r="Q1429"/>
  <c r="S1429"/>
  <c r="Q1471"/>
  <c r="R1471"/>
  <c r="S1471"/>
  <c r="R1474"/>
  <c r="S1474"/>
  <c r="Q1474"/>
  <c r="R1468"/>
  <c r="S1468"/>
  <c r="Q1468"/>
  <c r="R1431"/>
  <c r="Q1431"/>
  <c r="S1431"/>
  <c r="Q1469"/>
  <c r="R1469"/>
  <c r="S1469"/>
  <c r="Q1432"/>
  <c r="R1432"/>
  <c r="S1432"/>
  <c r="R1462"/>
  <c r="S1462"/>
  <c r="Q1462"/>
  <c r="R1439"/>
  <c r="Q1439"/>
  <c r="S1439"/>
  <c r="R1425"/>
  <c r="Q1425"/>
  <c r="S1425"/>
  <c r="R1434"/>
  <c r="S1434"/>
  <c r="Q1434"/>
  <c r="R1464"/>
  <c r="S1464"/>
  <c r="Q1464"/>
  <c r="Q1440"/>
  <c r="R1440"/>
  <c r="S1440"/>
  <c r="R1427"/>
  <c r="Q1427"/>
  <c r="S1427"/>
  <c r="Q1459"/>
  <c r="R1459"/>
  <c r="S1459"/>
  <c r="Q1428"/>
  <c r="R1428"/>
  <c r="S1428"/>
  <c r="R1476"/>
  <c r="S1476"/>
  <c r="Q1476"/>
  <c r="R1437"/>
  <c r="Q1437"/>
  <c r="S1437"/>
  <c r="Q1467"/>
  <c r="R1467"/>
  <c r="S1467"/>
  <c r="R1430"/>
  <c r="S1430"/>
  <c r="Q1430"/>
  <c r="Q1477"/>
  <c r="R1477"/>
  <c r="S1477"/>
  <c r="R1438"/>
  <c r="S1438"/>
  <c r="Q1438"/>
  <c r="Q1465"/>
  <c r="R1465"/>
  <c r="S1465"/>
  <c r="R1399"/>
  <c r="Q1399"/>
  <c r="S1399"/>
  <c r="Q1475"/>
  <c r="R1475"/>
  <c r="S1475"/>
  <c r="R1470"/>
  <c r="S1470"/>
  <c r="Q1470"/>
  <c r="R1433"/>
  <c r="Q1433"/>
  <c r="S1433"/>
  <c r="Q1463"/>
  <c r="R1463"/>
  <c r="S1463"/>
  <c r="R1426"/>
  <c r="S1426"/>
  <c r="Q1426"/>
  <c r="R1472"/>
  <c r="S1472"/>
  <c r="Q1472"/>
  <c r="R1435"/>
  <c r="Q1435"/>
  <c r="S1435"/>
  <c r="Q1473"/>
  <c r="R1473"/>
  <c r="S1473"/>
  <c r="Q1436"/>
  <c r="R1436"/>
  <c r="S1436"/>
  <c r="R1466"/>
  <c r="S1466"/>
  <c r="Q1466"/>
  <c r="B1627"/>
  <c r="B1626"/>
  <c r="A3877"/>
  <c r="A1399"/>
  <c r="A1477"/>
  <c r="A1473"/>
  <c r="A1468"/>
  <c r="A1469"/>
  <c r="A1464"/>
  <c r="A1462"/>
  <c r="A1463"/>
  <c r="A1475"/>
  <c r="A1440"/>
  <c r="A1435"/>
  <c r="A1427"/>
  <c r="A1432"/>
  <c r="A1439"/>
  <c r="A1426"/>
  <c r="A1434"/>
  <c r="A1433"/>
  <c r="A3878"/>
  <c r="A589"/>
  <c r="A1459"/>
  <c r="A1470"/>
  <c r="A1476"/>
  <c r="A1471"/>
  <c r="A1467"/>
  <c r="A1465"/>
  <c r="A1472"/>
  <c r="A1466"/>
  <c r="A1474"/>
  <c r="A1438"/>
  <c r="A1431"/>
  <c r="A1436"/>
  <c r="A1428"/>
  <c r="A1437"/>
  <c r="A1430"/>
  <c r="A1429"/>
  <c r="A1425"/>
  <c r="R1626" l="1"/>
  <c r="S1626"/>
  <c r="Q1626"/>
  <c r="Q1627"/>
  <c r="R1627"/>
  <c r="S1627"/>
  <c r="A1627"/>
  <c r="A1626"/>
  <c r="A2318" l="1"/>
  <c r="A2319"/>
  <c r="A2317"/>
  <c r="A490"/>
  <c r="A488"/>
  <c r="A489"/>
  <c r="A487"/>
  <c r="A1209"/>
  <c r="A2316"/>
  <c r="A2315"/>
  <c r="A2314"/>
  <c r="A2297"/>
  <c r="A2296"/>
  <c r="A486"/>
  <c r="A3933" l="1"/>
  <c r="A38" i="12" l="1"/>
  <c r="A39"/>
  <c r="B45" i="55"/>
  <c r="A45" s="1"/>
  <c r="B40"/>
  <c r="A40" s="1"/>
  <c r="B39"/>
  <c r="A39" s="1"/>
  <c r="A3670" i="34" l="1"/>
  <c r="A3788"/>
  <c r="A3786"/>
  <c r="A3784"/>
  <c r="A3790"/>
  <c r="A3791"/>
  <c r="A2223"/>
  <c r="A2221"/>
  <c r="A2219"/>
  <c r="A2214"/>
  <c r="A2217"/>
  <c r="A2216"/>
  <c r="A3925"/>
  <c r="A3926"/>
  <c r="A3938"/>
  <c r="A3920"/>
  <c r="A3952"/>
  <c r="A3956"/>
  <c r="A3959"/>
  <c r="A3962"/>
  <c r="A3960"/>
  <c r="A3916"/>
  <c r="A3968"/>
  <c r="A3982"/>
  <c r="A3990"/>
  <c r="A3988"/>
  <c r="A3998"/>
  <c r="A4001"/>
  <c r="A3999"/>
  <c r="A4009"/>
  <c r="A4003"/>
  <c r="A3994"/>
  <c r="A4018"/>
  <c r="A4021"/>
  <c r="A4022"/>
  <c r="A4023"/>
  <c r="A4024"/>
  <c r="A4025"/>
  <c r="A4026"/>
  <c r="A4027"/>
  <c r="A4028"/>
  <c r="A4029"/>
  <c r="A4030"/>
  <c r="A4031"/>
  <c r="A4032"/>
  <c r="A4064"/>
  <c r="A4063"/>
  <c r="A2260"/>
  <c r="A2270"/>
  <c r="A2273"/>
  <c r="A2271"/>
  <c r="A2274"/>
  <c r="A3591"/>
  <c r="A3668"/>
  <c r="A3672"/>
  <c r="A3789"/>
  <c r="A3787"/>
  <c r="A3785"/>
  <c r="A3783"/>
  <c r="A2211"/>
  <c r="A2212"/>
  <c r="A2222"/>
  <c r="A2220"/>
  <c r="A2213"/>
  <c r="A2215"/>
  <c r="A2218"/>
  <c r="A2224"/>
  <c r="A2225"/>
  <c r="A2226"/>
  <c r="A2227"/>
  <c r="A2228"/>
  <c r="A2229"/>
  <c r="A3934"/>
  <c r="A3940"/>
  <c r="A3955"/>
  <c r="A3957"/>
  <c r="A3961"/>
  <c r="A3963"/>
  <c r="A3966"/>
  <c r="A3965"/>
  <c r="A3964"/>
  <c r="A3967"/>
  <c r="A3929"/>
  <c r="A3954"/>
  <c r="A3969"/>
  <c r="A3979"/>
  <c r="A3983"/>
  <c r="A3989"/>
  <c r="A3991"/>
  <c r="A4004"/>
  <c r="A4000"/>
  <c r="A4007"/>
  <c r="A4008"/>
  <c r="A4002"/>
  <c r="A4014"/>
  <c r="A4015"/>
  <c r="A4016"/>
  <c r="A4017"/>
  <c r="A4019"/>
  <c r="A4047"/>
  <c r="A2268"/>
  <c r="A2269"/>
  <c r="A3996"/>
  <c r="A2276"/>
  <c r="A2272"/>
  <c r="A2275"/>
  <c r="M131"/>
  <c r="M117"/>
  <c r="A2158" l="1"/>
  <c r="A2159"/>
  <c r="A2155"/>
  <c r="A2157"/>
  <c r="A2156"/>
  <c r="M174"/>
  <c r="M132"/>
  <c r="C23"/>
  <c r="AD23" s="1"/>
  <c r="C24"/>
  <c r="AD24" s="1"/>
  <c r="B24" l="1"/>
  <c r="B23"/>
  <c r="M189" i="60"/>
  <c r="D187"/>
  <c r="A60" i="12"/>
  <c r="A58"/>
  <c r="A72"/>
  <c r="A68"/>
  <c r="A73"/>
  <c r="A76"/>
  <c r="A75"/>
  <c r="A77"/>
  <c r="A57"/>
  <c r="A80"/>
  <c r="A66"/>
  <c r="A61"/>
  <c r="A69"/>
  <c r="A79"/>
  <c r="A86"/>
  <c r="Q23" i="34" l="1"/>
  <c r="R23"/>
  <c r="S23"/>
  <c r="R24"/>
  <c r="S24"/>
  <c r="Q24"/>
  <c r="A24"/>
  <c r="A23"/>
  <c r="G187" i="60"/>
  <c r="A1089" i="34" l="1"/>
  <c r="A3671" l="1"/>
  <c r="A2134"/>
  <c r="A3669"/>
  <c r="E146" i="60" l="1"/>
  <c r="E113"/>
  <c r="O113"/>
  <c r="M168"/>
  <c r="B71" i="55"/>
  <c r="A71" s="1"/>
  <c r="V151" i="60"/>
  <c r="V152"/>
  <c r="V153"/>
  <c r="V147"/>
  <c r="V148"/>
  <c r="D186"/>
  <c r="G186" s="1"/>
  <c r="D185"/>
  <c r="G185" s="1"/>
  <c r="D184"/>
  <c r="G184" s="1"/>
  <c r="D183"/>
  <c r="G183" s="1"/>
  <c r="D182"/>
  <c r="V174"/>
  <c r="V175"/>
  <c r="V176"/>
  <c r="V177"/>
  <c r="D166"/>
  <c r="D165"/>
  <c r="D164"/>
  <c r="G164" s="1"/>
  <c r="D163"/>
  <c r="D162"/>
  <c r="G162" s="1"/>
  <c r="D138"/>
  <c r="V123"/>
  <c r="V124"/>
  <c r="B1613" i="34" l="1"/>
  <c r="B1448"/>
  <c r="B1479"/>
  <c r="B1481"/>
  <c r="B1483"/>
  <c r="B1485"/>
  <c r="B1486"/>
  <c r="B1506"/>
  <c r="B1508"/>
  <c r="B1511"/>
  <c r="B1492"/>
  <c r="B1488"/>
  <c r="B1514"/>
  <c r="B1516"/>
  <c r="B1518"/>
  <c r="B1523"/>
  <c r="B1525"/>
  <c r="B1527"/>
  <c r="B1520"/>
  <c r="B1522"/>
  <c r="B1532"/>
  <c r="B1534"/>
  <c r="B1539"/>
  <c r="B1542"/>
  <c r="B1544"/>
  <c r="B1546"/>
  <c r="B1548"/>
  <c r="B1550"/>
  <c r="B1552"/>
  <c r="B1554"/>
  <c r="B1557"/>
  <c r="B1558"/>
  <c r="B1560"/>
  <c r="B1562"/>
  <c r="B1564"/>
  <c r="B1566"/>
  <c r="B1568"/>
  <c r="B1570"/>
  <c r="B1577"/>
  <c r="B1597"/>
  <c r="B1600"/>
  <c r="B1602"/>
  <c r="B1604"/>
  <c r="B1606"/>
  <c r="B1608"/>
  <c r="B1610"/>
  <c r="B1612"/>
  <c r="B1501"/>
  <c r="B1503"/>
  <c r="B1505"/>
  <c r="B1497"/>
  <c r="B1498"/>
  <c r="B1495"/>
  <c r="B1491"/>
  <c r="B1528"/>
  <c r="B1530"/>
  <c r="B1540"/>
  <c r="B1535"/>
  <c r="B1537"/>
  <c r="B1555"/>
  <c r="B1573"/>
  <c r="B1575"/>
  <c r="B1579"/>
  <c r="B1581"/>
  <c r="B1585"/>
  <c r="B1583"/>
  <c r="B1587"/>
  <c r="B1589"/>
  <c r="B1591"/>
  <c r="B1595"/>
  <c r="B1593"/>
  <c r="B1449"/>
  <c r="B1480"/>
  <c r="B1482"/>
  <c r="B1484"/>
  <c r="B1487"/>
  <c r="B1502"/>
  <c r="B1507"/>
  <c r="B1509"/>
  <c r="B1512"/>
  <c r="B1494"/>
  <c r="B1490"/>
  <c r="B1513"/>
  <c r="B1515"/>
  <c r="B1517"/>
  <c r="B1519"/>
  <c r="B1524"/>
  <c r="B1526"/>
  <c r="B1521"/>
  <c r="B1531"/>
  <c r="B1533"/>
  <c r="B1538"/>
  <c r="B1541"/>
  <c r="B1543"/>
  <c r="B1545"/>
  <c r="B1547"/>
  <c r="B1549"/>
  <c r="B1551"/>
  <c r="B1553"/>
  <c r="B1559"/>
  <c r="B1561"/>
  <c r="B1563"/>
  <c r="B1565"/>
  <c r="B1567"/>
  <c r="B1569"/>
  <c r="B1571"/>
  <c r="B1596"/>
  <c r="B1598"/>
  <c r="B1599"/>
  <c r="B1601"/>
  <c r="B1603"/>
  <c r="B1605"/>
  <c r="B1607"/>
  <c r="B1609"/>
  <c r="B1611"/>
  <c r="B1478"/>
  <c r="B1500"/>
  <c r="B1510"/>
  <c r="B1504"/>
  <c r="B1496"/>
  <c r="B1499"/>
  <c r="B1493"/>
  <c r="B1489"/>
  <c r="B1529"/>
  <c r="B1536"/>
  <c r="B1556"/>
  <c r="B1572"/>
  <c r="B1574"/>
  <c r="B1576"/>
  <c r="B1578"/>
  <c r="B1580"/>
  <c r="B1582"/>
  <c r="B1586"/>
  <c r="B1584"/>
  <c r="B1588"/>
  <c r="B1590"/>
  <c r="B1592"/>
  <c r="B1594"/>
  <c r="A1078"/>
  <c r="A1110"/>
  <c r="A1108"/>
  <c r="A1102"/>
  <c r="A1081"/>
  <c r="A1077"/>
  <c r="A1079"/>
  <c r="A1105"/>
  <c r="A1109"/>
  <c r="A1103"/>
  <c r="A1127"/>
  <c r="A1129"/>
  <c r="A1125"/>
  <c r="A1133"/>
  <c r="A1162"/>
  <c r="A1159"/>
  <c r="A1106"/>
  <c r="A1112"/>
  <c r="A1080"/>
  <c r="A1082"/>
  <c r="A1104"/>
  <c r="A1128"/>
  <c r="A1124"/>
  <c r="A1126"/>
  <c r="A1161"/>
  <c r="A1158"/>
  <c r="A1160"/>
  <c r="A1107"/>
  <c r="A1111"/>
  <c r="A1113"/>
  <c r="G182" i="60"/>
  <c r="D189"/>
  <c r="G166"/>
  <c r="G163"/>
  <c r="G165"/>
  <c r="R1590" i="34" l="1"/>
  <c r="S1590"/>
  <c r="Q1590"/>
  <c r="R1582"/>
  <c r="S1582"/>
  <c r="Q1582"/>
  <c r="R1574"/>
  <c r="S1574"/>
  <c r="Q1574"/>
  <c r="Q1529"/>
  <c r="R1529"/>
  <c r="S1529"/>
  <c r="R1496"/>
  <c r="S1496"/>
  <c r="Q1496"/>
  <c r="R1478"/>
  <c r="S1478"/>
  <c r="Q1478"/>
  <c r="Q1605"/>
  <c r="R1605"/>
  <c r="S1605"/>
  <c r="R1598"/>
  <c r="S1598"/>
  <c r="Q1598"/>
  <c r="Q1567"/>
  <c r="R1567"/>
  <c r="S1567"/>
  <c r="Q1559"/>
  <c r="R1559"/>
  <c r="S1559"/>
  <c r="Q1547"/>
  <c r="R1547"/>
  <c r="S1547"/>
  <c r="R1538"/>
  <c r="S1538"/>
  <c r="Q1538"/>
  <c r="R1526"/>
  <c r="S1526"/>
  <c r="Q1526"/>
  <c r="Q1515"/>
  <c r="R1515"/>
  <c r="S1515"/>
  <c r="R1512"/>
  <c r="S1512"/>
  <c r="Q1512"/>
  <c r="Q1487"/>
  <c r="R1487"/>
  <c r="S1487"/>
  <c r="Q1449"/>
  <c r="R1449"/>
  <c r="S1449"/>
  <c r="Q1589"/>
  <c r="R1589"/>
  <c r="S1589"/>
  <c r="Q1581"/>
  <c r="R1581"/>
  <c r="S1581"/>
  <c r="Q1555"/>
  <c r="R1555"/>
  <c r="S1555"/>
  <c r="R1530"/>
  <c r="S1530"/>
  <c r="Q1530"/>
  <c r="R1498"/>
  <c r="S1498"/>
  <c r="Q1498"/>
  <c r="Q1501"/>
  <c r="R1501"/>
  <c r="S1501"/>
  <c r="R1606"/>
  <c r="S1606"/>
  <c r="Q1606"/>
  <c r="Q1597"/>
  <c r="R1597"/>
  <c r="S1597"/>
  <c r="R1566"/>
  <c r="S1566"/>
  <c r="Q1566"/>
  <c r="R1558"/>
  <c r="S1558"/>
  <c r="Q1558"/>
  <c r="R1550"/>
  <c r="S1550"/>
  <c r="Q1550"/>
  <c r="R1542"/>
  <c r="S1542"/>
  <c r="Q1542"/>
  <c r="R1522"/>
  <c r="S1522"/>
  <c r="Q1522"/>
  <c r="Q1523"/>
  <c r="R1523"/>
  <c r="S1523"/>
  <c r="R1488"/>
  <c r="S1488"/>
  <c r="Q1488"/>
  <c r="R1506"/>
  <c r="S1506"/>
  <c r="Q1506"/>
  <c r="Q1481"/>
  <c r="R1481"/>
  <c r="S1481"/>
  <c r="R1588"/>
  <c r="S1588"/>
  <c r="Q1588"/>
  <c r="R1580"/>
  <c r="S1580"/>
  <c r="Q1580"/>
  <c r="R1572"/>
  <c r="S1572"/>
  <c r="Q1572"/>
  <c r="Q1489"/>
  <c r="R1489"/>
  <c r="S1489"/>
  <c r="R1504"/>
  <c r="S1504"/>
  <c r="Q1504"/>
  <c r="Q1611"/>
  <c r="R1611"/>
  <c r="S1611"/>
  <c r="Q1603"/>
  <c r="R1603"/>
  <c r="S1603"/>
  <c r="R1596"/>
  <c r="S1596"/>
  <c r="Q1596"/>
  <c r="Q1565"/>
  <c r="R1565"/>
  <c r="S1565"/>
  <c r="Q1553"/>
  <c r="R1553"/>
  <c r="S1553"/>
  <c r="Q1545"/>
  <c r="R1545"/>
  <c r="S1545"/>
  <c r="Q1533"/>
  <c r="R1533"/>
  <c r="S1533"/>
  <c r="R1524"/>
  <c r="S1524"/>
  <c r="Q1524"/>
  <c r="Q1513"/>
  <c r="R1513"/>
  <c r="S1513"/>
  <c r="Q1509"/>
  <c r="R1509"/>
  <c r="S1509"/>
  <c r="R1484"/>
  <c r="S1484"/>
  <c r="Q1484"/>
  <c r="Q1593"/>
  <c r="R1593"/>
  <c r="S1593"/>
  <c r="Q1587"/>
  <c r="R1587"/>
  <c r="S1587"/>
  <c r="Q1579"/>
  <c r="R1579"/>
  <c r="S1579"/>
  <c r="Q1537"/>
  <c r="R1537"/>
  <c r="S1537"/>
  <c r="R1528"/>
  <c r="S1528"/>
  <c r="Q1528"/>
  <c r="Q1497"/>
  <c r="R1497"/>
  <c r="S1497"/>
  <c r="R1612"/>
  <c r="S1612"/>
  <c r="Q1612"/>
  <c r="R1604"/>
  <c r="S1604"/>
  <c r="Q1604"/>
  <c r="Q1577"/>
  <c r="R1577"/>
  <c r="S1577"/>
  <c r="R1564"/>
  <c r="S1564"/>
  <c r="Q1564"/>
  <c r="Q1557"/>
  <c r="R1557"/>
  <c r="S1557"/>
  <c r="R1548"/>
  <c r="S1548"/>
  <c r="Q1548"/>
  <c r="Q1539"/>
  <c r="R1539"/>
  <c r="S1539"/>
  <c r="R1520"/>
  <c r="S1520"/>
  <c r="Q1520"/>
  <c r="R1518"/>
  <c r="S1518"/>
  <c r="Q1518"/>
  <c r="R1492"/>
  <c r="S1492"/>
  <c r="Q1492"/>
  <c r="R1486"/>
  <c r="S1486"/>
  <c r="Q1486"/>
  <c r="Q1479"/>
  <c r="R1479"/>
  <c r="S1479"/>
  <c r="R1594"/>
  <c r="S1594"/>
  <c r="Q1594"/>
  <c r="R1584"/>
  <c r="S1584"/>
  <c r="Q1584"/>
  <c r="R1578"/>
  <c r="S1578"/>
  <c r="Q1578"/>
  <c r="R1556"/>
  <c r="S1556"/>
  <c r="Q1556"/>
  <c r="Q1493"/>
  <c r="R1493"/>
  <c r="S1493"/>
  <c r="R1510"/>
  <c r="S1510"/>
  <c r="Q1510"/>
  <c r="Q1609"/>
  <c r="R1609"/>
  <c r="S1609"/>
  <c r="Q1601"/>
  <c r="R1601"/>
  <c r="S1601"/>
  <c r="Q1571"/>
  <c r="R1571"/>
  <c r="S1571"/>
  <c r="Q1563"/>
  <c r="R1563"/>
  <c r="S1563"/>
  <c r="Q1551"/>
  <c r="R1551"/>
  <c r="S1551"/>
  <c r="Q1543"/>
  <c r="R1543"/>
  <c r="S1543"/>
  <c r="Q1531"/>
  <c r="R1531"/>
  <c r="S1531"/>
  <c r="Q1519"/>
  <c r="R1519"/>
  <c r="S1519"/>
  <c r="R1490"/>
  <c r="S1490"/>
  <c r="Q1490"/>
  <c r="Q1507"/>
  <c r="R1507"/>
  <c r="S1507"/>
  <c r="R1482"/>
  <c r="S1482"/>
  <c r="Q1482"/>
  <c r="Q1595"/>
  <c r="R1595"/>
  <c r="S1595"/>
  <c r="Q1583"/>
  <c r="R1583"/>
  <c r="S1583"/>
  <c r="Q1575"/>
  <c r="R1575"/>
  <c r="S1575"/>
  <c r="Q1535"/>
  <c r="R1535"/>
  <c r="S1535"/>
  <c r="Q1491"/>
  <c r="R1491"/>
  <c r="S1491"/>
  <c r="Q1505"/>
  <c r="R1505"/>
  <c r="S1505"/>
  <c r="R1610"/>
  <c r="S1610"/>
  <c r="Q1610"/>
  <c r="R1602"/>
  <c r="S1602"/>
  <c r="Q1602"/>
  <c r="R1570"/>
  <c r="S1570"/>
  <c r="Q1570"/>
  <c r="R1562"/>
  <c r="S1562"/>
  <c r="Q1562"/>
  <c r="R1554"/>
  <c r="S1554"/>
  <c r="Q1554"/>
  <c r="R1546"/>
  <c r="S1546"/>
  <c r="Q1546"/>
  <c r="R1534"/>
  <c r="S1534"/>
  <c r="Q1534"/>
  <c r="Q1527"/>
  <c r="R1527"/>
  <c r="S1527"/>
  <c r="R1516"/>
  <c r="S1516"/>
  <c r="Q1516"/>
  <c r="Q1511"/>
  <c r="R1511"/>
  <c r="S1511"/>
  <c r="Q1485"/>
  <c r="R1485"/>
  <c r="S1485"/>
  <c r="R1448"/>
  <c r="S1448"/>
  <c r="Q1448"/>
  <c r="R1592"/>
  <c r="S1592"/>
  <c r="Q1592"/>
  <c r="R1586"/>
  <c r="S1586"/>
  <c r="Q1586"/>
  <c r="R1576"/>
  <c r="S1576"/>
  <c r="Q1576"/>
  <c r="R1536"/>
  <c r="S1536"/>
  <c r="Q1536"/>
  <c r="Q1499"/>
  <c r="R1499"/>
  <c r="S1499"/>
  <c r="R1500"/>
  <c r="S1500"/>
  <c r="Q1500"/>
  <c r="Q1607"/>
  <c r="R1607"/>
  <c r="S1607"/>
  <c r="Q1599"/>
  <c r="R1599"/>
  <c r="S1599"/>
  <c r="Q1569"/>
  <c r="R1569"/>
  <c r="S1569"/>
  <c r="Q1561"/>
  <c r="R1561"/>
  <c r="S1561"/>
  <c r="Q1549"/>
  <c r="R1549"/>
  <c r="S1549"/>
  <c r="Q1541"/>
  <c r="R1541"/>
  <c r="S1541"/>
  <c r="Q1521"/>
  <c r="R1521"/>
  <c r="S1521"/>
  <c r="Q1517"/>
  <c r="R1517"/>
  <c r="S1517"/>
  <c r="R1494"/>
  <c r="S1494"/>
  <c r="Q1494"/>
  <c r="R1502"/>
  <c r="S1502"/>
  <c r="Q1502"/>
  <c r="R1480"/>
  <c r="S1480"/>
  <c r="Q1480"/>
  <c r="Q1591"/>
  <c r="R1591"/>
  <c r="S1591"/>
  <c r="Q1585"/>
  <c r="R1585"/>
  <c r="S1585"/>
  <c r="Q1573"/>
  <c r="R1573"/>
  <c r="S1573"/>
  <c r="R1540"/>
  <c r="S1540"/>
  <c r="Q1540"/>
  <c r="Q1495"/>
  <c r="R1495"/>
  <c r="S1495"/>
  <c r="Q1503"/>
  <c r="R1503"/>
  <c r="S1503"/>
  <c r="R1608"/>
  <c r="S1608"/>
  <c r="Q1608"/>
  <c r="R1600"/>
  <c r="S1600"/>
  <c r="Q1600"/>
  <c r="R1568"/>
  <c r="S1568"/>
  <c r="Q1568"/>
  <c r="R1560"/>
  <c r="S1560"/>
  <c r="Q1560"/>
  <c r="R1552"/>
  <c r="S1552"/>
  <c r="Q1552"/>
  <c r="R1544"/>
  <c r="S1544"/>
  <c r="Q1544"/>
  <c r="R1532"/>
  <c r="S1532"/>
  <c r="Q1532"/>
  <c r="Q1525"/>
  <c r="R1525"/>
  <c r="S1525"/>
  <c r="R1514"/>
  <c r="S1514"/>
  <c r="Q1514"/>
  <c r="R1508"/>
  <c r="S1508"/>
  <c r="Q1508"/>
  <c r="Q1483"/>
  <c r="R1483"/>
  <c r="S1483"/>
  <c r="Q1613"/>
  <c r="R1613"/>
  <c r="S1613"/>
  <c r="A1448"/>
  <c r="A1484"/>
  <c r="A1485"/>
  <c r="A1486"/>
  <c r="A1509"/>
  <c r="A1508"/>
  <c r="A1503"/>
  <c r="A1506"/>
  <c r="A1494"/>
  <c r="A1493"/>
  <c r="A1489"/>
  <c r="A1497"/>
  <c r="A1499"/>
  <c r="A1530"/>
  <c r="A1526"/>
  <c r="A1519"/>
  <c r="A1515"/>
  <c r="A1529"/>
  <c r="A1525"/>
  <c r="A1518"/>
  <c r="A1514"/>
  <c r="A1520"/>
  <c r="A1533"/>
  <c r="A1532"/>
  <c r="A1534"/>
  <c r="A1541"/>
  <c r="A1535"/>
  <c r="A1540"/>
  <c r="A1542"/>
  <c r="A1555"/>
  <c r="A1551"/>
  <c r="A1547"/>
  <c r="A1556"/>
  <c r="A1552"/>
  <c r="A1548"/>
  <c r="A1544"/>
  <c r="A1563"/>
  <c r="A1559"/>
  <c r="A1562"/>
  <c r="A1558"/>
  <c r="A1567"/>
  <c r="A1571"/>
  <c r="A1575"/>
  <c r="A1576"/>
  <c r="A1577"/>
  <c r="A1580"/>
  <c r="A1578"/>
  <c r="A1585"/>
  <c r="A1583"/>
  <c r="A1596"/>
  <c r="A1597"/>
  <c r="A1592"/>
  <c r="A1589"/>
  <c r="A1594"/>
  <c r="A1569"/>
  <c r="A1608"/>
  <c r="A1607"/>
  <c r="A1603"/>
  <c r="A1488"/>
  <c r="A1579"/>
  <c r="A1602"/>
  <c r="A1609"/>
  <c r="A1611"/>
  <c r="A1612"/>
  <c r="A1492"/>
  <c r="A1480"/>
  <c r="A1481"/>
  <c r="A1510"/>
  <c r="A1502"/>
  <c r="A1449"/>
  <c r="A1487"/>
  <c r="A1482"/>
  <c r="A1478"/>
  <c r="A1483"/>
  <c r="A1479"/>
  <c r="A1512"/>
  <c r="A1511"/>
  <c r="A1507"/>
  <c r="A1500"/>
  <c r="A1505"/>
  <c r="A1504"/>
  <c r="A1496"/>
  <c r="A1495"/>
  <c r="A1491"/>
  <c r="A1501"/>
  <c r="A1498"/>
  <c r="A1528"/>
  <c r="A1524"/>
  <c r="A1517"/>
  <c r="A1513"/>
  <c r="A1527"/>
  <c r="A1523"/>
  <c r="A1516"/>
  <c r="A1522"/>
  <c r="A1521"/>
  <c r="A1531"/>
  <c r="A1539"/>
  <c r="A1538"/>
  <c r="A1537"/>
  <c r="A1536"/>
  <c r="A1543"/>
  <c r="A1557"/>
  <c r="A1553"/>
  <c r="A1549"/>
  <c r="A1545"/>
  <c r="A1554"/>
  <c r="A1550"/>
  <c r="A1546"/>
  <c r="A1565"/>
  <c r="A1561"/>
  <c r="A1564"/>
  <c r="A1560"/>
  <c r="A1566"/>
  <c r="A1568"/>
  <c r="A1570"/>
  <c r="A1572"/>
  <c r="A1574"/>
  <c r="A1573"/>
  <c r="A1582"/>
  <c r="A1581"/>
  <c r="A1586"/>
  <c r="A1584"/>
  <c r="A1598"/>
  <c r="A1591"/>
  <c r="A1595"/>
  <c r="A1590"/>
  <c r="A1587"/>
  <c r="A1593"/>
  <c r="A1588"/>
  <c r="A1606"/>
  <c r="A1605"/>
  <c r="A1600"/>
  <c r="A1490"/>
  <c r="A1599"/>
  <c r="A1604"/>
  <c r="A1610"/>
  <c r="A1613"/>
  <c r="A1601"/>
  <c r="G189" i="60"/>
  <c r="V120"/>
  <c r="V121"/>
  <c r="V122"/>
  <c r="V195"/>
  <c r="A1053" i="34" l="1"/>
  <c r="A1055"/>
  <c r="A1057"/>
  <c r="A1059"/>
  <c r="A1061"/>
  <c r="A1070"/>
  <c r="A1072"/>
  <c r="A1074"/>
  <c r="A1076"/>
  <c r="A1094"/>
  <c r="A1096"/>
  <c r="A1098"/>
  <c r="A1100"/>
  <c r="A1116"/>
  <c r="A1118"/>
  <c r="A1120"/>
  <c r="A1122"/>
  <c r="A1130"/>
  <c r="A1132"/>
  <c r="A1151"/>
  <c r="A1153"/>
  <c r="A1155"/>
  <c r="A1157"/>
  <c r="A1031"/>
  <c r="A1054"/>
  <c r="A1056"/>
  <c r="A1058"/>
  <c r="A1060"/>
  <c r="A1069"/>
  <c r="A1071"/>
  <c r="A1073"/>
  <c r="A1075"/>
  <c r="A1083"/>
  <c r="A1095"/>
  <c r="A1097"/>
  <c r="A1099"/>
  <c r="A1101"/>
  <c r="A1117"/>
  <c r="A1119"/>
  <c r="A1121"/>
  <c r="A1123"/>
  <c r="A1131"/>
  <c r="A1150"/>
  <c r="A1152"/>
  <c r="A1154"/>
  <c r="A1156"/>
  <c r="E56" i="55"/>
  <c r="V188" i="60"/>
  <c r="AB10" i="34"/>
  <c r="V91" i="60"/>
  <c r="V92"/>
  <c r="V93"/>
  <c r="V94"/>
  <c r="V95"/>
  <c r="V107"/>
  <c r="V108"/>
  <c r="V109"/>
  <c r="V110"/>
  <c r="V111"/>
  <c r="V112"/>
  <c r="V113"/>
  <c r="V132"/>
  <c r="V133"/>
  <c r="V134"/>
  <c r="V135"/>
  <c r="V136"/>
  <c r="V137"/>
  <c r="V138"/>
  <c r="V139"/>
  <c r="V182"/>
  <c r="V183"/>
  <c r="V184"/>
  <c r="V185"/>
  <c r="V186"/>
  <c r="V187"/>
  <c r="E184" i="34"/>
  <c r="AA184" s="1"/>
  <c r="E183"/>
  <c r="AA183" s="1"/>
  <c r="M182"/>
  <c r="M184" s="1"/>
  <c r="E182"/>
  <c r="AA182" s="1"/>
  <c r="M181"/>
  <c r="M183" s="1"/>
  <c r="E181"/>
  <c r="AA181" s="1"/>
  <c r="M180"/>
  <c r="E180"/>
  <c r="AA180" s="1"/>
  <c r="M179"/>
  <c r="E179"/>
  <c r="AA179" s="1"/>
  <c r="E178"/>
  <c r="AA178" s="1"/>
  <c r="E177"/>
  <c r="AA177" s="1"/>
  <c r="M176"/>
  <c r="E176"/>
  <c r="AA176" s="1"/>
  <c r="M175"/>
  <c r="E175"/>
  <c r="AA175" s="1"/>
  <c r="E174"/>
  <c r="AA174" s="1"/>
  <c r="E173"/>
  <c r="AA173" s="1"/>
  <c r="E172"/>
  <c r="AA172" s="1"/>
  <c r="E171"/>
  <c r="AA171" s="1"/>
  <c r="E170"/>
  <c r="AA170" s="1"/>
  <c r="E169"/>
  <c r="AA169" s="1"/>
  <c r="M168"/>
  <c r="M170" s="1"/>
  <c r="E168"/>
  <c r="AA168" s="1"/>
  <c r="M167"/>
  <c r="M169" s="1"/>
  <c r="E167"/>
  <c r="AA167" s="1"/>
  <c r="M166"/>
  <c r="E166"/>
  <c r="AA166" s="1"/>
  <c r="M165"/>
  <c r="E165"/>
  <c r="AA165" s="1"/>
  <c r="E164"/>
  <c r="AA164" s="1"/>
  <c r="E163"/>
  <c r="AA163" s="1"/>
  <c r="M162"/>
  <c r="E162"/>
  <c r="AA162" s="1"/>
  <c r="M161"/>
  <c r="E161"/>
  <c r="AA161" s="1"/>
  <c r="M160"/>
  <c r="E160"/>
  <c r="AA160" s="1"/>
  <c r="M159"/>
  <c r="E159"/>
  <c r="AA159" s="1"/>
  <c r="E158"/>
  <c r="AA158" s="1"/>
  <c r="E157"/>
  <c r="AA157" s="1"/>
  <c r="D131" i="60"/>
  <c r="G131" s="1"/>
  <c r="D132"/>
  <c r="G132" s="1"/>
  <c r="D133"/>
  <c r="G133" s="1"/>
  <c r="G134"/>
  <c r="D135"/>
  <c r="G135" s="1"/>
  <c r="D136"/>
  <c r="G136" s="1"/>
  <c r="D137"/>
  <c r="G137" s="1"/>
  <c r="G138"/>
  <c r="D139"/>
  <c r="G139" s="1"/>
  <c r="D140"/>
  <c r="G140" s="1"/>
  <c r="D141"/>
  <c r="G141" s="1"/>
  <c r="D142"/>
  <c r="G142" s="1"/>
  <c r="D143"/>
  <c r="G143" s="1"/>
  <c r="D108"/>
  <c r="G108" s="1"/>
  <c r="D109"/>
  <c r="G109" s="1"/>
  <c r="D110"/>
  <c r="G110" s="1"/>
  <c r="A111"/>
  <c r="D111"/>
  <c r="G111" s="1"/>
  <c r="E48" i="34"/>
  <c r="AA48" s="1"/>
  <c r="E47"/>
  <c r="AA47" s="1"/>
  <c r="E46"/>
  <c r="AA46" s="1"/>
  <c r="E45"/>
  <c r="AA45" s="1"/>
  <c r="E44"/>
  <c r="AA44" s="1"/>
  <c r="E43"/>
  <c r="AA43" s="1"/>
  <c r="E33"/>
  <c r="AA33" s="1"/>
  <c r="E34"/>
  <c r="AA34" s="1"/>
  <c r="E42"/>
  <c r="AA42" s="1"/>
  <c r="E41"/>
  <c r="AA41" s="1"/>
  <c r="E40"/>
  <c r="AA40" s="1"/>
  <c r="E39"/>
  <c r="AA39" s="1"/>
  <c r="E38"/>
  <c r="AA38" s="1"/>
  <c r="E37"/>
  <c r="AA37" s="1"/>
  <c r="E36"/>
  <c r="AA36" s="1"/>
  <c r="E35"/>
  <c r="AA35" s="1"/>
  <c r="A2335" l="1"/>
  <c r="A3868"/>
  <c r="A3869"/>
  <c r="A3903"/>
  <c r="A2281"/>
  <c r="A2287"/>
  <c r="A2289"/>
  <c r="A2291"/>
  <c r="A2293"/>
  <c r="A2295"/>
  <c r="A4012"/>
  <c r="A4020"/>
  <c r="A4034"/>
  <c r="A4036"/>
  <c r="A4038"/>
  <c r="A4040"/>
  <c r="A4042"/>
  <c r="A4044"/>
  <c r="A4046"/>
  <c r="A4050"/>
  <c r="A4052"/>
  <c r="A4054"/>
  <c r="A4056"/>
  <c r="A4060"/>
  <c r="A4065"/>
  <c r="A2240"/>
  <c r="A2244"/>
  <c r="A2246"/>
  <c r="A2242"/>
  <c r="A2248"/>
  <c r="A2250"/>
  <c r="A2252"/>
  <c r="A2254"/>
  <c r="A2265"/>
  <c r="A2267"/>
  <c r="A2256"/>
  <c r="A2258"/>
  <c r="A2261"/>
  <c r="A2263"/>
  <c r="A2278"/>
  <c r="A3993"/>
  <c r="A2231"/>
  <c r="A2233"/>
  <c r="A2235"/>
  <c r="A2237"/>
  <c r="A2239"/>
  <c r="A3918"/>
  <c r="A3922"/>
  <c r="A3924"/>
  <c r="A3928"/>
  <c r="A3931"/>
  <c r="A3935"/>
  <c r="A3937"/>
  <c r="A3941"/>
  <c r="A3943"/>
  <c r="A3945"/>
  <c r="A3947"/>
  <c r="A3949"/>
  <c r="A3951"/>
  <c r="A3915"/>
  <c r="A3971"/>
  <c r="A3975"/>
  <c r="A3977"/>
  <c r="A3984"/>
  <c r="A4010"/>
  <c r="A34"/>
  <c r="A685"/>
  <c r="A686"/>
  <c r="A696"/>
  <c r="A698"/>
  <c r="A699"/>
  <c r="A702"/>
  <c r="A705"/>
  <c r="A725"/>
  <c r="A728"/>
  <c r="A739"/>
  <c r="A740"/>
  <c r="A741"/>
  <c r="A742"/>
  <c r="A743"/>
  <c r="A747"/>
  <c r="A748"/>
  <c r="A749"/>
  <c r="A751"/>
  <c r="A752"/>
  <c r="A682"/>
  <c r="A708"/>
  <c r="A711"/>
  <c r="A714"/>
  <c r="A717"/>
  <c r="A719"/>
  <c r="A722"/>
  <c r="A723"/>
  <c r="A724"/>
  <c r="A735"/>
  <c r="A736"/>
  <c r="A737"/>
  <c r="A738"/>
  <c r="A157"/>
  <c r="A158"/>
  <c r="A159"/>
  <c r="A161"/>
  <c r="A163"/>
  <c r="A165"/>
  <c r="A167"/>
  <c r="A169"/>
  <c r="A170"/>
  <c r="A171"/>
  <c r="A172"/>
  <c r="A173"/>
  <c r="A174"/>
  <c r="A175"/>
  <c r="A177"/>
  <c r="A179"/>
  <c r="A181"/>
  <c r="A183"/>
  <c r="A184"/>
  <c r="A3905"/>
  <c r="A2280"/>
  <c r="A2286"/>
  <c r="A2288"/>
  <c r="A2290"/>
  <c r="A2292"/>
  <c r="A2294"/>
  <c r="A1208"/>
  <c r="A770"/>
  <c r="A4013"/>
  <c r="A4033"/>
  <c r="A4035"/>
  <c r="A4037"/>
  <c r="A4039"/>
  <c r="A4041"/>
  <c r="A4043"/>
  <c r="A4045"/>
  <c r="A4049"/>
  <c r="A4051"/>
  <c r="A4053"/>
  <c r="A4055"/>
  <c r="A4057"/>
  <c r="A4061"/>
  <c r="A4066"/>
  <c r="A1194"/>
  <c r="A2241"/>
  <c r="A2245"/>
  <c r="A2247"/>
  <c r="A2243"/>
  <c r="A2249"/>
  <c r="A2251"/>
  <c r="A2253"/>
  <c r="A2264"/>
  <c r="A2266"/>
  <c r="A2255"/>
  <c r="A2257"/>
  <c r="A2259"/>
  <c r="A2262"/>
  <c r="A2277"/>
  <c r="A2279"/>
  <c r="A3992"/>
  <c r="A2230"/>
  <c r="A2232"/>
  <c r="A2234"/>
  <c r="A2236"/>
  <c r="A2238"/>
  <c r="A3917"/>
  <c r="A3919"/>
  <c r="A3923"/>
  <c r="A3927"/>
  <c r="A3930"/>
  <c r="A3932"/>
  <c r="A3936"/>
  <c r="A3939"/>
  <c r="A3942"/>
  <c r="A3944"/>
  <c r="A3946"/>
  <c r="A3948"/>
  <c r="A3950"/>
  <c r="A3953"/>
  <c r="A3970"/>
  <c r="A3974"/>
  <c r="A3976"/>
  <c r="A3978"/>
  <c r="A3985"/>
  <c r="A4011"/>
  <c r="A35"/>
  <c r="A36"/>
  <c r="A37"/>
  <c r="A38"/>
  <c r="A39"/>
  <c r="A40"/>
  <c r="A41"/>
  <c r="A42"/>
  <c r="A43"/>
  <c r="A44"/>
  <c r="A45"/>
  <c r="A46"/>
  <c r="A47"/>
  <c r="A48"/>
  <c r="A664"/>
  <c r="A689"/>
  <c r="A160"/>
  <c r="A162"/>
  <c r="A164"/>
  <c r="A166"/>
  <c r="A168"/>
  <c r="A176"/>
  <c r="A178"/>
  <c r="A180"/>
  <c r="A182"/>
  <c r="A672" l="1"/>
  <c r="A3833" l="1"/>
  <c r="A3871"/>
  <c r="A34" i="12"/>
  <c r="A2210" i="34" l="1"/>
  <c r="A2209"/>
  <c r="A2204"/>
  <c r="A2208"/>
  <c r="A2205"/>
  <c r="A3862" l="1"/>
  <c r="A3866" l="1"/>
  <c r="A3824"/>
  <c r="A401" l="1"/>
  <c r="A403"/>
  <c r="A405"/>
  <c r="A407"/>
  <c r="A3853"/>
  <c r="A3854"/>
  <c r="A3863"/>
  <c r="A3879"/>
  <c r="A3880"/>
  <c r="A3902"/>
  <c r="A3904"/>
  <c r="A3906"/>
  <c r="A3908"/>
  <c r="A3909"/>
  <c r="A3895"/>
  <c r="A404"/>
  <c r="A402"/>
  <c r="A406"/>
  <c r="A408"/>
  <c r="A3825"/>
  <c r="A3826"/>
  <c r="A3832"/>
  <c r="A3894"/>
  <c r="A3426" l="1"/>
  <c r="A3876"/>
  <c r="A3427"/>
  <c r="A3425"/>
  <c r="A3874"/>
  <c r="A3428"/>
  <c r="A3325" l="1"/>
  <c r="A3641"/>
  <c r="A3476"/>
  <c r="A3602"/>
  <c r="A3322"/>
  <c r="A12" i="62"/>
  <c r="A13"/>
  <c r="A14"/>
  <c r="A15"/>
  <c r="A16"/>
  <c r="A17"/>
  <c r="A35" i="45"/>
  <c r="A6"/>
  <c r="A33"/>
  <c r="A34"/>
  <c r="A3485" i="34" l="1"/>
  <c r="A3491"/>
  <c r="A3596"/>
  <c r="A3607"/>
  <c r="A3613"/>
  <c r="A3674"/>
  <c r="A3488"/>
  <c r="A3517"/>
  <c r="A3514"/>
  <c r="A3511"/>
  <c r="A3483"/>
  <c r="A3486"/>
  <c r="A3489"/>
  <c r="A3492"/>
  <c r="A3508"/>
  <c r="A3496"/>
  <c r="A3499"/>
  <c r="A3502"/>
  <c r="A3505"/>
  <c r="A3349"/>
  <c r="A3370"/>
  <c r="A3372"/>
  <c r="A3572"/>
  <c r="A3481"/>
  <c r="A3527"/>
  <c r="A3594"/>
  <c r="A3673"/>
  <c r="A3675"/>
  <c r="A5" i="43"/>
  <c r="E6"/>
  <c r="A3595" i="34" l="1"/>
  <c r="A31" i="12"/>
  <c r="A32"/>
  <c r="B51" i="55"/>
  <c r="A51" s="1"/>
  <c r="B52"/>
  <c r="A52" s="1"/>
  <c r="B53"/>
  <c r="A53" s="1"/>
  <c r="B49"/>
  <c r="A49" s="1"/>
  <c r="B50"/>
  <c r="A50" s="1"/>
  <c r="B47"/>
  <c r="A47" s="1"/>
  <c r="B46"/>
  <c r="A46" s="1"/>
  <c r="B44"/>
  <c r="A44" s="1"/>
  <c r="A30" i="12"/>
  <c r="A2910" i="34" l="1"/>
  <c r="A2903"/>
  <c r="A2911"/>
  <c r="A2912"/>
  <c r="A3687"/>
  <c r="A3590"/>
  <c r="A3528"/>
  <c r="A399"/>
  <c r="A3738"/>
  <c r="A3732"/>
  <c r="A3717"/>
  <c r="A3819"/>
  <c r="A3593"/>
  <c r="A3531"/>
  <c r="A3606"/>
  <c r="A3688"/>
  <c r="A3710"/>
  <c r="A3711"/>
  <c r="A400"/>
  <c r="A3742"/>
  <c r="A3737"/>
  <c r="A3716"/>
  <c r="A3712"/>
  <c r="A3741"/>
  <c r="A3818"/>
  <c r="A3820"/>
  <c r="A3743"/>
  <c r="A3747"/>
  <c r="A3872"/>
  <c r="A3870"/>
  <c r="A3867"/>
  <c r="A3739"/>
  <c r="A3806"/>
  <c r="A3801"/>
  <c r="A3794"/>
  <c r="A3792"/>
  <c r="A3780"/>
  <c r="A3778"/>
  <c r="A3775"/>
  <c r="A3746"/>
  <c r="A3745"/>
  <c r="A3901"/>
  <c r="A3893"/>
  <c r="A3891"/>
  <c r="A3889"/>
  <c r="A3885"/>
  <c r="A3864"/>
  <c r="A3860"/>
  <c r="A3815"/>
  <c r="A3772"/>
  <c r="A2183"/>
  <c r="A3899"/>
  <c r="A3898"/>
  <c r="A3897"/>
  <c r="A3883"/>
  <c r="A3882"/>
  <c r="A3881"/>
  <c r="A3813"/>
  <c r="A3812"/>
  <c r="A3811"/>
  <c r="A3810"/>
  <c r="A3809"/>
  <c r="A3770"/>
  <c r="A3769"/>
  <c r="A3768"/>
  <c r="A3852"/>
  <c r="A3914"/>
  <c r="A3913"/>
  <c r="A3912"/>
  <c r="A3851"/>
  <c r="A3850"/>
  <c r="A3849"/>
  <c r="A3848"/>
  <c r="A3847"/>
  <c r="A3846"/>
  <c r="A3845"/>
  <c r="A3844"/>
  <c r="A3843"/>
  <c r="A3842"/>
  <c r="A3841"/>
  <c r="A3840"/>
  <c r="A3839"/>
  <c r="A3838"/>
  <c r="A3837"/>
  <c r="A3836"/>
  <c r="A3835"/>
  <c r="A3834"/>
  <c r="A3798"/>
  <c r="A3797"/>
  <c r="A3796"/>
  <c r="A3767"/>
  <c r="A3766"/>
  <c r="A3765"/>
  <c r="A3764"/>
  <c r="A3763"/>
  <c r="A3762"/>
  <c r="A3761"/>
  <c r="A3760"/>
  <c r="A3759"/>
  <c r="A3758"/>
  <c r="A3757"/>
  <c r="A3756"/>
  <c r="A3755"/>
  <c r="A3754"/>
  <c r="A3753"/>
  <c r="A3736"/>
  <c r="A3735"/>
  <c r="A3795"/>
  <c r="A3911"/>
  <c r="A3808"/>
  <c r="A3805"/>
  <c r="A3804"/>
  <c r="A3803"/>
  <c r="A3752"/>
  <c r="A3751"/>
  <c r="A3734"/>
  <c r="A3733"/>
  <c r="A3782"/>
  <c r="A3750"/>
  <c r="A3749"/>
  <c r="A3884"/>
  <c r="A3859"/>
  <c r="A3858"/>
  <c r="A3857"/>
  <c r="A3856"/>
  <c r="A3855"/>
  <c r="A3831"/>
  <c r="A3830"/>
  <c r="A3829"/>
  <c r="A3828"/>
  <c r="A3827"/>
  <c r="A3823"/>
  <c r="A3822"/>
  <c r="A409"/>
  <c r="A3748"/>
  <c r="A3896"/>
  <c r="A3875"/>
  <c r="A3873"/>
  <c r="A3678"/>
  <c r="A3677"/>
  <c r="A3676"/>
  <c r="A3640"/>
  <c r="A3666"/>
  <c r="A3639"/>
  <c r="A3504"/>
  <c r="A3501"/>
  <c r="A3498"/>
  <c r="A3495"/>
  <c r="A3507"/>
  <c r="A3482"/>
  <c r="A3510"/>
  <c r="A3513"/>
  <c r="A3516"/>
  <c r="A2191"/>
  <c r="A2170"/>
  <c r="A2168"/>
  <c r="A2206"/>
  <c r="A2196"/>
  <c r="A2194"/>
  <c r="A2203"/>
  <c r="A2198"/>
  <c r="A2189"/>
  <c r="A2187"/>
  <c r="A2185"/>
  <c r="A2179"/>
  <c r="A1148"/>
  <c r="A1147"/>
  <c r="A3887"/>
  <c r="A3886"/>
  <c r="A1144"/>
  <c r="A1143"/>
  <c r="A1142"/>
  <c r="A1141"/>
  <c r="A1137"/>
  <c r="A1136"/>
  <c r="A1135"/>
  <c r="A1146"/>
  <c r="A1145"/>
  <c r="A2201"/>
  <c r="A3592"/>
  <c r="A3597"/>
  <c r="A3614"/>
  <c r="A3773"/>
  <c r="A3821"/>
  <c r="A3740"/>
  <c r="A3807"/>
  <c r="A3802"/>
  <c r="A3800"/>
  <c r="A3793"/>
  <c r="A3781"/>
  <c r="A3779"/>
  <c r="A3776"/>
  <c r="A3771"/>
  <c r="A3744"/>
  <c r="A3900"/>
  <c r="A3892"/>
  <c r="A3890"/>
  <c r="A3888"/>
  <c r="A3865"/>
  <c r="A3861"/>
  <c r="A3816"/>
  <c r="A3814"/>
  <c r="A3910"/>
  <c r="A2184"/>
  <c r="A2192"/>
  <c r="A2190"/>
  <c r="A2169"/>
  <c r="A2207"/>
  <c r="A2199"/>
  <c r="A2195"/>
  <c r="A2193"/>
  <c r="A2202"/>
  <c r="A2197"/>
  <c r="A2188"/>
  <c r="A2186"/>
  <c r="A2180"/>
  <c r="A1140"/>
  <c r="A1139"/>
  <c r="A3774"/>
  <c r="A1134"/>
  <c r="A1138"/>
  <c r="A1149"/>
  <c r="A2200"/>
  <c r="B37" i="55"/>
  <c r="A37" s="1"/>
  <c r="B38"/>
  <c r="A38" s="1"/>
  <c r="B41"/>
  <c r="A41" s="1"/>
  <c r="B42"/>
  <c r="A42" s="1"/>
  <c r="B43"/>
  <c r="A43" s="1"/>
  <c r="B48"/>
  <c r="A48" s="1"/>
  <c r="A3699" i="34" l="1"/>
  <c r="A3700"/>
  <c r="A3701"/>
  <c r="A3702"/>
  <c r="A3703"/>
  <c r="A3704"/>
  <c r="A3705"/>
  <c r="A3697"/>
  <c r="A3706"/>
  <c r="A3707"/>
  <c r="A3698"/>
  <c r="A29" i="12"/>
  <c r="A2902" i="34" l="1"/>
  <c r="A2900"/>
  <c r="A2898"/>
  <c r="A2896"/>
  <c r="A2907"/>
  <c r="A2906"/>
  <c r="A2901"/>
  <c r="A2899"/>
  <c r="A2897"/>
  <c r="A2895"/>
  <c r="A2908"/>
  <c r="A2904"/>
  <c r="A2905"/>
  <c r="A3723"/>
  <c r="A3341"/>
  <c r="A3583"/>
  <c r="A3556"/>
  <c r="A3554"/>
  <c r="A3552"/>
  <c r="A3549"/>
  <c r="A3539"/>
  <c r="A3537"/>
  <c r="A3535"/>
  <c r="A3533"/>
  <c r="A3529"/>
  <c r="A3512"/>
  <c r="A3506"/>
  <c r="A3500"/>
  <c r="A3494"/>
  <c r="A3493"/>
  <c r="A3487"/>
  <c r="A3479"/>
  <c r="A3477"/>
  <c r="A3449"/>
  <c r="A3423"/>
  <c r="A3422"/>
  <c r="A3429"/>
  <c r="A3417"/>
  <c r="A3415"/>
  <c r="A3413"/>
  <c r="A3411"/>
  <c r="A3409"/>
  <c r="A3407"/>
  <c r="A3405"/>
  <c r="A3403"/>
  <c r="A3401"/>
  <c r="A3399"/>
  <c r="A3397"/>
  <c r="A3389"/>
  <c r="A3382"/>
  <c r="A3377"/>
  <c r="A3358"/>
  <c r="A3363"/>
  <c r="A3355"/>
  <c r="A3340"/>
  <c r="A3337"/>
  <c r="A3335"/>
  <c r="A3333"/>
  <c r="A3331"/>
  <c r="A3329"/>
  <c r="A3318"/>
  <c r="A3316"/>
  <c r="A3314"/>
  <c r="A1092"/>
  <c r="A1087"/>
  <c r="A1085"/>
  <c r="A2146"/>
  <c r="A2144"/>
  <c r="A2142"/>
  <c r="A2140"/>
  <c r="A2138"/>
  <c r="A2136"/>
  <c r="A3581"/>
  <c r="A3578"/>
  <c r="A3576"/>
  <c r="A3585"/>
  <c r="A3546"/>
  <c r="A3544"/>
  <c r="A3542"/>
  <c r="A3540"/>
  <c r="A3523"/>
  <c r="A3521"/>
  <c r="A3474"/>
  <c r="A3471"/>
  <c r="A3462"/>
  <c r="A3459"/>
  <c r="A3457"/>
  <c r="A3419"/>
  <c r="A3384"/>
  <c r="A3374"/>
  <c r="A3352"/>
  <c r="A3327"/>
  <c r="A3324"/>
  <c r="A3321"/>
  <c r="A3319"/>
  <c r="A3310"/>
  <c r="A3526"/>
  <c r="A3448"/>
  <c r="A3388"/>
  <c r="A3354"/>
  <c r="A3658"/>
  <c r="A3604"/>
  <c r="A3563"/>
  <c r="A3519"/>
  <c r="A3447"/>
  <c r="A3445"/>
  <c r="A3368"/>
  <c r="A3366"/>
  <c r="A3364"/>
  <c r="A3346"/>
  <c r="A3558"/>
  <c r="A3465"/>
  <c r="A3455"/>
  <c r="A3453"/>
  <c r="A3450"/>
  <c r="A3435"/>
  <c r="A3390"/>
  <c r="A3378"/>
  <c r="A3361"/>
  <c r="A3359"/>
  <c r="A3424"/>
  <c r="A3437"/>
  <c r="A1091"/>
  <c r="A1090"/>
  <c r="A3451"/>
  <c r="A2152"/>
  <c r="A2150"/>
  <c r="A2148"/>
  <c r="A3582"/>
  <c r="A3369"/>
  <c r="A3570"/>
  <c r="A3568"/>
  <c r="A3566"/>
  <c r="A3564"/>
  <c r="A3432"/>
  <c r="A3550"/>
  <c r="A3343"/>
  <c r="A3394"/>
  <c r="A3392"/>
  <c r="A3441"/>
  <c r="A3439"/>
  <c r="A3469"/>
  <c r="A3467"/>
  <c r="A3560"/>
  <c r="A2154"/>
  <c r="A3461"/>
  <c r="A3470"/>
  <c r="A3579"/>
  <c r="A3685"/>
  <c r="A3648"/>
  <c r="A3649"/>
  <c r="A3650"/>
  <c r="A3652"/>
  <c r="A3653"/>
  <c r="A3682"/>
  <c r="A3683"/>
  <c r="A3718"/>
  <c r="A3719"/>
  <c r="A3720"/>
  <c r="A3721"/>
  <c r="A3724"/>
  <c r="A3725"/>
  <c r="A3696"/>
  <c r="A3695"/>
  <c r="A3693"/>
  <c r="A3691"/>
  <c r="A3689"/>
  <c r="A3709"/>
  <c r="A3662"/>
  <c r="A3623"/>
  <c r="A3618"/>
  <c r="A3616"/>
  <c r="A3600"/>
  <c r="A2164"/>
  <c r="A3726"/>
  <c r="A3635"/>
  <c r="A2161"/>
  <c r="A3728"/>
  <c r="A3729"/>
  <c r="A3659"/>
  <c r="A3615"/>
  <c r="A2166"/>
  <c r="A2163"/>
  <c r="A2174"/>
  <c r="A2176"/>
  <c r="A2172"/>
  <c r="A2178"/>
  <c r="A3619"/>
  <c r="A3620"/>
  <c r="A3621"/>
  <c r="A3647"/>
  <c r="A3663"/>
  <c r="A3664"/>
  <c r="A3665"/>
  <c r="A2160"/>
  <c r="A3722"/>
  <c r="A3584"/>
  <c r="A3557"/>
  <c r="A3555"/>
  <c r="A3553"/>
  <c r="A3551"/>
  <c r="A3562"/>
  <c r="A3538"/>
  <c r="A3536"/>
  <c r="A3534"/>
  <c r="A3532"/>
  <c r="A3515"/>
  <c r="A3509"/>
  <c r="A3503"/>
  <c r="A3497"/>
  <c r="A3480"/>
  <c r="A3490"/>
  <c r="A3484"/>
  <c r="A3478"/>
  <c r="A3466"/>
  <c r="A3433"/>
  <c r="A3431"/>
  <c r="A3430"/>
  <c r="A3418"/>
  <c r="A3416"/>
  <c r="A3414"/>
  <c r="A3412"/>
  <c r="A3410"/>
  <c r="A3408"/>
  <c r="A3406"/>
  <c r="A3404"/>
  <c r="A3402"/>
  <c r="A3400"/>
  <c r="A3398"/>
  <c r="A3396"/>
  <c r="A3383"/>
  <c r="A3381"/>
  <c r="A3376"/>
  <c r="A3357"/>
  <c r="A3356"/>
  <c r="A3345"/>
  <c r="A3338"/>
  <c r="A3336"/>
  <c r="A3334"/>
  <c r="A3332"/>
  <c r="A3330"/>
  <c r="A3328"/>
  <c r="A3317"/>
  <c r="A3315"/>
  <c r="A1093"/>
  <c r="A1088"/>
  <c r="A1086"/>
  <c r="A1084"/>
  <c r="A2145"/>
  <c r="A2143"/>
  <c r="A2141"/>
  <c r="A2139"/>
  <c r="A2137"/>
  <c r="A2135"/>
  <c r="A3580"/>
  <c r="A3577"/>
  <c r="A3575"/>
  <c r="A3547"/>
  <c r="A3545"/>
  <c r="A3543"/>
  <c r="A3541"/>
  <c r="A3525"/>
  <c r="A3522"/>
  <c r="A3520"/>
  <c r="A3472"/>
  <c r="A3463"/>
  <c r="A3460"/>
  <c r="A3458"/>
  <c r="A3420"/>
  <c r="A3385"/>
  <c r="A3380"/>
  <c r="A3373"/>
  <c r="A3351"/>
  <c r="A3326"/>
  <c r="A3323"/>
  <c r="A3320"/>
  <c r="A3313"/>
  <c r="A3309"/>
  <c r="A3464"/>
  <c r="A3421"/>
  <c r="A3375"/>
  <c r="A3680"/>
  <c r="A3657"/>
  <c r="A3684"/>
  <c r="A3586"/>
  <c r="A3530"/>
  <c r="A3518"/>
  <c r="A3446"/>
  <c r="A3444"/>
  <c r="A3367"/>
  <c r="A3365"/>
  <c r="A3347"/>
  <c r="A3573"/>
  <c r="A3475"/>
  <c r="A3456"/>
  <c r="A3454"/>
  <c r="A3452"/>
  <c r="A3436"/>
  <c r="A3434"/>
  <c r="A3379"/>
  <c r="A3362"/>
  <c r="A3360"/>
  <c r="A2151"/>
  <c r="A2149"/>
  <c r="A2147"/>
  <c r="A3371"/>
  <c r="A3348"/>
  <c r="A3569"/>
  <c r="A3567"/>
  <c r="A3565"/>
  <c r="A3571"/>
  <c r="A392"/>
  <c r="A364"/>
  <c r="A326"/>
  <c r="A325"/>
  <c r="A324"/>
  <c r="A323"/>
  <c r="A3344"/>
  <c r="A3342"/>
  <c r="A3393"/>
  <c r="A3391"/>
  <c r="A3440"/>
  <c r="A3438"/>
  <c r="A3468"/>
  <c r="A3561"/>
  <c r="A3559"/>
  <c r="A2153"/>
  <c r="A3395"/>
  <c r="A3442"/>
  <c r="A3443"/>
  <c r="A3605"/>
  <c r="A3608"/>
  <c r="A3609"/>
  <c r="A3611"/>
  <c r="A3612"/>
  <c r="A3637"/>
  <c r="A3638"/>
  <c r="A3644"/>
  <c r="A3645"/>
  <c r="A3651"/>
  <c r="A3654"/>
  <c r="A3655"/>
  <c r="A3681"/>
  <c r="A3713"/>
  <c r="A3714"/>
  <c r="A3715"/>
  <c r="A3731"/>
  <c r="A3589"/>
  <c r="A3694"/>
  <c r="A3692"/>
  <c r="A3690"/>
  <c r="A3473"/>
  <c r="A3686"/>
  <c r="A3624"/>
  <c r="A3622"/>
  <c r="A3617"/>
  <c r="A3610"/>
  <c r="A2165"/>
  <c r="A2162"/>
  <c r="A3636"/>
  <c r="A2181"/>
  <c r="A3708"/>
  <c r="A3646"/>
  <c r="A3587"/>
  <c r="A2167"/>
  <c r="A1114"/>
  <c r="A1115"/>
  <c r="A3599"/>
  <c r="A3598"/>
  <c r="A2182"/>
  <c r="A3727"/>
  <c r="A2173"/>
  <c r="A2175"/>
  <c r="A2171"/>
  <c r="A2177"/>
  <c r="A3601"/>
  <c r="A3625"/>
  <c r="A3626"/>
  <c r="A3627"/>
  <c r="A3628"/>
  <c r="A3629"/>
  <c r="A3630"/>
  <c r="A3631"/>
  <c r="A3632"/>
  <c r="A3633"/>
  <c r="A3634"/>
  <c r="A3656"/>
  <c r="A282" l="1"/>
  <c r="A281"/>
  <c r="B3188" l="1"/>
  <c r="B3208"/>
  <c r="B3200"/>
  <c r="B3196"/>
  <c r="B3212"/>
  <c r="B3229"/>
  <c r="B3228"/>
  <c r="B3249"/>
  <c r="B3260"/>
  <c r="B3250"/>
  <c r="B3262"/>
  <c r="B3271"/>
  <c r="B3267"/>
  <c r="B3247"/>
  <c r="B3252"/>
  <c r="B3285"/>
  <c r="B3281"/>
  <c r="B3277"/>
  <c r="B3295"/>
  <c r="B3291"/>
  <c r="B3307"/>
  <c r="B3303"/>
  <c r="B3299"/>
  <c r="B3217"/>
  <c r="B3209"/>
  <c r="B3201"/>
  <c r="B3197"/>
  <c r="B3213"/>
  <c r="B3233"/>
  <c r="B3231"/>
  <c r="B3242"/>
  <c r="B3257"/>
  <c r="B3261"/>
  <c r="B3251"/>
  <c r="B3274"/>
  <c r="B3270"/>
  <c r="B3266"/>
  <c r="B3248"/>
  <c r="B3253"/>
  <c r="B3284"/>
  <c r="B3280"/>
  <c r="B3276"/>
  <c r="B3294"/>
  <c r="B3290"/>
  <c r="B3306"/>
  <c r="B3302"/>
  <c r="B3298"/>
  <c r="B3216"/>
  <c r="B3214"/>
  <c r="B3202"/>
  <c r="B3204"/>
  <c r="B3218"/>
  <c r="B3230"/>
  <c r="B3240"/>
  <c r="B3241"/>
  <c r="B3258"/>
  <c r="B3245"/>
  <c r="B3256"/>
  <c r="B3273"/>
  <c r="B3269"/>
  <c r="B3265"/>
  <c r="B3254"/>
  <c r="B3287"/>
  <c r="B3283"/>
  <c r="B3279"/>
  <c r="B3275"/>
  <c r="B3293"/>
  <c r="B3289"/>
  <c r="B3305"/>
  <c r="B3301"/>
  <c r="B3189"/>
  <c r="B3215"/>
  <c r="B3203"/>
  <c r="B3205"/>
  <c r="B3219"/>
  <c r="B3232"/>
  <c r="B3238"/>
  <c r="B3243"/>
  <c r="B3244"/>
  <c r="B3259"/>
  <c r="B3246"/>
  <c r="B3263"/>
  <c r="B3272"/>
  <c r="B3268"/>
  <c r="B3264"/>
  <c r="B3255"/>
  <c r="B3286"/>
  <c r="B3282"/>
  <c r="B3278"/>
  <c r="B3296"/>
  <c r="B3292"/>
  <c r="B3288"/>
  <c r="B3304"/>
  <c r="B3300"/>
  <c r="B3308"/>
  <c r="A3353"/>
  <c r="A3222"/>
  <c r="A3223"/>
  <c r="A3221"/>
  <c r="A3220"/>
  <c r="A28" i="12"/>
  <c r="S3288" i="34" l="1"/>
  <c r="Q3288"/>
  <c r="R3288"/>
  <c r="S3282"/>
  <c r="Q3282"/>
  <c r="R3282"/>
  <c r="S3268"/>
  <c r="Q3268"/>
  <c r="R3268"/>
  <c r="Q3259"/>
  <c r="R3259"/>
  <c r="S3259"/>
  <c r="S3232"/>
  <c r="Q3232"/>
  <c r="R3232"/>
  <c r="Q3215"/>
  <c r="R3215"/>
  <c r="S3215"/>
  <c r="Q3289"/>
  <c r="R3289"/>
  <c r="S3289"/>
  <c r="Q3283"/>
  <c r="R3283"/>
  <c r="S3283"/>
  <c r="Q3269"/>
  <c r="R3269"/>
  <c r="S3269"/>
  <c r="S3258"/>
  <c r="Q3258"/>
  <c r="R3258"/>
  <c r="S3218"/>
  <c r="Q3218"/>
  <c r="R3218"/>
  <c r="S3216"/>
  <c r="Q3216"/>
  <c r="R3216"/>
  <c r="S3290"/>
  <c r="Q3290"/>
  <c r="R3290"/>
  <c r="S3284"/>
  <c r="Q3284"/>
  <c r="R3284"/>
  <c r="S3270"/>
  <c r="Q3270"/>
  <c r="R3270"/>
  <c r="Q3257"/>
  <c r="R3257"/>
  <c r="S3257"/>
  <c r="Q3213"/>
  <c r="R3213"/>
  <c r="S3213"/>
  <c r="Q3217"/>
  <c r="R3217"/>
  <c r="S3217"/>
  <c r="Q3291"/>
  <c r="R3291"/>
  <c r="S3291"/>
  <c r="Q3285"/>
  <c r="R3285"/>
  <c r="S3285"/>
  <c r="Q3271"/>
  <c r="R3271"/>
  <c r="S3271"/>
  <c r="Q3249"/>
  <c r="R3249"/>
  <c r="S3249"/>
  <c r="S3196"/>
  <c r="Q3196"/>
  <c r="R3196"/>
  <c r="S3308"/>
  <c r="Q3308"/>
  <c r="R3308"/>
  <c r="S3292"/>
  <c r="Q3292"/>
  <c r="R3292"/>
  <c r="S3286"/>
  <c r="Q3286"/>
  <c r="R3286"/>
  <c r="S3272"/>
  <c r="Q3272"/>
  <c r="R3272"/>
  <c r="S3244"/>
  <c r="Q3244"/>
  <c r="R3244"/>
  <c r="Q3219"/>
  <c r="R3219"/>
  <c r="S3219"/>
  <c r="Q3189"/>
  <c r="R3189"/>
  <c r="S3189"/>
  <c r="Q3293"/>
  <c r="R3293"/>
  <c r="S3293"/>
  <c r="Q3287"/>
  <c r="R3287"/>
  <c r="S3287"/>
  <c r="Q3273"/>
  <c r="R3273"/>
  <c r="S3273"/>
  <c r="Q3241"/>
  <c r="R3241"/>
  <c r="S3241"/>
  <c r="S3204"/>
  <c r="Q3204"/>
  <c r="R3204"/>
  <c r="S3298"/>
  <c r="Q3298"/>
  <c r="R3298"/>
  <c r="S3294"/>
  <c r="Q3294"/>
  <c r="R3294"/>
  <c r="Q3253"/>
  <c r="R3253"/>
  <c r="S3253"/>
  <c r="S3274"/>
  <c r="Q3274"/>
  <c r="R3274"/>
  <c r="S3242"/>
  <c r="Q3242"/>
  <c r="R3242"/>
  <c r="Q3197"/>
  <c r="R3197"/>
  <c r="S3197"/>
  <c r="Q3299"/>
  <c r="R3299"/>
  <c r="S3299"/>
  <c r="Q3295"/>
  <c r="R3295"/>
  <c r="S3295"/>
  <c r="S3252"/>
  <c r="Q3252"/>
  <c r="R3252"/>
  <c r="S3262"/>
  <c r="Q3262"/>
  <c r="R3262"/>
  <c r="S3228"/>
  <c r="Q3228"/>
  <c r="R3228"/>
  <c r="S3200"/>
  <c r="Q3200"/>
  <c r="R3200"/>
  <c r="S3300"/>
  <c r="Q3300"/>
  <c r="R3300"/>
  <c r="S3296"/>
  <c r="Q3296"/>
  <c r="R3296"/>
  <c r="Q3255"/>
  <c r="R3255"/>
  <c r="S3255"/>
  <c r="Q3263"/>
  <c r="R3263"/>
  <c r="S3263"/>
  <c r="Q3243"/>
  <c r="R3243"/>
  <c r="S3243"/>
  <c r="Q3205"/>
  <c r="R3205"/>
  <c r="S3205"/>
  <c r="Q3301"/>
  <c r="R3301"/>
  <c r="S3301"/>
  <c r="Q3275"/>
  <c r="R3275"/>
  <c r="S3275"/>
  <c r="S3254"/>
  <c r="Q3254"/>
  <c r="R3254"/>
  <c r="S3256"/>
  <c r="Q3256"/>
  <c r="R3256"/>
  <c r="S3240"/>
  <c r="Q3240"/>
  <c r="R3240"/>
  <c r="S3202"/>
  <c r="Q3202"/>
  <c r="R3202"/>
  <c r="S3302"/>
  <c r="Q3302"/>
  <c r="R3302"/>
  <c r="S3276"/>
  <c r="Q3276"/>
  <c r="R3276"/>
  <c r="S3248"/>
  <c r="Q3248"/>
  <c r="R3248"/>
  <c r="Q3251"/>
  <c r="R3251"/>
  <c r="S3251"/>
  <c r="Q3231"/>
  <c r="R3231"/>
  <c r="S3231"/>
  <c r="Q3201"/>
  <c r="R3201"/>
  <c r="S3201"/>
  <c r="Q3303"/>
  <c r="R3303"/>
  <c r="S3303"/>
  <c r="Q3277"/>
  <c r="R3277"/>
  <c r="S3277"/>
  <c r="Q3247"/>
  <c r="R3247"/>
  <c r="S3247"/>
  <c r="S3250"/>
  <c r="Q3250"/>
  <c r="R3250"/>
  <c r="Q3229"/>
  <c r="R3229"/>
  <c r="S3229"/>
  <c r="S3208"/>
  <c r="Q3208"/>
  <c r="R3208"/>
  <c r="S3304"/>
  <c r="Q3304"/>
  <c r="R3304"/>
  <c r="S3278"/>
  <c r="Q3278"/>
  <c r="R3278"/>
  <c r="S3264"/>
  <c r="Q3264"/>
  <c r="R3264"/>
  <c r="S3246"/>
  <c r="Q3246"/>
  <c r="R3246"/>
  <c r="S3238"/>
  <c r="Q3238"/>
  <c r="R3238"/>
  <c r="Q3203"/>
  <c r="R3203"/>
  <c r="S3203"/>
  <c r="Q3305"/>
  <c r="R3305"/>
  <c r="S3305"/>
  <c r="Q3279"/>
  <c r="R3279"/>
  <c r="S3279"/>
  <c r="Q3265"/>
  <c r="R3265"/>
  <c r="S3265"/>
  <c r="Q3245"/>
  <c r="R3245"/>
  <c r="S3245"/>
  <c r="S3230"/>
  <c r="Q3230"/>
  <c r="R3230"/>
  <c r="S3214"/>
  <c r="Q3214"/>
  <c r="R3214"/>
  <c r="S3306"/>
  <c r="Q3306"/>
  <c r="R3306"/>
  <c r="S3280"/>
  <c r="Q3280"/>
  <c r="R3280"/>
  <c r="S3266"/>
  <c r="Q3266"/>
  <c r="R3266"/>
  <c r="Q3261"/>
  <c r="R3261"/>
  <c r="S3261"/>
  <c r="Q3233"/>
  <c r="R3233"/>
  <c r="S3233"/>
  <c r="Q3209"/>
  <c r="R3209"/>
  <c r="S3209"/>
  <c r="Q3307"/>
  <c r="R3307"/>
  <c r="S3307"/>
  <c r="Q3281"/>
  <c r="R3281"/>
  <c r="S3281"/>
  <c r="Q3267"/>
  <c r="R3267"/>
  <c r="S3267"/>
  <c r="S3260"/>
  <c r="Q3260"/>
  <c r="R3260"/>
  <c r="S3212"/>
  <c r="Q3212"/>
  <c r="R3212"/>
  <c r="S3188"/>
  <c r="Q3188"/>
  <c r="R3188"/>
  <c r="B3168"/>
  <c r="B3174"/>
  <c r="B3157"/>
  <c r="B3166"/>
  <c r="B3176"/>
  <c r="B3149"/>
  <c r="B3178"/>
  <c r="B3160"/>
  <c r="B3156"/>
  <c r="B3169"/>
  <c r="B3165"/>
  <c r="B3161"/>
  <c r="B3175"/>
  <c r="B3172"/>
  <c r="B3148"/>
  <c r="B3182"/>
  <c r="B3234"/>
  <c r="B3183"/>
  <c r="B3155"/>
  <c r="B3171"/>
  <c r="B3181"/>
  <c r="B3239"/>
  <c r="B3158"/>
  <c r="B3154"/>
  <c r="B3167"/>
  <c r="B3163"/>
  <c r="B3177"/>
  <c r="B3173"/>
  <c r="B3110"/>
  <c r="B3147"/>
  <c r="B3179"/>
  <c r="B3227"/>
  <c r="B3237"/>
  <c r="B3159"/>
  <c r="B3164"/>
  <c r="B3146"/>
  <c r="B3170"/>
  <c r="B3162"/>
  <c r="B3111"/>
  <c r="B3180"/>
  <c r="B3235"/>
  <c r="B3236"/>
  <c r="A2890"/>
  <c r="A2888"/>
  <c r="A2892"/>
  <c r="A2889"/>
  <c r="A2113"/>
  <c r="A2111"/>
  <c r="A2115"/>
  <c r="A2118"/>
  <c r="A2116"/>
  <c r="A2129"/>
  <c r="A2131"/>
  <c r="A2133"/>
  <c r="A2122"/>
  <c r="A2126"/>
  <c r="A2120"/>
  <c r="A1068"/>
  <c r="A1066"/>
  <c r="A1064"/>
  <c r="A3201"/>
  <c r="A3205"/>
  <c r="A3219"/>
  <c r="A3229"/>
  <c r="A3232"/>
  <c r="A3238"/>
  <c r="A3216"/>
  <c r="A3231"/>
  <c r="A3243"/>
  <c r="A3246"/>
  <c r="A3251"/>
  <c r="A3255"/>
  <c r="A3307"/>
  <c r="A3215"/>
  <c r="A3244"/>
  <c r="A3209"/>
  <c r="A3256"/>
  <c r="A3308"/>
  <c r="A3272"/>
  <c r="A3289"/>
  <c r="A3299"/>
  <c r="A3291"/>
  <c r="A3277"/>
  <c r="A3257"/>
  <c r="A3298"/>
  <c r="A3292"/>
  <c r="A3290"/>
  <c r="A3301"/>
  <c r="A3293"/>
  <c r="A3283"/>
  <c r="A3264"/>
  <c r="A3263"/>
  <c r="A3200"/>
  <c r="A3302"/>
  <c r="A3276"/>
  <c r="A3269"/>
  <c r="A3218"/>
  <c r="A3202"/>
  <c r="A3285"/>
  <c r="A3274"/>
  <c r="A3300"/>
  <c r="A3288"/>
  <c r="A3286"/>
  <c r="A3247"/>
  <c r="A3271"/>
  <c r="A3249"/>
  <c r="A3196"/>
  <c r="A2112"/>
  <c r="A2114"/>
  <c r="A2119"/>
  <c r="A2117"/>
  <c r="A2128"/>
  <c r="A2130"/>
  <c r="A2132"/>
  <c r="A2125"/>
  <c r="A2127"/>
  <c r="A2121"/>
  <c r="A1067"/>
  <c r="A1065"/>
  <c r="A1063"/>
  <c r="A3203"/>
  <c r="A3213"/>
  <c r="A3230"/>
  <c r="A3228"/>
  <c r="A3233"/>
  <c r="A3217"/>
  <c r="A3197"/>
  <c r="A3241"/>
  <c r="A3242"/>
  <c r="A3245"/>
  <c r="A3248"/>
  <c r="A3253"/>
  <c r="A3260"/>
  <c r="A3265"/>
  <c r="A3214"/>
  <c r="A3262"/>
  <c r="A3284"/>
  <c r="A3281"/>
  <c r="A3258"/>
  <c r="A3303"/>
  <c r="A3295"/>
  <c r="A3279"/>
  <c r="A3270"/>
  <c r="A3278"/>
  <c r="A3296"/>
  <c r="A3280"/>
  <c r="A280"/>
  <c r="A3294"/>
  <c r="A3305"/>
  <c r="A3275"/>
  <c r="A3287"/>
  <c r="A3268"/>
  <c r="A3259"/>
  <c r="A3208"/>
  <c r="A3306"/>
  <c r="A3254"/>
  <c r="A3273"/>
  <c r="A3204"/>
  <c r="A3266"/>
  <c r="A3261"/>
  <c r="A3304"/>
  <c r="A3282"/>
  <c r="A3252"/>
  <c r="A3267"/>
  <c r="A3250"/>
  <c r="A3212"/>
  <c r="A16" i="12"/>
  <c r="A19"/>
  <c r="A15"/>
  <c r="Q3111" i="34" l="1"/>
  <c r="R3111"/>
  <c r="S3111"/>
  <c r="S3164"/>
  <c r="Q3164"/>
  <c r="R3164"/>
  <c r="Q3179"/>
  <c r="R3179"/>
  <c r="S3179"/>
  <c r="Q3177"/>
  <c r="R3177"/>
  <c r="S3177"/>
  <c r="S3158"/>
  <c r="Q3158"/>
  <c r="R3158"/>
  <c r="Q3155"/>
  <c r="R3155"/>
  <c r="S3155"/>
  <c r="S3148"/>
  <c r="Q3148"/>
  <c r="R3148"/>
  <c r="Q3165"/>
  <c r="R3165"/>
  <c r="S3165"/>
  <c r="S3178"/>
  <c r="Q3178"/>
  <c r="R3178"/>
  <c r="Q3157"/>
  <c r="R3157"/>
  <c r="S3157"/>
  <c r="S3236"/>
  <c r="Q3236"/>
  <c r="R3236"/>
  <c r="S3162"/>
  <c r="Q3162"/>
  <c r="R3162"/>
  <c r="Q3159"/>
  <c r="R3159"/>
  <c r="S3159"/>
  <c r="Q3147"/>
  <c r="R3147"/>
  <c r="S3147"/>
  <c r="Q3163"/>
  <c r="R3163"/>
  <c r="S3163"/>
  <c r="Q3239"/>
  <c r="R3239"/>
  <c r="S3239"/>
  <c r="Q3183"/>
  <c r="R3183"/>
  <c r="S3183"/>
  <c r="S3172"/>
  <c r="Q3172"/>
  <c r="R3172"/>
  <c r="Q3169"/>
  <c r="R3169"/>
  <c r="S3169"/>
  <c r="Q3149"/>
  <c r="R3149"/>
  <c r="S3149"/>
  <c r="S3174"/>
  <c r="Q3174"/>
  <c r="R3174"/>
  <c r="Q3235"/>
  <c r="R3235"/>
  <c r="S3235"/>
  <c r="S3170"/>
  <c r="Q3170"/>
  <c r="R3170"/>
  <c r="Q3237"/>
  <c r="R3237"/>
  <c r="S3237"/>
  <c r="S3110"/>
  <c r="Q3110"/>
  <c r="R3110"/>
  <c r="Q3167"/>
  <c r="R3167"/>
  <c r="S3167"/>
  <c r="Q3181"/>
  <c r="R3181"/>
  <c r="S3181"/>
  <c r="S3234"/>
  <c r="Q3234"/>
  <c r="R3234"/>
  <c r="Q3175"/>
  <c r="R3175"/>
  <c r="S3175"/>
  <c r="S3156"/>
  <c r="Q3156"/>
  <c r="R3156"/>
  <c r="S3176"/>
  <c r="Q3176"/>
  <c r="R3176"/>
  <c r="S3168"/>
  <c r="Q3168"/>
  <c r="R3168"/>
  <c r="S3180"/>
  <c r="Q3180"/>
  <c r="R3180"/>
  <c r="S3146"/>
  <c r="Q3146"/>
  <c r="R3146"/>
  <c r="Q3227"/>
  <c r="R3227"/>
  <c r="S3227"/>
  <c r="Q3173"/>
  <c r="R3173"/>
  <c r="S3173"/>
  <c r="S3154"/>
  <c r="Q3154"/>
  <c r="R3154"/>
  <c r="Q3171"/>
  <c r="R3171"/>
  <c r="S3171"/>
  <c r="S3182"/>
  <c r="Q3182"/>
  <c r="R3182"/>
  <c r="Q3161"/>
  <c r="R3161"/>
  <c r="S3161"/>
  <c r="S3160"/>
  <c r="Q3160"/>
  <c r="R3160"/>
  <c r="S3166"/>
  <c r="Q3166"/>
  <c r="R3166"/>
  <c r="B3129"/>
  <c r="B3125"/>
  <c r="B3137"/>
  <c r="B3133"/>
  <c r="B3151"/>
  <c r="B3143"/>
  <c r="B3122"/>
  <c r="B3128"/>
  <c r="B3124"/>
  <c r="B3140"/>
  <c r="B3136"/>
  <c r="B3132"/>
  <c r="B3150"/>
  <c r="B3142"/>
  <c r="B3131"/>
  <c r="B3127"/>
  <c r="B3123"/>
  <c r="B3139"/>
  <c r="B3135"/>
  <c r="B3153"/>
  <c r="B3145"/>
  <c r="B3141"/>
  <c r="B3130"/>
  <c r="B3126"/>
  <c r="B3138"/>
  <c r="B3134"/>
  <c r="B3152"/>
  <c r="B3144"/>
  <c r="B3098"/>
  <c r="A2884"/>
  <c r="A3094"/>
  <c r="A3093"/>
  <c r="A3095"/>
  <c r="A3099"/>
  <c r="A3097"/>
  <c r="A3104"/>
  <c r="A2883"/>
  <c r="A3117"/>
  <c r="A1040"/>
  <c r="A1044"/>
  <c r="A1045"/>
  <c r="A1048"/>
  <c r="A3107"/>
  <c r="A1049"/>
  <c r="A3113"/>
  <c r="A2098"/>
  <c r="A2110"/>
  <c r="A3114"/>
  <c r="A3108"/>
  <c r="A3119"/>
  <c r="A3118"/>
  <c r="A1052"/>
  <c r="A1051"/>
  <c r="A3149"/>
  <c r="A3147"/>
  <c r="A3179"/>
  <c r="A3181"/>
  <c r="A3146"/>
  <c r="A1041"/>
  <c r="A1042"/>
  <c r="A1043"/>
  <c r="A1046"/>
  <c r="A1047"/>
  <c r="A2105"/>
  <c r="A1050"/>
  <c r="A3112"/>
  <c r="A2109"/>
  <c r="A3115"/>
  <c r="A3109"/>
  <c r="A3110"/>
  <c r="A3148"/>
  <c r="A3178"/>
  <c r="A3180"/>
  <c r="A3182"/>
  <c r="E156"/>
  <c r="AA156" s="1"/>
  <c r="E155"/>
  <c r="AA155" s="1"/>
  <c r="M154"/>
  <c r="M156" s="1"/>
  <c r="E154"/>
  <c r="AA154" s="1"/>
  <c r="M153"/>
  <c r="M155" s="1"/>
  <c r="E153"/>
  <c r="AA153" s="1"/>
  <c r="M152"/>
  <c r="E152"/>
  <c r="AA152" s="1"/>
  <c r="M151"/>
  <c r="E151"/>
  <c r="AA151" s="1"/>
  <c r="E150"/>
  <c r="AA150" s="1"/>
  <c r="E149"/>
  <c r="AA149" s="1"/>
  <c r="M148"/>
  <c r="E148"/>
  <c r="AA148" s="1"/>
  <c r="M147"/>
  <c r="E147"/>
  <c r="AA147" s="1"/>
  <c r="M146"/>
  <c r="E146"/>
  <c r="AA146" s="1"/>
  <c r="M145"/>
  <c r="E145"/>
  <c r="AA145" s="1"/>
  <c r="E144"/>
  <c r="AA144" s="1"/>
  <c r="E143"/>
  <c r="AA143" s="1"/>
  <c r="E142"/>
  <c r="AA142" s="1"/>
  <c r="E141"/>
  <c r="AA141" s="1"/>
  <c r="M140"/>
  <c r="M142" s="1"/>
  <c r="E140"/>
  <c r="AA140" s="1"/>
  <c r="M139"/>
  <c r="M141" s="1"/>
  <c r="E139"/>
  <c r="AA139" s="1"/>
  <c r="M138"/>
  <c r="E138"/>
  <c r="AA138" s="1"/>
  <c r="M137"/>
  <c r="E137"/>
  <c r="AA137" s="1"/>
  <c r="M136"/>
  <c r="E136"/>
  <c r="AA136" s="1"/>
  <c r="E135"/>
  <c r="AA135" s="1"/>
  <c r="M134"/>
  <c r="E134"/>
  <c r="AA134" s="1"/>
  <c r="M133"/>
  <c r="E133"/>
  <c r="AA133" s="1"/>
  <c r="E132"/>
  <c r="AA132" s="1"/>
  <c r="E131"/>
  <c r="AA131" s="1"/>
  <c r="E130"/>
  <c r="AA130" s="1"/>
  <c r="E129"/>
  <c r="AA129" s="1"/>
  <c r="E128"/>
  <c r="AA128" s="1"/>
  <c r="E127"/>
  <c r="AA127" s="1"/>
  <c r="M126"/>
  <c r="M128" s="1"/>
  <c r="E126"/>
  <c r="AA126" s="1"/>
  <c r="M125"/>
  <c r="M127" s="1"/>
  <c r="E125"/>
  <c r="AA125" s="1"/>
  <c r="M124"/>
  <c r="E124"/>
  <c r="AA124" s="1"/>
  <c r="M123"/>
  <c r="E123"/>
  <c r="AA123" s="1"/>
  <c r="E122"/>
  <c r="AA122" s="1"/>
  <c r="E121"/>
  <c r="AA121" s="1"/>
  <c r="M120"/>
  <c r="E120"/>
  <c r="AA120" s="1"/>
  <c r="M119"/>
  <c r="E119"/>
  <c r="AA119" s="1"/>
  <c r="M118"/>
  <c r="E118"/>
  <c r="AA118" s="1"/>
  <c r="E117"/>
  <c r="AA117" s="1"/>
  <c r="E116"/>
  <c r="AA116" s="1"/>
  <c r="E115"/>
  <c r="AA115" s="1"/>
  <c r="S3134" l="1"/>
  <c r="Q3134"/>
  <c r="R3134"/>
  <c r="Q3141"/>
  <c r="R3141"/>
  <c r="S3141"/>
  <c r="Q3139"/>
  <c r="R3139"/>
  <c r="S3139"/>
  <c r="S3142"/>
  <c r="Q3142"/>
  <c r="R3142"/>
  <c r="S3140"/>
  <c r="Q3140"/>
  <c r="R3140"/>
  <c r="Q3143"/>
  <c r="R3143"/>
  <c r="S3143"/>
  <c r="Q3125"/>
  <c r="R3125"/>
  <c r="S3125"/>
  <c r="S3098"/>
  <c r="Q3098"/>
  <c r="R3098"/>
  <c r="S3138"/>
  <c r="Q3138"/>
  <c r="R3138"/>
  <c r="Q3145"/>
  <c r="R3145"/>
  <c r="S3145"/>
  <c r="Q3123"/>
  <c r="R3123"/>
  <c r="S3123"/>
  <c r="S3150"/>
  <c r="Q3150"/>
  <c r="R3150"/>
  <c r="S3124"/>
  <c r="Q3124"/>
  <c r="R3124"/>
  <c r="Q3151"/>
  <c r="R3151"/>
  <c r="S3151"/>
  <c r="Q3129"/>
  <c r="R3129"/>
  <c r="S3129"/>
  <c r="S3144"/>
  <c r="Q3144"/>
  <c r="R3144"/>
  <c r="S3126"/>
  <c r="Q3126"/>
  <c r="R3126"/>
  <c r="Q3153"/>
  <c r="R3153"/>
  <c r="S3153"/>
  <c r="Q3127"/>
  <c r="R3127"/>
  <c r="S3127"/>
  <c r="S3132"/>
  <c r="Q3132"/>
  <c r="R3132"/>
  <c r="S3128"/>
  <c r="Q3128"/>
  <c r="R3128"/>
  <c r="Q3133"/>
  <c r="R3133"/>
  <c r="S3133"/>
  <c r="S3152"/>
  <c r="Q3152"/>
  <c r="R3152"/>
  <c r="S3130"/>
  <c r="Q3130"/>
  <c r="R3130"/>
  <c r="Q3135"/>
  <c r="R3135"/>
  <c r="S3135"/>
  <c r="Q3131"/>
  <c r="R3131"/>
  <c r="S3131"/>
  <c r="S3136"/>
  <c r="Q3136"/>
  <c r="R3136"/>
  <c r="S3122"/>
  <c r="Q3122"/>
  <c r="R3122"/>
  <c r="Q3137"/>
  <c r="R3137"/>
  <c r="S3137"/>
  <c r="A2688"/>
  <c r="A2682"/>
  <c r="A2760"/>
  <c r="A2758"/>
  <c r="A2764"/>
  <c r="A2687"/>
  <c r="A2706"/>
  <c r="A2710"/>
  <c r="A2684"/>
  <c r="A2856"/>
  <c r="A2683"/>
  <c r="A2761"/>
  <c r="A2759"/>
  <c r="A2802"/>
  <c r="A2685"/>
  <c r="A2689"/>
  <c r="A2708"/>
  <c r="A2705"/>
  <c r="A115"/>
  <c r="A117"/>
  <c r="A119"/>
  <c r="A121"/>
  <c r="A123"/>
  <c r="A125"/>
  <c r="A127"/>
  <c r="A128"/>
  <c r="A129"/>
  <c r="A130"/>
  <c r="A131"/>
  <c r="A132"/>
  <c r="A133"/>
  <c r="A135"/>
  <c r="A137"/>
  <c r="A139"/>
  <c r="A141"/>
  <c r="A142"/>
  <c r="A143"/>
  <c r="A144"/>
  <c r="A145"/>
  <c r="A147"/>
  <c r="A149"/>
  <c r="A151"/>
  <c r="A153"/>
  <c r="A155"/>
  <c r="A156"/>
  <c r="A3122"/>
  <c r="A116"/>
  <c r="A118"/>
  <c r="A120"/>
  <c r="A122"/>
  <c r="A124"/>
  <c r="A126"/>
  <c r="A134"/>
  <c r="A136"/>
  <c r="A138"/>
  <c r="A140"/>
  <c r="A146"/>
  <c r="A148"/>
  <c r="A150"/>
  <c r="A152"/>
  <c r="A154"/>
  <c r="A3123"/>
  <c r="A91" i="60"/>
  <c r="D91"/>
  <c r="A92"/>
  <c r="D92"/>
  <c r="G92" s="1"/>
  <c r="B2804" i="34" l="1"/>
  <c r="A2873"/>
  <c r="A2872"/>
  <c r="A2881"/>
  <c r="A2880"/>
  <c r="G91" i="60"/>
  <c r="E89"/>
  <c r="D89"/>
  <c r="D90"/>
  <c r="D71"/>
  <c r="G71" s="1"/>
  <c r="S2804" i="34" l="1"/>
  <c r="Q2804"/>
  <c r="R2804"/>
  <c r="B1456"/>
  <c r="B1452"/>
  <c r="B1455"/>
  <c r="B1458"/>
  <c r="B1454"/>
  <c r="B1457"/>
  <c r="B1453"/>
  <c r="A2874"/>
  <c r="A1032"/>
  <c r="A1033"/>
  <c r="A1034"/>
  <c r="A1039"/>
  <c r="A1029"/>
  <c r="A1036"/>
  <c r="A1038"/>
  <c r="A1037"/>
  <c r="A595"/>
  <c r="G90" i="60"/>
  <c r="R1454" i="34" l="1"/>
  <c r="S1454"/>
  <c r="Q1454"/>
  <c r="R1456"/>
  <c r="S1456"/>
  <c r="Q1456"/>
  <c r="R1458"/>
  <c r="S1458"/>
  <c r="Q1458"/>
  <c r="Q1453"/>
  <c r="R1453"/>
  <c r="S1453"/>
  <c r="Q1455"/>
  <c r="R1455"/>
  <c r="S1455"/>
  <c r="Q1457"/>
  <c r="R1457"/>
  <c r="S1457"/>
  <c r="R1452"/>
  <c r="S1452"/>
  <c r="Q1452"/>
  <c r="A1022"/>
  <c r="A1035"/>
  <c r="A1455"/>
  <c r="A1456"/>
  <c r="A1453"/>
  <c r="A1452"/>
  <c r="A1025"/>
  <c r="A1021"/>
  <c r="A1026"/>
  <c r="A1030"/>
  <c r="A1458"/>
  <c r="A1454"/>
  <c r="A1457"/>
  <c r="J42" i="69"/>
  <c r="A4"/>
  <c r="M103" i="34" l="1"/>
  <c r="E114"/>
  <c r="AA114" s="1"/>
  <c r="E113"/>
  <c r="AA113" s="1"/>
  <c r="M112"/>
  <c r="M114" s="1"/>
  <c r="E112"/>
  <c r="AA112" s="1"/>
  <c r="M111"/>
  <c r="M113" s="1"/>
  <c r="E111"/>
  <c r="AA111" s="1"/>
  <c r="M110"/>
  <c r="E110"/>
  <c r="AA110" s="1"/>
  <c r="M109"/>
  <c r="E109"/>
  <c r="AA109" s="1"/>
  <c r="M108"/>
  <c r="E108"/>
  <c r="AA108" s="1"/>
  <c r="E107"/>
  <c r="AA107" s="1"/>
  <c r="M106"/>
  <c r="E106"/>
  <c r="AA106" s="1"/>
  <c r="M105"/>
  <c r="E105"/>
  <c r="AA105" s="1"/>
  <c r="M104"/>
  <c r="E104"/>
  <c r="AA104" s="1"/>
  <c r="E103"/>
  <c r="AA103" s="1"/>
  <c r="E102"/>
  <c r="AA102" s="1"/>
  <c r="E101"/>
  <c r="AA101" s="1"/>
  <c r="E100"/>
  <c r="AA100" s="1"/>
  <c r="E99"/>
  <c r="AA99" s="1"/>
  <c r="M98"/>
  <c r="M100" s="1"/>
  <c r="E98"/>
  <c r="AA98" s="1"/>
  <c r="M97"/>
  <c r="M99" s="1"/>
  <c r="E97"/>
  <c r="AA97" s="1"/>
  <c r="M96"/>
  <c r="E96"/>
  <c r="AA96" s="1"/>
  <c r="M95"/>
  <c r="E95"/>
  <c r="AA95" s="1"/>
  <c r="M94"/>
  <c r="E94"/>
  <c r="AA94" s="1"/>
  <c r="E93"/>
  <c r="AA93" s="1"/>
  <c r="E92"/>
  <c r="AA92" s="1"/>
  <c r="E91"/>
  <c r="AA91" s="1"/>
  <c r="E90"/>
  <c r="AA90" s="1"/>
  <c r="E89"/>
  <c r="AA89" s="1"/>
  <c r="E88"/>
  <c r="AA88" s="1"/>
  <c r="E87"/>
  <c r="AA87" s="1"/>
  <c r="E86"/>
  <c r="AA86" s="1"/>
  <c r="E85"/>
  <c r="AA85" s="1"/>
  <c r="M86"/>
  <c r="E84"/>
  <c r="AA84" s="1"/>
  <c r="M85"/>
  <c r="E83"/>
  <c r="AA83" s="1"/>
  <c r="E82"/>
  <c r="AA82" s="1"/>
  <c r="E81"/>
  <c r="AA81" s="1"/>
  <c r="E80"/>
  <c r="AA80" s="1"/>
  <c r="E79"/>
  <c r="AA79" s="1"/>
  <c r="M78"/>
  <c r="E78"/>
  <c r="AA78" s="1"/>
  <c r="E77"/>
  <c r="AA77" s="1"/>
  <c r="E76"/>
  <c r="AA76" s="1"/>
  <c r="E75"/>
  <c r="AA75" s="1"/>
  <c r="E74"/>
  <c r="AA74" s="1"/>
  <c r="E73"/>
  <c r="AA73" s="1"/>
  <c r="A3096" l="1"/>
  <c r="A2882"/>
  <c r="A2866"/>
  <c r="A2870"/>
  <c r="A2868"/>
  <c r="A2860"/>
  <c r="A2858"/>
  <c r="A2855"/>
  <c r="A2853"/>
  <c r="A2863"/>
  <c r="A2852"/>
  <c r="A2850"/>
  <c r="A2845"/>
  <c r="A2843"/>
  <c r="A2841"/>
  <c r="A2839"/>
  <c r="A2848"/>
  <c r="A2846"/>
  <c r="A2832"/>
  <c r="A2834"/>
  <c r="A2831"/>
  <c r="A2826"/>
  <c r="A2824"/>
  <c r="A2822"/>
  <c r="A2820"/>
  <c r="A2830"/>
  <c r="A2828"/>
  <c r="A2814"/>
  <c r="A2812"/>
  <c r="A2810"/>
  <c r="A2808"/>
  <c r="A2817"/>
  <c r="A2815"/>
  <c r="A2805"/>
  <c r="A2799"/>
  <c r="A2797"/>
  <c r="A2795"/>
  <c r="A2793"/>
  <c r="A2791"/>
  <c r="A2789"/>
  <c r="A2787"/>
  <c r="A2785"/>
  <c r="A2783"/>
  <c r="A2781"/>
  <c r="A2779"/>
  <c r="A2777"/>
  <c r="A2775"/>
  <c r="A2773"/>
  <c r="A2771"/>
  <c r="A2769"/>
  <c r="A2767"/>
  <c r="A2765"/>
  <c r="A2763"/>
  <c r="A2757"/>
  <c r="A2755"/>
  <c r="A2753"/>
  <c r="A2751"/>
  <c r="A2749"/>
  <c r="A2748"/>
  <c r="A2743"/>
  <c r="A2741"/>
  <c r="A2739"/>
  <c r="A2738"/>
  <c r="A2736"/>
  <c r="A2734"/>
  <c r="A2732"/>
  <c r="A2731"/>
  <c r="A2727"/>
  <c r="A2725"/>
  <c r="A2723"/>
  <c r="A2721"/>
  <c r="A2728"/>
  <c r="A2718"/>
  <c r="A2716"/>
  <c r="A2714"/>
  <c r="A2712"/>
  <c r="A2709"/>
  <c r="A2704"/>
  <c r="A2702"/>
  <c r="A2700"/>
  <c r="A2697"/>
  <c r="A2695"/>
  <c r="A2693"/>
  <c r="A2691"/>
  <c r="A2686"/>
  <c r="A2680"/>
  <c r="A2878"/>
  <c r="A2871"/>
  <c r="A2867"/>
  <c r="A2865"/>
  <c r="A2869"/>
  <c r="A2861"/>
  <c r="A2859"/>
  <c r="A2857"/>
  <c r="A2854"/>
  <c r="A2864"/>
  <c r="A2862"/>
  <c r="A2851"/>
  <c r="A2849"/>
  <c r="A2844"/>
  <c r="A2842"/>
  <c r="A2840"/>
  <c r="A2838"/>
  <c r="A2847"/>
  <c r="A2837"/>
  <c r="A2835"/>
  <c r="A2833"/>
  <c r="A2827"/>
  <c r="A2825"/>
  <c r="A2823"/>
  <c r="A2821"/>
  <c r="A2819"/>
  <c r="A2829"/>
  <c r="A2818"/>
  <c r="A2813"/>
  <c r="A2811"/>
  <c r="A2809"/>
  <c r="A2807"/>
  <c r="A2816"/>
  <c r="A2806"/>
  <c r="A2800"/>
  <c r="A2798"/>
  <c r="A2796"/>
  <c r="A2794"/>
  <c r="A2792"/>
  <c r="A2790"/>
  <c r="A2788"/>
  <c r="A2786"/>
  <c r="A2784"/>
  <c r="A2782"/>
  <c r="A2780"/>
  <c r="A2778"/>
  <c r="A2776"/>
  <c r="A2774"/>
  <c r="A2772"/>
  <c r="A2770"/>
  <c r="A2768"/>
  <c r="A2766"/>
  <c r="A2801"/>
  <c r="A2762"/>
  <c r="A2756"/>
  <c r="A2754"/>
  <c r="A2752"/>
  <c r="A2750"/>
  <c r="A2746"/>
  <c r="A2747"/>
  <c r="A2745"/>
  <c r="A2740"/>
  <c r="A2744"/>
  <c r="A2737"/>
  <c r="A2735"/>
  <c r="A2733"/>
  <c r="A2742"/>
  <c r="A2730"/>
  <c r="A2726"/>
  <c r="A2724"/>
  <c r="A2722"/>
  <c r="A2720"/>
  <c r="A2719"/>
  <c r="A2717"/>
  <c r="A2715"/>
  <c r="A2713"/>
  <c r="A2711"/>
  <c r="A2707"/>
  <c r="A2703"/>
  <c r="A2701"/>
  <c r="A2699"/>
  <c r="A2696"/>
  <c r="A2694"/>
  <c r="A2692"/>
  <c r="A2690"/>
  <c r="A2681"/>
  <c r="A2879"/>
  <c r="A1028"/>
  <c r="A1027"/>
  <c r="P27" i="64"/>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32"/>
  <c r="A36"/>
  <c r="G22" i="68" l="1"/>
  <c r="H22" s="1"/>
  <c r="F23" s="1"/>
  <c r="A8" i="45"/>
  <c r="A9"/>
  <c r="A10"/>
  <c r="A13"/>
  <c r="A14"/>
  <c r="A15"/>
  <c r="A16"/>
  <c r="A17"/>
  <c r="A18"/>
  <c r="A20"/>
  <c r="A22"/>
  <c r="A26"/>
  <c r="A27"/>
  <c r="A28"/>
  <c r="A29"/>
  <c r="A30"/>
  <c r="A19"/>
  <c r="A23"/>
  <c r="A31"/>
  <c r="A24"/>
  <c r="A25"/>
  <c r="A7"/>
  <c r="A5" i="62"/>
  <c r="A6"/>
  <c r="A7"/>
  <c r="A8"/>
  <c r="A9"/>
  <c r="A10"/>
  <c r="A11"/>
  <c r="A26" i="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E93" i="60" l="1"/>
  <c r="V19"/>
  <c r="V20"/>
  <c r="V21"/>
  <c r="G24" i="68" l="1"/>
  <c r="H24" s="1"/>
  <c r="F25" s="1"/>
  <c r="B1010" i="34"/>
  <c r="B1014"/>
  <c r="B1441"/>
  <c r="B1445"/>
  <c r="B2925"/>
  <c r="B1461"/>
  <c r="B1444"/>
  <c r="B2928"/>
  <c r="B1011"/>
  <c r="B1015"/>
  <c r="B1442"/>
  <c r="B1446"/>
  <c r="B2926"/>
  <c r="B1451"/>
  <c r="B1013"/>
  <c r="B1017"/>
  <c r="B2924"/>
  <c r="B1450"/>
  <c r="B1012"/>
  <c r="B1016"/>
  <c r="B1443"/>
  <c r="B1447"/>
  <c r="B2927"/>
  <c r="B2836"/>
  <c r="G15" i="55" a="1"/>
  <c r="G15" s="1"/>
  <c r="I104" a="1"/>
  <c r="I104" s="1"/>
  <c r="I105" a="1"/>
  <c r="I105" s="1"/>
  <c r="I106" a="1"/>
  <c r="I106" s="1"/>
  <c r="I107" a="1"/>
  <c r="I107" s="1"/>
  <c r="I108" a="1"/>
  <c r="I108" s="1"/>
  <c r="I109" a="1"/>
  <c r="I109" s="1"/>
  <c r="I110" a="1"/>
  <c r="I110" s="1"/>
  <c r="I111" a="1"/>
  <c r="I111" s="1"/>
  <c r="I112" a="1"/>
  <c r="I112" s="1"/>
  <c r="I15" a="1"/>
  <c r="I15" s="1"/>
  <c r="G104" a="1"/>
  <c r="G104" s="1"/>
  <c r="K104" s="1"/>
  <c r="G105" a="1"/>
  <c r="G105" s="1"/>
  <c r="G106" a="1"/>
  <c r="G106" s="1"/>
  <c r="G107" a="1"/>
  <c r="G107" s="1"/>
  <c r="K107" s="1"/>
  <c r="G108" a="1"/>
  <c r="G108" s="1"/>
  <c r="G109" a="1"/>
  <c r="G109" s="1"/>
  <c r="G110" a="1"/>
  <c r="G110" s="1"/>
  <c r="G111" a="1"/>
  <c r="G111" s="1"/>
  <c r="K111" s="1"/>
  <c r="G112" a="1"/>
  <c r="G112" s="1"/>
  <c r="I60" a="1"/>
  <c r="I60" s="1"/>
  <c r="G60" a="1"/>
  <c r="G60" s="1"/>
  <c r="I103" a="1"/>
  <c r="I103" s="1"/>
  <c r="G103" a="1"/>
  <c r="G103" s="1"/>
  <c r="I79" a="1"/>
  <c r="I79" s="1"/>
  <c r="I81" a="1"/>
  <c r="I81" s="1"/>
  <c r="I83" a="1"/>
  <c r="I83" s="1"/>
  <c r="I85" a="1"/>
  <c r="I85" s="1"/>
  <c r="I87" a="1"/>
  <c r="I87" s="1"/>
  <c r="I89" a="1"/>
  <c r="I89" s="1"/>
  <c r="I91" a="1"/>
  <c r="I91" s="1"/>
  <c r="I93" a="1"/>
  <c r="I93" s="1"/>
  <c r="I95" a="1"/>
  <c r="I95" s="1"/>
  <c r="I97" a="1"/>
  <c r="I97" s="1"/>
  <c r="I99" a="1"/>
  <c r="I99" s="1"/>
  <c r="I101" a="1"/>
  <c r="I101" s="1"/>
  <c r="I77" a="1"/>
  <c r="I77" s="1"/>
  <c r="G96" a="1"/>
  <c r="G96" s="1"/>
  <c r="G100" a="1"/>
  <c r="G100" s="1"/>
  <c r="G78" a="1"/>
  <c r="G78" s="1"/>
  <c r="G80" a="1"/>
  <c r="G80" s="1"/>
  <c r="G82" a="1"/>
  <c r="G82" s="1"/>
  <c r="G84" a="1"/>
  <c r="G84" s="1"/>
  <c r="G86" a="1"/>
  <c r="G86" s="1"/>
  <c r="G88" a="1"/>
  <c r="G88" s="1"/>
  <c r="G90" a="1"/>
  <c r="G90" s="1"/>
  <c r="G92" a="1"/>
  <c r="G92" s="1"/>
  <c r="G94" a="1"/>
  <c r="G94" s="1"/>
  <c r="G98" a="1"/>
  <c r="G98" s="1"/>
  <c r="G102" a="1"/>
  <c r="G102" s="1"/>
  <c r="I80" a="1"/>
  <c r="I80" s="1"/>
  <c r="I82" a="1"/>
  <c r="I82" s="1"/>
  <c r="I84" a="1"/>
  <c r="I84" s="1"/>
  <c r="I86" a="1"/>
  <c r="I86" s="1"/>
  <c r="I88" a="1"/>
  <c r="I88" s="1"/>
  <c r="I90" a="1"/>
  <c r="I90" s="1"/>
  <c r="I92" a="1"/>
  <c r="I92" s="1"/>
  <c r="I94" a="1"/>
  <c r="I94" s="1"/>
  <c r="I96" a="1"/>
  <c r="I96" s="1"/>
  <c r="I98" a="1"/>
  <c r="I98" s="1"/>
  <c r="I100" a="1"/>
  <c r="I100" s="1"/>
  <c r="I102" a="1"/>
  <c r="I102" s="1"/>
  <c r="I78" a="1"/>
  <c r="I78" s="1"/>
  <c r="G79" a="1"/>
  <c r="G79" s="1"/>
  <c r="G81" a="1"/>
  <c r="G81" s="1"/>
  <c r="G83" a="1"/>
  <c r="G83" s="1"/>
  <c r="G85" a="1"/>
  <c r="G85" s="1"/>
  <c r="G87" a="1"/>
  <c r="G87" s="1"/>
  <c r="G89" a="1"/>
  <c r="G89" s="1"/>
  <c r="G91" a="1"/>
  <c r="G91" s="1"/>
  <c r="G93" a="1"/>
  <c r="G93" s="1"/>
  <c r="G95" a="1"/>
  <c r="G95" s="1"/>
  <c r="G97" a="1"/>
  <c r="G97" s="1"/>
  <c r="G99" a="1"/>
  <c r="G99" s="1"/>
  <c r="G101" a="1"/>
  <c r="G101" s="1"/>
  <c r="G77" a="1"/>
  <c r="G77"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I53" a="1"/>
  <c r="I53" s="1"/>
  <c r="G31" a="1"/>
  <c r="G31" s="1"/>
  <c r="G32" a="1"/>
  <c r="G32" s="1"/>
  <c r="I31" a="1"/>
  <c r="I31" s="1"/>
  <c r="I32" a="1"/>
  <c r="I32" s="1"/>
  <c r="G44" a="1"/>
  <c r="G44" s="1"/>
  <c r="G53" a="1"/>
  <c r="G53"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Q2927" i="34" l="1"/>
  <c r="R2927"/>
  <c r="S2927"/>
  <c r="Q1012"/>
  <c r="R1012"/>
  <c r="S1012"/>
  <c r="R1013"/>
  <c r="S1013"/>
  <c r="Q1013"/>
  <c r="R1442"/>
  <c r="S1442"/>
  <c r="Q1442"/>
  <c r="R1444"/>
  <c r="S1444"/>
  <c r="Q1444"/>
  <c r="R1441"/>
  <c r="Q1441"/>
  <c r="S1441"/>
  <c r="Q1447"/>
  <c r="R1447"/>
  <c r="S1447"/>
  <c r="R1450"/>
  <c r="S1450"/>
  <c r="Q1450"/>
  <c r="Q1451"/>
  <c r="R1451"/>
  <c r="S1451"/>
  <c r="R1015"/>
  <c r="S1015"/>
  <c r="Q1015"/>
  <c r="Q1461"/>
  <c r="R1461"/>
  <c r="S1461"/>
  <c r="Q1014"/>
  <c r="R1014"/>
  <c r="S1014"/>
  <c r="Q1443"/>
  <c r="R1443"/>
  <c r="S1443"/>
  <c r="S2924"/>
  <c r="Q2924"/>
  <c r="R2924"/>
  <c r="S2926"/>
  <c r="Q2926"/>
  <c r="R2926"/>
  <c r="R1011"/>
  <c r="S1011"/>
  <c r="Q1011"/>
  <c r="Q2925"/>
  <c r="R2925"/>
  <c r="S2925"/>
  <c r="Q1010"/>
  <c r="R1010"/>
  <c r="S1010"/>
  <c r="S2836"/>
  <c r="Q2836"/>
  <c r="R2836"/>
  <c r="Q1016"/>
  <c r="R1016"/>
  <c r="S1016"/>
  <c r="R1017"/>
  <c r="S1017"/>
  <c r="Q1017"/>
  <c r="R1446"/>
  <c r="S1446"/>
  <c r="Q1446"/>
  <c r="S2928"/>
  <c r="Q2928"/>
  <c r="R2928"/>
  <c r="Q1445"/>
  <c r="R1445"/>
  <c r="S1445"/>
  <c r="G25" i="68"/>
  <c r="H25" s="1"/>
  <c r="F26" s="1"/>
  <c r="K105" i="55"/>
  <c r="K110"/>
  <c r="K106"/>
  <c r="K108"/>
  <c r="K112"/>
  <c r="K109"/>
  <c r="K15"/>
  <c r="A2927" i="34"/>
  <c r="A2924"/>
  <c r="A2926"/>
  <c r="A2928"/>
  <c r="A2836"/>
  <c r="A2925"/>
  <c r="K60" i="55"/>
  <c r="A1016" i="34"/>
  <c r="A1012"/>
  <c r="A1017"/>
  <c r="A1013"/>
  <c r="A1446"/>
  <c r="A1442"/>
  <c r="A1445"/>
  <c r="A1441"/>
  <c r="A1451"/>
  <c r="A1014"/>
  <c r="A1010"/>
  <c r="A1015"/>
  <c r="A1011"/>
  <c r="A1444"/>
  <c r="A1447"/>
  <c r="A1443"/>
  <c r="A1450"/>
  <c r="A1461"/>
  <c r="K103" i="55"/>
  <c r="K39"/>
  <c r="K45"/>
  <c r="K40"/>
  <c r="K99"/>
  <c r="K84"/>
  <c r="K102"/>
  <c r="K94"/>
  <c r="K101"/>
  <c r="K97"/>
  <c r="K90"/>
  <c r="K100"/>
  <c r="K83"/>
  <c r="K65"/>
  <c r="K70"/>
  <c r="K69"/>
  <c r="K68"/>
  <c r="K67"/>
  <c r="K66"/>
  <c r="K64"/>
  <c r="K44"/>
  <c r="K87"/>
  <c r="K93"/>
  <c r="K91"/>
  <c r="K88"/>
  <c r="K98"/>
  <c r="K92"/>
  <c r="K95"/>
  <c r="K96"/>
  <c r="K89"/>
  <c r="K53"/>
  <c r="K31"/>
  <c r="K32"/>
  <c r="K43"/>
  <c r="K49"/>
  <c r="K50"/>
  <c r="K46"/>
  <c r="K38"/>
  <c r="K33"/>
  <c r="K36"/>
  <c r="K48"/>
  <c r="K51"/>
  <c r="K41"/>
  <c r="K23"/>
  <c r="K86"/>
  <c r="K81"/>
  <c r="K82"/>
  <c r="K22"/>
  <c r="G26" i="68" l="1"/>
  <c r="H26" s="1"/>
  <c r="F27" s="1"/>
  <c r="A3102" i="34"/>
  <c r="A2876"/>
  <c r="A2677"/>
  <c r="A2672"/>
  <c r="A2669"/>
  <c r="A2659"/>
  <c r="A2667"/>
  <c r="A2653"/>
  <c r="A2649"/>
  <c r="A2656"/>
  <c r="A2654"/>
  <c r="A2631"/>
  <c r="A2627"/>
  <c r="A2644"/>
  <c r="A2614"/>
  <c r="A2610"/>
  <c r="A2616"/>
  <c r="A2607"/>
  <c r="A2595"/>
  <c r="A2593"/>
  <c r="A2589"/>
  <c r="A2583"/>
  <c r="A2596"/>
  <c r="A2571"/>
  <c r="A2577"/>
  <c r="A2562"/>
  <c r="A2558"/>
  <c r="A2553"/>
  <c r="A2549"/>
  <c r="A2545"/>
  <c r="A2541"/>
  <c r="A2537"/>
  <c r="A2534"/>
  <c r="A2524"/>
  <c r="A2520"/>
  <c r="A2513"/>
  <c r="A2509"/>
  <c r="A2504"/>
  <c r="A2499"/>
  <c r="A2497"/>
  <c r="A2492"/>
  <c r="A2488"/>
  <c r="A2483"/>
  <c r="A2481"/>
  <c r="A2477"/>
  <c r="A2473"/>
  <c r="A2469"/>
  <c r="A2463"/>
  <c r="A2459"/>
  <c r="A2453"/>
  <c r="A2448"/>
  <c r="A2444"/>
  <c r="A2440"/>
  <c r="A2430"/>
  <c r="A2893"/>
  <c r="A3100"/>
  <c r="A2679"/>
  <c r="A2674"/>
  <c r="A2665"/>
  <c r="A2661"/>
  <c r="A2657"/>
  <c r="A2651"/>
  <c r="A2647"/>
  <c r="A2643"/>
  <c r="A2637"/>
  <c r="A2633"/>
  <c r="A2629"/>
  <c r="A2620"/>
  <c r="A2634"/>
  <c r="A2612"/>
  <c r="A2608"/>
  <c r="A2599"/>
  <c r="A2576"/>
  <c r="A2591"/>
  <c r="A2587"/>
  <c r="A2585"/>
  <c r="A2581"/>
  <c r="A2579"/>
  <c r="A2569"/>
  <c r="A2565"/>
  <c r="A2560"/>
  <c r="A2556"/>
  <c r="A2551"/>
  <c r="A2547"/>
  <c r="A2543"/>
  <c r="A2539"/>
  <c r="A2535"/>
  <c r="A2531"/>
  <c r="A2529"/>
  <c r="A2522"/>
  <c r="A2515"/>
  <c r="A2511"/>
  <c r="A2507"/>
  <c r="A2502"/>
  <c r="A2505"/>
  <c r="A2494"/>
  <c r="A2490"/>
  <c r="A2485"/>
  <c r="A2479"/>
  <c r="A2475"/>
  <c r="A2471"/>
  <c r="A2467"/>
  <c r="A2465"/>
  <c r="A2461"/>
  <c r="A2457"/>
  <c r="A2455"/>
  <c r="A2450"/>
  <c r="A2446"/>
  <c r="A2442"/>
  <c r="A2438"/>
  <c r="A2436"/>
  <c r="A2434"/>
  <c r="A2432"/>
  <c r="A2426"/>
  <c r="A2422"/>
  <c r="A2420"/>
  <c r="A2416"/>
  <c r="A2410"/>
  <c r="A2406"/>
  <c r="A2404"/>
  <c r="A2891"/>
  <c r="A3098"/>
  <c r="A3103"/>
  <c r="A3101"/>
  <c r="A2804"/>
  <c r="A2877"/>
  <c r="A2875"/>
  <c r="A2678"/>
  <c r="A2675"/>
  <c r="A2673"/>
  <c r="A2671"/>
  <c r="A2670"/>
  <c r="A2662"/>
  <c r="A2660"/>
  <c r="A2658"/>
  <c r="A2668"/>
  <c r="A2666"/>
  <c r="A2664"/>
  <c r="A2650"/>
  <c r="A2648"/>
  <c r="A2646"/>
  <c r="A2655"/>
  <c r="A2638"/>
  <c r="A2636"/>
  <c r="A2652"/>
  <c r="A2632"/>
  <c r="A2630"/>
  <c r="A2628"/>
  <c r="A2626"/>
  <c r="A2645"/>
  <c r="A2635"/>
  <c r="A2615"/>
  <c r="A2613"/>
  <c r="A2611"/>
  <c r="A2609"/>
  <c r="A2617"/>
  <c r="A2600"/>
  <c r="A2598"/>
  <c r="A2606"/>
  <c r="A2573"/>
  <c r="A2594"/>
  <c r="A2592"/>
  <c r="A2590"/>
  <c r="A2588"/>
  <c r="A2586"/>
  <c r="A2584"/>
  <c r="A2582"/>
  <c r="A2597"/>
  <c r="A2580"/>
  <c r="A2572"/>
  <c r="A2570"/>
  <c r="A2578"/>
  <c r="A2566"/>
  <c r="A2564"/>
  <c r="A2561"/>
  <c r="A2559"/>
  <c r="A2557"/>
  <c r="A2555"/>
  <c r="A2552"/>
  <c r="A2550"/>
  <c r="A2548"/>
  <c r="A2546"/>
  <c r="A2544"/>
  <c r="A2542"/>
  <c r="A2540"/>
  <c r="A2538"/>
  <c r="A2536"/>
  <c r="A2533"/>
  <c r="A2532"/>
  <c r="A2530"/>
  <c r="A2526"/>
  <c r="A2523"/>
  <c r="A2521"/>
  <c r="A2516"/>
  <c r="A2514"/>
  <c r="A2512"/>
  <c r="A2510"/>
  <c r="A2508"/>
  <c r="A2506"/>
  <c r="A2503"/>
  <c r="A2500"/>
  <c r="A2498"/>
  <c r="A2501"/>
  <c r="A2496"/>
  <c r="A2493"/>
  <c r="A2491"/>
  <c r="A2489"/>
  <c r="A2486"/>
  <c r="A2484"/>
  <c r="A2482"/>
  <c r="A2480"/>
  <c r="A2478"/>
  <c r="A2476"/>
  <c r="A2474"/>
  <c r="A2472"/>
  <c r="A2470"/>
  <c r="A2468"/>
  <c r="A2466"/>
  <c r="A2464"/>
  <c r="A2462"/>
  <c r="A2460"/>
  <c r="A2458"/>
  <c r="A2456"/>
  <c r="A2454"/>
  <c r="A2451"/>
  <c r="A2449"/>
  <c r="A2447"/>
  <c r="A2445"/>
  <c r="A2443"/>
  <c r="A2441"/>
  <c r="A2439"/>
  <c r="A2437"/>
  <c r="A2435"/>
  <c r="A2433"/>
  <c r="A2431"/>
  <c r="A2429"/>
  <c r="A2427"/>
  <c r="A2425"/>
  <c r="A2423"/>
  <c r="A2421"/>
  <c r="A2419"/>
  <c r="A2417"/>
  <c r="A2415"/>
  <c r="A2413"/>
  <c r="A2411"/>
  <c r="A2409"/>
  <c r="A2407"/>
  <c r="A2405"/>
  <c r="A2403"/>
  <c r="A2428"/>
  <c r="A2424"/>
  <c r="A2418"/>
  <c r="A2414"/>
  <c r="A2412"/>
  <c r="A2408"/>
  <c r="A2402"/>
  <c r="A3239"/>
  <c r="A3236"/>
  <c r="A3234"/>
  <c r="A3189"/>
  <c r="A1062"/>
  <c r="A2123"/>
  <c r="A3225"/>
  <c r="A3211"/>
  <c r="A3207"/>
  <c r="A3195"/>
  <c r="A3191"/>
  <c r="A3187"/>
  <c r="A3183"/>
  <c r="A3176"/>
  <c r="A3174"/>
  <c r="A3111"/>
  <c r="A3171"/>
  <c r="A3169"/>
  <c r="A3167"/>
  <c r="A3165"/>
  <c r="A3163"/>
  <c r="A3161"/>
  <c r="A3159"/>
  <c r="A3157"/>
  <c r="A3155"/>
  <c r="A3153"/>
  <c r="A3151"/>
  <c r="A3145"/>
  <c r="A3143"/>
  <c r="A3141"/>
  <c r="A3140"/>
  <c r="A3138"/>
  <c r="A3136"/>
  <c r="A3134"/>
  <c r="A3132"/>
  <c r="A3130"/>
  <c r="A3128"/>
  <c r="A3126"/>
  <c r="A3124"/>
  <c r="A2107"/>
  <c r="A2104"/>
  <c r="A3116"/>
  <c r="A1023"/>
  <c r="A1019"/>
  <c r="A2100"/>
  <c r="A2097"/>
  <c r="A2095"/>
  <c r="A2093"/>
  <c r="A2091"/>
  <c r="A2089"/>
  <c r="A2101"/>
  <c r="A2102"/>
  <c r="A2087"/>
  <c r="A2085"/>
  <c r="A2083"/>
  <c r="A2081"/>
  <c r="A2079"/>
  <c r="A2077"/>
  <c r="A2075"/>
  <c r="A2073"/>
  <c r="A2071"/>
  <c r="A2069"/>
  <c r="A2067"/>
  <c r="A2065"/>
  <c r="A2063"/>
  <c r="A2061"/>
  <c r="A2059"/>
  <c r="A2057"/>
  <c r="A2055"/>
  <c r="A2053"/>
  <c r="A114"/>
  <c r="A112"/>
  <c r="A110"/>
  <c r="A108"/>
  <c r="A106"/>
  <c r="A104"/>
  <c r="A102"/>
  <c r="A100"/>
  <c r="A98"/>
  <c r="A96"/>
  <c r="A94"/>
  <c r="A92"/>
  <c r="A90"/>
  <c r="A88"/>
  <c r="A86"/>
  <c r="A84"/>
  <c r="A82"/>
  <c r="A80"/>
  <c r="A78"/>
  <c r="A76"/>
  <c r="A74"/>
  <c r="A33"/>
  <c r="A31"/>
  <c r="A29"/>
  <c r="A27"/>
  <c r="A25"/>
  <c r="A3240"/>
  <c r="A3237"/>
  <c r="A3235"/>
  <c r="A3227"/>
  <c r="A3188"/>
  <c r="A2124"/>
  <c r="A3226"/>
  <c r="A3224"/>
  <c r="A3210"/>
  <c r="A3206"/>
  <c r="A3194"/>
  <c r="A3190"/>
  <c r="A3184"/>
  <c r="A3177"/>
  <c r="A3175"/>
  <c r="A3173"/>
  <c r="A3172"/>
  <c r="A3170"/>
  <c r="A3168"/>
  <c r="A3166"/>
  <c r="A3164"/>
  <c r="A3162"/>
  <c r="A3160"/>
  <c r="A3158"/>
  <c r="A3156"/>
  <c r="A3154"/>
  <c r="A3152"/>
  <c r="A3150"/>
  <c r="A3144"/>
  <c r="A3142"/>
  <c r="A3139"/>
  <c r="A3137"/>
  <c r="A3135"/>
  <c r="A3133"/>
  <c r="A3131"/>
  <c r="A3129"/>
  <c r="A3127"/>
  <c r="A3125"/>
  <c r="A2108"/>
  <c r="A2106"/>
  <c r="A3121"/>
  <c r="A1024"/>
  <c r="A1020"/>
  <c r="A1018"/>
  <c r="A2099"/>
  <c r="A2096"/>
  <c r="A2094"/>
  <c r="A2092"/>
  <c r="A2090"/>
  <c r="A2088"/>
  <c r="A2103"/>
  <c r="A2086"/>
  <c r="A2084"/>
  <c r="A2082"/>
  <c r="A2080"/>
  <c r="A2078"/>
  <c r="A2076"/>
  <c r="A2074"/>
  <c r="A2072"/>
  <c r="A2070"/>
  <c r="A2068"/>
  <c r="A2066"/>
  <c r="A2064"/>
  <c r="A2062"/>
  <c r="A2060"/>
  <c r="A2058"/>
  <c r="A2056"/>
  <c r="A2054"/>
  <c r="A2052"/>
  <c r="A113"/>
  <c r="A111"/>
  <c r="A109"/>
  <c r="A107"/>
  <c r="A105"/>
  <c r="A103"/>
  <c r="A101"/>
  <c r="A99"/>
  <c r="A97"/>
  <c r="A95"/>
  <c r="A93"/>
  <c r="A91"/>
  <c r="A89"/>
  <c r="A87"/>
  <c r="A85"/>
  <c r="A83"/>
  <c r="A81"/>
  <c r="A79"/>
  <c r="A77"/>
  <c r="A75"/>
  <c r="A73"/>
  <c r="A32"/>
  <c r="A30"/>
  <c r="A28"/>
  <c r="A26"/>
  <c r="A271"/>
  <c r="G27" i="68" l="1"/>
  <c r="H27" s="1"/>
  <c r="B1424" i="34"/>
  <c r="B1422"/>
  <c r="B1423"/>
  <c r="B1460"/>
  <c r="R1423" l="1"/>
  <c r="Q1423"/>
  <c r="S1423"/>
  <c r="R1422"/>
  <c r="Q1422"/>
  <c r="S1422"/>
  <c r="Q1424"/>
  <c r="R1424"/>
  <c r="S1424"/>
  <c r="R1460"/>
  <c r="S1460"/>
  <c r="Q1460"/>
  <c r="F28" i="68"/>
  <c r="A1460" i="34"/>
  <c r="A1424"/>
  <c r="A1422"/>
  <c r="A1423"/>
  <c r="G28" i="68" l="1"/>
  <c r="B2640" i="34"/>
  <c r="B2575"/>
  <c r="B2623"/>
  <c r="B2604"/>
  <c r="B2641"/>
  <c r="B2601"/>
  <c r="B2574"/>
  <c r="B2622"/>
  <c r="B2603"/>
  <c r="B2625"/>
  <c r="B2621"/>
  <c r="B2602"/>
  <c r="B2639"/>
  <c r="B2624"/>
  <c r="B2605"/>
  <c r="B2642"/>
  <c r="U10"/>
  <c r="V10"/>
  <c r="T10"/>
  <c r="I6" i="43"/>
  <c r="U482" i="34" l="1"/>
  <c r="U620"/>
  <c r="U603"/>
  <c r="T604"/>
  <c r="U605"/>
  <c r="T598"/>
  <c r="V598"/>
  <c r="T599"/>
  <c r="V599"/>
  <c r="T600"/>
  <c r="V600"/>
  <c r="T601"/>
  <c r="V601"/>
  <c r="U602"/>
  <c r="T606"/>
  <c r="U607"/>
  <c r="U608"/>
  <c r="T609"/>
  <c r="V609"/>
  <c r="U610"/>
  <c r="T611"/>
  <c r="V611"/>
  <c r="T612"/>
  <c r="V612"/>
  <c r="U613"/>
  <c r="T614"/>
  <c r="V614"/>
  <c r="T616"/>
  <c r="V616"/>
  <c r="U617"/>
  <c r="T622"/>
  <c r="V622"/>
  <c r="U623"/>
  <c r="T482"/>
  <c r="V482"/>
  <c r="T603"/>
  <c r="V603"/>
  <c r="V604"/>
  <c r="T605"/>
  <c r="V605"/>
  <c r="U598"/>
  <c r="U599"/>
  <c r="U600"/>
  <c r="U601"/>
  <c r="T602"/>
  <c r="V602"/>
  <c r="V606"/>
  <c r="T608"/>
  <c r="V608"/>
  <c r="U609"/>
  <c r="T610"/>
  <c r="V610"/>
  <c r="U611"/>
  <c r="U612"/>
  <c r="T613"/>
  <c r="V613"/>
  <c r="U614"/>
  <c r="U616"/>
  <c r="T617"/>
  <c r="V617"/>
  <c r="U622"/>
  <c r="T623"/>
  <c r="V623"/>
  <c r="V619"/>
  <c r="V620"/>
  <c r="U606"/>
  <c r="U619"/>
  <c r="T620"/>
  <c r="U621"/>
  <c r="T619"/>
  <c r="T621"/>
  <c r="U618"/>
  <c r="T618"/>
  <c r="U615"/>
  <c r="T615"/>
  <c r="V607"/>
  <c r="V618"/>
  <c r="V615"/>
  <c r="V621"/>
  <c r="T607"/>
  <c r="U604"/>
  <c r="T597"/>
  <c r="V597"/>
  <c r="U597"/>
  <c r="U393"/>
  <c r="U445"/>
  <c r="T448"/>
  <c r="V448"/>
  <c r="U451"/>
  <c r="T468"/>
  <c r="V468"/>
  <c r="T481"/>
  <c r="V481"/>
  <c r="T567"/>
  <c r="V567"/>
  <c r="U568"/>
  <c r="T569"/>
  <c r="V569"/>
  <c r="U570"/>
  <c r="T571"/>
  <c r="V571"/>
  <c r="U572"/>
  <c r="T573"/>
  <c r="V573"/>
  <c r="U574"/>
  <c r="T575"/>
  <c r="V575"/>
  <c r="U576"/>
  <c r="T577"/>
  <c r="V577"/>
  <c r="U578"/>
  <c r="T579"/>
  <c r="V579"/>
  <c r="U580"/>
  <c r="T581"/>
  <c r="V581"/>
  <c r="T587"/>
  <c r="V587"/>
  <c r="U588"/>
  <c r="T589"/>
  <c r="V589"/>
  <c r="U590"/>
  <c r="T591"/>
  <c r="V591"/>
  <c r="U592"/>
  <c r="T593"/>
  <c r="V593"/>
  <c r="U594"/>
  <c r="T393"/>
  <c r="V393"/>
  <c r="T445"/>
  <c r="V445"/>
  <c r="U448"/>
  <c r="T451"/>
  <c r="V451"/>
  <c r="U468"/>
  <c r="U481"/>
  <c r="U567"/>
  <c r="T568"/>
  <c r="V568"/>
  <c r="U569"/>
  <c r="T570"/>
  <c r="V570"/>
  <c r="U571"/>
  <c r="T572"/>
  <c r="V572"/>
  <c r="U573"/>
  <c r="T574"/>
  <c r="V574"/>
  <c r="U575"/>
  <c r="T576"/>
  <c r="V576"/>
  <c r="U577"/>
  <c r="T578"/>
  <c r="V578"/>
  <c r="U579"/>
  <c r="T580"/>
  <c r="V580"/>
  <c r="U581"/>
  <c r="U587"/>
  <c r="T588"/>
  <c r="V588"/>
  <c r="U589"/>
  <c r="T590"/>
  <c r="V590"/>
  <c r="U591"/>
  <c r="T592"/>
  <c r="V592"/>
  <c r="U593"/>
  <c r="T594"/>
  <c r="V594"/>
  <c r="U704"/>
  <c r="V704"/>
  <c r="T704"/>
  <c r="U706"/>
  <c r="V706"/>
  <c r="T706"/>
  <c r="T715"/>
  <c r="U715"/>
  <c r="V715"/>
  <c r="U712"/>
  <c r="V712"/>
  <c r="T712"/>
  <c r="T701"/>
  <c r="U701"/>
  <c r="V701"/>
  <c r="T707"/>
  <c r="U707"/>
  <c r="V707"/>
  <c r="U720"/>
  <c r="V720"/>
  <c r="T720"/>
  <c r="T779"/>
  <c r="U779"/>
  <c r="V779"/>
  <c r="U750"/>
  <c r="V750"/>
  <c r="T750"/>
  <c r="T727"/>
  <c r="U727"/>
  <c r="U713"/>
  <c r="U726"/>
  <c r="V726"/>
  <c r="T726"/>
  <c r="U716"/>
  <c r="V716"/>
  <c r="T716"/>
  <c r="U710"/>
  <c r="V710"/>
  <c r="T710"/>
  <c r="U700"/>
  <c r="V700"/>
  <c r="T700"/>
  <c r="T703"/>
  <c r="U703"/>
  <c r="V703"/>
  <c r="T721"/>
  <c r="U721"/>
  <c r="V721"/>
  <c r="T729"/>
  <c r="U729"/>
  <c r="V729"/>
  <c r="U730"/>
  <c r="V730"/>
  <c r="T730"/>
  <c r="T709"/>
  <c r="U709"/>
  <c r="V709"/>
  <c r="U782"/>
  <c r="V782"/>
  <c r="V727"/>
  <c r="T713"/>
  <c r="V713"/>
  <c r="T782"/>
  <c r="T731"/>
  <c r="U731"/>
  <c r="V731"/>
  <c r="T775"/>
  <c r="U775"/>
  <c r="V775"/>
  <c r="T773"/>
  <c r="U773"/>
  <c r="V773"/>
  <c r="U718"/>
  <c r="V718"/>
  <c r="T718"/>
  <c r="T446"/>
  <c r="T450"/>
  <c r="U450"/>
  <c r="V450"/>
  <c r="U774"/>
  <c r="V774"/>
  <c r="T774"/>
  <c r="T745"/>
  <c r="U745"/>
  <c r="V745"/>
  <c r="U449"/>
  <c r="V449"/>
  <c r="T449"/>
  <c r="U669"/>
  <c r="T769"/>
  <c r="U769"/>
  <c r="V769"/>
  <c r="U734"/>
  <c r="V734"/>
  <c r="T734"/>
  <c r="V446"/>
  <c r="U446"/>
  <c r="U778"/>
  <c r="V778"/>
  <c r="T778"/>
  <c r="U732"/>
  <c r="V732"/>
  <c r="T732"/>
  <c r="T733"/>
  <c r="U733"/>
  <c r="V733"/>
  <c r="T669"/>
  <c r="V669"/>
  <c r="T668"/>
  <c r="U667"/>
  <c r="T665"/>
  <c r="V665"/>
  <c r="U671"/>
  <c r="V674"/>
  <c r="U676"/>
  <c r="V676"/>
  <c r="T676"/>
  <c r="U678"/>
  <c r="V678"/>
  <c r="T678"/>
  <c r="U680"/>
  <c r="V680"/>
  <c r="T680"/>
  <c r="U688"/>
  <c r="V688"/>
  <c r="T688"/>
  <c r="T691"/>
  <c r="U691"/>
  <c r="V691"/>
  <c r="T693"/>
  <c r="U693"/>
  <c r="V693"/>
  <c r="V666"/>
  <c r="T670"/>
  <c r="U670"/>
  <c r="T673"/>
  <c r="V673"/>
  <c r="T675"/>
  <c r="U675"/>
  <c r="T695"/>
  <c r="U695"/>
  <c r="V695"/>
  <c r="U679"/>
  <c r="T681"/>
  <c r="V681"/>
  <c r="V668"/>
  <c r="U668"/>
  <c r="T683"/>
  <c r="U683"/>
  <c r="V683"/>
  <c r="U684"/>
  <c r="V684"/>
  <c r="T684"/>
  <c r="T687"/>
  <c r="U687"/>
  <c r="V687"/>
  <c r="U690"/>
  <c r="V690"/>
  <c r="T690"/>
  <c r="U692"/>
  <c r="V692"/>
  <c r="T692"/>
  <c r="U694"/>
  <c r="V694"/>
  <c r="T694"/>
  <c r="T667"/>
  <c r="V667"/>
  <c r="U665"/>
  <c r="T671"/>
  <c r="V671"/>
  <c r="T674"/>
  <c r="U674"/>
  <c r="T697"/>
  <c r="U697"/>
  <c r="V697"/>
  <c r="T666"/>
  <c r="U666"/>
  <c r="V670"/>
  <c r="U673"/>
  <c r="V675"/>
  <c r="T677"/>
  <c r="U677"/>
  <c r="V677"/>
  <c r="T679"/>
  <c r="V679"/>
  <c r="U681"/>
  <c r="V549"/>
  <c r="T549"/>
  <c r="U549"/>
  <c r="T548"/>
  <c r="U548"/>
  <c r="V548"/>
  <c r="V551"/>
  <c r="T551"/>
  <c r="U551"/>
  <c r="V555"/>
  <c r="T555"/>
  <c r="U555"/>
  <c r="V541"/>
  <c r="T541"/>
  <c r="U541"/>
  <c r="T540"/>
  <c r="U540"/>
  <c r="V540"/>
  <c r="T552"/>
  <c r="U552"/>
  <c r="V552"/>
  <c r="T556"/>
  <c r="U556"/>
  <c r="V556"/>
  <c r="V535"/>
  <c r="T535"/>
  <c r="U535"/>
  <c r="T544"/>
  <c r="U544"/>
  <c r="V544"/>
  <c r="V664"/>
  <c r="U664"/>
  <c r="V672"/>
  <c r="U672"/>
  <c r="T664"/>
  <c r="T672"/>
  <c r="T496"/>
  <c r="U496"/>
  <c r="V496"/>
  <c r="U530"/>
  <c r="T521"/>
  <c r="T523"/>
  <c r="T525"/>
  <c r="T527"/>
  <c r="V529"/>
  <c r="U529"/>
  <c r="V537"/>
  <c r="T537"/>
  <c r="U537"/>
  <c r="U499"/>
  <c r="V499"/>
  <c r="T499"/>
  <c r="U501"/>
  <c r="V501"/>
  <c r="T501"/>
  <c r="U503"/>
  <c r="V503"/>
  <c r="T503"/>
  <c r="T508"/>
  <c r="U508"/>
  <c r="V508"/>
  <c r="U513"/>
  <c r="V513"/>
  <c r="T513"/>
  <c r="U515"/>
  <c r="V515"/>
  <c r="T515"/>
  <c r="U517"/>
  <c r="V517"/>
  <c r="T517"/>
  <c r="T520"/>
  <c r="V520"/>
  <c r="U520"/>
  <c r="U522"/>
  <c r="U526"/>
  <c r="U531"/>
  <c r="V545"/>
  <c r="T545"/>
  <c r="U545"/>
  <c r="T554"/>
  <c r="U554"/>
  <c r="V554"/>
  <c r="U518"/>
  <c r="T522"/>
  <c r="T524"/>
  <c r="V524"/>
  <c r="T526"/>
  <c r="T531"/>
  <c r="V530"/>
  <c r="T530"/>
  <c r="T538"/>
  <c r="U538"/>
  <c r="V538"/>
  <c r="V539"/>
  <c r="T539"/>
  <c r="U539"/>
  <c r="T403"/>
  <c r="U403"/>
  <c r="V403"/>
  <c r="U398"/>
  <c r="V398"/>
  <c r="T398"/>
  <c r="U495"/>
  <c r="V495"/>
  <c r="T495"/>
  <c r="T500"/>
  <c r="U500"/>
  <c r="V500"/>
  <c r="T502"/>
  <c r="U502"/>
  <c r="V502"/>
  <c r="U507"/>
  <c r="V507"/>
  <c r="T507"/>
  <c r="T512"/>
  <c r="U512"/>
  <c r="V512"/>
  <c r="T514"/>
  <c r="U514"/>
  <c r="V514"/>
  <c r="T516"/>
  <c r="U516"/>
  <c r="V516"/>
  <c r="U519"/>
  <c r="V519"/>
  <c r="T519"/>
  <c r="U521"/>
  <c r="V521"/>
  <c r="V523"/>
  <c r="U523"/>
  <c r="V525"/>
  <c r="U525"/>
  <c r="V527"/>
  <c r="U527"/>
  <c r="V543"/>
  <c r="T543"/>
  <c r="U543"/>
  <c r="V553"/>
  <c r="T553"/>
  <c r="U553"/>
  <c r="U497"/>
  <c r="V497"/>
  <c r="T497"/>
  <c r="T529"/>
  <c r="T518"/>
  <c r="V518"/>
  <c r="V522"/>
  <c r="U524"/>
  <c r="V526"/>
  <c r="V531"/>
  <c r="U396"/>
  <c r="V396"/>
  <c r="T396"/>
  <c r="T397"/>
  <c r="U397"/>
  <c r="V397"/>
  <c r="U394"/>
  <c r="V394"/>
  <c r="T394"/>
  <c r="T395"/>
  <c r="U395"/>
  <c r="V395"/>
  <c r="T777"/>
  <c r="U777"/>
  <c r="V777"/>
  <c r="U770"/>
  <c r="V770"/>
  <c r="T770"/>
  <c r="T765"/>
  <c r="U765"/>
  <c r="V765"/>
  <c r="T761"/>
  <c r="U761"/>
  <c r="V761"/>
  <c r="T757"/>
  <c r="U757"/>
  <c r="V757"/>
  <c r="T753"/>
  <c r="U753"/>
  <c r="V753"/>
  <c r="U748"/>
  <c r="V748"/>
  <c r="T748"/>
  <c r="T743"/>
  <c r="U743"/>
  <c r="V743"/>
  <c r="T739"/>
  <c r="U739"/>
  <c r="V739"/>
  <c r="T735"/>
  <c r="U735"/>
  <c r="V735"/>
  <c r="T723"/>
  <c r="U723"/>
  <c r="V723"/>
  <c r="U714"/>
  <c r="V714"/>
  <c r="T714"/>
  <c r="U702"/>
  <c r="V702"/>
  <c r="T702"/>
  <c r="T689"/>
  <c r="U689"/>
  <c r="V689"/>
  <c r="T566"/>
  <c r="U566"/>
  <c r="V566"/>
  <c r="T562"/>
  <c r="U562"/>
  <c r="V562"/>
  <c r="T558"/>
  <c r="U558"/>
  <c r="V558"/>
  <c r="T546"/>
  <c r="U546"/>
  <c r="V546"/>
  <c r="U776"/>
  <c r="V776"/>
  <c r="T776"/>
  <c r="U768"/>
  <c r="V768"/>
  <c r="T768"/>
  <c r="U764"/>
  <c r="V764"/>
  <c r="T764"/>
  <c r="U760"/>
  <c r="V760"/>
  <c r="T760"/>
  <c r="U756"/>
  <c r="V756"/>
  <c r="T756"/>
  <c r="U752"/>
  <c r="V752"/>
  <c r="T752"/>
  <c r="T747"/>
  <c r="U747"/>
  <c r="V747"/>
  <c r="U742"/>
  <c r="V742"/>
  <c r="T742"/>
  <c r="U738"/>
  <c r="V738"/>
  <c r="T738"/>
  <c r="U728"/>
  <c r="V728"/>
  <c r="T728"/>
  <c r="U722"/>
  <c r="V722"/>
  <c r="T722"/>
  <c r="T711"/>
  <c r="U711"/>
  <c r="V711"/>
  <c r="T699"/>
  <c r="U699"/>
  <c r="V699"/>
  <c r="U686"/>
  <c r="V686"/>
  <c r="T686"/>
  <c r="T542"/>
  <c r="U542"/>
  <c r="V542"/>
  <c r="T532"/>
  <c r="T506"/>
  <c r="U506"/>
  <c r="V506"/>
  <c r="T494"/>
  <c r="U494"/>
  <c r="V494"/>
  <c r="T490"/>
  <c r="U490"/>
  <c r="V490"/>
  <c r="T486"/>
  <c r="U486"/>
  <c r="V486"/>
  <c r="V563"/>
  <c r="T563"/>
  <c r="U563"/>
  <c r="V559"/>
  <c r="T559"/>
  <c r="U559"/>
  <c r="V547"/>
  <c r="T547"/>
  <c r="U547"/>
  <c r="U511"/>
  <c r="V511"/>
  <c r="T511"/>
  <c r="U505"/>
  <c r="V505"/>
  <c r="T505"/>
  <c r="U493"/>
  <c r="V493"/>
  <c r="T493"/>
  <c r="U489"/>
  <c r="V489"/>
  <c r="T489"/>
  <c r="U392"/>
  <c r="V392"/>
  <c r="T392"/>
  <c r="U696"/>
  <c r="U682"/>
  <c r="T682"/>
  <c r="T534"/>
  <c r="V534"/>
  <c r="V533"/>
  <c r="T533"/>
  <c r="U533"/>
  <c r="T510"/>
  <c r="U510"/>
  <c r="V510"/>
  <c r="T504"/>
  <c r="U504"/>
  <c r="V504"/>
  <c r="T492"/>
  <c r="U492"/>
  <c r="V492"/>
  <c r="T488"/>
  <c r="U488"/>
  <c r="V488"/>
  <c r="V565"/>
  <c r="T565"/>
  <c r="U565"/>
  <c r="V561"/>
  <c r="T561"/>
  <c r="U561"/>
  <c r="V557"/>
  <c r="T557"/>
  <c r="U557"/>
  <c r="V532"/>
  <c r="U532"/>
  <c r="U509"/>
  <c r="V509"/>
  <c r="T509"/>
  <c r="T498"/>
  <c r="U498"/>
  <c r="V498"/>
  <c r="U491"/>
  <c r="V491"/>
  <c r="T491"/>
  <c r="U487"/>
  <c r="V487"/>
  <c r="T487"/>
  <c r="T781"/>
  <c r="U781"/>
  <c r="V781"/>
  <c r="U772"/>
  <c r="V772"/>
  <c r="T772"/>
  <c r="T767"/>
  <c r="U767"/>
  <c r="V767"/>
  <c r="T763"/>
  <c r="U763"/>
  <c r="V763"/>
  <c r="T759"/>
  <c r="U759"/>
  <c r="V759"/>
  <c r="T755"/>
  <c r="U755"/>
  <c r="V755"/>
  <c r="T751"/>
  <c r="U751"/>
  <c r="V751"/>
  <c r="U746"/>
  <c r="V746"/>
  <c r="T746"/>
  <c r="T741"/>
  <c r="U741"/>
  <c r="V741"/>
  <c r="T737"/>
  <c r="U737"/>
  <c r="V737"/>
  <c r="T725"/>
  <c r="U725"/>
  <c r="V725"/>
  <c r="T719"/>
  <c r="U719"/>
  <c r="V719"/>
  <c r="U708"/>
  <c r="V708"/>
  <c r="T708"/>
  <c r="U698"/>
  <c r="V698"/>
  <c r="T698"/>
  <c r="T685"/>
  <c r="U685"/>
  <c r="V685"/>
  <c r="T564"/>
  <c r="U564"/>
  <c r="V564"/>
  <c r="T560"/>
  <c r="U560"/>
  <c r="V560"/>
  <c r="T550"/>
  <c r="U550"/>
  <c r="V550"/>
  <c r="T536"/>
  <c r="U536"/>
  <c r="V536"/>
  <c r="T528"/>
  <c r="V528"/>
  <c r="U528"/>
  <c r="U780"/>
  <c r="V780"/>
  <c r="T780"/>
  <c r="T771"/>
  <c r="U771"/>
  <c r="V771"/>
  <c r="U766"/>
  <c r="V766"/>
  <c r="T766"/>
  <c r="U762"/>
  <c r="V762"/>
  <c r="T762"/>
  <c r="U758"/>
  <c r="V758"/>
  <c r="T758"/>
  <c r="U754"/>
  <c r="V754"/>
  <c r="T754"/>
  <c r="T749"/>
  <c r="U749"/>
  <c r="V749"/>
  <c r="U744"/>
  <c r="V744"/>
  <c r="T744"/>
  <c r="U740"/>
  <c r="V740"/>
  <c r="T740"/>
  <c r="U736"/>
  <c r="V736"/>
  <c r="T736"/>
  <c r="U724"/>
  <c r="V724"/>
  <c r="T724"/>
  <c r="T717"/>
  <c r="U717"/>
  <c r="V717"/>
  <c r="T705"/>
  <c r="U705"/>
  <c r="V705"/>
  <c r="V696"/>
  <c r="T696"/>
  <c r="V682"/>
  <c r="U534"/>
  <c r="T783"/>
  <c r="U783"/>
  <c r="V783"/>
  <c r="S2605"/>
  <c r="Q2605"/>
  <c r="R2605"/>
  <c r="S2621"/>
  <c r="Q2621"/>
  <c r="R2621"/>
  <c r="Q2574"/>
  <c r="R2574"/>
  <c r="S2574"/>
  <c r="S2623"/>
  <c r="Q2623"/>
  <c r="R2623"/>
  <c r="Q2624"/>
  <c r="R2624"/>
  <c r="S2624"/>
  <c r="S2625"/>
  <c r="Q2625"/>
  <c r="R2625"/>
  <c r="S2601"/>
  <c r="Q2601"/>
  <c r="R2601"/>
  <c r="S2575"/>
  <c r="Q2575"/>
  <c r="R2575"/>
  <c r="S2639"/>
  <c r="Q2639"/>
  <c r="R2639"/>
  <c r="S2603"/>
  <c r="Q2603"/>
  <c r="R2603"/>
  <c r="S2641"/>
  <c r="Q2641"/>
  <c r="R2641"/>
  <c r="Q2640"/>
  <c r="R2640"/>
  <c r="S2640"/>
  <c r="Q2642"/>
  <c r="R2642"/>
  <c r="S2642"/>
  <c r="Q2602"/>
  <c r="R2602"/>
  <c r="S2602"/>
  <c r="Q2622"/>
  <c r="R2622"/>
  <c r="S2622"/>
  <c r="Q2604"/>
  <c r="R2604"/>
  <c r="S2604"/>
  <c r="H28" i="68"/>
  <c r="F29" s="1"/>
  <c r="G30"/>
  <c r="A2604" i="34"/>
  <c r="A2624"/>
  <c r="A2625"/>
  <c r="A2642"/>
  <c r="A2622"/>
  <c r="A2601"/>
  <c r="A2602"/>
  <c r="A2575"/>
  <c r="A2603"/>
  <c r="A2605"/>
  <c r="A2623"/>
  <c r="A2640"/>
  <c r="A2621"/>
  <c r="A2641"/>
  <c r="A2639"/>
  <c r="A2574"/>
  <c r="E32"/>
  <c r="AA32" s="1"/>
  <c r="E31"/>
  <c r="AA31" s="1"/>
  <c r="E30"/>
  <c r="AA30" s="1"/>
  <c r="E29"/>
  <c r="AA29" s="1"/>
  <c r="E28"/>
  <c r="AA28" s="1"/>
  <c r="G21" i="62" l="1" a="1"/>
  <c r="G21" s="1"/>
  <c r="I21" a="1"/>
  <c r="I21" s="1"/>
  <c r="G20" a="1"/>
  <c r="G20" s="1"/>
  <c r="I20" a="1"/>
  <c r="I20" s="1"/>
  <c r="K4068" i="34"/>
  <c r="I19" i="62" a="1"/>
  <c r="I19" s="1"/>
  <c r="G19" a="1"/>
  <c r="G19" s="1"/>
  <c r="I18" a="1"/>
  <c r="I18" s="1"/>
  <c r="G18" a="1"/>
  <c r="G18" s="1"/>
  <c r="I14" a="1"/>
  <c r="I14" s="1"/>
  <c r="I16" a="1"/>
  <c r="I16" s="1"/>
  <c r="G15" a="1"/>
  <c r="G15" s="1"/>
  <c r="G17" a="1"/>
  <c r="G17" s="1"/>
  <c r="I15" a="1"/>
  <c r="I15" s="1"/>
  <c r="I17" a="1"/>
  <c r="I17" s="1"/>
  <c r="G14" a="1"/>
  <c r="G14" s="1"/>
  <c r="G16" a="1"/>
  <c r="G16" s="1"/>
  <c r="I35" i="45" a="1"/>
  <c r="I35" s="1"/>
  <c r="I33" a="1"/>
  <c r="I33" s="1"/>
  <c r="K34" a="1"/>
  <c r="K34" s="1"/>
  <c r="K35" a="1"/>
  <c r="K35" s="1"/>
  <c r="I6" a="1"/>
  <c r="I6" s="1"/>
  <c r="K33" a="1"/>
  <c r="K33" s="1"/>
  <c r="K6" a="1"/>
  <c r="K6" s="1"/>
  <c r="I34" a="1"/>
  <c r="I34" s="1"/>
  <c r="I12" a="1"/>
  <c r="I12" s="1"/>
  <c r="I21" a="1"/>
  <c r="I21" s="1"/>
  <c r="I32" a="1"/>
  <c r="I32" s="1"/>
  <c r="K12" a="1"/>
  <c r="K12" s="1"/>
  <c r="K21" a="1"/>
  <c r="K21" s="1"/>
  <c r="I11" a="1"/>
  <c r="I11" s="1"/>
  <c r="I5" a="1"/>
  <c r="I5" s="1"/>
  <c r="K11" a="1"/>
  <c r="K11" s="1"/>
  <c r="K5" a="1"/>
  <c r="K5"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A594" i="34"/>
  <c r="A592"/>
  <c r="A593"/>
  <c r="K18" i="62"/>
  <c r="M18"/>
  <c r="K16"/>
  <c r="K14"/>
  <c r="M17"/>
  <c r="M15"/>
  <c r="K15"/>
  <c r="M16"/>
  <c r="K17"/>
  <c r="M14"/>
  <c r="O35" i="45"/>
  <c r="O33"/>
  <c r="M34"/>
  <c r="O6"/>
  <c r="M6"/>
  <c r="O34"/>
  <c r="M33"/>
  <c r="M35"/>
  <c r="O21"/>
  <c r="O12"/>
  <c r="O32"/>
  <c r="M13" i="62"/>
  <c r="O5" i="45"/>
  <c r="O11"/>
  <c r="M11"/>
  <c r="M32"/>
  <c r="M21"/>
  <c r="M5"/>
  <c r="M12"/>
  <c r="M12" i="62"/>
  <c r="M11"/>
  <c r="M10"/>
  <c r="K12"/>
  <c r="K11"/>
  <c r="K10"/>
  <c r="K13"/>
  <c r="CB39" i="48"/>
  <c r="A6" i="12" l="1"/>
  <c r="A7"/>
  <c r="A8"/>
  <c r="A9"/>
  <c r="A10"/>
  <c r="A11"/>
  <c r="A12"/>
  <c r="A13"/>
  <c r="A14"/>
  <c r="A17"/>
  <c r="A18"/>
  <c r="A20"/>
  <c r="A21"/>
  <c r="A22"/>
  <c r="A23"/>
  <c r="A24"/>
  <c r="A25"/>
  <c r="A33"/>
  <c r="A35"/>
  <c r="A4"/>
  <c r="A36"/>
  <c r="A37"/>
  <c r="A83"/>
  <c r="A84"/>
  <c r="A64"/>
  <c r="A65"/>
  <c r="A27"/>
  <c r="A56"/>
  <c r="A74"/>
  <c r="A59"/>
  <c r="A55"/>
  <c r="A81"/>
  <c r="A67"/>
  <c r="A63"/>
  <c r="A70"/>
  <c r="A62"/>
  <c r="A71"/>
  <c r="A78"/>
  <c r="A54"/>
  <c r="A82"/>
  <c r="A5"/>
  <c r="B2920" i="34" l="1"/>
  <c r="B2916"/>
  <c r="B2563"/>
  <c r="B2915"/>
  <c r="B2919"/>
  <c r="B1410"/>
  <c r="B1412"/>
  <c r="B1414"/>
  <c r="B1416"/>
  <c r="B1418"/>
  <c r="B1421"/>
  <c r="B2923"/>
  <c r="B2525"/>
  <c r="B2922"/>
  <c r="B2918"/>
  <c r="B2495"/>
  <c r="B2921"/>
  <c r="B2917"/>
  <c r="B1411"/>
  <c r="B1413"/>
  <c r="B1415"/>
  <c r="B1417"/>
  <c r="B1419"/>
  <c r="B1420"/>
  <c r="B2452"/>
  <c r="B2487"/>
  <c r="G59" i="55" a="1"/>
  <c r="G59" s="1"/>
  <c r="G61" a="1"/>
  <c r="G61" s="1"/>
  <c r="G62" a="1"/>
  <c r="G62" s="1"/>
  <c r="G63" a="1"/>
  <c r="G63" s="1"/>
  <c r="G74" a="1"/>
  <c r="G74" s="1"/>
  <c r="G75" a="1"/>
  <c r="G75" s="1"/>
  <c r="V42" i="60"/>
  <c r="V43"/>
  <c r="B34" i="55"/>
  <c r="A34" s="1"/>
  <c r="B35"/>
  <c r="A35" s="1"/>
  <c r="B36"/>
  <c r="A36" s="1"/>
  <c r="B55"/>
  <c r="A55" s="1"/>
  <c r="B12"/>
  <c r="A12" s="1"/>
  <c r="G21" a="1"/>
  <c r="G21" s="1"/>
  <c r="I21" a="1"/>
  <c r="I21" s="1"/>
  <c r="G24" a="1"/>
  <c r="G24" s="1"/>
  <c r="I24" a="1"/>
  <c r="I24" s="1"/>
  <c r="G25" a="1"/>
  <c r="G25" s="1"/>
  <c r="I25" a="1"/>
  <c r="I25" s="1"/>
  <c r="G26" a="1"/>
  <c r="G26" s="1"/>
  <c r="I26" a="1"/>
  <c r="I26" s="1"/>
  <c r="V63" i="60"/>
  <c r="V59"/>
  <c r="V56"/>
  <c r="V55"/>
  <c r="V54"/>
  <c r="V53"/>
  <c r="V52"/>
  <c r="V51"/>
  <c r="V50"/>
  <c r="V49"/>
  <c r="V44"/>
  <c r="V41"/>
  <c r="L6" s="1"/>
  <c r="L18" s="1"/>
  <c r="V18"/>
  <c r="V17"/>
  <c r="V16"/>
  <c r="V24" s="1"/>
  <c r="D70"/>
  <c r="G70" s="1"/>
  <c r="D69"/>
  <c r="A69"/>
  <c r="A70" s="1"/>
  <c r="A71" s="1"/>
  <c r="A72" s="1"/>
  <c r="D50"/>
  <c r="G50" s="1"/>
  <c r="D49"/>
  <c r="G49" s="1"/>
  <c r="A49"/>
  <c r="A50" s="1"/>
  <c r="D6"/>
  <c r="V45" l="1"/>
  <c r="R1420" i="34"/>
  <c r="Q1420"/>
  <c r="S1420"/>
  <c r="R1413"/>
  <c r="Q1413"/>
  <c r="S1413"/>
  <c r="S2495"/>
  <c r="Q2495"/>
  <c r="R2495"/>
  <c r="Q2923"/>
  <c r="R2923"/>
  <c r="S2923"/>
  <c r="R1414"/>
  <c r="Q1414"/>
  <c r="S1414"/>
  <c r="Q2915"/>
  <c r="R2915"/>
  <c r="S2915"/>
  <c r="R1419"/>
  <c r="Q1419"/>
  <c r="S1419"/>
  <c r="R1411"/>
  <c r="Q1411"/>
  <c r="S1411"/>
  <c r="S2918"/>
  <c r="Q2918"/>
  <c r="R2918"/>
  <c r="R1421"/>
  <c r="Q1421"/>
  <c r="S1421"/>
  <c r="R1412"/>
  <c r="Q1412"/>
  <c r="S1412"/>
  <c r="S2563"/>
  <c r="Q2563"/>
  <c r="R2563"/>
  <c r="S2487"/>
  <c r="Q2487"/>
  <c r="R2487"/>
  <c r="R1417"/>
  <c r="Q1417"/>
  <c r="S1417"/>
  <c r="Q2917"/>
  <c r="R2917"/>
  <c r="S2917"/>
  <c r="S2922"/>
  <c r="Q2922"/>
  <c r="R2922"/>
  <c r="R1418"/>
  <c r="Q1418"/>
  <c r="S1418"/>
  <c r="R1410"/>
  <c r="Q1410"/>
  <c r="S1410"/>
  <c r="S2916"/>
  <c r="Q2916"/>
  <c r="R2916"/>
  <c r="Q2452"/>
  <c r="R2452"/>
  <c r="S2452"/>
  <c r="R1415"/>
  <c r="Q1415"/>
  <c r="S1415"/>
  <c r="Q2921"/>
  <c r="R2921"/>
  <c r="S2921"/>
  <c r="S2525"/>
  <c r="Q2525"/>
  <c r="R2525"/>
  <c r="R1416"/>
  <c r="Q1416"/>
  <c r="S1416"/>
  <c r="Q2919"/>
  <c r="R2919"/>
  <c r="S2919"/>
  <c r="S2920"/>
  <c r="Q2920"/>
  <c r="R2920"/>
  <c r="V64" i="60"/>
  <c r="B1398" i="34"/>
  <c r="B1394"/>
  <c r="B1390"/>
  <c r="B1401"/>
  <c r="B1397"/>
  <c r="B1393"/>
  <c r="B1389"/>
  <c r="B1400"/>
  <c r="B1007"/>
  <c r="B1396"/>
  <c r="B1392"/>
  <c r="B1403"/>
  <c r="B1388"/>
  <c r="B1395"/>
  <c r="B1391"/>
  <c r="B1402"/>
  <c r="A2920"/>
  <c r="A2563"/>
  <c r="A2487"/>
  <c r="A2918"/>
  <c r="A2495"/>
  <c r="A2915"/>
  <c r="A2916"/>
  <c r="A2921"/>
  <c r="A2917"/>
  <c r="A2452"/>
  <c r="A2922"/>
  <c r="A2923"/>
  <c r="A2919"/>
  <c r="A2525"/>
  <c r="A1419"/>
  <c r="A1415"/>
  <c r="A1418"/>
  <c r="A1414"/>
  <c r="A1410"/>
  <c r="A1421"/>
  <c r="A1420"/>
  <c r="A1417"/>
  <c r="A1411"/>
  <c r="A1416"/>
  <c r="A1412"/>
  <c r="A1413"/>
  <c r="V58" i="60"/>
  <c r="I18"/>
  <c r="K26" i="55"/>
  <c r="K25"/>
  <c r="K24"/>
  <c r="K21"/>
  <c r="N7" i="60" l="1"/>
  <c r="P7" s="1"/>
  <c r="I15"/>
  <c r="N15" s="1"/>
  <c r="P15" s="1"/>
  <c r="I14"/>
  <c r="N14" s="1"/>
  <c r="P14" s="1"/>
  <c r="I13"/>
  <c r="N13" s="1"/>
  <c r="P13" s="1"/>
  <c r="I11"/>
  <c r="N11" s="1"/>
  <c r="P11" s="1"/>
  <c r="I9"/>
  <c r="N9" s="1"/>
  <c r="P9" s="1"/>
  <c r="I12"/>
  <c r="N12" s="1"/>
  <c r="P12" s="1"/>
  <c r="I10"/>
  <c r="N10" s="1"/>
  <c r="P10" s="1"/>
  <c r="R1402" i="34"/>
  <c r="Q1402"/>
  <c r="S1402"/>
  <c r="R1403"/>
  <c r="Q1403"/>
  <c r="S1403"/>
  <c r="R1400"/>
  <c r="Q1400"/>
  <c r="S1400"/>
  <c r="R1401"/>
  <c r="Q1401"/>
  <c r="S1401"/>
  <c r="R1391"/>
  <c r="Q1391"/>
  <c r="S1391"/>
  <c r="R1392"/>
  <c r="Q1392"/>
  <c r="S1392"/>
  <c r="R1389"/>
  <c r="Q1389"/>
  <c r="S1389"/>
  <c r="R1390"/>
  <c r="Q1390"/>
  <c r="S1390"/>
  <c r="R1395"/>
  <c r="Q1395"/>
  <c r="S1395"/>
  <c r="R1396"/>
  <c r="Q1396"/>
  <c r="S1396"/>
  <c r="R1393"/>
  <c r="Q1393"/>
  <c r="S1393"/>
  <c r="R1394"/>
  <c r="Q1394"/>
  <c r="S1394"/>
  <c r="R1388"/>
  <c r="Q1388"/>
  <c r="S1388"/>
  <c r="R1007"/>
  <c r="S1007"/>
  <c r="Q1007"/>
  <c r="R1397"/>
  <c r="Q1397"/>
  <c r="S1397"/>
  <c r="R1398"/>
  <c r="Q1398"/>
  <c r="S1398"/>
  <c r="A1400"/>
  <c r="A1401"/>
  <c r="A1394"/>
  <c r="A1395"/>
  <c r="A1403"/>
  <c r="A1396"/>
  <c r="A1393"/>
  <c r="A1402"/>
  <c r="A1392"/>
  <c r="A1007"/>
  <c r="A1389"/>
  <c r="A1397"/>
  <c r="A1390"/>
  <c r="A1398"/>
  <c r="A1391"/>
  <c r="A1388"/>
  <c r="M21"/>
  <c r="M19"/>
  <c r="M20"/>
  <c r="M17"/>
  <c r="M18"/>
  <c r="M10" l="1"/>
  <c r="C15"/>
  <c r="AD15" s="1"/>
  <c r="C16"/>
  <c r="AD16" s="1"/>
  <c r="C22"/>
  <c r="AD22" s="1"/>
  <c r="C17"/>
  <c r="AD17" s="1"/>
  <c r="C18"/>
  <c r="AD18" s="1"/>
  <c r="C19"/>
  <c r="AD19" s="1"/>
  <c r="C20"/>
  <c r="AD20" s="1"/>
  <c r="C21"/>
  <c r="AD21" s="1"/>
  <c r="C10"/>
  <c r="AD10" s="1"/>
  <c r="B19" l="1"/>
  <c r="B20"/>
  <c r="B22"/>
  <c r="B18"/>
  <c r="B21"/>
  <c r="B17"/>
  <c r="G7" i="57"/>
  <c r="D97" i="12"/>
  <c r="A18" i="34" l="1"/>
  <c r="R18"/>
  <c r="S18"/>
  <c r="Q18"/>
  <c r="R22"/>
  <c r="S22"/>
  <c r="Q22"/>
  <c r="R20"/>
  <c r="S20"/>
  <c r="Q20"/>
  <c r="Q17"/>
  <c r="R17"/>
  <c r="S17"/>
  <c r="Q21"/>
  <c r="R21"/>
  <c r="S21"/>
  <c r="Q19"/>
  <c r="R19"/>
  <c r="S19"/>
  <c r="A21"/>
  <c r="A20"/>
  <c r="A17"/>
  <c r="A19"/>
  <c r="I126" i="42"/>
  <c r="G129" i="43"/>
  <c r="T9" l="1"/>
  <c r="T8"/>
  <c r="I23" i="45" l="1" a="1"/>
  <c r="I23" s="1"/>
  <c r="K23" a="1"/>
  <c r="K23" s="1"/>
  <c r="I31" a="1"/>
  <c r="I31" s="1"/>
  <c r="K31" a="1"/>
  <c r="K31" s="1"/>
  <c r="I24" a="1"/>
  <c r="I24" s="1"/>
  <c r="K24" a="1"/>
  <c r="K24" s="1"/>
  <c r="I25" a="1"/>
  <c r="I25" s="1"/>
  <c r="K25" a="1"/>
  <c r="K25" s="1"/>
  <c r="O24" l="1"/>
  <c r="O23"/>
  <c r="O25"/>
  <c r="O31"/>
  <c r="M25"/>
  <c r="M24"/>
  <c r="M31"/>
  <c r="M23"/>
  <c r="I19" a="1"/>
  <c r="I19" s="1"/>
  <c r="K19" a="1"/>
  <c r="K19" s="1"/>
  <c r="M19" l="1"/>
  <c r="O19"/>
  <c r="E16" i="61" l="1"/>
  <c r="B11"/>
  <c r="D5"/>
  <c r="W297" i="60"/>
  <c r="V295"/>
  <c r="V294"/>
  <c r="V292"/>
  <c r="V291"/>
  <c r="V290"/>
  <c r="D258"/>
  <c r="D263" s="1"/>
  <c r="O238"/>
  <c r="A237"/>
  <c r="M238"/>
  <c r="D233"/>
  <c r="D238" s="1"/>
  <c r="A233"/>
  <c r="A234" s="1"/>
  <c r="A235" s="1"/>
  <c r="V222"/>
  <c r="V221"/>
  <c r="V220"/>
  <c r="W219"/>
  <c r="V217"/>
  <c r="V216"/>
  <c r="V215"/>
  <c r="V214"/>
  <c r="O213"/>
  <c r="E213"/>
  <c r="V213"/>
  <c r="V212"/>
  <c r="G211"/>
  <c r="V211"/>
  <c r="V210"/>
  <c r="G210"/>
  <c r="V206"/>
  <c r="G206"/>
  <c r="V205"/>
  <c r="M213"/>
  <c r="D205"/>
  <c r="V198"/>
  <c r="V197"/>
  <c r="L187" s="1"/>
  <c r="V196"/>
  <c r="V194"/>
  <c r="V193"/>
  <c r="V192"/>
  <c r="W191"/>
  <c r="O189"/>
  <c r="E189"/>
  <c r="C188"/>
  <c r="A188"/>
  <c r="V189"/>
  <c r="A182"/>
  <c r="A183" s="1"/>
  <c r="A184" s="1"/>
  <c r="A185" s="1"/>
  <c r="A186" s="1"/>
  <c r="A187" s="1"/>
  <c r="V173"/>
  <c r="V172"/>
  <c r="V171"/>
  <c r="V170"/>
  <c r="V169"/>
  <c r="W168"/>
  <c r="V166"/>
  <c r="V165"/>
  <c r="V164"/>
  <c r="V163"/>
  <c r="O168"/>
  <c r="V162"/>
  <c r="D167"/>
  <c r="G167" s="1"/>
  <c r="A167"/>
  <c r="V161"/>
  <c r="D161"/>
  <c r="G161" s="1"/>
  <c r="V160"/>
  <c r="D160"/>
  <c r="G160" s="1"/>
  <c r="V159"/>
  <c r="D159"/>
  <c r="A159"/>
  <c r="A160" s="1"/>
  <c r="A161" s="1"/>
  <c r="A162" s="1"/>
  <c r="A163" s="1"/>
  <c r="A164" s="1"/>
  <c r="A165" s="1"/>
  <c r="A166" s="1"/>
  <c r="V150"/>
  <c r="V149"/>
  <c r="V146"/>
  <c r="V145"/>
  <c r="V144"/>
  <c r="V143"/>
  <c r="V142"/>
  <c r="W141"/>
  <c r="O146"/>
  <c r="A145"/>
  <c r="V131"/>
  <c r="V130"/>
  <c r="D130"/>
  <c r="A130"/>
  <c r="A131" s="1"/>
  <c r="V119"/>
  <c r="V118"/>
  <c r="V117"/>
  <c r="V116"/>
  <c r="W115"/>
  <c r="A112"/>
  <c r="D107"/>
  <c r="G107" s="1"/>
  <c r="V106"/>
  <c r="D106"/>
  <c r="A106"/>
  <c r="A107" s="1"/>
  <c r="A108" s="1"/>
  <c r="A109" s="1"/>
  <c r="A110" s="1"/>
  <c r="V100"/>
  <c r="V99"/>
  <c r="V98"/>
  <c r="W97"/>
  <c r="O93"/>
  <c r="V90"/>
  <c r="V89"/>
  <c r="M93"/>
  <c r="A89"/>
  <c r="A90" s="1"/>
  <c r="V83"/>
  <c r="V82"/>
  <c r="L72" s="1"/>
  <c r="V81"/>
  <c r="L71" s="1"/>
  <c r="V80"/>
  <c r="V79"/>
  <c r="W78"/>
  <c r="V76"/>
  <c r="V75"/>
  <c r="V74"/>
  <c r="V73"/>
  <c r="O74"/>
  <c r="M74"/>
  <c r="E74"/>
  <c r="V72"/>
  <c r="A73"/>
  <c r="V71"/>
  <c r="V70"/>
  <c r="V69"/>
  <c r="W58"/>
  <c r="O52"/>
  <c r="M52"/>
  <c r="G52"/>
  <c r="E52"/>
  <c r="D52"/>
  <c r="A51"/>
  <c r="W24"/>
  <c r="O18"/>
  <c r="M18"/>
  <c r="P17"/>
  <c r="A17"/>
  <c r="A31" i="58"/>
  <c r="I13"/>
  <c r="C8"/>
  <c r="L13" i="57"/>
  <c r="K13"/>
  <c r="I7"/>
  <c r="A27" i="56"/>
  <c r="A12"/>
  <c r="D7"/>
  <c r="C7"/>
  <c r="D5"/>
  <c r="F114" i="55"/>
  <c r="F115" s="1"/>
  <c r="I76" a="1"/>
  <c r="I76" s="1"/>
  <c r="G76" a="1"/>
  <c r="G76" s="1"/>
  <c r="I75" a="1"/>
  <c r="I75" s="1"/>
  <c r="I74" a="1"/>
  <c r="I74" s="1"/>
  <c r="B74"/>
  <c r="F73"/>
  <c r="I63" a="1"/>
  <c r="I63" s="1"/>
  <c r="I62" a="1"/>
  <c r="I62" s="1"/>
  <c r="I61" a="1"/>
  <c r="I61" s="1"/>
  <c r="I59" a="1"/>
  <c r="I59" s="1"/>
  <c r="I58" a="1"/>
  <c r="I58" s="1"/>
  <c r="G58" a="1"/>
  <c r="G58" s="1"/>
  <c r="G72" s="1"/>
  <c r="B58"/>
  <c r="A58" s="1"/>
  <c r="I52" a="1"/>
  <c r="I52" s="1"/>
  <c r="G52" a="1"/>
  <c r="G52"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A27" i="52"/>
  <c r="N16"/>
  <c r="M16"/>
  <c r="L16"/>
  <c r="K16"/>
  <c r="J9"/>
  <c r="A8"/>
  <c r="K30" i="45" a="1"/>
  <c r="K30" s="1"/>
  <c r="I30" a="1"/>
  <c r="I30" s="1"/>
  <c r="K29" a="1"/>
  <c r="K29" s="1"/>
  <c r="I29" a="1"/>
  <c r="I29" s="1"/>
  <c r="K28" a="1"/>
  <c r="K28" s="1"/>
  <c r="I28" a="1"/>
  <c r="I28" s="1"/>
  <c r="K27" a="1"/>
  <c r="K27" s="1"/>
  <c r="I27" a="1"/>
  <c r="I27" s="1"/>
  <c r="K26" a="1"/>
  <c r="K26" s="1"/>
  <c r="I26" a="1"/>
  <c r="I26" s="1"/>
  <c r="K22" a="1"/>
  <c r="K22" s="1"/>
  <c r="I22" a="1"/>
  <c r="I22"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0" a="1"/>
  <c r="K10" s="1"/>
  <c r="I10" a="1"/>
  <c r="I10" s="1"/>
  <c r="K9" a="1"/>
  <c r="K9" s="1"/>
  <c r="I9" a="1"/>
  <c r="I9" s="1"/>
  <c r="K8" a="1"/>
  <c r="K8" s="1"/>
  <c r="I8" a="1"/>
  <c r="I8" s="1"/>
  <c r="K7" a="1"/>
  <c r="K7" s="1"/>
  <c r="I7" a="1"/>
  <c r="I7" s="1"/>
  <c r="I9" i="62"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27" i="34"/>
  <c r="AA27" s="1"/>
  <c r="E26"/>
  <c r="AA26" s="1"/>
  <c r="E25"/>
  <c r="AA25" s="1"/>
  <c r="B16"/>
  <c r="B15"/>
  <c r="B14"/>
  <c r="B13"/>
  <c r="B11"/>
  <c r="AC10"/>
  <c r="AA10"/>
  <c r="Y10"/>
  <c r="W10"/>
  <c r="P10"/>
  <c r="B10"/>
  <c r="A10" s="1"/>
  <c r="X7"/>
  <c r="X337" s="1"/>
  <c r="D75" i="15"/>
  <c r="C12" i="61"/>
  <c r="H12"/>
  <c r="X320" i="34" l="1"/>
  <c r="X321"/>
  <c r="X348"/>
  <c r="X347"/>
  <c r="X346"/>
  <c r="X345"/>
  <c r="X344"/>
  <c r="X343"/>
  <c r="X342"/>
  <c r="X341"/>
  <c r="X340"/>
  <c r="X339"/>
  <c r="X338"/>
  <c r="X391"/>
  <c r="X390"/>
  <c r="X389"/>
  <c r="X388"/>
  <c r="X387"/>
  <c r="X386"/>
  <c r="X385"/>
  <c r="X384"/>
  <c r="X383"/>
  <c r="X382"/>
  <c r="X381"/>
  <c r="X380"/>
  <c r="X379"/>
  <c r="X378"/>
  <c r="X377"/>
  <c r="X376"/>
  <c r="X375"/>
  <c r="X374"/>
  <c r="X373"/>
  <c r="X372"/>
  <c r="X371"/>
  <c r="X370"/>
  <c r="X369"/>
  <c r="X368"/>
  <c r="X367"/>
  <c r="X366"/>
  <c r="X365"/>
  <c r="X356"/>
  <c r="X355"/>
  <c r="X354"/>
  <c r="X353"/>
  <c r="X352"/>
  <c r="X351"/>
  <c r="X350"/>
  <c r="X349"/>
  <c r="X483"/>
  <c r="X447"/>
  <c r="X12"/>
  <c r="X335"/>
  <c r="X336"/>
  <c r="X334"/>
  <c r="X253"/>
  <c r="X626"/>
  <c r="X627"/>
  <c r="X629"/>
  <c r="X628"/>
  <c r="X625"/>
  <c r="X482"/>
  <c r="X620"/>
  <c r="X619"/>
  <c r="X603"/>
  <c r="X605"/>
  <c r="X597"/>
  <c r="X599"/>
  <c r="X601"/>
  <c r="X602"/>
  <c r="X612"/>
  <c r="X613"/>
  <c r="X614"/>
  <c r="X622"/>
  <c r="X623"/>
  <c r="X624"/>
  <c r="X631"/>
  <c r="X632"/>
  <c r="X633"/>
  <c r="X634"/>
  <c r="X639"/>
  <c r="X640"/>
  <c r="X641"/>
  <c r="X642"/>
  <c r="X647"/>
  <c r="X648"/>
  <c r="X649"/>
  <c r="X650"/>
  <c r="X655"/>
  <c r="X656"/>
  <c r="X657"/>
  <c r="X658"/>
  <c r="X621"/>
  <c r="X618"/>
  <c r="X615"/>
  <c r="X604"/>
  <c r="X598"/>
  <c r="X600"/>
  <c r="X606"/>
  <c r="X607"/>
  <c r="X608"/>
  <c r="X609"/>
  <c r="X610"/>
  <c r="X611"/>
  <c r="X616"/>
  <c r="X617"/>
  <c r="X630"/>
  <c r="X635"/>
  <c r="X636"/>
  <c r="X637"/>
  <c r="X638"/>
  <c r="X643"/>
  <c r="X644"/>
  <c r="X645"/>
  <c r="X646"/>
  <c r="X651"/>
  <c r="X652"/>
  <c r="X653"/>
  <c r="X654"/>
  <c r="X659"/>
  <c r="X660"/>
  <c r="X661"/>
  <c r="X662"/>
  <c r="X663"/>
  <c r="R16"/>
  <c r="S16"/>
  <c r="Q16"/>
  <c r="X13"/>
  <c r="X15"/>
  <c r="X17"/>
  <c r="X19"/>
  <c r="X21"/>
  <c r="X23"/>
  <c r="X25"/>
  <c r="X27"/>
  <c r="X29"/>
  <c r="X31"/>
  <c r="X33"/>
  <c r="X35"/>
  <c r="X37"/>
  <c r="X39"/>
  <c r="X41"/>
  <c r="X43"/>
  <c r="X45"/>
  <c r="X47"/>
  <c r="X49"/>
  <c r="X51"/>
  <c r="X53"/>
  <c r="X55"/>
  <c r="X57"/>
  <c r="X59"/>
  <c r="X61"/>
  <c r="X63"/>
  <c r="X65"/>
  <c r="X67"/>
  <c r="X69"/>
  <c r="X71"/>
  <c r="X14"/>
  <c r="X16"/>
  <c r="X18"/>
  <c r="X20"/>
  <c r="X22"/>
  <c r="X24"/>
  <c r="X26"/>
  <c r="X28"/>
  <c r="X30"/>
  <c r="X32"/>
  <c r="X34"/>
  <c r="X36"/>
  <c r="X38"/>
  <c r="X40"/>
  <c r="X42"/>
  <c r="X44"/>
  <c r="X46"/>
  <c r="X48"/>
  <c r="X50"/>
  <c r="X52"/>
  <c r="X54"/>
  <c r="X56"/>
  <c r="X58"/>
  <c r="X60"/>
  <c r="X62"/>
  <c r="X64"/>
  <c r="X66"/>
  <c r="X68"/>
  <c r="X70"/>
  <c r="X72"/>
  <c r="X74"/>
  <c r="X76"/>
  <c r="X73"/>
  <c r="X78"/>
  <c r="X80"/>
  <c r="X82"/>
  <c r="X84"/>
  <c r="X86"/>
  <c r="X88"/>
  <c r="X90"/>
  <c r="X92"/>
  <c r="X94"/>
  <c r="X96"/>
  <c r="X98"/>
  <c r="X100"/>
  <c r="X102"/>
  <c r="X104"/>
  <c r="X106"/>
  <c r="X108"/>
  <c r="X110"/>
  <c r="X112"/>
  <c r="X114"/>
  <c r="X116"/>
  <c r="X118"/>
  <c r="X120"/>
  <c r="X122"/>
  <c r="X124"/>
  <c r="X126"/>
  <c r="X128"/>
  <c r="X75"/>
  <c r="X77"/>
  <c r="X79"/>
  <c r="X81"/>
  <c r="X83"/>
  <c r="X85"/>
  <c r="X87"/>
  <c r="X89"/>
  <c r="X91"/>
  <c r="X93"/>
  <c r="X95"/>
  <c r="X97"/>
  <c r="X99"/>
  <c r="X101"/>
  <c r="X103"/>
  <c r="X105"/>
  <c r="X107"/>
  <c r="X109"/>
  <c r="X111"/>
  <c r="X113"/>
  <c r="X115"/>
  <c r="X117"/>
  <c r="X119"/>
  <c r="X121"/>
  <c r="X123"/>
  <c r="X125"/>
  <c r="X127"/>
  <c r="X130"/>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5"/>
  <c r="X226"/>
  <c r="X228"/>
  <c r="X230"/>
  <c r="X232"/>
  <c r="X234"/>
  <c r="X236"/>
  <c r="X238"/>
  <c r="X240"/>
  <c r="X242"/>
  <c r="X244"/>
  <c r="X246"/>
  <c r="X248"/>
  <c r="X250"/>
  <c r="X252"/>
  <c r="X255"/>
  <c r="X256"/>
  <c r="X258"/>
  <c r="X260"/>
  <c r="X262"/>
  <c r="X264"/>
  <c r="X266"/>
  <c r="X268"/>
  <c r="X270"/>
  <c r="X272"/>
  <c r="X274"/>
  <c r="X276"/>
  <c r="X278"/>
  <c r="X223"/>
  <c r="X227"/>
  <c r="X229"/>
  <c r="X231"/>
  <c r="X233"/>
  <c r="X235"/>
  <c r="X237"/>
  <c r="X239"/>
  <c r="X241"/>
  <c r="X243"/>
  <c r="X245"/>
  <c r="X247"/>
  <c r="X249"/>
  <c r="X251"/>
  <c r="X254"/>
  <c r="X257"/>
  <c r="X259"/>
  <c r="X261"/>
  <c r="X263"/>
  <c r="X265"/>
  <c r="X267"/>
  <c r="X269"/>
  <c r="X271"/>
  <c r="X273"/>
  <c r="X275"/>
  <c r="X277"/>
  <c r="X279"/>
  <c r="X280"/>
  <c r="X282"/>
  <c r="X284"/>
  <c r="X286"/>
  <c r="X288"/>
  <c r="X290"/>
  <c r="X292"/>
  <c r="X294"/>
  <c r="X296"/>
  <c r="X298"/>
  <c r="X300"/>
  <c r="X302"/>
  <c r="X304"/>
  <c r="X306"/>
  <c r="X308"/>
  <c r="X310"/>
  <c r="X312"/>
  <c r="X314"/>
  <c r="X316"/>
  <c r="X318"/>
  <c r="X322"/>
  <c r="X324"/>
  <c r="X326"/>
  <c r="X328"/>
  <c r="X330"/>
  <c r="X332"/>
  <c r="X358"/>
  <c r="X360"/>
  <c r="X362"/>
  <c r="X364"/>
  <c r="X393"/>
  <c r="X395"/>
  <c r="X397"/>
  <c r="X399"/>
  <c r="X401"/>
  <c r="X403"/>
  <c r="X405"/>
  <c r="X407"/>
  <c r="X409"/>
  <c r="X411"/>
  <c r="X413"/>
  <c r="X415"/>
  <c r="X417"/>
  <c r="X419"/>
  <c r="X421"/>
  <c r="X423"/>
  <c r="X425"/>
  <c r="X427"/>
  <c r="X429"/>
  <c r="X431"/>
  <c r="X433"/>
  <c r="X435"/>
  <c r="X437"/>
  <c r="X439"/>
  <c r="X281"/>
  <c r="X283"/>
  <c r="X285"/>
  <c r="X287"/>
  <c r="X289"/>
  <c r="X291"/>
  <c r="X293"/>
  <c r="X295"/>
  <c r="X297"/>
  <c r="X299"/>
  <c r="X301"/>
  <c r="X303"/>
  <c r="X305"/>
  <c r="X307"/>
  <c r="X309"/>
  <c r="X311"/>
  <c r="X313"/>
  <c r="X315"/>
  <c r="X317"/>
  <c r="X319"/>
  <c r="X323"/>
  <c r="X325"/>
  <c r="X327"/>
  <c r="X329"/>
  <c r="X331"/>
  <c r="X333"/>
  <c r="X357"/>
  <c r="X359"/>
  <c r="X361"/>
  <c r="X363"/>
  <c r="X392"/>
  <c r="X394"/>
  <c r="X396"/>
  <c r="X398"/>
  <c r="X400"/>
  <c r="X402"/>
  <c r="X404"/>
  <c r="X406"/>
  <c r="X408"/>
  <c r="X410"/>
  <c r="X412"/>
  <c r="X414"/>
  <c r="X416"/>
  <c r="X418"/>
  <c r="X420"/>
  <c r="X422"/>
  <c r="X424"/>
  <c r="X426"/>
  <c r="X428"/>
  <c r="X430"/>
  <c r="X432"/>
  <c r="X434"/>
  <c r="X436"/>
  <c r="X438"/>
  <c r="X440"/>
  <c r="X442"/>
  <c r="X444"/>
  <c r="X445"/>
  <c r="X448"/>
  <c r="X446"/>
  <c r="X450"/>
  <c r="X452"/>
  <c r="X454"/>
  <c r="X456"/>
  <c r="X458"/>
  <c r="X460"/>
  <c r="X462"/>
  <c r="X464"/>
  <c r="X466"/>
  <c r="X468"/>
  <c r="X470"/>
  <c r="X472"/>
  <c r="X474"/>
  <c r="X476"/>
  <c r="X478"/>
  <c r="X480"/>
  <c r="X484"/>
  <c r="X486"/>
  <c r="X488"/>
  <c r="X490"/>
  <c r="X492"/>
  <c r="X494"/>
  <c r="X496"/>
  <c r="X498"/>
  <c r="X500"/>
  <c r="X502"/>
  <c r="X504"/>
  <c r="X506"/>
  <c r="X508"/>
  <c r="X510"/>
  <c r="X512"/>
  <c r="X514"/>
  <c r="X516"/>
  <c r="X518"/>
  <c r="X520"/>
  <c r="X522"/>
  <c r="X524"/>
  <c r="X526"/>
  <c r="X528"/>
  <c r="X441"/>
  <c r="X443"/>
  <c r="X449"/>
  <c r="X451"/>
  <c r="X453"/>
  <c r="X455"/>
  <c r="X457"/>
  <c r="X459"/>
  <c r="X461"/>
  <c r="X463"/>
  <c r="X465"/>
  <c r="X467"/>
  <c r="X469"/>
  <c r="X471"/>
  <c r="X473"/>
  <c r="X475"/>
  <c r="X477"/>
  <c r="X479"/>
  <c r="X481"/>
  <c r="X485"/>
  <c r="X487"/>
  <c r="X489"/>
  <c r="X491"/>
  <c r="X493"/>
  <c r="X495"/>
  <c r="X497"/>
  <c r="X499"/>
  <c r="X501"/>
  <c r="X503"/>
  <c r="X505"/>
  <c r="X507"/>
  <c r="X509"/>
  <c r="X511"/>
  <c r="X513"/>
  <c r="X515"/>
  <c r="X517"/>
  <c r="X519"/>
  <c r="X521"/>
  <c r="X523"/>
  <c r="X525"/>
  <c r="X527"/>
  <c r="X529"/>
  <c r="X531"/>
  <c r="X534"/>
  <c r="X536"/>
  <c r="X538"/>
  <c r="X540"/>
  <c r="X542"/>
  <c r="X544"/>
  <c r="X546"/>
  <c r="X548"/>
  <c r="X550"/>
  <c r="X552"/>
  <c r="X554"/>
  <c r="X556"/>
  <c r="X558"/>
  <c r="X560"/>
  <c r="X562"/>
  <c r="X564"/>
  <c r="X566"/>
  <c r="X568"/>
  <c r="X570"/>
  <c r="X572"/>
  <c r="X574"/>
  <c r="X576"/>
  <c r="X578"/>
  <c r="X580"/>
  <c r="X582"/>
  <c r="X584"/>
  <c r="X586"/>
  <c r="X588"/>
  <c r="X590"/>
  <c r="X592"/>
  <c r="X594"/>
  <c r="X596"/>
  <c r="X665"/>
  <c r="X667"/>
  <c r="X669"/>
  <c r="X671"/>
  <c r="X673"/>
  <c r="X532"/>
  <c r="X530"/>
  <c r="X533"/>
  <c r="X535"/>
  <c r="X537"/>
  <c r="X539"/>
  <c r="X541"/>
  <c r="X543"/>
  <c r="X545"/>
  <c r="X547"/>
  <c r="X549"/>
  <c r="X551"/>
  <c r="X553"/>
  <c r="X555"/>
  <c r="X557"/>
  <c r="X559"/>
  <c r="X561"/>
  <c r="X563"/>
  <c r="X565"/>
  <c r="X567"/>
  <c r="X569"/>
  <c r="X571"/>
  <c r="X573"/>
  <c r="X575"/>
  <c r="X577"/>
  <c r="X579"/>
  <c r="X581"/>
  <c r="X583"/>
  <c r="X585"/>
  <c r="X587"/>
  <c r="X589"/>
  <c r="X591"/>
  <c r="X593"/>
  <c r="X595"/>
  <c r="X664"/>
  <c r="X666"/>
  <c r="X668"/>
  <c r="X670"/>
  <c r="X672"/>
  <c r="X674"/>
  <c r="X675"/>
  <c r="X677"/>
  <c r="X679"/>
  <c r="X681"/>
  <c r="X683"/>
  <c r="X685"/>
  <c r="X687"/>
  <c r="X689"/>
  <c r="X691"/>
  <c r="X693"/>
  <c r="X695"/>
  <c r="X697"/>
  <c r="X699"/>
  <c r="X701"/>
  <c r="X703"/>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676"/>
  <c r="X678"/>
  <c r="X680"/>
  <c r="X682"/>
  <c r="X684"/>
  <c r="X686"/>
  <c r="X688"/>
  <c r="X690"/>
  <c r="X692"/>
  <c r="X694"/>
  <c r="X696"/>
  <c r="X698"/>
  <c r="X700"/>
  <c r="X702"/>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4"/>
  <c r="X836"/>
  <c r="X838"/>
  <c r="X840"/>
  <c r="X842"/>
  <c r="X844"/>
  <c r="X846"/>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805"/>
  <c r="X807"/>
  <c r="X809"/>
  <c r="X811"/>
  <c r="X813"/>
  <c r="X815"/>
  <c r="X817"/>
  <c r="X819"/>
  <c r="X821"/>
  <c r="X823"/>
  <c r="X825"/>
  <c r="X827"/>
  <c r="X829"/>
  <c r="X831"/>
  <c r="X833"/>
  <c r="X835"/>
  <c r="X837"/>
  <c r="X839"/>
  <c r="X841"/>
  <c r="X843"/>
  <c r="X845"/>
  <c r="X847"/>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8"/>
  <c r="X1240"/>
  <c r="X1242"/>
  <c r="X1244"/>
  <c r="X1246"/>
  <c r="X1248"/>
  <c r="X1250"/>
  <c r="X1252"/>
  <c r="X1254"/>
  <c r="X1256"/>
  <c r="X1258"/>
  <c r="X1260"/>
  <c r="X1262"/>
  <c r="X1264"/>
  <c r="X1266"/>
  <c r="X1268"/>
  <c r="X1270"/>
  <c r="X1272"/>
  <c r="X1274"/>
  <c r="X1276"/>
  <c r="X1278"/>
  <c r="X1280"/>
  <c r="X1282"/>
  <c r="X1284"/>
  <c r="X1286"/>
  <c r="X1288"/>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7"/>
  <c r="X1239"/>
  <c r="X1241"/>
  <c r="X1243"/>
  <c r="X1245"/>
  <c r="X1247"/>
  <c r="X1249"/>
  <c r="X1251"/>
  <c r="X1253"/>
  <c r="X1255"/>
  <c r="X1257"/>
  <c r="X1259"/>
  <c r="X1261"/>
  <c r="X1263"/>
  <c r="X1265"/>
  <c r="X1267"/>
  <c r="X1269"/>
  <c r="X1271"/>
  <c r="X1273"/>
  <c r="X1275"/>
  <c r="X1277"/>
  <c r="X1279"/>
  <c r="X1281"/>
  <c r="X1283"/>
  <c r="X1285"/>
  <c r="X1287"/>
  <c r="X1289"/>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9"/>
  <c r="X1433"/>
  <c r="X1437"/>
  <c r="X1441"/>
  <c r="X1443"/>
  <c r="X1445"/>
  <c r="X1447"/>
  <c r="X1449"/>
  <c r="X1451"/>
  <c r="X1453"/>
  <c r="X1455"/>
  <c r="X1457"/>
  <c r="X1459"/>
  <c r="X1461"/>
  <c r="X1463"/>
  <c r="X1465"/>
  <c r="X1467"/>
  <c r="X1469"/>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5"/>
  <c r="X1637"/>
  <c r="X1639"/>
  <c r="X1641"/>
  <c r="X1643"/>
  <c r="X1645"/>
  <c r="X1647"/>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427"/>
  <c r="X1431"/>
  <c r="X1435"/>
  <c r="X1439"/>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4"/>
  <c r="X1636"/>
  <c r="X1638"/>
  <c r="X1640"/>
  <c r="X1642"/>
  <c r="X1644"/>
  <c r="X1646"/>
  <c r="X1648"/>
  <c r="X1650"/>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74"/>
  <c r="X2076"/>
  <c r="X2078"/>
  <c r="X2080"/>
  <c r="X2082"/>
  <c r="X2084"/>
  <c r="X2086"/>
  <c r="X2088"/>
  <c r="X2090"/>
  <c r="X2092"/>
  <c r="X2094"/>
  <c r="X2096"/>
  <c r="X2098"/>
  <c r="X2100"/>
  <c r="X1794"/>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9"/>
  <c r="X2093"/>
  <c r="X2097"/>
  <c r="X2101"/>
  <c r="X2103"/>
  <c r="X2105"/>
  <c r="X2107"/>
  <c r="X2109"/>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087"/>
  <c r="X2091"/>
  <c r="X2095"/>
  <c r="X2099"/>
  <c r="X2102"/>
  <c r="X2104"/>
  <c r="X2106"/>
  <c r="X2108"/>
  <c r="X2110"/>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53"/>
  <c r="X2755"/>
  <c r="X2757"/>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0"/>
  <c r="X3434"/>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3432"/>
  <c r="X3436"/>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5"/>
  <c r="X3967"/>
  <c r="X3969"/>
  <c r="X3971"/>
  <c r="X3973"/>
  <c r="X3975"/>
  <c r="X3977"/>
  <c r="X3979"/>
  <c r="X3981"/>
  <c r="X3983"/>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Q13"/>
  <c r="R13"/>
  <c r="S13"/>
  <c r="R14"/>
  <c r="S14"/>
  <c r="Q14"/>
  <c r="Q15"/>
  <c r="R15"/>
  <c r="S15"/>
  <c r="I25" i="62"/>
  <c r="G25"/>
  <c r="V84" i="60"/>
  <c r="V125"/>
  <c r="V101"/>
  <c r="V155"/>
  <c r="V199"/>
  <c r="H257"/>
  <c r="I257"/>
  <c r="V297"/>
  <c r="I284" s="1"/>
  <c r="H285"/>
  <c r="B75" i="55"/>
  <c r="A75" s="1"/>
  <c r="A74"/>
  <c r="AA11" i="34"/>
  <c r="Q11"/>
  <c r="S11"/>
  <c r="R11"/>
  <c r="X11"/>
  <c r="B2517"/>
  <c r="B2519"/>
  <c r="B2528"/>
  <c r="B983"/>
  <c r="B987"/>
  <c r="B991"/>
  <c r="B995"/>
  <c r="B998"/>
  <c r="B1000"/>
  <c r="B1002"/>
  <c r="B984"/>
  <c r="B988"/>
  <c r="B992"/>
  <c r="B996"/>
  <c r="B1005"/>
  <c r="B1008"/>
  <c r="B1404"/>
  <c r="B1406"/>
  <c r="B1408"/>
  <c r="B586"/>
  <c r="B2518"/>
  <c r="B2527"/>
  <c r="B981"/>
  <c r="B985"/>
  <c r="B989"/>
  <c r="B993"/>
  <c r="B997"/>
  <c r="B999"/>
  <c r="B1001"/>
  <c r="B1003"/>
  <c r="B982"/>
  <c r="B986"/>
  <c r="B990"/>
  <c r="B994"/>
  <c r="B1004"/>
  <c r="B1006"/>
  <c r="B1009"/>
  <c r="B1405"/>
  <c r="B1407"/>
  <c r="B1409"/>
  <c r="B585"/>
  <c r="K37" i="45"/>
  <c r="I37"/>
  <c r="M13" i="34"/>
  <c r="I72" i="55"/>
  <c r="A14" i="34"/>
  <c r="A16"/>
  <c r="A13"/>
  <c r="A15"/>
  <c r="G258" i="60"/>
  <c r="G263" s="1"/>
  <c r="D113"/>
  <c r="A22" i="34"/>
  <c r="J182" i="60"/>
  <c r="H183"/>
  <c r="J187"/>
  <c r="H185"/>
  <c r="K183"/>
  <c r="J186"/>
  <c r="H187"/>
  <c r="K185"/>
  <c r="J184"/>
  <c r="K187"/>
  <c r="H186"/>
  <c r="K184"/>
  <c r="H184"/>
  <c r="K182"/>
  <c r="H182"/>
  <c r="J183"/>
  <c r="K186"/>
  <c r="J185"/>
  <c r="D168"/>
  <c r="A132"/>
  <c r="A133" s="1"/>
  <c r="A134" s="1"/>
  <c r="A135" s="1"/>
  <c r="A136" s="1"/>
  <c r="A137" s="1"/>
  <c r="A138" s="1"/>
  <c r="A139" s="1"/>
  <c r="A140" s="1"/>
  <c r="A141" s="1"/>
  <c r="A142" s="1"/>
  <c r="A143" s="1"/>
  <c r="A144" s="1"/>
  <c r="A11" i="34"/>
  <c r="L92" i="60"/>
  <c r="L91"/>
  <c r="L90"/>
  <c r="L89"/>
  <c r="F29" i="56"/>
  <c r="A11"/>
  <c r="F30"/>
  <c r="G2"/>
  <c r="A10"/>
  <c r="F15"/>
  <c r="H30"/>
  <c r="V141" i="60"/>
  <c r="V97"/>
  <c r="V219"/>
  <c r="V191"/>
  <c r="V115"/>
  <c r="V168"/>
  <c r="L70"/>
  <c r="F13" i="57"/>
  <c r="V78" i="60"/>
  <c r="M15" i="34"/>
  <c r="M16"/>
  <c r="M14"/>
  <c r="B76" i="55"/>
  <c r="A76" s="1"/>
  <c r="B59"/>
  <c r="D74" i="60"/>
  <c r="G159"/>
  <c r="G233"/>
  <c r="H233"/>
  <c r="G106"/>
  <c r="G205"/>
  <c r="D213"/>
  <c r="D93"/>
  <c r="G130"/>
  <c r="H49"/>
  <c r="H50"/>
  <c r="K49"/>
  <c r="J49"/>
  <c r="K50"/>
  <c r="J50"/>
  <c r="I49"/>
  <c r="I50"/>
  <c r="K8"/>
  <c r="K16"/>
  <c r="I8"/>
  <c r="K6"/>
  <c r="I16"/>
  <c r="I114" i="55"/>
  <c r="S10" i="34"/>
  <c r="R10"/>
  <c r="Q10"/>
  <c r="X10"/>
  <c r="M7" i="62"/>
  <c r="K85" i="55"/>
  <c r="K17"/>
  <c r="K30"/>
  <c r="K76"/>
  <c r="K28"/>
  <c r="K42"/>
  <c r="K52"/>
  <c r="K14"/>
  <c r="K16"/>
  <c r="K19"/>
  <c r="K20"/>
  <c r="K27"/>
  <c r="K34"/>
  <c r="K35"/>
  <c r="K80"/>
  <c r="K59"/>
  <c r="K61"/>
  <c r="K77"/>
  <c r="K78"/>
  <c r="K9" i="62"/>
  <c r="I56" i="55"/>
  <c r="K13"/>
  <c r="K18"/>
  <c r="K29"/>
  <c r="K37"/>
  <c r="K62"/>
  <c r="K63"/>
  <c r="K79"/>
  <c r="K74"/>
  <c r="G114"/>
  <c r="G56"/>
  <c r="K12"/>
  <c r="K47"/>
  <c r="K58"/>
  <c r="K75"/>
  <c r="K6" i="62"/>
  <c r="M6"/>
  <c r="K7"/>
  <c r="M5"/>
  <c r="K8"/>
  <c r="M8"/>
  <c r="K5"/>
  <c r="M9"/>
  <c r="M7" i="45"/>
  <c r="M8"/>
  <c r="M9"/>
  <c r="M10"/>
  <c r="M13"/>
  <c r="M14"/>
  <c r="M15"/>
  <c r="M16"/>
  <c r="M17"/>
  <c r="M18"/>
  <c r="M20"/>
  <c r="M22"/>
  <c r="M26"/>
  <c r="M27"/>
  <c r="M29"/>
  <c r="O30"/>
  <c r="O28"/>
  <c r="M30"/>
  <c r="O7"/>
  <c r="O8"/>
  <c r="O9"/>
  <c r="O10"/>
  <c r="O13"/>
  <c r="O14"/>
  <c r="O15"/>
  <c r="O16"/>
  <c r="O17"/>
  <c r="O18"/>
  <c r="O20"/>
  <c r="O22"/>
  <c r="O26"/>
  <c r="O27"/>
  <c r="O29"/>
  <c r="M28"/>
  <c r="H13" i="61"/>
  <c r="H14" s="1"/>
  <c r="C13"/>
  <c r="C14" s="1"/>
  <c r="G12"/>
  <c r="F12"/>
  <c r="D12"/>
  <c r="E12"/>
  <c r="J18" i="55" l="1" a="1"/>
  <c r="J18" s="1"/>
  <c r="H18" a="1"/>
  <c r="H18" s="1"/>
  <c r="V585" i="34"/>
  <c r="U585"/>
  <c r="T585"/>
  <c r="V586"/>
  <c r="U586"/>
  <c r="T586"/>
  <c r="R1405"/>
  <c r="Q1405"/>
  <c r="S1405"/>
  <c r="Q994"/>
  <c r="R994"/>
  <c r="S994"/>
  <c r="R1003"/>
  <c r="S1003"/>
  <c r="Q1003"/>
  <c r="R993"/>
  <c r="S993"/>
  <c r="Q993"/>
  <c r="S2527"/>
  <c r="Q2527"/>
  <c r="R2527"/>
  <c r="R1406"/>
  <c r="Q1406"/>
  <c r="S1406"/>
  <c r="Q996"/>
  <c r="R996"/>
  <c r="S996"/>
  <c r="Q1002"/>
  <c r="R1002"/>
  <c r="S1002"/>
  <c r="R991"/>
  <c r="S991"/>
  <c r="Q991"/>
  <c r="S2519"/>
  <c r="Q2519"/>
  <c r="R2519"/>
  <c r="R585"/>
  <c r="S585"/>
  <c r="Q585"/>
  <c r="R1009"/>
  <c r="S1009"/>
  <c r="Q1009"/>
  <c r="Q990"/>
  <c r="R990"/>
  <c r="S990"/>
  <c r="R1001"/>
  <c r="S1001"/>
  <c r="Q1001"/>
  <c r="R989"/>
  <c r="S989"/>
  <c r="Q989"/>
  <c r="Q2518"/>
  <c r="R2518"/>
  <c r="S2518"/>
  <c r="R1404"/>
  <c r="Q1404"/>
  <c r="S1404"/>
  <c r="Q992"/>
  <c r="R992"/>
  <c r="S992"/>
  <c r="Q1000"/>
  <c r="R1000"/>
  <c r="S1000"/>
  <c r="R987"/>
  <c r="S987"/>
  <c r="Q987"/>
  <c r="S2517"/>
  <c r="Q2517"/>
  <c r="R2517"/>
  <c r="R1409"/>
  <c r="Q1409"/>
  <c r="S1409"/>
  <c r="Q1006"/>
  <c r="R1006"/>
  <c r="S1006"/>
  <c r="Q986"/>
  <c r="R986"/>
  <c r="S986"/>
  <c r="R999"/>
  <c r="S999"/>
  <c r="Q999"/>
  <c r="R985"/>
  <c r="S985"/>
  <c r="Q985"/>
  <c r="Q586"/>
  <c r="R586"/>
  <c r="S586"/>
  <c r="Q1008"/>
  <c r="R1008"/>
  <c r="S1008"/>
  <c r="Q988"/>
  <c r="R988"/>
  <c r="S988"/>
  <c r="Q998"/>
  <c r="R998"/>
  <c r="S998"/>
  <c r="R983"/>
  <c r="S983"/>
  <c r="Q983"/>
  <c r="R1407"/>
  <c r="Q1407"/>
  <c r="S1407"/>
  <c r="Q1004"/>
  <c r="R1004"/>
  <c r="S1004"/>
  <c r="Q982"/>
  <c r="R982"/>
  <c r="S982"/>
  <c r="R997"/>
  <c r="S997"/>
  <c r="Q997"/>
  <c r="R981"/>
  <c r="S981"/>
  <c r="Q981"/>
  <c r="R1408"/>
  <c r="Q1408"/>
  <c r="S1408"/>
  <c r="R1005"/>
  <c r="S1005"/>
  <c r="Q1005"/>
  <c r="Q984"/>
  <c r="R984"/>
  <c r="S984"/>
  <c r="R995"/>
  <c r="S995"/>
  <c r="Q995"/>
  <c r="Q2528"/>
  <c r="R2528"/>
  <c r="S2528"/>
  <c r="K25" i="62"/>
  <c r="M25"/>
  <c r="B60" i="55"/>
  <c r="A59"/>
  <c r="K295" i="60"/>
  <c r="J295"/>
  <c r="I295"/>
  <c r="H295"/>
  <c r="N284"/>
  <c r="K285"/>
  <c r="H286"/>
  <c r="H290"/>
  <c r="H296"/>
  <c r="J285"/>
  <c r="H287"/>
  <c r="H291"/>
  <c r="I285"/>
  <c r="H288"/>
  <c r="H292"/>
  <c r="H294"/>
  <c r="H289"/>
  <c r="H293"/>
  <c r="K286"/>
  <c r="K287"/>
  <c r="J288"/>
  <c r="I289"/>
  <c r="K291"/>
  <c r="J292"/>
  <c r="I293"/>
  <c r="J283"/>
  <c r="K294"/>
  <c r="K290"/>
  <c r="I292"/>
  <c r="I283"/>
  <c r="I294"/>
  <c r="K288"/>
  <c r="J289"/>
  <c r="I290"/>
  <c r="K292"/>
  <c r="J293"/>
  <c r="I296"/>
  <c r="K283"/>
  <c r="J294"/>
  <c r="I286"/>
  <c r="I287"/>
  <c r="K289"/>
  <c r="J290"/>
  <c r="I291"/>
  <c r="K293"/>
  <c r="J296"/>
  <c r="J286"/>
  <c r="J287"/>
  <c r="I288"/>
  <c r="J291"/>
  <c r="K296"/>
  <c r="A2519" i="34"/>
  <c r="A2528"/>
  <c r="A2517"/>
  <c r="A2518"/>
  <c r="A2527"/>
  <c r="K72" i="55"/>
  <c r="I258" i="60"/>
  <c r="K260"/>
  <c r="K261"/>
  <c r="H258"/>
  <c r="I259"/>
  <c r="H261"/>
  <c r="J257"/>
  <c r="I260"/>
  <c r="I261"/>
  <c r="H259"/>
  <c r="K257"/>
  <c r="J260"/>
  <c r="J258"/>
  <c r="K259"/>
  <c r="H260"/>
  <c r="K258"/>
  <c r="J261"/>
  <c r="J259"/>
  <c r="A1000" i="34"/>
  <c r="A995"/>
  <c r="A987"/>
  <c r="A587"/>
  <c r="A1407"/>
  <c r="A1009"/>
  <c r="A1004"/>
  <c r="A990"/>
  <c r="A982"/>
  <c r="A999"/>
  <c r="A985"/>
  <c r="A1001"/>
  <c r="A588"/>
  <c r="A1408"/>
  <c r="A1404"/>
  <c r="A1005"/>
  <c r="A992"/>
  <c r="A984"/>
  <c r="A981"/>
  <c r="A1002"/>
  <c r="A998"/>
  <c r="A991"/>
  <c r="A983"/>
  <c r="A989"/>
  <c r="A585"/>
  <c r="A1409"/>
  <c r="A1405"/>
  <c r="A1006"/>
  <c r="A994"/>
  <c r="A986"/>
  <c r="A1003"/>
  <c r="A993"/>
  <c r="A586"/>
  <c r="A1406"/>
  <c r="A1008"/>
  <c r="A996"/>
  <c r="A988"/>
  <c r="A997"/>
  <c r="I186" i="60"/>
  <c r="N186" s="1"/>
  <c r="I183"/>
  <c r="N183" s="1"/>
  <c r="P183" s="1"/>
  <c r="I185"/>
  <c r="N185" s="1"/>
  <c r="I187"/>
  <c r="N187" s="1"/>
  <c r="P187" s="1"/>
  <c r="I184"/>
  <c r="N184" s="1"/>
  <c r="I182"/>
  <c r="N182" s="1"/>
  <c r="L213"/>
  <c r="H207"/>
  <c r="H209"/>
  <c r="H205"/>
  <c r="H206"/>
  <c r="H208"/>
  <c r="H210"/>
  <c r="H211"/>
  <c r="I236"/>
  <c r="H235"/>
  <c r="K234"/>
  <c r="H236"/>
  <c r="K235"/>
  <c r="J234"/>
  <c r="K236"/>
  <c r="J235"/>
  <c r="I234"/>
  <c r="J236"/>
  <c r="I235"/>
  <c r="H234"/>
  <c r="J209"/>
  <c r="I208"/>
  <c r="I209"/>
  <c r="K207"/>
  <c r="K208"/>
  <c r="J207"/>
  <c r="K209"/>
  <c r="J208"/>
  <c r="I207"/>
  <c r="I72"/>
  <c r="J72"/>
  <c r="K72"/>
  <c r="H72"/>
  <c r="G113"/>
  <c r="J163"/>
  <c r="J162"/>
  <c r="H165"/>
  <c r="K162"/>
  <c r="H164"/>
  <c r="J165"/>
  <c r="K166"/>
  <c r="H159"/>
  <c r="H163"/>
  <c r="J164"/>
  <c r="K165"/>
  <c r="H162"/>
  <c r="K164"/>
  <c r="H166"/>
  <c r="K163"/>
  <c r="J166"/>
  <c r="I163"/>
  <c r="I166"/>
  <c r="I162"/>
  <c r="I164"/>
  <c r="I165"/>
  <c r="L168"/>
  <c r="H92"/>
  <c r="I91"/>
  <c r="H91"/>
  <c r="J91"/>
  <c r="I92"/>
  <c r="J92"/>
  <c r="K92"/>
  <c r="K91"/>
  <c r="L93"/>
  <c r="N49"/>
  <c r="N16"/>
  <c r="J89"/>
  <c r="H90"/>
  <c r="K89"/>
  <c r="I90"/>
  <c r="J90"/>
  <c r="H89"/>
  <c r="K90"/>
  <c r="I89"/>
  <c r="I71"/>
  <c r="K71"/>
  <c r="J71"/>
  <c r="H71"/>
  <c r="L74"/>
  <c r="H69"/>
  <c r="I69"/>
  <c r="H70"/>
  <c r="I70"/>
  <c r="J69"/>
  <c r="K69"/>
  <c r="J70"/>
  <c r="K70"/>
  <c r="J211"/>
  <c r="K206"/>
  <c r="K205"/>
  <c r="I211"/>
  <c r="K210"/>
  <c r="J206"/>
  <c r="J205"/>
  <c r="J210"/>
  <c r="I206"/>
  <c r="I205"/>
  <c r="K211"/>
  <c r="I210"/>
  <c r="K233"/>
  <c r="J233"/>
  <c r="I233"/>
  <c r="G168"/>
  <c r="B77" i="55"/>
  <c r="A77" s="1"/>
  <c r="G213" i="60"/>
  <c r="G238"/>
  <c r="J167"/>
  <c r="H161"/>
  <c r="K160"/>
  <c r="K159"/>
  <c r="I167"/>
  <c r="K161"/>
  <c r="J160"/>
  <c r="J159"/>
  <c r="H167"/>
  <c r="J161"/>
  <c r="I160"/>
  <c r="I159"/>
  <c r="K167"/>
  <c r="I161"/>
  <c r="H160"/>
  <c r="N6"/>
  <c r="P6" s="1"/>
  <c r="N50"/>
  <c r="P50" s="1"/>
  <c r="B12" i="61"/>
  <c r="D13"/>
  <c r="D14" s="1"/>
  <c r="G13"/>
  <c r="G14" s="1"/>
  <c r="F13"/>
  <c r="F14" s="1"/>
  <c r="E13"/>
  <c r="E14" s="1"/>
  <c r="N8" i="60"/>
  <c r="P8" s="1"/>
  <c r="K56" i="55"/>
  <c r="K114"/>
  <c r="M37" i="45"/>
  <c r="O37"/>
  <c r="B13" i="61"/>
  <c r="N257" i="60" l="1"/>
  <c r="B61" i="55"/>
  <c r="A60"/>
  <c r="P284" i="60"/>
  <c r="N295"/>
  <c r="P295" s="1"/>
  <c r="N292"/>
  <c r="P292" s="1"/>
  <c r="N283"/>
  <c r="P283" s="1"/>
  <c r="N285"/>
  <c r="P285" s="1"/>
  <c r="N293"/>
  <c r="P293" s="1"/>
  <c r="N288"/>
  <c r="P288" s="1"/>
  <c r="N286"/>
  <c r="P286" s="1"/>
  <c r="P282"/>
  <c r="N291"/>
  <c r="P291" s="1"/>
  <c r="N287"/>
  <c r="P287" s="1"/>
  <c r="N289"/>
  <c r="P289" s="1"/>
  <c r="N296"/>
  <c r="P296" s="1"/>
  <c r="N290"/>
  <c r="P290" s="1"/>
  <c r="N294"/>
  <c r="P294" s="1"/>
  <c r="N261"/>
  <c r="P261" s="1"/>
  <c r="N206"/>
  <c r="P206" s="1"/>
  <c r="N159"/>
  <c r="N234"/>
  <c r="P234" s="1"/>
  <c r="N233"/>
  <c r="N205"/>
  <c r="P205" s="1"/>
  <c r="N260"/>
  <c r="P260" s="1"/>
  <c r="N259"/>
  <c r="P259" s="1"/>
  <c r="N258"/>
  <c r="P258" s="1"/>
  <c r="N189"/>
  <c r="N70"/>
  <c r="P70" s="1"/>
  <c r="N71"/>
  <c r="P71" s="1"/>
  <c r="F89" s="1"/>
  <c r="G89" s="1"/>
  <c r="N235"/>
  <c r="P235" s="1"/>
  <c r="N236"/>
  <c r="P236" s="1"/>
  <c r="N208"/>
  <c r="P208" s="1"/>
  <c r="N207"/>
  <c r="P207" s="1"/>
  <c r="N209"/>
  <c r="P209" s="1"/>
  <c r="N72"/>
  <c r="P72" s="1"/>
  <c r="P182"/>
  <c r="N166"/>
  <c r="P166" s="1"/>
  <c r="P185"/>
  <c r="N165"/>
  <c r="P165" s="1"/>
  <c r="P184"/>
  <c r="N163"/>
  <c r="P163" s="1"/>
  <c r="N164"/>
  <c r="P164" s="1"/>
  <c r="N162"/>
  <c r="P162" s="1"/>
  <c r="P186"/>
  <c r="N160"/>
  <c r="P160" s="1"/>
  <c r="N161"/>
  <c r="P161" s="1"/>
  <c r="N167"/>
  <c r="P167" s="1"/>
  <c r="N91"/>
  <c r="P91" s="1"/>
  <c r="N92"/>
  <c r="P92" s="1"/>
  <c r="N90"/>
  <c r="P90" s="1"/>
  <c r="N210"/>
  <c r="P210" s="1"/>
  <c r="P159"/>
  <c r="B78" i="55"/>
  <c r="A78" s="1"/>
  <c r="N211" i="60"/>
  <c r="P211" s="1"/>
  <c r="P49"/>
  <c r="F69" s="1"/>
  <c r="N52"/>
  <c r="N18"/>
  <c r="P16"/>
  <c r="B14" i="61"/>
  <c r="G69" i="60" l="1"/>
  <c r="G74" s="1"/>
  <c r="B62" i="55"/>
  <c r="A61"/>
  <c r="N298" i="60"/>
  <c r="N263"/>
  <c r="P257"/>
  <c r="N238"/>
  <c r="P233"/>
  <c r="G93"/>
  <c r="N89"/>
  <c r="P89" s="1"/>
  <c r="B79" i="55"/>
  <c r="A79" s="1"/>
  <c r="N168" i="60"/>
  <c r="N213"/>
  <c r="N69" l="1"/>
  <c r="N74" s="1"/>
  <c r="B63" i="55"/>
  <c r="A62"/>
  <c r="N93" i="60"/>
  <c r="B80" i="55"/>
  <c r="A80" s="1"/>
  <c r="P69" i="60" l="1"/>
  <c r="B64" i="55"/>
  <c r="A63"/>
  <c r="B81"/>
  <c r="A81" s="1"/>
  <c r="B65" l="1"/>
  <c r="A64"/>
  <c r="B82"/>
  <c r="B66" l="1"/>
  <c r="A65"/>
  <c r="B83"/>
  <c r="A83" s="1"/>
  <c r="A82"/>
  <c r="B67" l="1"/>
  <c r="A66"/>
  <c r="B68" l="1"/>
  <c r="A67"/>
  <c r="B84"/>
  <c r="A84" s="1"/>
  <c r="A68" l="1"/>
  <c r="B69"/>
  <c r="B85"/>
  <c r="A85" s="1"/>
  <c r="A69" l="1"/>
  <c r="B70"/>
  <c r="A70" s="1"/>
  <c r="B86"/>
  <c r="A86" s="1"/>
  <c r="A3667" i="34" l="1"/>
  <c r="B87" i="55" l="1"/>
  <c r="A87" s="1"/>
  <c r="B88" l="1"/>
  <c r="A88" s="1"/>
  <c r="B89" l="1"/>
  <c r="A89" s="1"/>
  <c r="B90" l="1"/>
  <c r="A90" s="1"/>
  <c r="B91" l="1"/>
  <c r="A91" s="1"/>
  <c r="B92" l="1"/>
  <c r="A92" s="1"/>
  <c r="B93" l="1"/>
  <c r="A93" s="1"/>
  <c r="B94" l="1"/>
  <c r="A94" s="1"/>
  <c r="B95" l="1"/>
  <c r="A95" s="1"/>
  <c r="B96" l="1"/>
  <c r="A96" s="1"/>
  <c r="B97" l="1"/>
  <c r="A97" s="1"/>
  <c r="B98" l="1"/>
  <c r="A98" s="1"/>
  <c r="B99" l="1"/>
  <c r="A99" s="1"/>
  <c r="B100" l="1"/>
  <c r="A100" s="1"/>
  <c r="B101" l="1"/>
  <c r="A101" s="1"/>
  <c r="B102" l="1"/>
  <c r="A102" s="1"/>
  <c r="J107" i="60"/>
  <c r="J109"/>
  <c r="J111"/>
  <c r="J110"/>
  <c r="J108"/>
  <c r="J106"/>
  <c r="K111"/>
  <c r="K107"/>
  <c r="K109"/>
  <c r="K108"/>
  <c r="K110"/>
  <c r="I107"/>
  <c r="I109"/>
  <c r="I108"/>
  <c r="I110"/>
  <c r="I111"/>
  <c r="H110"/>
  <c r="H107"/>
  <c r="H108"/>
  <c r="H109"/>
  <c r="I106"/>
  <c r="H106"/>
  <c r="H111"/>
  <c r="K106"/>
  <c r="B103" i="55" l="1"/>
  <c r="A103" s="1"/>
  <c r="N110" i="60"/>
  <c r="P110" s="1"/>
  <c r="N111"/>
  <c r="P111" s="1"/>
  <c r="N106"/>
  <c r="P106" s="1"/>
  <c r="N107"/>
  <c r="P107" s="1"/>
  <c r="N109"/>
  <c r="P109" s="1"/>
  <c r="N108"/>
  <c r="P108" s="1"/>
  <c r="B104" i="55" l="1"/>
  <c r="A104" s="1"/>
  <c r="N113" i="60"/>
  <c r="D144"/>
  <c r="D146" s="1"/>
  <c r="B105" i="55" l="1"/>
  <c r="A105" s="1"/>
  <c r="I136" i="60"/>
  <c r="K133"/>
  <c r="K137"/>
  <c r="K138"/>
  <c r="J136"/>
  <c r="I132"/>
  <c r="I137"/>
  <c r="I135"/>
  <c r="I142"/>
  <c r="J137"/>
  <c r="J132"/>
  <c r="H132"/>
  <c r="H143"/>
  <c r="H131"/>
  <c r="K135"/>
  <c r="I141"/>
  <c r="K139"/>
  <c r="I144"/>
  <c r="K141"/>
  <c r="J142"/>
  <c r="J131"/>
  <c r="J141"/>
  <c r="K142"/>
  <c r="I130"/>
  <c r="K132"/>
  <c r="K143"/>
  <c r="J143"/>
  <c r="H142"/>
  <c r="H138"/>
  <c r="H136"/>
  <c r="I143"/>
  <c r="H144"/>
  <c r="I131"/>
  <c r="K131"/>
  <c r="J138"/>
  <c r="I138"/>
  <c r="J130"/>
  <c r="J134"/>
  <c r="K134"/>
  <c r="J144"/>
  <c r="K140"/>
  <c r="H134"/>
  <c r="H135"/>
  <c r="H141"/>
  <c r="K144"/>
  <c r="K130"/>
  <c r="K136"/>
  <c r="I139"/>
  <c r="J135"/>
  <c r="I134"/>
  <c r="J139"/>
  <c r="I140"/>
  <c r="J133"/>
  <c r="J140"/>
  <c r="I133"/>
  <c r="H139"/>
  <c r="H133"/>
  <c r="H130"/>
  <c r="H137"/>
  <c r="H140"/>
  <c r="G144"/>
  <c r="B106" i="55" l="1"/>
  <c r="A106" s="1"/>
  <c r="N137" i="60"/>
  <c r="P137" s="1"/>
  <c r="N140"/>
  <c r="P140" s="1"/>
  <c r="N139"/>
  <c r="P139" s="1"/>
  <c r="N141"/>
  <c r="P141" s="1"/>
  <c r="N142"/>
  <c r="P142" s="1"/>
  <c r="N132"/>
  <c r="P132" s="1"/>
  <c r="N135"/>
  <c r="P135" s="1"/>
  <c r="N130"/>
  <c r="P130" s="1"/>
  <c r="N134"/>
  <c r="P134" s="1"/>
  <c r="N136"/>
  <c r="P136" s="1"/>
  <c r="N131"/>
  <c r="P131" s="1"/>
  <c r="G146"/>
  <c r="N144"/>
  <c r="P144" s="1"/>
  <c r="N133"/>
  <c r="P133" s="1"/>
  <c r="N138"/>
  <c r="P138" s="1"/>
  <c r="N143"/>
  <c r="P143" s="1"/>
  <c r="B107" i="55" l="1"/>
  <c r="A107" s="1"/>
  <c r="N146" i="60"/>
  <c r="B108" i="55" l="1"/>
  <c r="A108" s="1"/>
  <c r="B109" l="1"/>
  <c r="A109" s="1"/>
  <c r="B110" l="1"/>
  <c r="A110" s="1"/>
  <c r="B111" l="1"/>
  <c r="A111" s="1"/>
  <c r="B112" l="1"/>
  <c r="A112" s="1"/>
  <c r="A498" i="34" l="1"/>
  <c r="A2284" l="1"/>
  <c r="A2282" l="1"/>
  <c r="A2283"/>
  <c r="A2285"/>
  <c r="B805" l="1"/>
  <c r="R805" l="1"/>
  <c r="S805"/>
  <c r="Q805"/>
  <c r="A805"/>
  <c r="A803"/>
  <c r="B584" l="1"/>
  <c r="U584" l="1"/>
  <c r="T584"/>
  <c r="V584"/>
  <c r="Q584"/>
  <c r="R584"/>
  <c r="S584"/>
  <c r="A584"/>
  <c r="B582" l="1"/>
  <c r="B583"/>
  <c r="V582" l="1"/>
  <c r="U582"/>
  <c r="T582"/>
  <c r="T583"/>
  <c r="V583"/>
  <c r="U583"/>
  <c r="R583"/>
  <c r="S583"/>
  <c r="Q583"/>
  <c r="Q582"/>
  <c r="R582"/>
  <c r="S582"/>
  <c r="A582"/>
  <c r="A583"/>
  <c r="H11" i="43" l="1"/>
  <c r="B832" i="34" l="1"/>
  <c r="Q832" l="1"/>
  <c r="R832"/>
  <c r="S832"/>
  <c r="A832"/>
  <c r="B833"/>
  <c r="R833" l="1"/>
  <c r="S833"/>
  <c r="Q833"/>
  <c r="A833"/>
  <c r="B841"/>
  <c r="B842"/>
  <c r="B844"/>
  <c r="B843"/>
  <c r="B845"/>
  <c r="B837"/>
  <c r="B936"/>
  <c r="B922"/>
  <c r="B836"/>
  <c r="B914"/>
  <c r="B939"/>
  <c r="B931"/>
  <c r="B923"/>
  <c r="B911"/>
  <c r="B926"/>
  <c r="B920"/>
  <c r="B928"/>
  <c r="B839"/>
  <c r="B913"/>
  <c r="B940"/>
  <c r="B918"/>
  <c r="B840"/>
  <c r="B912"/>
  <c r="B916"/>
  <c r="B937"/>
  <c r="B910"/>
  <c r="B930"/>
  <c r="B838"/>
  <c r="B915"/>
  <c r="B919"/>
  <c r="B927"/>
  <c r="B935"/>
  <c r="B929"/>
  <c r="B933"/>
  <c r="B921"/>
  <c r="B925"/>
  <c r="B835"/>
  <c r="B917"/>
  <c r="B934"/>
  <c r="B932"/>
  <c r="B924"/>
  <c r="B938"/>
  <c r="B834"/>
  <c r="Q932" l="1"/>
  <c r="R932"/>
  <c r="S932"/>
  <c r="R925"/>
  <c r="S925"/>
  <c r="Q925"/>
  <c r="R935"/>
  <c r="S935"/>
  <c r="Q935"/>
  <c r="A838"/>
  <c r="Q838"/>
  <c r="R838"/>
  <c r="S838"/>
  <c r="Q916"/>
  <c r="R916"/>
  <c r="S916"/>
  <c r="Q940"/>
  <c r="R940"/>
  <c r="S940"/>
  <c r="Q920"/>
  <c r="R920"/>
  <c r="S920"/>
  <c r="R931"/>
  <c r="S931"/>
  <c r="Q931"/>
  <c r="A922"/>
  <c r="Q922"/>
  <c r="R922"/>
  <c r="S922"/>
  <c r="R843"/>
  <c r="S843"/>
  <c r="Q843"/>
  <c r="Q834"/>
  <c r="R834"/>
  <c r="S834"/>
  <c r="Q934"/>
  <c r="R934"/>
  <c r="S934"/>
  <c r="R921"/>
  <c r="S921"/>
  <c r="Q921"/>
  <c r="R927"/>
  <c r="S927"/>
  <c r="Q927"/>
  <c r="Q930"/>
  <c r="R930"/>
  <c r="S930"/>
  <c r="Q912"/>
  <c r="R912"/>
  <c r="S912"/>
  <c r="A913"/>
  <c r="R913"/>
  <c r="S913"/>
  <c r="Q913"/>
  <c r="Q926"/>
  <c r="R926"/>
  <c r="S926"/>
  <c r="R939"/>
  <c r="S939"/>
  <c r="Q939"/>
  <c r="Q936"/>
  <c r="R936"/>
  <c r="S936"/>
  <c r="Q844"/>
  <c r="R844"/>
  <c r="S844"/>
  <c r="A938"/>
  <c r="Q938"/>
  <c r="R938"/>
  <c r="S938"/>
  <c r="R917"/>
  <c r="S917"/>
  <c r="Q917"/>
  <c r="R933"/>
  <c r="S933"/>
  <c r="Q933"/>
  <c r="R919"/>
  <c r="S919"/>
  <c r="Q919"/>
  <c r="Q910"/>
  <c r="R910"/>
  <c r="S910"/>
  <c r="Q840"/>
  <c r="R840"/>
  <c r="S840"/>
  <c r="R839"/>
  <c r="S839"/>
  <c r="Q839"/>
  <c r="R911"/>
  <c r="S911"/>
  <c r="Q911"/>
  <c r="Q914"/>
  <c r="R914"/>
  <c r="S914"/>
  <c r="R837"/>
  <c r="S837"/>
  <c r="Q837"/>
  <c r="Q842"/>
  <c r="R842"/>
  <c r="S842"/>
  <c r="Q924"/>
  <c r="R924"/>
  <c r="S924"/>
  <c r="R835"/>
  <c r="S835"/>
  <c r="Q835"/>
  <c r="A929"/>
  <c r="R929"/>
  <c r="S929"/>
  <c r="Q929"/>
  <c r="R915"/>
  <c r="S915"/>
  <c r="Q915"/>
  <c r="R937"/>
  <c r="S937"/>
  <c r="Q937"/>
  <c r="Q918"/>
  <c r="R918"/>
  <c r="S918"/>
  <c r="A928"/>
  <c r="Q928"/>
  <c r="R928"/>
  <c r="S928"/>
  <c r="A923"/>
  <c r="R923"/>
  <c r="S923"/>
  <c r="Q923"/>
  <c r="Q836"/>
  <c r="R836"/>
  <c r="S836"/>
  <c r="R845"/>
  <c r="S845"/>
  <c r="Q845"/>
  <c r="R841"/>
  <c r="S841"/>
  <c r="Q841"/>
  <c r="A924"/>
  <c r="A835"/>
  <c r="A921"/>
  <c r="A916"/>
  <c r="A937"/>
  <c r="A934"/>
  <c r="A834"/>
  <c r="A932"/>
  <c r="A917"/>
  <c r="A925"/>
  <c r="A933"/>
  <c r="A912"/>
  <c r="A918"/>
  <c r="A839"/>
  <c r="A915"/>
  <c r="A926"/>
  <c r="A911"/>
  <c r="A919"/>
  <c r="A931"/>
  <c r="A927"/>
  <c r="A914"/>
  <c r="A910"/>
  <c r="A930"/>
  <c r="A936"/>
  <c r="A845"/>
  <c r="A842"/>
  <c r="A841"/>
  <c r="A840"/>
  <c r="A940"/>
  <c r="A920"/>
  <c r="A939"/>
  <c r="A935"/>
  <c r="A836"/>
  <c r="A837"/>
  <c r="A843"/>
  <c r="A844"/>
  <c r="B955"/>
  <c r="B957"/>
  <c r="B967"/>
  <c r="B962"/>
  <c r="B966"/>
  <c r="B965"/>
  <c r="B963"/>
  <c r="B946"/>
  <c r="B953"/>
  <c r="B951"/>
  <c r="B945"/>
  <c r="B950"/>
  <c r="B952"/>
  <c r="B947"/>
  <c r="B948"/>
  <c r="B954"/>
  <c r="B942"/>
  <c r="B958"/>
  <c r="B960"/>
  <c r="B968"/>
  <c r="B943"/>
  <c r="B949"/>
  <c r="B956"/>
  <c r="B969"/>
  <c r="B970"/>
  <c r="B964"/>
  <c r="B944"/>
  <c r="B941"/>
  <c r="R941" l="1"/>
  <c r="S941"/>
  <c r="Q941"/>
  <c r="Q954"/>
  <c r="R954"/>
  <c r="S954"/>
  <c r="Q950"/>
  <c r="R950"/>
  <c r="S950"/>
  <c r="Q946"/>
  <c r="R946"/>
  <c r="S946"/>
  <c r="Q962"/>
  <c r="R962"/>
  <c r="S962"/>
  <c r="R969"/>
  <c r="S969"/>
  <c r="Q969"/>
  <c r="Q944"/>
  <c r="R944"/>
  <c r="S944"/>
  <c r="Q956"/>
  <c r="R956"/>
  <c r="S956"/>
  <c r="Q960"/>
  <c r="R960"/>
  <c r="S960"/>
  <c r="Q948"/>
  <c r="R948"/>
  <c r="S948"/>
  <c r="R945"/>
  <c r="S945"/>
  <c r="Q945"/>
  <c r="R963"/>
  <c r="S963"/>
  <c r="Q963"/>
  <c r="R967"/>
  <c r="S967"/>
  <c r="Q967"/>
  <c r="Q968"/>
  <c r="R968"/>
  <c r="S968"/>
  <c r="Q964"/>
  <c r="R964"/>
  <c r="S964"/>
  <c r="R949"/>
  <c r="S949"/>
  <c r="Q949"/>
  <c r="A958"/>
  <c r="Q958"/>
  <c r="R958"/>
  <c r="S958"/>
  <c r="R947"/>
  <c r="S947"/>
  <c r="Q947"/>
  <c r="R951"/>
  <c r="S951"/>
  <c r="Q951"/>
  <c r="R965"/>
  <c r="S965"/>
  <c r="Q965"/>
  <c r="R957"/>
  <c r="S957"/>
  <c r="Q957"/>
  <c r="A970"/>
  <c r="Q970"/>
  <c r="R970"/>
  <c r="S970"/>
  <c r="A943"/>
  <c r="R943"/>
  <c r="S943"/>
  <c r="Q943"/>
  <c r="Q942"/>
  <c r="R942"/>
  <c r="S942"/>
  <c r="Q952"/>
  <c r="R952"/>
  <c r="S952"/>
  <c r="R953"/>
  <c r="S953"/>
  <c r="Q953"/>
  <c r="Q966"/>
  <c r="R966"/>
  <c r="S966"/>
  <c r="R955"/>
  <c r="S955"/>
  <c r="Q955"/>
  <c r="A941"/>
  <c r="A964"/>
  <c r="A969"/>
  <c r="A949"/>
  <c r="A954"/>
  <c r="A944"/>
  <c r="A952"/>
  <c r="A968"/>
  <c r="A950"/>
  <c r="A945"/>
  <c r="A951"/>
  <c r="A953"/>
  <c r="A946"/>
  <c r="A942"/>
  <c r="A963"/>
  <c r="A966"/>
  <c r="A962"/>
  <c r="A967"/>
  <c r="A960"/>
  <c r="A956"/>
  <c r="A955"/>
  <c r="A948"/>
  <c r="A947"/>
  <c r="A965"/>
  <c r="A957"/>
  <c r="B1737"/>
  <c r="B1739"/>
  <c r="B1741"/>
  <c r="B1743"/>
  <c r="B1745"/>
  <c r="B1747"/>
  <c r="B1749"/>
  <c r="B1751"/>
  <c r="B1753"/>
  <c r="B1755"/>
  <c r="B1757"/>
  <c r="B1759"/>
  <c r="B1736"/>
  <c r="B1738"/>
  <c r="B1740"/>
  <c r="B1742"/>
  <c r="B1744"/>
  <c r="B1746"/>
  <c r="B1748"/>
  <c r="B1750"/>
  <c r="B1752"/>
  <c r="B1754"/>
  <c r="B1756"/>
  <c r="B1758"/>
  <c r="B1760"/>
  <c r="B1735"/>
  <c r="R1758" l="1"/>
  <c r="Q1758"/>
  <c r="S1758"/>
  <c r="R1750"/>
  <c r="Q1750"/>
  <c r="S1750"/>
  <c r="R1742"/>
  <c r="Q1742"/>
  <c r="S1742"/>
  <c r="R1759"/>
  <c r="Q1759"/>
  <c r="S1759"/>
  <c r="R1751"/>
  <c r="Q1751"/>
  <c r="S1751"/>
  <c r="R1743"/>
  <c r="Q1743"/>
  <c r="S1743"/>
  <c r="A1756"/>
  <c r="R1756"/>
  <c r="Q1756"/>
  <c r="S1756"/>
  <c r="R1748"/>
  <c r="Q1748"/>
  <c r="S1748"/>
  <c r="R1740"/>
  <c r="Q1740"/>
  <c r="S1740"/>
  <c r="R1757"/>
  <c r="Q1757"/>
  <c r="S1757"/>
  <c r="R1749"/>
  <c r="Q1749"/>
  <c r="S1749"/>
  <c r="R1741"/>
  <c r="Q1741"/>
  <c r="S1741"/>
  <c r="R1754"/>
  <c r="Q1754"/>
  <c r="S1754"/>
  <c r="R1746"/>
  <c r="Q1746"/>
  <c r="S1746"/>
  <c r="R1738"/>
  <c r="Q1738"/>
  <c r="S1738"/>
  <c r="R1755"/>
  <c r="Q1755"/>
  <c r="S1755"/>
  <c r="R1747"/>
  <c r="Q1747"/>
  <c r="S1747"/>
  <c r="R1739"/>
  <c r="Q1739"/>
  <c r="S1739"/>
  <c r="R1735"/>
  <c r="Q1735"/>
  <c r="S1735"/>
  <c r="A1760"/>
  <c r="R1760"/>
  <c r="Q1760"/>
  <c r="S1760"/>
  <c r="R1752"/>
  <c r="Q1752"/>
  <c r="S1752"/>
  <c r="A1744"/>
  <c r="R1744"/>
  <c r="Q1744"/>
  <c r="S1744"/>
  <c r="A1736"/>
  <c r="R1736"/>
  <c r="Q1736"/>
  <c r="S1736"/>
  <c r="R1753"/>
  <c r="Q1753"/>
  <c r="S1753"/>
  <c r="R1745"/>
  <c r="Q1745"/>
  <c r="S1745"/>
  <c r="R1737"/>
  <c r="Q1737"/>
  <c r="S1737"/>
  <c r="A1743"/>
  <c r="A1738"/>
  <c r="A1740"/>
  <c r="A1742"/>
  <c r="A1746"/>
  <c r="A1751"/>
  <c r="A1748"/>
  <c r="A1750"/>
  <c r="A1752"/>
  <c r="A1754"/>
  <c r="A1758"/>
  <c r="A1735"/>
  <c r="A1737"/>
  <c r="A1739"/>
  <c r="A1741"/>
  <c r="A1745"/>
  <c r="A1747"/>
  <c r="A1749"/>
  <c r="A1753"/>
  <c r="A1755"/>
  <c r="A1757"/>
  <c r="A1759"/>
  <c r="I13" i="42" l="1"/>
  <c r="C15" i="39"/>
  <c r="M8"/>
  <c r="C12"/>
  <c r="H5"/>
  <c r="M16" s="1"/>
  <c r="C10"/>
  <c r="J16" i="55" a="1"/>
  <c r="J16" s="1"/>
  <c r="J79" a="1"/>
  <c r="J79" s="1"/>
  <c r="J78" a="1"/>
  <c r="J78" s="1"/>
  <c r="J45" a="1"/>
  <c r="J45" s="1"/>
  <c r="J102" a="1"/>
  <c r="J102" s="1"/>
  <c r="J91" a="1"/>
  <c r="J91" s="1"/>
  <c r="J84" a="1"/>
  <c r="J84" s="1"/>
  <c r="F68" i="15" a="1"/>
  <c r="F68" s="1"/>
  <c r="J105" i="55" a="1"/>
  <c r="J105" s="1"/>
  <c r="F71" i="15" a="1"/>
  <c r="F71" s="1"/>
  <c r="J30" i="55" a="1"/>
  <c r="J30" s="1"/>
  <c r="J33" a="1"/>
  <c r="J33" s="1"/>
  <c r="E67" i="15" a="1"/>
  <c r="E67" s="1"/>
  <c r="J82" i="55" a="1"/>
  <c r="J82" s="1"/>
  <c r="E69" i="15" a="1"/>
  <c r="E69" s="1"/>
  <c r="F72" a="1"/>
  <c r="F72" s="1"/>
  <c r="J70" i="55" a="1"/>
  <c r="J70" s="1"/>
  <c r="J95" a="1"/>
  <c r="J95" s="1"/>
  <c r="J106" a="1"/>
  <c r="J106" s="1"/>
  <c r="J20" a="1"/>
  <c r="J20" s="1"/>
  <c r="V4068" i="34"/>
  <c r="J50" i="55" a="1"/>
  <c r="J50" s="1"/>
  <c r="J107" a="1"/>
  <c r="J107" s="1"/>
  <c r="J86" a="1"/>
  <c r="J86" s="1"/>
  <c r="J92" a="1"/>
  <c r="J92" s="1"/>
  <c r="F70" i="15" a="1"/>
  <c r="F70" s="1"/>
  <c r="E73" a="1"/>
  <c r="E73" s="1"/>
  <c r="E68" a="1"/>
  <c r="E68" s="1"/>
  <c r="F69" a="1"/>
  <c r="F69" s="1"/>
  <c r="J64" i="55" a="1"/>
  <c r="J64" s="1"/>
  <c r="J101" a="1"/>
  <c r="J101" s="1"/>
  <c r="J108" a="1"/>
  <c r="J108" s="1"/>
  <c r="J27" a="1"/>
  <c r="J27" s="1"/>
  <c r="F73" i="15" a="1"/>
  <c r="F73" s="1"/>
  <c r="J110" i="55" a="1"/>
  <c r="J110" s="1"/>
  <c r="R4068" i="34"/>
  <c r="J100" i="55" a="1"/>
  <c r="J100" s="1"/>
  <c r="J42" a="1"/>
  <c r="J42" s="1"/>
  <c r="J111" a="1"/>
  <c r="J111" s="1"/>
  <c r="J55" a="1"/>
  <c r="J55" s="1"/>
  <c r="E71" i="15" a="1"/>
  <c r="E71" s="1"/>
  <c r="E70" a="1"/>
  <c r="E70" s="1"/>
  <c r="F74" a="1"/>
  <c r="F74" s="1"/>
  <c r="J77" i="55" a="1"/>
  <c r="J77" s="1"/>
  <c r="J63" a="1"/>
  <c r="J63" s="1"/>
  <c r="J47" a="1"/>
  <c r="J47" s="1"/>
  <c r="S4068" i="34"/>
  <c r="J32" i="55" a="1"/>
  <c r="J32" s="1"/>
  <c r="E63" i="15" a="1"/>
  <c r="E63" s="1"/>
  <c r="J60" i="55" a="1"/>
  <c r="J60" s="1"/>
  <c r="J31" a="1"/>
  <c r="J31" s="1"/>
  <c r="J75" a="1"/>
  <c r="J75" s="1"/>
  <c r="J15" a="1"/>
  <c r="J15" s="1"/>
  <c r="J51" a="1"/>
  <c r="J51" s="1"/>
  <c r="J83" a="1"/>
  <c r="J83" s="1"/>
  <c r="F63" i="15" a="1"/>
  <c r="F63" s="1"/>
  <c r="J46" i="55" a="1"/>
  <c r="J46" s="1"/>
  <c r="J112" a="1"/>
  <c r="J112" s="1"/>
  <c r="E72" i="15" a="1"/>
  <c r="E72" s="1"/>
  <c r="J109" i="55" a="1"/>
  <c r="J109" s="1"/>
  <c r="J81" a="1"/>
  <c r="J81" s="1"/>
  <c r="J68" a="1"/>
  <c r="J68" s="1"/>
  <c r="J21" a="1"/>
  <c r="J21" s="1"/>
  <c r="J44" a="1"/>
  <c r="J44" s="1"/>
  <c r="J98" a="1"/>
  <c r="J98" s="1"/>
  <c r="J65" a="1"/>
  <c r="J65" s="1"/>
  <c r="J49" a="1"/>
  <c r="J49" s="1"/>
  <c r="J24" a="1"/>
  <c r="J24" s="1"/>
  <c r="J96" a="1"/>
  <c r="J96" s="1"/>
  <c r="J40" a="1"/>
  <c r="J40" s="1"/>
  <c r="J36" a="1"/>
  <c r="J36" s="1"/>
  <c r="J62" a="1"/>
  <c r="J62" s="1"/>
  <c r="J43" a="1"/>
  <c r="J43" s="1"/>
  <c r="J94" a="1"/>
  <c r="J94" s="1"/>
  <c r="F66" i="15" a="1"/>
  <c r="F66" s="1"/>
  <c r="J97" i="55" a="1"/>
  <c r="J97" s="1"/>
  <c r="J76" a="1"/>
  <c r="J76" s="1"/>
  <c r="J17" a="1"/>
  <c r="J17" s="1"/>
  <c r="J14" a="1"/>
  <c r="J14" s="1"/>
  <c r="J34" a="1"/>
  <c r="J34" s="1"/>
  <c r="J25" a="1"/>
  <c r="J25" s="1"/>
  <c r="J87" a="1"/>
  <c r="J87" s="1"/>
  <c r="J54" a="1"/>
  <c r="J54" s="1"/>
  <c r="J41" a="1"/>
  <c r="J41" s="1"/>
  <c r="F67" i="15" a="1"/>
  <c r="F67" s="1"/>
  <c r="J61" i="55" a="1"/>
  <c r="J61" s="1"/>
  <c r="J53" a="1"/>
  <c r="J53" s="1"/>
  <c r="J19" a="1"/>
  <c r="J19" s="1"/>
  <c r="J37" a="1"/>
  <c r="J37" s="1"/>
  <c r="J52" a="1"/>
  <c r="J52" s="1"/>
  <c r="J29" a="1"/>
  <c r="J29" s="1"/>
  <c r="J13" a="1"/>
  <c r="J13" s="1"/>
  <c r="J48" a="1"/>
  <c r="J48" s="1"/>
  <c r="J99" a="1"/>
  <c r="J99" s="1"/>
  <c r="J28" a="1"/>
  <c r="J28" s="1"/>
  <c r="J22" a="1"/>
  <c r="J22" s="1"/>
  <c r="J35" a="1"/>
  <c r="J35" s="1"/>
  <c r="U4068" i="34"/>
  <c r="J93" i="55" a="1"/>
  <c r="J93" s="1"/>
  <c r="J90" a="1"/>
  <c r="J90" s="1"/>
  <c r="J104" a="1"/>
  <c r="J104" s="1"/>
  <c r="J85" a="1"/>
  <c r="J85" s="1"/>
  <c r="J38" a="1"/>
  <c r="J38" s="1"/>
  <c r="J67" a="1"/>
  <c r="J67" s="1"/>
  <c r="J66" a="1"/>
  <c r="J66" s="1"/>
  <c r="J39" a="1"/>
  <c r="J39" s="1"/>
  <c r="J59" a="1"/>
  <c r="J59" s="1"/>
  <c r="J26" a="1"/>
  <c r="J26" s="1"/>
  <c r="J103" a="1"/>
  <c r="J103" s="1"/>
  <c r="M4068" i="34"/>
  <c r="J89" i="55" a="1"/>
  <c r="J89" s="1"/>
  <c r="E66" i="15" a="1"/>
  <c r="E66" s="1"/>
  <c r="J88" i="55" a="1"/>
  <c r="J88" s="1"/>
  <c r="J69" a="1"/>
  <c r="J69" s="1"/>
  <c r="E74" i="15" a="1"/>
  <c r="E74" s="1"/>
  <c r="J80" i="55" a="1"/>
  <c r="J80" s="1"/>
  <c r="J23" a="1"/>
  <c r="J23" s="1"/>
  <c r="H49" a="1"/>
  <c r="H49" s="1"/>
  <c r="H24" a="1"/>
  <c r="H24" s="1"/>
  <c r="H70" a="1"/>
  <c r="H70" s="1"/>
  <c r="H41" a="1"/>
  <c r="H41" s="1"/>
  <c r="H78" a="1"/>
  <c r="H78" s="1"/>
  <c r="L78" s="1"/>
  <c r="H32" a="1"/>
  <c r="H32" s="1"/>
  <c r="H100" a="1"/>
  <c r="H100" s="1"/>
  <c r="L100" s="1"/>
  <c r="H62" a="1"/>
  <c r="H62" s="1"/>
  <c r="H65" a="1"/>
  <c r="H65" s="1"/>
  <c r="H31" a="1"/>
  <c r="H31" s="1"/>
  <c r="H75" a="1"/>
  <c r="H75" s="1"/>
  <c r="H19" a="1"/>
  <c r="H19" s="1"/>
  <c r="H91" a="1"/>
  <c r="H91" s="1"/>
  <c r="L91" s="1"/>
  <c r="H66" a="1"/>
  <c r="H66" s="1"/>
  <c r="L66" s="1"/>
  <c r="H104" a="1"/>
  <c r="H104" s="1"/>
  <c r="H29" a="1"/>
  <c r="H29" s="1"/>
  <c r="H16" a="1"/>
  <c r="H16" s="1"/>
  <c r="L16" s="1"/>
  <c r="H97" a="1"/>
  <c r="H97" s="1"/>
  <c r="H30" a="1"/>
  <c r="H30" s="1"/>
  <c r="F51" i="12" a="1"/>
  <c r="F51" s="1"/>
  <c r="H107" i="55" a="1"/>
  <c r="H107" s="1"/>
  <c r="L107" s="1"/>
  <c r="H89" a="1"/>
  <c r="H89" s="1"/>
  <c r="L89" s="1"/>
  <c r="L18"/>
  <c r="H44" a="1"/>
  <c r="H44" s="1"/>
  <c r="H55" a="1"/>
  <c r="H55" s="1"/>
  <c r="L55" s="1"/>
  <c r="H28" a="1"/>
  <c r="H28" s="1"/>
  <c r="L28" s="1"/>
  <c r="H98" a="1"/>
  <c r="H98" s="1"/>
  <c r="H67" a="1"/>
  <c r="H67" s="1"/>
  <c r="L67" s="1"/>
  <c r="H105" a="1"/>
  <c r="H105" s="1"/>
  <c r="L105" s="1"/>
  <c r="H35" a="1"/>
  <c r="H35" s="1"/>
  <c r="L35" s="1"/>
  <c r="H34" a="1"/>
  <c r="H34" s="1"/>
  <c r="L34" s="1"/>
  <c r="H69" a="1"/>
  <c r="H69" s="1"/>
  <c r="E68" i="12" a="1"/>
  <c r="E68" s="1"/>
  <c r="F32" a="1"/>
  <c r="F32" s="1"/>
  <c r="E39" a="1"/>
  <c r="E39" s="1"/>
  <c r="F19" a="1"/>
  <c r="F19" s="1"/>
  <c r="E47" a="1"/>
  <c r="E47" s="1"/>
  <c r="H22" i="55" a="1"/>
  <c r="H22" s="1"/>
  <c r="H33" a="1"/>
  <c r="H33" s="1"/>
  <c r="H102" a="1"/>
  <c r="H102" s="1"/>
  <c r="L102" s="1"/>
  <c r="H27" a="1"/>
  <c r="H27" s="1"/>
  <c r="H87" a="1"/>
  <c r="H87" s="1"/>
  <c r="L87" s="1"/>
  <c r="H40" a="1"/>
  <c r="H40" s="1"/>
  <c r="H80" a="1"/>
  <c r="H80" s="1"/>
  <c r="L80" s="1"/>
  <c r="H84" a="1"/>
  <c r="H84" s="1"/>
  <c r="L84" s="1"/>
  <c r="H63" a="1"/>
  <c r="H63" s="1"/>
  <c r="L63" s="1"/>
  <c r="H68" a="1"/>
  <c r="H68" s="1"/>
  <c r="L68" s="1"/>
  <c r="H52" a="1"/>
  <c r="H52" s="1"/>
  <c r="J15" i="62" a="1"/>
  <c r="J15" s="1"/>
  <c r="F20" i="15" a="1"/>
  <c r="F20" s="1"/>
  <c r="J34" i="45" a="1"/>
  <c r="J34" s="1"/>
  <c r="H14" i="62" a="1"/>
  <c r="H14" s="1"/>
  <c r="E76" i="12" a="1"/>
  <c r="E76" s="1"/>
  <c r="E79" a="1"/>
  <c r="E79" s="1"/>
  <c r="J27" i="45" a="1"/>
  <c r="J27" s="1"/>
  <c r="H99" i="55" a="1"/>
  <c r="H99" s="1"/>
  <c r="L99" s="1"/>
  <c r="H86" a="1"/>
  <c r="H86" s="1"/>
  <c r="L86" s="1"/>
  <c r="E46" i="12" a="1"/>
  <c r="E46" s="1"/>
  <c r="E38" i="15" a="1"/>
  <c r="E38" s="1"/>
  <c r="F83" i="12" a="1"/>
  <c r="F83" s="1"/>
  <c r="F35" a="1"/>
  <c r="F35" s="1"/>
  <c r="F64" a="1"/>
  <c r="F64" s="1"/>
  <c r="E82" a="1"/>
  <c r="E82" s="1"/>
  <c r="E50" i="15" a="1"/>
  <c r="E50" s="1"/>
  <c r="H8" i="62" a="1"/>
  <c r="H8" s="1"/>
  <c r="J35" i="45" a="1"/>
  <c r="J35" s="1"/>
  <c r="E44" i="12" a="1"/>
  <c r="E44" s="1"/>
  <c r="E26" i="15" a="1"/>
  <c r="E26" s="1"/>
  <c r="J18" i="45" a="1"/>
  <c r="J18" s="1"/>
  <c r="H95" i="55" a="1"/>
  <c r="H95" s="1"/>
  <c r="F48" i="12" a="1"/>
  <c r="F48" s="1"/>
  <c r="F80" a="1"/>
  <c r="F80" s="1"/>
  <c r="H50" i="55" a="1"/>
  <c r="H50" s="1"/>
  <c r="L50" s="1"/>
  <c r="F29" i="12" a="1"/>
  <c r="F29" s="1"/>
  <c r="H17" i="62" a="1"/>
  <c r="H17" s="1"/>
  <c r="H108" i="55" a="1"/>
  <c r="H108" s="1"/>
  <c r="L108" s="1"/>
  <c r="H39" a="1"/>
  <c r="H39" s="1"/>
  <c r="L39" s="1"/>
  <c r="J28" i="45" a="1"/>
  <c r="J28" s="1"/>
  <c r="F72" i="12" a="1"/>
  <c r="F72" s="1"/>
  <c r="E9" a="1"/>
  <c r="E9" s="1"/>
  <c r="H42" i="55" a="1"/>
  <c r="H42" s="1"/>
  <c r="L42" s="1"/>
  <c r="J6" i="62" a="1"/>
  <c r="J6" s="1"/>
  <c r="F66" i="12" a="1"/>
  <c r="F66" s="1"/>
  <c r="F91" a="1"/>
  <c r="F91" s="1"/>
  <c r="J6" i="45" a="1"/>
  <c r="J6" s="1"/>
  <c r="F21" i="12" a="1"/>
  <c r="F21" s="1"/>
  <c r="H88" i="55" a="1"/>
  <c r="H88" s="1"/>
  <c r="L88" s="1"/>
  <c r="J31" i="45" a="1"/>
  <c r="J31" s="1"/>
  <c r="E30" i="12" a="1"/>
  <c r="E30" s="1"/>
  <c r="F56" a="1"/>
  <c r="F56" s="1"/>
  <c r="E34" i="15" a="1"/>
  <c r="E34" s="1"/>
  <c r="E57" i="12" a="1"/>
  <c r="E57" s="1"/>
  <c r="E63" a="1"/>
  <c r="E63" s="1"/>
  <c r="E70" a="1"/>
  <c r="E70" s="1"/>
  <c r="L21" i="45" a="1"/>
  <c r="L21" s="1"/>
  <c r="F81" i="12" a="1"/>
  <c r="F81" s="1"/>
  <c r="E88" a="1"/>
  <c r="E88" s="1"/>
  <c r="H103" i="55" a="1"/>
  <c r="H103" s="1"/>
  <c r="L103" s="1"/>
  <c r="H94" a="1"/>
  <c r="H94" s="1"/>
  <c r="E86" i="12" a="1"/>
  <c r="E86" s="1"/>
  <c r="H10" i="62" a="1"/>
  <c r="H10" s="1"/>
  <c r="J23" a="1"/>
  <c r="J23" s="1"/>
  <c r="F65" i="12" a="1"/>
  <c r="F65" s="1"/>
  <c r="J20" i="62" a="1"/>
  <c r="J20" s="1"/>
  <c r="F77" i="12" a="1"/>
  <c r="F77" s="1"/>
  <c r="H21" i="55" a="1"/>
  <c r="H21" s="1"/>
  <c r="L21" s="1"/>
  <c r="F24" i="12" a="1"/>
  <c r="F24" s="1"/>
  <c r="E8" a="1"/>
  <c r="E8" s="1"/>
  <c r="E45" a="1"/>
  <c r="E45" s="1"/>
  <c r="E38" a="1"/>
  <c r="E38" s="1"/>
  <c r="F69" a="1"/>
  <c r="F69" s="1"/>
  <c r="J12" i="62" a="1"/>
  <c r="J12" s="1"/>
  <c r="J12" i="45" a="1"/>
  <c r="J12" s="1"/>
  <c r="E54" i="12" a="1"/>
  <c r="E54" s="1"/>
  <c r="H46" i="55" a="1"/>
  <c r="H46" s="1"/>
  <c r="L46" s="1"/>
  <c r="H15" a="1"/>
  <c r="H15" s="1"/>
  <c r="E7" i="12" a="1"/>
  <c r="E7" s="1"/>
  <c r="H79" i="55" a="1"/>
  <c r="H79" s="1"/>
  <c r="L79" s="1"/>
  <c r="H22" i="62" a="1"/>
  <c r="H22" s="1"/>
  <c r="H61" i="55" a="1"/>
  <c r="H61" s="1"/>
  <c r="L61" s="1"/>
  <c r="H43" a="1"/>
  <c r="H43" s="1"/>
  <c r="L43" s="1"/>
  <c r="F31" i="15" a="1"/>
  <c r="F31" s="1"/>
  <c r="F32" s="1"/>
  <c r="E52" a="1"/>
  <c r="E52" s="1"/>
  <c r="F93" i="12" a="1"/>
  <c r="F93" s="1"/>
  <c r="E41" a="1"/>
  <c r="E41" s="1"/>
  <c r="E59" i="15" a="1"/>
  <c r="E59" s="1"/>
  <c r="H90" i="55" a="1"/>
  <c r="H90" s="1"/>
  <c r="L90" s="1"/>
  <c r="H82" a="1"/>
  <c r="H82" s="1"/>
  <c r="L22" i="45" a="1"/>
  <c r="L22" s="1"/>
  <c r="H38" i="55" a="1"/>
  <c r="H38" s="1"/>
  <c r="L38" s="1"/>
  <c r="E53" i="12" a="1"/>
  <c r="E53" s="1"/>
  <c r="F88" a="1"/>
  <c r="F88" s="1"/>
  <c r="E60" a="1"/>
  <c r="E60" s="1"/>
  <c r="F42" i="15" a="1"/>
  <c r="F42" s="1"/>
  <c r="E34" i="12" a="1"/>
  <c r="E34" s="1"/>
  <c r="F39" a="1"/>
  <c r="F39" s="1"/>
  <c r="G39" s="1"/>
  <c r="F28" i="15" a="1"/>
  <c r="F28" s="1"/>
  <c r="H23" i="62" a="1"/>
  <c r="H23" s="1"/>
  <c r="L23" s="1"/>
  <c r="F5" i="12" a="1"/>
  <c r="F5" s="1"/>
  <c r="J8" i="62" a="1"/>
  <c r="J8" s="1"/>
  <c r="N8" s="1"/>
  <c r="F71" i="12" a="1"/>
  <c r="F71" s="1"/>
  <c r="E64" a="1"/>
  <c r="E64" s="1"/>
  <c r="G64" s="1"/>
  <c r="F26" i="15" a="1"/>
  <c r="F26" s="1"/>
  <c r="H26" s="1"/>
  <c r="J24" i="45" a="1"/>
  <c r="J24" s="1"/>
  <c r="H53" i="55" a="1"/>
  <c r="H53" s="1"/>
  <c r="H77" a="1"/>
  <c r="H77" s="1"/>
  <c r="L77" s="1"/>
  <c r="H92" a="1"/>
  <c r="H92" s="1"/>
  <c r="L92" s="1"/>
  <c r="F51" i="15" a="1"/>
  <c r="F51" s="1"/>
  <c r="E49" i="12" a="1"/>
  <c r="E49" s="1"/>
  <c r="J9" i="45" a="1"/>
  <c r="J9" s="1"/>
  <c r="J30" a="1"/>
  <c r="J30" s="1"/>
  <c r="H60" i="55" a="1"/>
  <c r="H60" s="1"/>
  <c r="E33" i="15" a="1"/>
  <c r="E33" s="1"/>
  <c r="F73" i="12" a="1"/>
  <c r="F73" s="1"/>
  <c r="F46" a="1"/>
  <c r="F46" s="1"/>
  <c r="G46" s="1"/>
  <c r="E89" a="1"/>
  <c r="E89" s="1"/>
  <c r="E16" a="1"/>
  <c r="E16" s="1"/>
  <c r="F28" a="1"/>
  <c r="F28" s="1"/>
  <c r="E61" a="1"/>
  <c r="E61" s="1"/>
  <c r="J10" i="45" a="1"/>
  <c r="J10" s="1"/>
  <c r="J19" i="62" a="1"/>
  <c r="J19" s="1"/>
  <c r="J29" i="45" a="1"/>
  <c r="J29" s="1"/>
  <c r="E51" i="12" a="1"/>
  <c r="E51" s="1"/>
  <c r="G51" s="1"/>
  <c r="F24" i="15" a="1"/>
  <c r="F24" s="1"/>
  <c r="F43" a="1"/>
  <c r="F43" s="1"/>
  <c r="F87" i="12" a="1"/>
  <c r="F87" s="1"/>
  <c r="E15" i="15" a="1"/>
  <c r="E15" s="1"/>
  <c r="E93" i="12" a="1"/>
  <c r="E93" s="1"/>
  <c r="F16" i="15" a="1"/>
  <c r="F16" s="1"/>
  <c r="L26" i="45" a="1"/>
  <c r="L26" s="1"/>
  <c r="F62" i="15" a="1"/>
  <c r="F62" s="1"/>
  <c r="F64" s="1"/>
  <c r="F65" s="1"/>
  <c r="J15" i="45" a="1"/>
  <c r="J15" s="1"/>
  <c r="F59" i="12" a="1"/>
  <c r="F59" s="1"/>
  <c r="F37" a="1"/>
  <c r="F37" s="1"/>
  <c r="F43" a="1"/>
  <c r="F43" s="1"/>
  <c r="H37" i="55" a="1"/>
  <c r="H37" s="1"/>
  <c r="J19" i="45" a="1"/>
  <c r="J19" s="1"/>
  <c r="E25" i="12" a="1"/>
  <c r="E25" s="1"/>
  <c r="F11" a="1"/>
  <c r="F11" s="1"/>
  <c r="H16" i="62" a="1"/>
  <c r="H16" s="1"/>
  <c r="F10" i="12" a="1"/>
  <c r="F10" s="1"/>
  <c r="F75" a="1"/>
  <c r="F75" s="1"/>
  <c r="E52" a="1"/>
  <c r="E52" s="1"/>
  <c r="E78" a="1"/>
  <c r="E78" s="1"/>
  <c r="F53" a="1"/>
  <c r="F53" s="1"/>
  <c r="F6" a="1"/>
  <c r="F6" s="1"/>
  <c r="J20" i="45" a="1"/>
  <c r="J20" s="1"/>
  <c r="E22" i="12" a="1"/>
  <c r="E22" s="1"/>
  <c r="H81" i="55" a="1"/>
  <c r="H81" s="1"/>
  <c r="L81" s="1"/>
  <c r="J22" i="62" a="1"/>
  <c r="J22" s="1"/>
  <c r="N22" s="1"/>
  <c r="H83" i="55" a="1"/>
  <c r="H83" s="1"/>
  <c r="L83" s="1"/>
  <c r="E31" i="15" a="1"/>
  <c r="E31" s="1"/>
  <c r="L16" i="45" a="1"/>
  <c r="L16" s="1"/>
  <c r="E56" i="12" a="1"/>
  <c r="E56" s="1"/>
  <c r="G56" s="1"/>
  <c r="J17" i="45" a="1"/>
  <c r="J17" s="1"/>
  <c r="H106" i="55" a="1"/>
  <c r="H106" s="1"/>
  <c r="H112" a="1"/>
  <c r="H112" s="1"/>
  <c r="L112" s="1"/>
  <c r="E80" i="12" a="1"/>
  <c r="E80" s="1"/>
  <c r="G80" s="1"/>
  <c r="F34" i="15" a="1"/>
  <c r="F34" s="1"/>
  <c r="H34" s="1"/>
  <c r="F47" i="12" a="1"/>
  <c r="F47" s="1"/>
  <c r="H47" s="1"/>
  <c r="F62" a="1"/>
  <c r="F62" s="1"/>
  <c r="L25" i="45" a="1"/>
  <c r="L25" s="1"/>
  <c r="F60" i="12" a="1"/>
  <c r="F60" s="1"/>
  <c r="H60" s="1"/>
  <c r="E11" a="1"/>
  <c r="E11" s="1"/>
  <c r="E26" a="1"/>
  <c r="E26" s="1"/>
  <c r="F59" i="15" a="1"/>
  <c r="F59" s="1"/>
  <c r="F74" i="12" a="1"/>
  <c r="F74" s="1"/>
  <c r="H51" i="55" a="1"/>
  <c r="H51" s="1"/>
  <c r="J9" i="62" a="1"/>
  <c r="J9" s="1"/>
  <c r="F55" i="15" a="1"/>
  <c r="F55" s="1"/>
  <c r="J22" i="45" a="1"/>
  <c r="J22" s="1"/>
  <c r="P22" s="1"/>
  <c r="E85" i="12" a="1"/>
  <c r="E85" s="1"/>
  <c r="L31" i="45" a="1"/>
  <c r="L31" s="1"/>
  <c r="P31" s="1"/>
  <c r="E28" i="12" a="1"/>
  <c r="E28" s="1"/>
  <c r="F61" a="1"/>
  <c r="F61" s="1"/>
  <c r="F40" i="15" a="1"/>
  <c r="F40" s="1"/>
  <c r="H19" i="62" a="1"/>
  <c r="H19" s="1"/>
  <c r="L19" s="1"/>
  <c r="E22" i="15" a="1"/>
  <c r="E22" s="1"/>
  <c r="E17" i="12" a="1"/>
  <c r="E17" s="1"/>
  <c r="F58" a="1"/>
  <c r="F58" s="1"/>
  <c r="E24" i="15" a="1"/>
  <c r="E24" s="1"/>
  <c r="E87" i="12" a="1"/>
  <c r="E87" s="1"/>
  <c r="J11" i="45" a="1"/>
  <c r="J11" s="1"/>
  <c r="F15" i="15" a="1"/>
  <c r="F15" s="1"/>
  <c r="F60" a="1"/>
  <c r="F60" s="1"/>
  <c r="E91" i="12" a="1"/>
  <c r="E91" s="1"/>
  <c r="G91" s="1"/>
  <c r="F84" a="1"/>
  <c r="F84" s="1"/>
  <c r="H14" i="55" a="1"/>
  <c r="H14" s="1"/>
  <c r="L14" s="1"/>
  <c r="F41" i="12" a="1"/>
  <c r="F41" s="1"/>
  <c r="E18" a="1"/>
  <c r="E18" s="1"/>
  <c r="F42" a="1"/>
  <c r="F42" s="1"/>
  <c r="J21" i="62" a="1"/>
  <c r="J21" s="1"/>
  <c r="F22" i="15" a="1"/>
  <c r="F22" s="1"/>
  <c r="H110" i="55" a="1"/>
  <c r="H110" s="1"/>
  <c r="F23" i="12" a="1"/>
  <c r="F23" s="1"/>
  <c r="F55" a="1"/>
  <c r="F55" s="1"/>
  <c r="F40" a="1"/>
  <c r="F40" s="1"/>
  <c r="L7" i="45" a="1"/>
  <c r="L7" s="1"/>
  <c r="L27" a="1"/>
  <c r="L27" s="1"/>
  <c r="P27" s="1"/>
  <c r="F54" i="12" a="1"/>
  <c r="F54" s="1"/>
  <c r="F57" a="1"/>
  <c r="F57" s="1"/>
  <c r="G57" s="1"/>
  <c r="E59" a="1"/>
  <c r="E59" s="1"/>
  <c r="G59" s="1"/>
  <c r="F63" a="1"/>
  <c r="F63" s="1"/>
  <c r="G63" s="1"/>
  <c r="H26" i="55" a="1"/>
  <c r="H26" s="1"/>
  <c r="L26" s="1"/>
  <c r="J58" a="1"/>
  <c r="J58" s="1"/>
  <c r="E58" i="12" a="1"/>
  <c r="E58" s="1"/>
  <c r="H96" i="55" a="1"/>
  <c r="H96" s="1"/>
  <c r="L96" s="1"/>
  <c r="F30" i="12" a="1"/>
  <c r="F30" s="1"/>
  <c r="H30" s="1"/>
  <c r="L33" i="45" a="1"/>
  <c r="L33" s="1"/>
  <c r="J18" i="62" a="1"/>
  <c r="J18" s="1"/>
  <c r="L32" i="45" a="1"/>
  <c r="L32" s="1"/>
  <c r="L35" a="1"/>
  <c r="L35" s="1"/>
  <c r="P35" s="1"/>
  <c r="F31" i="12" a="1"/>
  <c r="F31" s="1"/>
  <c r="E15" a="1"/>
  <c r="E15" s="1"/>
  <c r="F92" a="1"/>
  <c r="F92" s="1"/>
  <c r="E40" a="1"/>
  <c r="E40" s="1"/>
  <c r="E21" a="1"/>
  <c r="E21" s="1"/>
  <c r="G21" s="1"/>
  <c r="J10" i="62" a="1"/>
  <c r="J10" s="1"/>
  <c r="N10" s="1"/>
  <c r="L15" i="45" a="1"/>
  <c r="L15" s="1"/>
  <c r="L11" a="1"/>
  <c r="L11" s="1"/>
  <c r="F27" i="12" a="1"/>
  <c r="F27" s="1"/>
  <c r="E48" a="1"/>
  <c r="E48" s="1"/>
  <c r="G48" s="1"/>
  <c r="J21" i="45" a="1"/>
  <c r="J21" s="1"/>
  <c r="F78" i="12" a="1"/>
  <c r="F78" s="1"/>
  <c r="G78" s="1"/>
  <c r="L10" i="45" a="1"/>
  <c r="L10" s="1"/>
  <c r="F52" i="12" a="1"/>
  <c r="F52" s="1"/>
  <c r="F22" a="1"/>
  <c r="F22" s="1"/>
  <c r="H20" i="62" a="1"/>
  <c r="H20" s="1"/>
  <c r="L20" s="1"/>
  <c r="E44" i="15" a="1"/>
  <c r="E44" s="1"/>
  <c r="E45" s="1"/>
  <c r="L17" i="45" a="1"/>
  <c r="L17" s="1"/>
  <c r="F25" i="15" a="1"/>
  <c r="F25" s="1"/>
  <c r="J14" i="45" a="1"/>
  <c r="J14" s="1"/>
  <c r="H11" i="62" a="1"/>
  <c r="H11" s="1"/>
  <c r="F38" i="12" a="1"/>
  <c r="F38" s="1"/>
  <c r="H38" s="1"/>
  <c r="E37" a="1"/>
  <c r="E37" s="1"/>
  <c r="F38" i="15" a="1"/>
  <c r="F38" s="1"/>
  <c r="H38" s="1"/>
  <c r="J26" i="45" a="1"/>
  <c r="J26" s="1"/>
  <c r="E60" i="15" a="1"/>
  <c r="E60" s="1"/>
  <c r="L13" i="45" a="1"/>
  <c r="L13" s="1"/>
  <c r="H48" i="55" a="1"/>
  <c r="H48" s="1"/>
  <c r="L48" s="1"/>
  <c r="H20" a="1"/>
  <c r="H20" s="1"/>
  <c r="L20" s="1"/>
  <c r="E73" i="12" a="1"/>
  <c r="E73" s="1"/>
  <c r="H73" s="1"/>
  <c r="E42" a="1"/>
  <c r="E42" s="1"/>
  <c r="G42" s="1"/>
  <c r="E35" a="1"/>
  <c r="E35" s="1"/>
  <c r="G35" s="1"/>
  <c r="L30" i="45" a="1"/>
  <c r="L30" s="1"/>
  <c r="E67" i="12" a="1"/>
  <c r="E67" s="1"/>
  <c r="E21" i="15" a="1"/>
  <c r="E21" s="1"/>
  <c r="H13" i="55" a="1"/>
  <c r="H13" s="1"/>
  <c r="L13" s="1"/>
  <c r="J16" i="45" a="1"/>
  <c r="J16" s="1"/>
  <c r="E12" i="15" a="1"/>
  <c r="E12" s="1"/>
  <c r="L23" i="45" a="1"/>
  <c r="L23" s="1"/>
  <c r="E27" i="15" a="1"/>
  <c r="E27" s="1"/>
  <c r="L12" i="45" a="1"/>
  <c r="L12" s="1"/>
  <c r="P12" s="1"/>
  <c r="E36" i="12" a="1"/>
  <c r="E36" s="1"/>
  <c r="E83" a="1"/>
  <c r="E83" s="1"/>
  <c r="G83" s="1"/>
  <c r="J16" i="62" a="1"/>
  <c r="J16" s="1"/>
  <c r="N16" s="1"/>
  <c r="L34" i="45" a="1"/>
  <c r="L34" s="1"/>
  <c r="P34" s="1"/>
  <c r="F68" i="12" a="1"/>
  <c r="F68" s="1"/>
  <c r="H68" s="1"/>
  <c r="F36" i="15" a="1"/>
  <c r="F36" s="1"/>
  <c r="F37" s="1"/>
  <c r="E29" i="12" a="1"/>
  <c r="E29" s="1"/>
  <c r="H29" s="1"/>
  <c r="F7" a="1"/>
  <c r="F7" s="1"/>
  <c r="H7" s="1"/>
  <c r="H101" i="55" a="1"/>
  <c r="H101" s="1"/>
  <c r="L101" s="1"/>
  <c r="E77" i="12" a="1"/>
  <c r="E77" s="1"/>
  <c r="G77" s="1"/>
  <c r="E75" a="1"/>
  <c r="E75" s="1"/>
  <c r="H59" i="55" a="1"/>
  <c r="H59" s="1"/>
  <c r="L59" s="1"/>
  <c r="E90" i="12" a="1"/>
  <c r="E90" s="1"/>
  <c r="E14" a="1"/>
  <c r="E14" s="1"/>
  <c r="H7" i="62" a="1"/>
  <c r="H7" s="1"/>
  <c r="E13" i="12" a="1"/>
  <c r="E13" s="1"/>
  <c r="L29" i="45" a="1"/>
  <c r="L29" s="1"/>
  <c r="P29" s="1"/>
  <c r="E43" i="12" a="1"/>
  <c r="E43" s="1"/>
  <c r="H43" s="1"/>
  <c r="E50" a="1"/>
  <c r="E50" s="1"/>
  <c r="E92" a="1"/>
  <c r="E92" s="1"/>
  <c r="F12" a="1"/>
  <c r="F12" s="1"/>
  <c r="J13" i="62" a="1"/>
  <c r="J13" s="1"/>
  <c r="E66" i="12" a="1"/>
  <c r="E66" s="1"/>
  <c r="G66" s="1"/>
  <c r="E71" a="1"/>
  <c r="E71" s="1"/>
  <c r="H71" s="1"/>
  <c r="F76" a="1"/>
  <c r="F76" s="1"/>
  <c r="G76" s="1"/>
  <c r="F79" a="1"/>
  <c r="F79" s="1"/>
  <c r="H79" s="1"/>
  <c r="L8" i="45" a="1"/>
  <c r="L8" s="1"/>
  <c r="F34" i="12" a="1"/>
  <c r="F34" s="1"/>
  <c r="G34" s="1"/>
  <c r="L19" i="45" a="1"/>
  <c r="L19" s="1"/>
  <c r="P19" s="1"/>
  <c r="F13" i="15" a="1"/>
  <c r="F13" s="1"/>
  <c r="F18" i="12" a="1"/>
  <c r="F18" s="1"/>
  <c r="E20" a="1"/>
  <c r="E20" s="1"/>
  <c r="E84" a="1"/>
  <c r="E84" s="1"/>
  <c r="G84" s="1"/>
  <c r="F33" i="15" a="1"/>
  <c r="F33" s="1"/>
  <c r="H33" s="1"/>
  <c r="J7" i="62" a="1"/>
  <c r="J7" s="1"/>
  <c r="N7" s="1"/>
  <c r="E62" i="15" a="1"/>
  <c r="E62" s="1"/>
  <c r="H47" i="55" a="1"/>
  <c r="H47" s="1"/>
  <c r="L9" i="45" a="1"/>
  <c r="L9" s="1"/>
  <c r="H21" i="62" a="1"/>
  <c r="H21" s="1"/>
  <c r="E10" i="12" a="1"/>
  <c r="E10" s="1"/>
  <c r="G10" s="1"/>
  <c r="E20" i="15" a="1"/>
  <c r="E20" s="1"/>
  <c r="G20" s="1"/>
  <c r="H25" i="55" a="1"/>
  <c r="H25" s="1"/>
  <c r="E55" i="12" a="1"/>
  <c r="E55" s="1"/>
  <c r="E49" i="15" a="1"/>
  <c r="E49" s="1"/>
  <c r="J33" i="45" a="1"/>
  <c r="J33" s="1"/>
  <c r="N33" s="1"/>
  <c r="J7" a="1"/>
  <c r="J7" s="1"/>
  <c r="E81" i="12" a="1"/>
  <c r="E81" s="1"/>
  <c r="H81" s="1"/>
  <c r="E65" a="1"/>
  <c r="E65" s="1"/>
  <c r="G65" s="1"/>
  <c r="J13" i="45" a="1"/>
  <c r="J13" s="1"/>
  <c r="H9" i="62" a="1"/>
  <c r="H9" s="1"/>
  <c r="F8" i="12" a="1"/>
  <c r="F8" s="1"/>
  <c r="H8" s="1"/>
  <c r="F70" a="1"/>
  <c r="F70" s="1"/>
  <c r="G70" s="1"/>
  <c r="H111" i="55" a="1"/>
  <c r="H111" s="1"/>
  <c r="L111" s="1"/>
  <c r="J12" a="1"/>
  <c r="J12" s="1"/>
  <c r="L24" i="45" a="1"/>
  <c r="L24" s="1"/>
  <c r="P24" s="1"/>
  <c r="H85" i="55" a="1"/>
  <c r="H85" s="1"/>
  <c r="L85" s="1"/>
  <c r="L28" i="45" a="1"/>
  <c r="L28" s="1"/>
  <c r="P28" s="1"/>
  <c r="H23" i="55" a="1"/>
  <c r="H23" s="1"/>
  <c r="L23" s="1"/>
  <c r="F82" i="12" a="1"/>
  <c r="F82" s="1"/>
  <c r="H82" s="1"/>
  <c r="H18" i="62" a="1"/>
  <c r="H18" s="1"/>
  <c r="F54" i="15" a="1"/>
  <c r="F54" s="1"/>
  <c r="F56" s="1"/>
  <c r="J32" i="45" a="1"/>
  <c r="J32" s="1"/>
  <c r="H15" i="62" a="1"/>
  <c r="H15" s="1"/>
  <c r="H45" i="55" a="1"/>
  <c r="H45" s="1"/>
  <c r="L45" s="1"/>
  <c r="E23" i="12" a="1"/>
  <c r="E23" s="1"/>
  <c r="F15" a="1"/>
  <c r="F15" s="1"/>
  <c r="H12" i="62" a="1"/>
  <c r="H12" s="1"/>
  <c r="L12" s="1"/>
  <c r="E62" i="12" a="1"/>
  <c r="E62" s="1"/>
  <c r="H62" s="1"/>
  <c r="E32" a="1"/>
  <c r="E32" s="1"/>
  <c r="G32" s="1"/>
  <c r="J25" i="45" a="1"/>
  <c r="J25" s="1"/>
  <c r="F33" i="12" a="1"/>
  <c r="F33" s="1"/>
  <c r="F49" a="1"/>
  <c r="F49" s="1"/>
  <c r="G49" s="1"/>
  <c r="E27" a="1"/>
  <c r="E27" s="1"/>
  <c r="G27" s="1"/>
  <c r="E19" a="1"/>
  <c r="E19" s="1"/>
  <c r="G19" s="1"/>
  <c r="H109" i="55" a="1"/>
  <c r="H109" s="1"/>
  <c r="L109" s="1"/>
  <c r="E28" i="15" a="1"/>
  <c r="E28" s="1"/>
  <c r="H28" s="1"/>
  <c r="E5" i="12" a="1"/>
  <c r="E5" s="1"/>
  <c r="H5" s="1"/>
  <c r="H12" i="55" a="1"/>
  <c r="H12" s="1"/>
  <c r="E6" i="12" a="1"/>
  <c r="E6" s="1"/>
  <c r="G6" s="1"/>
  <c r="E25" i="15" a="1"/>
  <c r="E25" s="1"/>
  <c r="F12" a="1"/>
  <c r="F12" s="1"/>
  <c r="J11" i="62" a="1"/>
  <c r="J11" s="1"/>
  <c r="E43" i="15" a="1"/>
  <c r="E43" s="1"/>
  <c r="G43" s="1"/>
  <c r="E24" i="12" a="1"/>
  <c r="E24" s="1"/>
  <c r="G24" s="1"/>
  <c r="F16" a="1"/>
  <c r="F16" s="1"/>
  <c r="H16" s="1"/>
  <c r="F26" a="1"/>
  <c r="F26" s="1"/>
  <c r="G26" s="1"/>
  <c r="F17" a="1"/>
  <c r="F17" s="1"/>
  <c r="H93" i="55" a="1"/>
  <c r="H93" s="1"/>
  <c r="L93" s="1"/>
  <c r="H17" a="1"/>
  <c r="H17" s="1"/>
  <c r="E40" i="15" a="1"/>
  <c r="E40" s="1"/>
  <c r="G40" s="1"/>
  <c r="F39" a="1"/>
  <c r="F39" s="1"/>
  <c r="E33" i="12" a="1"/>
  <c r="E33" s="1"/>
  <c r="L18" i="45" a="1"/>
  <c r="L18" s="1"/>
  <c r="P18" s="1"/>
  <c r="F67" i="12" a="1"/>
  <c r="F67" s="1"/>
  <c r="E42" i="15" a="1"/>
  <c r="E42" s="1"/>
  <c r="G42" s="1"/>
  <c r="E74" i="12" a="1"/>
  <c r="E74" s="1"/>
  <c r="G74" s="1"/>
  <c r="J23" i="45" a="1"/>
  <c r="J23" s="1"/>
  <c r="J74" i="55" a="1"/>
  <c r="J74" s="1"/>
  <c r="E29" i="15" a="1"/>
  <c r="E29" s="1"/>
  <c r="F36" i="12" a="1"/>
  <c r="F36" s="1"/>
  <c r="E69" a="1"/>
  <c r="E69" s="1"/>
  <c r="G69" s="1"/>
  <c r="F85" a="1"/>
  <c r="F85" s="1"/>
  <c r="H85" s="1"/>
  <c r="E72" a="1"/>
  <c r="E72" s="1"/>
  <c r="G72" s="1"/>
  <c r="F9" a="1"/>
  <c r="F9" s="1"/>
  <c r="H9" s="1"/>
  <c r="F89" a="1"/>
  <c r="F89" s="1"/>
  <c r="G89" s="1"/>
  <c r="F52" i="15" a="1"/>
  <c r="F52" s="1"/>
  <c r="G52" s="1"/>
  <c r="H36" i="55" a="1"/>
  <c r="H36" s="1"/>
  <c r="L36" s="1"/>
  <c r="F44" i="12" a="1"/>
  <c r="F44" s="1"/>
  <c r="H44" s="1"/>
  <c r="F50" i="15" a="1"/>
  <c r="F50" s="1"/>
  <c r="H50" s="1"/>
  <c r="H64" i="55" a="1"/>
  <c r="H64" s="1"/>
  <c r="L64" s="1"/>
  <c r="E31" i="12" a="1"/>
  <c r="E31" s="1"/>
  <c r="F45" a="1"/>
  <c r="F45" s="1"/>
  <c r="H45" s="1"/>
  <c r="F14" a="1"/>
  <c r="F14" s="1"/>
  <c r="G14" s="1"/>
  <c r="F13" a="1"/>
  <c r="F13" s="1"/>
  <c r="E55" i="15" a="1"/>
  <c r="E55" s="1"/>
  <c r="H55" s="1"/>
  <c r="H54" i="55" a="1"/>
  <c r="H54" s="1"/>
  <c r="F90" i="12" a="1"/>
  <c r="F90" s="1"/>
  <c r="F50" a="1"/>
  <c r="F50" s="1"/>
  <c r="E12" a="1"/>
  <c r="E12" s="1"/>
  <c r="H6" i="62" a="1"/>
  <c r="H6" s="1"/>
  <c r="L6" s="1"/>
  <c r="H13" a="1"/>
  <c r="H13" s="1"/>
  <c r="L20" i="45" a="1"/>
  <c r="L20" s="1"/>
  <c r="P20" s="1"/>
  <c r="L6" a="1"/>
  <c r="L6" s="1"/>
  <c r="P6" s="1"/>
  <c r="F20" i="12" a="1"/>
  <c r="F20" s="1"/>
  <c r="E51" i="15" a="1"/>
  <c r="E51" s="1"/>
  <c r="H51" s="1"/>
  <c r="J8" i="45" a="1"/>
  <c r="J8" s="1"/>
  <c r="E16" i="15" a="1"/>
  <c r="E16" s="1"/>
  <c r="E17" s="1"/>
  <c r="F44" a="1"/>
  <c r="F44" s="1"/>
  <c r="F45" s="1"/>
  <c r="L14" i="45" a="1"/>
  <c r="L14" s="1"/>
  <c r="F29" i="15" a="1"/>
  <c r="F29" s="1"/>
  <c r="J17" i="62" a="1"/>
  <c r="J17" s="1"/>
  <c r="N17" s="1"/>
  <c r="F25" i="12" a="1"/>
  <c r="F25" s="1"/>
  <c r="H25" s="1"/>
  <c r="E47" i="15" a="1"/>
  <c r="E47" s="1"/>
  <c r="E48" s="1"/>
  <c r="F86" i="12" a="1"/>
  <c r="F86" s="1"/>
  <c r="G86" s="1"/>
  <c r="H76" i="55" a="1"/>
  <c r="H76" s="1"/>
  <c r="L76" s="1"/>
  <c r="N78" s="1"/>
  <c r="J14" i="62" a="1"/>
  <c r="J14" s="1"/>
  <c r="N14" s="1"/>
  <c r="E54" i="15" a="1"/>
  <c r="E54" s="1"/>
  <c r="E39" a="1"/>
  <c r="E39" s="1"/>
  <c r="F4" i="12" a="1"/>
  <c r="F4" s="1"/>
  <c r="E13" i="15" a="1"/>
  <c r="E13" s="1"/>
  <c r="G13" s="1"/>
  <c r="E4" i="12" a="1"/>
  <c r="E4" s="1"/>
  <c r="E36" i="15" a="1"/>
  <c r="E36" s="1"/>
  <c r="E37" s="1"/>
  <c r="F21" a="1"/>
  <c r="F21" s="1"/>
  <c r="F47" a="1"/>
  <c r="F47" s="1"/>
  <c r="F48" s="1"/>
  <c r="E57" a="1"/>
  <c r="E57" s="1"/>
  <c r="E58" s="1"/>
  <c r="H74" i="55" a="1"/>
  <c r="H74" s="1"/>
  <c r="J5" i="45" a="1"/>
  <c r="J5" s="1"/>
  <c r="E18" i="15" a="1"/>
  <c r="E18" s="1"/>
  <c r="E19" s="1"/>
  <c r="H58" i="55" a="1"/>
  <c r="H58" s="1"/>
  <c r="F27" i="15" a="1"/>
  <c r="F27" s="1"/>
  <c r="L5" i="45" a="1"/>
  <c r="L5" s="1"/>
  <c r="F49" i="15" a="1"/>
  <c r="F49" s="1"/>
  <c r="N18" i="62" l="1"/>
  <c r="H37" i="12"/>
  <c r="H22"/>
  <c r="P15" i="45"/>
  <c r="L47" i="55"/>
  <c r="L54"/>
  <c r="L52"/>
  <c r="L44"/>
  <c r="N21" i="45"/>
  <c r="N23"/>
  <c r="G29" i="15"/>
  <c r="F14"/>
  <c r="H17" i="12"/>
  <c r="N30" i="45"/>
  <c r="G24" i="15"/>
  <c r="N9" i="45"/>
  <c r="H50" i="12"/>
  <c r="N11" i="62"/>
  <c r="P25" i="45"/>
  <c r="P7"/>
  <c r="N11"/>
  <c r="H54" i="12"/>
  <c r="G37" i="15"/>
  <c r="L37" i="55"/>
  <c r="L40"/>
  <c r="H25" i="15"/>
  <c r="G92" i="12"/>
  <c r="H49" i="15"/>
  <c r="L13" i="62"/>
  <c r="H52" i="15"/>
  <c r="H55" i="12"/>
  <c r="G18"/>
  <c r="N16" i="45"/>
  <c r="H59" i="15"/>
  <c r="L104" i="55"/>
  <c r="G28" i="15"/>
  <c r="G87" i="12"/>
  <c r="G15" i="15"/>
  <c r="L97" i="55"/>
  <c r="L31"/>
  <c r="H21" i="15"/>
  <c r="N8" i="45"/>
  <c r="L69" i="55"/>
  <c r="L19"/>
  <c r="L110"/>
  <c r="H72"/>
  <c r="H73" s="1"/>
  <c r="G36" i="15"/>
  <c r="N32" i="45"/>
  <c r="L9" i="62"/>
  <c r="P26" i="45"/>
  <c r="H88" i="12"/>
  <c r="G81"/>
  <c r="G15"/>
  <c r="G40"/>
  <c r="H57"/>
  <c r="N15" i="62"/>
  <c r="G13" i="12"/>
  <c r="P14" i="45"/>
  <c r="G12" i="12"/>
  <c r="G73"/>
  <c r="P13" i="45"/>
  <c r="H11" i="12"/>
  <c r="L25" i="55"/>
  <c r="G93" i="12"/>
  <c r="L60" i="55"/>
  <c r="L27"/>
  <c r="L41"/>
  <c r="G39" i="15"/>
  <c r="G41" s="1"/>
  <c r="H67" i="12"/>
  <c r="E64" i="15"/>
  <c r="E65" s="1"/>
  <c r="H60"/>
  <c r="L29" i="55"/>
  <c r="L32"/>
  <c r="L24"/>
  <c r="L51"/>
  <c r="L106"/>
  <c r="L37" i="45"/>
  <c r="L38" s="1"/>
  <c r="N13"/>
  <c r="G20" i="12"/>
  <c r="H86"/>
  <c r="H90"/>
  <c r="G31"/>
  <c r="L17" i="55"/>
  <c r="H12" i="15"/>
  <c r="H33" i="12"/>
  <c r="J56" i="55"/>
  <c r="J57" s="1"/>
  <c r="N21" i="62"/>
  <c r="P8" i="45"/>
  <c r="G50" i="12"/>
  <c r="H36"/>
  <c r="P23" i="45"/>
  <c r="G60" i="15"/>
  <c r="P17" i="45"/>
  <c r="H52" i="12"/>
  <c r="H61"/>
  <c r="N22" i="45"/>
  <c r="G11" i="12"/>
  <c r="L15" i="55"/>
  <c r="L65"/>
  <c r="L94"/>
  <c r="L98"/>
  <c r="J114"/>
  <c r="J115" s="1"/>
  <c r="L58"/>
  <c r="E41" i="15"/>
  <c r="E46" s="1"/>
  <c r="E56"/>
  <c r="G51"/>
  <c r="G55"/>
  <c r="H14" i="12"/>
  <c r="H89"/>
  <c r="H39" i="15"/>
  <c r="G25"/>
  <c r="G5" i="12"/>
  <c r="L18" i="62"/>
  <c r="H70" i="12"/>
  <c r="N7" i="45"/>
  <c r="H12" i="12"/>
  <c r="G90"/>
  <c r="G67"/>
  <c r="J72" i="55"/>
  <c r="J73" s="1"/>
  <c r="H22" i="15"/>
  <c r="H59" i="12"/>
  <c r="H39"/>
  <c r="L22" i="55"/>
  <c r="L75"/>
  <c r="L70"/>
  <c r="L53"/>
  <c r="L82"/>
  <c r="L30"/>
  <c r="L62"/>
  <c r="H20" i="12"/>
  <c r="H13"/>
  <c r="L7" i="62"/>
  <c r="E14" i="15"/>
  <c r="L11" i="62"/>
  <c r="F61" i="15"/>
  <c r="G61" i="12"/>
  <c r="H93"/>
  <c r="L95" i="55"/>
  <c r="L49"/>
  <c r="H114"/>
  <c r="H115" s="1"/>
  <c r="F53" i="15"/>
  <c r="J37" i="45"/>
  <c r="H48" i="15"/>
  <c r="H4" i="12"/>
  <c r="H44" i="15"/>
  <c r="H45" s="1"/>
  <c r="G85" i="12"/>
  <c r="G36"/>
  <c r="G33"/>
  <c r="L12" i="55"/>
  <c r="G23" i="12"/>
  <c r="H35" i="15"/>
  <c r="H13"/>
  <c r="N13" i="62"/>
  <c r="G75" i="12"/>
  <c r="E23" i="15"/>
  <c r="E61"/>
  <c r="N14" i="45"/>
  <c r="H63" i="12"/>
  <c r="H15" i="15"/>
  <c r="H53" i="12"/>
  <c r="H87"/>
  <c r="L33" i="55"/>
  <c r="G27" i="15"/>
  <c r="F30"/>
  <c r="H27"/>
  <c r="N5" i="45"/>
  <c r="L74" i="55"/>
  <c r="F23" i="15"/>
  <c r="H47"/>
  <c r="G47"/>
  <c r="P5" i="45"/>
  <c r="G4" i="12"/>
  <c r="E95"/>
  <c r="E97" s="1"/>
  <c r="G48" i="15"/>
  <c r="H37"/>
  <c r="F95" i="12"/>
  <c r="F97" s="1"/>
  <c r="H29" i="15"/>
  <c r="G16"/>
  <c r="G17" s="1"/>
  <c r="H56" i="55"/>
  <c r="H57" s="1"/>
  <c r="H54" i="15"/>
  <c r="H56" s="1"/>
  <c r="E53"/>
  <c r="N79" i="55"/>
  <c r="N80" s="1"/>
  <c r="H26" i="12"/>
  <c r="H49"/>
  <c r="N25" i="45"/>
  <c r="G62" i="12"/>
  <c r="H15"/>
  <c r="G55"/>
  <c r="L21" i="62"/>
  <c r="F41" i="15"/>
  <c r="F46" s="1"/>
  <c r="H18" i="12"/>
  <c r="H34"/>
  <c r="G71"/>
  <c r="G43"/>
  <c r="G12" i="15"/>
  <c r="G14" s="1"/>
  <c r="P30" i="45"/>
  <c r="E30" i="15"/>
  <c r="G21"/>
  <c r="F35"/>
  <c r="G44"/>
  <c r="G45" s="1"/>
  <c r="G54"/>
  <c r="L15" i="62"/>
  <c r="G49" i="15"/>
  <c r="P9" i="45"/>
  <c r="H76" i="12"/>
  <c r="G29"/>
  <c r="H36" i="15"/>
  <c r="N26" i="45"/>
  <c r="G37" i="12"/>
  <c r="P11" i="45"/>
  <c r="H92" i="12"/>
  <c r="G41"/>
  <c r="H41"/>
  <c r="G17"/>
  <c r="H74"/>
  <c r="G22"/>
  <c r="L16" i="62"/>
  <c r="H16" i="15"/>
  <c r="H17" s="1"/>
  <c r="H43"/>
  <c r="N19" i="62"/>
  <c r="G16" i="12"/>
  <c r="G33" i="15"/>
  <c r="G60" i="12"/>
  <c r="G59" i="15"/>
  <c r="L22" i="62"/>
  <c r="N12" i="45"/>
  <c r="P33"/>
  <c r="H23" i="12"/>
  <c r="G22" i="15"/>
  <c r="N9" i="62"/>
  <c r="P16" i="45"/>
  <c r="N20"/>
  <c r="G52" i="12"/>
  <c r="N15" i="45"/>
  <c r="H24" i="15"/>
  <c r="N12" i="62"/>
  <c r="P10" i="45"/>
  <c r="N10"/>
  <c r="P32"/>
  <c r="H40" i="12"/>
  <c r="H42"/>
  <c r="H28"/>
  <c r="G28"/>
  <c r="E32" i="15"/>
  <c r="H31"/>
  <c r="H32" s="1"/>
  <c r="G31"/>
  <c r="G32" s="1"/>
  <c r="H6" i="12"/>
  <c r="H75"/>
  <c r="G25"/>
  <c r="N24" i="45"/>
  <c r="H69" i="12"/>
  <c r="H24"/>
  <c r="H78"/>
  <c r="H27"/>
  <c r="H31"/>
  <c r="H84"/>
  <c r="G58"/>
  <c r="H58"/>
  <c r="H40" i="15"/>
  <c r="N17" i="45"/>
  <c r="H10" i="12"/>
  <c r="N19" i="45"/>
  <c r="N29"/>
  <c r="H42" i="15"/>
  <c r="G38" i="12"/>
  <c r="G7"/>
  <c r="L10" i="62"/>
  <c r="P21" i="45"/>
  <c r="H56" i="12"/>
  <c r="H21"/>
  <c r="N6" i="62"/>
  <c r="G9" i="12"/>
  <c r="H80"/>
  <c r="G26" i="15"/>
  <c r="G50"/>
  <c r="H83" i="12"/>
  <c r="L14" i="62"/>
  <c r="H32" i="12"/>
  <c r="E35" i="15"/>
  <c r="G53" i="12"/>
  <c r="G8"/>
  <c r="G30"/>
  <c r="N6" i="45"/>
  <c r="H72" i="12"/>
  <c r="L17" i="62"/>
  <c r="H48" i="12"/>
  <c r="G44"/>
  <c r="G82"/>
  <c r="G38" i="15"/>
  <c r="N27" i="45"/>
  <c r="N34"/>
  <c r="G47" i="12"/>
  <c r="G68"/>
  <c r="F17" i="15"/>
  <c r="G54" i="12"/>
  <c r="H77"/>
  <c r="H65"/>
  <c r="G88"/>
  <c r="H91"/>
  <c r="N28" i="45"/>
  <c r="N35"/>
  <c r="H64" i="12"/>
  <c r="G79"/>
  <c r="H20" i="15"/>
  <c r="H46" i="12"/>
  <c r="G45"/>
  <c r="N20" i="62"/>
  <c r="N23"/>
  <c r="G34" i="15"/>
  <c r="N31" i="45"/>
  <c r="H66" i="12"/>
  <c r="N18" i="45"/>
  <c r="L8" i="62"/>
  <c r="H35" i="12"/>
  <c r="H19"/>
  <c r="H51"/>
  <c r="E10" i="15" a="1"/>
  <c r="E10" s="1"/>
  <c r="E11" s="1"/>
  <c r="H5" i="62" a="1"/>
  <c r="H5" s="1"/>
  <c r="H25" s="1"/>
  <c r="H27" s="1"/>
  <c r="F57" i="15" a="1"/>
  <c r="F57" s="1"/>
  <c r="F58" s="1"/>
  <c r="G58" s="1"/>
  <c r="Q4068" i="34"/>
  <c r="J5" i="62" a="1"/>
  <c r="J5" s="1"/>
  <c r="J25" s="1"/>
  <c r="J27" s="1"/>
  <c r="F18" i="15" a="1"/>
  <c r="F18" s="1"/>
  <c r="F19" s="1"/>
  <c r="G19" s="1"/>
  <c r="AA4068" i="34"/>
  <c r="F19" i="56" s="1"/>
  <c r="J38" i="45" l="1"/>
  <c r="I46" i="12"/>
  <c r="H61" i="15"/>
  <c r="H41"/>
  <c r="H46" s="1"/>
  <c r="G23"/>
  <c r="G46"/>
  <c r="H23"/>
  <c r="E75"/>
  <c r="G56"/>
  <c r="H53"/>
  <c r="H14"/>
  <c r="G61"/>
  <c r="L114" i="55"/>
  <c r="G30" i="15"/>
  <c r="F17" i="56"/>
  <c r="L56" i="55"/>
  <c r="L57" s="1"/>
  <c r="H95" i="12"/>
  <c r="B20" i="56"/>
  <c r="D20" s="1"/>
  <c r="B18"/>
  <c r="D18" s="1"/>
  <c r="L72" i="55"/>
  <c r="L73" s="1"/>
  <c r="H19" i="15"/>
  <c r="N5" i="62"/>
  <c r="N25" s="1"/>
  <c r="G23" i="56"/>
  <c r="G17"/>
  <c r="G8"/>
  <c r="A9"/>
  <c r="F22"/>
  <c r="H22" s="1"/>
  <c r="G7"/>
  <c r="G22"/>
  <c r="G18"/>
  <c r="G20"/>
  <c r="G19"/>
  <c r="H19" s="1"/>
  <c r="G21"/>
  <c r="F20"/>
  <c r="D6"/>
  <c r="F28" s="1"/>
  <c r="F23"/>
  <c r="H23" s="1"/>
  <c r="F18"/>
  <c r="F21"/>
  <c r="H21" s="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I105" s="1"/>
  <c r="E44"/>
  <c r="I44" s="1"/>
  <c r="E42"/>
  <c r="I42" s="1"/>
  <c r="E78"/>
  <c r="I78" s="1"/>
  <c r="E62"/>
  <c r="I62" s="1"/>
  <c r="E81"/>
  <c r="I81" s="1"/>
  <c r="E77"/>
  <c r="I77" s="1"/>
  <c r="E41"/>
  <c r="I41" s="1"/>
  <c r="E14"/>
  <c r="I14" s="1"/>
  <c r="E72"/>
  <c r="I72" s="1"/>
  <c r="E113"/>
  <c r="I113" s="1"/>
  <c r="E48"/>
  <c r="I48" s="1"/>
  <c r="E53"/>
  <c r="I53" s="1"/>
  <c r="H14"/>
  <c r="E25"/>
  <c r="I25" s="1"/>
  <c r="E39"/>
  <c r="I39" s="1"/>
  <c r="E43"/>
  <c r="I43" s="1"/>
  <c r="E112"/>
  <c r="I112" s="1"/>
  <c r="E74"/>
  <c r="I74" s="1"/>
  <c r="E73"/>
  <c r="I73" s="1"/>
  <c r="E57"/>
  <c r="I57" s="1"/>
  <c r="E16"/>
  <c r="I16" s="1"/>
  <c r="E64"/>
  <c r="I64" s="1"/>
  <c r="E110"/>
  <c r="I110" s="1"/>
  <c r="E107"/>
  <c r="I107" s="1"/>
  <c r="E40"/>
  <c r="I40" s="1"/>
  <c r="D14"/>
  <c r="F83"/>
  <c r="G15"/>
  <c r="B108"/>
  <c r="B39"/>
  <c r="F54"/>
  <c r="H101"/>
  <c r="C88"/>
  <c r="D38"/>
  <c r="G26"/>
  <c r="A86"/>
  <c r="F41"/>
  <c r="G29"/>
  <c r="B79"/>
  <c r="B100"/>
  <c r="G60"/>
  <c r="H29"/>
  <c r="C47"/>
  <c r="A36"/>
  <c r="D64"/>
  <c r="E87"/>
  <c r="I87" s="1"/>
  <c r="E88"/>
  <c r="I88" s="1"/>
  <c r="E114"/>
  <c r="I114" s="1"/>
  <c r="E90"/>
  <c r="I90" s="1"/>
  <c r="E47"/>
  <c r="I47" s="1"/>
  <c r="E97"/>
  <c r="I97" s="1"/>
  <c r="E85"/>
  <c r="I85" s="1"/>
  <c r="E68"/>
  <c r="I68" s="1"/>
  <c r="E15"/>
  <c r="I15" s="1"/>
  <c r="E20"/>
  <c r="I20" s="1"/>
  <c r="E98"/>
  <c r="I98" s="1"/>
  <c r="E89"/>
  <c r="I89" s="1"/>
  <c r="E22"/>
  <c r="I22" s="1"/>
  <c r="E38"/>
  <c r="I38" s="1"/>
  <c r="E49"/>
  <c r="I49" s="1"/>
  <c r="E52"/>
  <c r="I52" s="1"/>
  <c r="E58"/>
  <c r="I58" s="1"/>
  <c r="E82"/>
  <c r="I82" s="1"/>
  <c r="E115"/>
  <c r="I115" s="1"/>
  <c r="E30"/>
  <c r="I30" s="1"/>
  <c r="E100"/>
  <c r="I100" s="1"/>
  <c r="E33"/>
  <c r="I33" s="1"/>
  <c r="E26"/>
  <c r="I26" s="1"/>
  <c r="E71"/>
  <c r="I71" s="1"/>
  <c r="E91"/>
  <c r="I91" s="1"/>
  <c r="E45"/>
  <c r="I45" s="1"/>
  <c r="E34"/>
  <c r="I34" s="1"/>
  <c r="E28"/>
  <c r="I28" s="1"/>
  <c r="E24"/>
  <c r="I24" s="1"/>
  <c r="E104"/>
  <c r="I104" s="1"/>
  <c r="E94"/>
  <c r="I94" s="1"/>
  <c r="E79"/>
  <c r="I79" s="1"/>
  <c r="E55"/>
  <c r="I55" s="1"/>
  <c r="E19"/>
  <c r="I19" s="1"/>
  <c r="E116"/>
  <c r="I116" s="1"/>
  <c r="A14"/>
  <c r="A125" s="1"/>
  <c r="E80"/>
  <c r="I80" s="1"/>
  <c r="E86"/>
  <c r="I86" s="1"/>
  <c r="E70"/>
  <c r="I70" s="1"/>
  <c r="E63"/>
  <c r="I63" s="1"/>
  <c r="E54"/>
  <c r="I54" s="1"/>
  <c r="E95"/>
  <c r="I95" s="1"/>
  <c r="E67"/>
  <c r="I67" s="1"/>
  <c r="E46"/>
  <c r="I46" s="1"/>
  <c r="E51"/>
  <c r="I51" s="1"/>
  <c r="E99"/>
  <c r="I99" s="1"/>
  <c r="E23"/>
  <c r="I23" s="1"/>
  <c r="E18"/>
  <c r="I18" s="1"/>
  <c r="E65"/>
  <c r="I65" s="1"/>
  <c r="E60"/>
  <c r="I60" s="1"/>
  <c r="E75"/>
  <c r="I75" s="1"/>
  <c r="E109"/>
  <c r="I109" s="1"/>
  <c r="E83"/>
  <c r="I83" s="1"/>
  <c r="E92"/>
  <c r="I92" s="1"/>
  <c r="E59"/>
  <c r="I59" s="1"/>
  <c r="E76"/>
  <c r="I76" s="1"/>
  <c r="E93"/>
  <c r="I93" s="1"/>
  <c r="E106"/>
  <c r="I106" s="1"/>
  <c r="E29"/>
  <c r="I29" s="1"/>
  <c r="E102"/>
  <c r="I102" s="1"/>
  <c r="E35"/>
  <c r="I35" s="1"/>
  <c r="E69"/>
  <c r="I69" s="1"/>
  <c r="E21"/>
  <c r="I21" s="1"/>
  <c r="E36"/>
  <c r="I36" s="1"/>
  <c r="E66"/>
  <c r="I66" s="1"/>
  <c r="E101"/>
  <c r="I101" s="1"/>
  <c r="E61"/>
  <c r="I61" s="1"/>
  <c r="E17"/>
  <c r="I17" s="1"/>
  <c r="E56"/>
  <c r="I56" s="1"/>
  <c r="E32"/>
  <c r="I32" s="1"/>
  <c r="E111"/>
  <c r="I111" s="1"/>
  <c r="E50"/>
  <c r="I50" s="1"/>
  <c r="E37"/>
  <c r="I37" s="1"/>
  <c r="E84"/>
  <c r="I84" s="1"/>
  <c r="E96"/>
  <c r="I96" s="1"/>
  <c r="E103"/>
  <c r="I103" s="1"/>
  <c r="E31"/>
  <c r="I31" s="1"/>
  <c r="E108"/>
  <c r="I108" s="1"/>
  <c r="E27"/>
  <c r="I27" s="1"/>
  <c r="H18" i="15"/>
  <c r="G18"/>
  <c r="H58"/>
  <c r="B23" i="56"/>
  <c r="B22"/>
  <c r="G14" i="42"/>
  <c r="H57" i="15"/>
  <c r="G57"/>
  <c r="L5" i="62"/>
  <c r="L25" s="1"/>
  <c r="N27" s="1"/>
  <c r="B19" i="56"/>
  <c r="B17"/>
  <c r="I42" i="12"/>
  <c r="I41"/>
  <c r="I77"/>
  <c r="I38"/>
  <c r="I43"/>
  <c r="I40"/>
  <c r="L115" i="55"/>
  <c r="I34" i="12"/>
  <c r="I53"/>
  <c r="I49"/>
  <c r="I52"/>
  <c r="I35"/>
  <c r="I47"/>
  <c r="G95"/>
  <c r="H97" s="1"/>
  <c r="N37" i="45"/>
  <c r="G35" i="15"/>
  <c r="G53"/>
  <c r="I54" i="12"/>
  <c r="I36"/>
  <c r="I44"/>
  <c r="I39"/>
  <c r="I33"/>
  <c r="I50"/>
  <c r="I27"/>
  <c r="H30" i="15"/>
  <c r="I37" i="12"/>
  <c r="I4"/>
  <c r="I45"/>
  <c r="I28"/>
  <c r="I48"/>
  <c r="I51"/>
  <c r="P37" i="45"/>
  <c r="F10" i="15" a="1"/>
  <c r="F10" s="1"/>
  <c r="T4068" i="34"/>
  <c r="A61" i="43" s="1"/>
  <c r="AC4068" i="34"/>
  <c r="B19" i="58" s="1"/>
  <c r="X4068" i="34"/>
  <c r="D28" i="47" s="1"/>
  <c r="I28" s="1"/>
  <c r="AB4068" i="34"/>
  <c r="F47" i="57" s="1"/>
  <c r="AD4068" i="34"/>
  <c r="B19" i="69" s="1"/>
  <c r="P4068" i="34"/>
  <c r="G14" i="14" s="1"/>
  <c r="W4068" i="34"/>
  <c r="I17" i="52" s="1"/>
  <c r="Y4068" i="34"/>
  <c r="D27" i="63" s="1"/>
  <c r="D13" i="39"/>
  <c r="Z4068" i="34"/>
  <c r="G19" i="48" s="1"/>
  <c r="C14" i="39"/>
  <c r="H20" i="56" l="1"/>
  <c r="H17"/>
  <c r="B24" i="58"/>
  <c r="A24" s="1"/>
  <c r="H18" i="56"/>
  <c r="A50" i="43"/>
  <c r="A13"/>
  <c r="B15" i="58"/>
  <c r="B30"/>
  <c r="F30" s="1"/>
  <c r="D26" i="63"/>
  <c r="A64" i="43"/>
  <c r="B14" i="58"/>
  <c r="F19"/>
  <c r="A19"/>
  <c r="F22" i="57"/>
  <c r="F43"/>
  <c r="H17" i="48"/>
  <c r="AW17" s="1"/>
  <c r="D25" i="63"/>
  <c r="C15" i="48"/>
  <c r="F31" i="57"/>
  <c r="D26" i="14"/>
  <c r="J26" s="1"/>
  <c r="C18" i="48"/>
  <c r="D24" i="57"/>
  <c r="D33" i="63"/>
  <c r="C29" i="48"/>
  <c r="F16" i="57"/>
  <c r="G13" i="48"/>
  <c r="A22" i="43"/>
  <c r="A69"/>
  <c r="F38" i="57"/>
  <c r="B22" i="58"/>
  <c r="A22" s="1"/>
  <c r="D21" i="63"/>
  <c r="J17"/>
  <c r="G11" i="48"/>
  <c r="BX11" s="1"/>
  <c r="H11"/>
  <c r="D31" i="63"/>
  <c r="D18" i="57"/>
  <c r="L18" s="1"/>
  <c r="B25" i="58"/>
  <c r="A25" s="1"/>
  <c r="F25" i="57"/>
  <c r="A34" i="43"/>
  <c r="F33" i="57"/>
  <c r="F24" i="58"/>
  <c r="F22"/>
  <c r="AB13" i="48"/>
  <c r="AQ11"/>
  <c r="CE11"/>
  <c r="W11"/>
  <c r="AC11"/>
  <c r="AG11"/>
  <c r="AS11"/>
  <c r="CV13"/>
  <c r="CG11"/>
  <c r="CJ19"/>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J19" i="69"/>
  <c r="C19"/>
  <c r="E19"/>
  <c r="F19"/>
  <c r="C25" i="47"/>
  <c r="C17"/>
  <c r="E23"/>
  <c r="A27"/>
  <c r="F28"/>
  <c r="F36"/>
  <c r="E19"/>
  <c r="E16"/>
  <c r="B21"/>
  <c r="A39"/>
  <c r="C15"/>
  <c r="G28"/>
  <c r="G33"/>
  <c r="E30"/>
  <c r="E39"/>
  <c r="E24"/>
  <c r="B27"/>
  <c r="A17"/>
  <c r="E15"/>
  <c r="G37"/>
  <c r="E40"/>
  <c r="C30"/>
  <c r="F39"/>
  <c r="G22"/>
  <c r="E35"/>
  <c r="G30"/>
  <c r="C38"/>
  <c r="A26"/>
  <c r="A38"/>
  <c r="G31"/>
  <c r="C27"/>
  <c r="E20"/>
  <c r="E28"/>
  <c r="A37"/>
  <c r="A35"/>
  <c r="B34"/>
  <c r="F40"/>
  <c r="E18"/>
  <c r="B39"/>
  <c r="G38"/>
  <c r="F20"/>
  <c r="E17"/>
  <c r="B20"/>
  <c r="B29"/>
  <c r="G23"/>
  <c r="F19"/>
  <c r="B33"/>
  <c r="C23"/>
  <c r="B25"/>
  <c r="F17"/>
  <c r="G24"/>
  <c r="A28"/>
  <c r="B32"/>
  <c r="A18"/>
  <c r="E25"/>
  <c r="C33"/>
  <c r="C39"/>
  <c r="F37"/>
  <c r="F30"/>
  <c r="B16"/>
  <c r="E21"/>
  <c r="B30"/>
  <c r="E36"/>
  <c r="A19"/>
  <c r="A34"/>
  <c r="B15"/>
  <c r="F29"/>
  <c r="F18"/>
  <c r="F22"/>
  <c r="F24"/>
  <c r="B37"/>
  <c r="A20"/>
  <c r="C22"/>
  <c r="B23"/>
  <c r="F35"/>
  <c r="A21"/>
  <c r="B31"/>
  <c r="F21"/>
  <c r="B38"/>
  <c r="G35"/>
  <c r="G20"/>
  <c r="A22"/>
  <c r="A16"/>
  <c r="C19"/>
  <c r="C36"/>
  <c r="C21"/>
  <c r="G16"/>
  <c r="E26"/>
  <c r="F31"/>
  <c r="A30"/>
  <c r="E31"/>
  <c r="E38"/>
  <c r="E37"/>
  <c r="G27"/>
  <c r="G40"/>
  <c r="B36"/>
  <c r="F27"/>
  <c r="C24"/>
  <c r="G32"/>
  <c r="G36"/>
  <c r="G18"/>
  <c r="F25"/>
  <c r="G34"/>
  <c r="F33"/>
  <c r="C35"/>
  <c r="F38"/>
  <c r="A25"/>
  <c r="F26"/>
  <c r="E29"/>
  <c r="E34"/>
  <c r="C32"/>
  <c r="C31"/>
  <c r="G17"/>
  <c r="G26"/>
  <c r="F16"/>
  <c r="E22"/>
  <c r="B18"/>
  <c r="F23"/>
  <c r="C29"/>
  <c r="A31"/>
  <c r="C26"/>
  <c r="G29"/>
  <c r="G25"/>
  <c r="C18"/>
  <c r="C40"/>
  <c r="B40"/>
  <c r="E33"/>
  <c r="A15"/>
  <c r="C37"/>
  <c r="G39"/>
  <c r="G19"/>
  <c r="A40"/>
  <c r="F32"/>
  <c r="B35"/>
  <c r="E27"/>
  <c r="B28"/>
  <c r="A29"/>
  <c r="A32"/>
  <c r="B26"/>
  <c r="C28"/>
  <c r="A23"/>
  <c r="B19"/>
  <c r="C16"/>
  <c r="B24"/>
  <c r="B22"/>
  <c r="C34"/>
  <c r="B17"/>
  <c r="A24"/>
  <c r="G21"/>
  <c r="A33"/>
  <c r="A36"/>
  <c r="F34"/>
  <c r="C20"/>
  <c r="E32"/>
  <c r="G15"/>
  <c r="D35"/>
  <c r="D36"/>
  <c r="D22"/>
  <c r="D21"/>
  <c r="D25"/>
  <c r="D17"/>
  <c r="D26"/>
  <c r="D40"/>
  <c r="D30"/>
  <c r="D32"/>
  <c r="D16"/>
  <c r="D24"/>
  <c r="D18"/>
  <c r="D23"/>
  <c r="D19"/>
  <c r="D34"/>
  <c r="D29"/>
  <c r="D31"/>
  <c r="F15"/>
  <c r="D37"/>
  <c r="D20"/>
  <c r="D15"/>
  <c r="D33"/>
  <c r="H28"/>
  <c r="J13" i="48"/>
  <c r="CJ13"/>
  <c r="BZ13"/>
  <c r="X13"/>
  <c r="L13"/>
  <c r="V13"/>
  <c r="P13"/>
  <c r="AV13"/>
  <c r="CZ13"/>
  <c r="T13"/>
  <c r="AT13"/>
  <c r="CX13"/>
  <c r="CN13"/>
  <c r="CR13"/>
  <c r="BN13"/>
  <c r="CT13"/>
  <c r="BX13"/>
  <c r="Z13"/>
  <c r="BR13"/>
  <c r="AP13"/>
  <c r="BP13"/>
  <c r="R13"/>
  <c r="CH13"/>
  <c r="CB13"/>
  <c r="CP13"/>
  <c r="N13"/>
  <c r="AH13"/>
  <c r="AF13"/>
  <c r="AL13"/>
  <c r="AX13"/>
  <c r="CF13"/>
  <c r="CD13"/>
  <c r="BV13"/>
  <c r="BD13"/>
  <c r="BL13"/>
  <c r="AE17"/>
  <c r="O17"/>
  <c r="M17"/>
  <c r="BQ17"/>
  <c r="B25" i="69"/>
  <c r="A53" i="43"/>
  <c r="G33" i="48"/>
  <c r="D38" i="47"/>
  <c r="C35" i="48"/>
  <c r="A14" i="58"/>
  <c r="F14"/>
  <c r="E5"/>
  <c r="A35"/>
  <c r="D39" i="47"/>
  <c r="G29" i="48"/>
  <c r="B22" i="69"/>
  <c r="L24" i="57"/>
  <c r="K24"/>
  <c r="F15" i="58"/>
  <c r="A15"/>
  <c r="C18" i="52"/>
  <c r="BK11" i="48"/>
  <c r="Q11"/>
  <c r="CY11"/>
  <c r="U11"/>
  <c r="M11"/>
  <c r="BI11"/>
  <c r="AO11"/>
  <c r="K11"/>
  <c r="BE11"/>
  <c r="BU11"/>
  <c r="BA11"/>
  <c r="O11"/>
  <c r="CO11"/>
  <c r="BC11"/>
  <c r="BW11"/>
  <c r="BM11"/>
  <c r="BY11"/>
  <c r="BS11"/>
  <c r="CS11"/>
  <c r="AW11"/>
  <c r="AK11"/>
  <c r="CU11"/>
  <c r="CN11"/>
  <c r="CM11"/>
  <c r="AA11"/>
  <c r="Y11"/>
  <c r="AU11"/>
  <c r="S11"/>
  <c r="CK11"/>
  <c r="I26" i="14"/>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AX11" i="48"/>
  <c r="CQ11"/>
  <c r="AM11"/>
  <c r="AR11"/>
  <c r="CJ11"/>
  <c r="CH11"/>
  <c r="BV11"/>
  <c r="AE11"/>
  <c r="D30" i="63"/>
  <c r="BP11" i="48"/>
  <c r="BQ11"/>
  <c r="H19" i="14"/>
  <c r="C19"/>
  <c r="B19"/>
  <c r="H28"/>
  <c r="C29"/>
  <c r="B23"/>
  <c r="E24"/>
  <c r="H16"/>
  <c r="C20"/>
  <c r="A30"/>
  <c r="G21"/>
  <c r="E27"/>
  <c r="G17"/>
  <c r="B27"/>
  <c r="E23"/>
  <c r="E22"/>
  <c r="B25"/>
  <c r="C15"/>
  <c r="E16"/>
  <c r="H27"/>
  <c r="B18"/>
  <c r="B14"/>
  <c r="G30"/>
  <c r="H26"/>
  <c r="E25"/>
  <c r="C23"/>
  <c r="G19"/>
  <c r="E19"/>
  <c r="A20"/>
  <c r="A23"/>
  <c r="A19"/>
  <c r="C22"/>
  <c r="B15"/>
  <c r="A28"/>
  <c r="G20"/>
  <c r="G25"/>
  <c r="C26"/>
  <c r="E21"/>
  <c r="C28"/>
  <c r="G16"/>
  <c r="E15"/>
  <c r="A24"/>
  <c r="A26"/>
  <c r="H23"/>
  <c r="C21"/>
  <c r="H22"/>
  <c r="H18"/>
  <c r="H30"/>
  <c r="A27"/>
  <c r="E14"/>
  <c r="A29"/>
  <c r="H17"/>
  <c r="E17"/>
  <c r="A22"/>
  <c r="E29"/>
  <c r="E28"/>
  <c r="B24"/>
  <c r="C30"/>
  <c r="G26"/>
  <c r="E30"/>
  <c r="G28"/>
  <c r="B21"/>
  <c r="G22"/>
  <c r="G18"/>
  <c r="A16"/>
  <c r="B16"/>
  <c r="G15"/>
  <c r="H21"/>
  <c r="A18"/>
  <c r="B30"/>
  <c r="C16"/>
  <c r="H20"/>
  <c r="E26"/>
  <c r="C24"/>
  <c r="H29"/>
  <c r="C27"/>
  <c r="B26"/>
  <c r="C18"/>
  <c r="B28"/>
  <c r="C25"/>
  <c r="E18"/>
  <c r="H15"/>
  <c r="A14"/>
  <c r="B17"/>
  <c r="A21"/>
  <c r="G24"/>
  <c r="G23"/>
  <c r="A15"/>
  <c r="H25"/>
  <c r="C14"/>
  <c r="A25"/>
  <c r="H24"/>
  <c r="C17"/>
  <c r="B29"/>
  <c r="G27"/>
  <c r="A17"/>
  <c r="B20"/>
  <c r="G29"/>
  <c r="B22"/>
  <c r="E20"/>
  <c r="D29"/>
  <c r="D20"/>
  <c r="D22"/>
  <c r="D18"/>
  <c r="D24"/>
  <c r="D27"/>
  <c r="D15"/>
  <c r="D14"/>
  <c r="D16"/>
  <c r="D25"/>
  <c r="D19"/>
  <c r="D21"/>
  <c r="D17"/>
  <c r="H14"/>
  <c r="D30"/>
  <c r="C24" i="48"/>
  <c r="D34" i="57"/>
  <c r="K18"/>
  <c r="F19"/>
  <c r="F27"/>
  <c r="BF13" i="48"/>
  <c r="BT13"/>
  <c r="AD13"/>
  <c r="AZ13"/>
  <c r="BH13"/>
  <c r="H20"/>
  <c r="CI17"/>
  <c r="W17"/>
  <c r="H14"/>
  <c r="A28" i="43"/>
  <c r="A42"/>
  <c r="A56"/>
  <c r="A70"/>
  <c r="F23" i="57"/>
  <c r="C19" i="48"/>
  <c r="A19" s="1" a="1"/>
  <c r="A19" s="1"/>
  <c r="I19" s="1"/>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G40"/>
  <c r="A15"/>
  <c r="I37"/>
  <c r="H30"/>
  <c r="I14"/>
  <c r="D37"/>
  <c r="I40"/>
  <c r="A30"/>
  <c r="D39"/>
  <c r="G16"/>
  <c r="G14"/>
  <c r="A39"/>
  <c r="H40"/>
  <c r="H39"/>
  <c r="H36"/>
  <c r="H14"/>
  <c r="H27"/>
  <c r="I38"/>
  <c r="G39"/>
  <c r="A23"/>
  <c r="A40"/>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D40"/>
  <c r="A33"/>
  <c r="G19"/>
  <c r="H19"/>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AY17" i="48"/>
  <c r="AU17"/>
  <c r="BU17"/>
  <c r="CY17"/>
  <c r="BC17"/>
  <c r="BA17"/>
  <c r="BY17"/>
  <c r="Q17"/>
  <c r="CS17"/>
  <c r="BW17"/>
  <c r="CK17"/>
  <c r="CG17"/>
  <c r="K17"/>
  <c r="CU17"/>
  <c r="CM17"/>
  <c r="AM17"/>
  <c r="CC17"/>
  <c r="CQ17"/>
  <c r="U17"/>
  <c r="AI17"/>
  <c r="BO17"/>
  <c r="CW17"/>
  <c r="AO17"/>
  <c r="BI17"/>
  <c r="AQ17"/>
  <c r="BG17"/>
  <c r="S17"/>
  <c r="BE17"/>
  <c r="AK17"/>
  <c r="BS17"/>
  <c r="Y17"/>
  <c r="AC17"/>
  <c r="AA17"/>
  <c r="DA17"/>
  <c r="CA17"/>
  <c r="CO17"/>
  <c r="BK17"/>
  <c r="BM17"/>
  <c r="BH11"/>
  <c r="BR11"/>
  <c r="BO11"/>
  <c r="AV11"/>
  <c r="P11"/>
  <c r="G31" i="14"/>
  <c r="AY11" i="48"/>
  <c r="CD11"/>
  <c r="CI11"/>
  <c r="BD11"/>
  <c r="CC11"/>
  <c r="AB11"/>
  <c r="AT11"/>
  <c r="I29" i="63"/>
  <c r="E23"/>
  <c r="F29"/>
  <c r="H28"/>
  <c r="E20"/>
  <c r="I33"/>
  <c r="F18"/>
  <c r="J35"/>
  <c r="K38"/>
  <c r="I36"/>
  <c r="H34"/>
  <c r="I37"/>
  <c r="H35"/>
  <c r="B40"/>
  <c r="B32"/>
  <c r="I32"/>
  <c r="F31"/>
  <c r="H19"/>
  <c r="J28"/>
  <c r="E21"/>
  <c r="H27"/>
  <c r="J38"/>
  <c r="J40"/>
  <c r="B30"/>
  <c r="E31"/>
  <c r="K33"/>
  <c r="J21"/>
  <c r="B26"/>
  <c r="H22"/>
  <c r="B31"/>
  <c r="J31"/>
  <c r="B21"/>
  <c r="I24"/>
  <c r="J20"/>
  <c r="H23"/>
  <c r="F23"/>
  <c r="B18"/>
  <c r="B20"/>
  <c r="B34"/>
  <c r="B33"/>
  <c r="K34"/>
  <c r="C23"/>
  <c r="A23" s="1"/>
  <c r="C27"/>
  <c r="A27" s="1"/>
  <c r="C38"/>
  <c r="A38" s="1"/>
  <c r="C18"/>
  <c r="A18" s="1"/>
  <c r="F24"/>
  <c r="K18"/>
  <c r="I21"/>
  <c r="E38"/>
  <c r="K25"/>
  <c r="F20"/>
  <c r="F32"/>
  <c r="K32"/>
  <c r="H33"/>
  <c r="J34"/>
  <c r="E40"/>
  <c r="B29"/>
  <c r="I38"/>
  <c r="H37"/>
  <c r="B23"/>
  <c r="K26"/>
  <c r="I39"/>
  <c r="F35"/>
  <c r="K23"/>
  <c r="E37"/>
  <c r="H29"/>
  <c r="I18"/>
  <c r="H21"/>
  <c r="H40"/>
  <c r="K27"/>
  <c r="F37"/>
  <c r="F38"/>
  <c r="I34"/>
  <c r="E26"/>
  <c r="B19"/>
  <c r="E18"/>
  <c r="E22"/>
  <c r="B28"/>
  <c r="H24"/>
  <c r="K19"/>
  <c r="J32"/>
  <c r="K20"/>
  <c r="J26"/>
  <c r="H30"/>
  <c r="K29"/>
  <c r="F33"/>
  <c r="C19"/>
  <c r="A19" s="1"/>
  <c r="C39"/>
  <c r="A39" s="1"/>
  <c r="C25"/>
  <c r="A25" s="1"/>
  <c r="C26"/>
  <c r="A26" s="1"/>
  <c r="C28"/>
  <c r="A28" s="1"/>
  <c r="C34"/>
  <c r="A34" s="1"/>
  <c r="C33"/>
  <c r="A33" s="1"/>
  <c r="C17"/>
  <c r="A17" s="1"/>
  <c r="K39"/>
  <c r="E19"/>
  <c r="I23"/>
  <c r="E34"/>
  <c r="I28"/>
  <c r="E33"/>
  <c r="J27"/>
  <c r="J23"/>
  <c r="H26"/>
  <c r="K30"/>
  <c r="B36"/>
  <c r="J37"/>
  <c r="E25"/>
  <c r="B17"/>
  <c r="J30"/>
  <c r="K37"/>
  <c r="B27"/>
  <c r="E39"/>
  <c r="K24"/>
  <c r="F21"/>
  <c r="K35"/>
  <c r="I26"/>
  <c r="I19"/>
  <c r="F30"/>
  <c r="I30"/>
  <c r="E27"/>
  <c r="B35"/>
  <c r="E24"/>
  <c r="J22"/>
  <c r="E30"/>
  <c r="F40"/>
  <c r="F17"/>
  <c r="B22"/>
  <c r="J39"/>
  <c r="F26"/>
  <c r="K36"/>
  <c r="I22"/>
  <c r="J24"/>
  <c r="F39"/>
  <c r="H38"/>
  <c r="H18"/>
  <c r="C30"/>
  <c r="A30" s="1"/>
  <c r="C20"/>
  <c r="A20" s="1"/>
  <c r="C24"/>
  <c r="A24" s="1"/>
  <c r="C29"/>
  <c r="A29" s="1"/>
  <c r="C22"/>
  <c r="A22" s="1"/>
  <c r="I27"/>
  <c r="H39"/>
  <c r="B24"/>
  <c r="I25"/>
  <c r="H25"/>
  <c r="H32"/>
  <c r="E28"/>
  <c r="F25"/>
  <c r="E32"/>
  <c r="E36"/>
  <c r="B38"/>
  <c r="H36"/>
  <c r="J18"/>
  <c r="K40"/>
  <c r="J36"/>
  <c r="B39"/>
  <c r="E17"/>
  <c r="F36"/>
  <c r="F28"/>
  <c r="K31"/>
  <c r="K28"/>
  <c r="I40"/>
  <c r="F34"/>
  <c r="J33"/>
  <c r="J29"/>
  <c r="K21"/>
  <c r="J19"/>
  <c r="H20"/>
  <c r="E29"/>
  <c r="J25"/>
  <c r="F27"/>
  <c r="B37"/>
  <c r="B25"/>
  <c r="I31"/>
  <c r="F19"/>
  <c r="E35"/>
  <c r="H31"/>
  <c r="I35"/>
  <c r="F22"/>
  <c r="K22"/>
  <c r="I20"/>
  <c r="C32"/>
  <c r="A32" s="1"/>
  <c r="C40"/>
  <c r="A40" s="1"/>
  <c r="C36"/>
  <c r="A36" s="1"/>
  <c r="C21"/>
  <c r="A21" s="1"/>
  <c r="C37"/>
  <c r="A37" s="1"/>
  <c r="C31"/>
  <c r="A31" s="1"/>
  <c r="C35"/>
  <c r="A35" s="1"/>
  <c r="D40"/>
  <c r="D39"/>
  <c r="K17"/>
  <c r="D19"/>
  <c r="I17"/>
  <c r="D22"/>
  <c r="D38"/>
  <c r="D20"/>
  <c r="D24"/>
  <c r="D32"/>
  <c r="D34"/>
  <c r="D17"/>
  <c r="D23"/>
  <c r="H17"/>
  <c r="D28"/>
  <c r="D37"/>
  <c r="D35"/>
  <c r="D29"/>
  <c r="G11" i="49"/>
  <c r="AN11" i="48"/>
  <c r="AI11"/>
  <c r="AZ11"/>
  <c r="L11"/>
  <c r="BZ11"/>
  <c r="CA11"/>
  <c r="J17" i="52"/>
  <c r="J23" s="1"/>
  <c r="G42" i="57"/>
  <c r="G21"/>
  <c r="E28"/>
  <c r="E14"/>
  <c r="C40"/>
  <c r="E21"/>
  <c r="C46"/>
  <c r="G50"/>
  <c r="I46"/>
  <c r="C26"/>
  <c r="I15"/>
  <c r="G30"/>
  <c r="C19"/>
  <c r="G17"/>
  <c r="I40"/>
  <c r="C33"/>
  <c r="E45"/>
  <c r="C35"/>
  <c r="E50"/>
  <c r="C20"/>
  <c r="I45"/>
  <c r="G28"/>
  <c r="G46"/>
  <c r="E25"/>
  <c r="E49"/>
  <c r="C30"/>
  <c r="E39"/>
  <c r="G22"/>
  <c r="H22" s="1"/>
  <c r="I36"/>
  <c r="C22"/>
  <c r="G37"/>
  <c r="C50"/>
  <c r="I17"/>
  <c r="G26"/>
  <c r="G16"/>
  <c r="H16" s="1"/>
  <c r="G48"/>
  <c r="B16"/>
  <c r="A16" s="1"/>
  <c r="B41"/>
  <c r="A41" s="1"/>
  <c r="B25"/>
  <c r="A25" s="1"/>
  <c r="B33"/>
  <c r="A33" s="1"/>
  <c r="E44"/>
  <c r="I48"/>
  <c r="E19"/>
  <c r="E48"/>
  <c r="C47"/>
  <c r="E17"/>
  <c r="E32"/>
  <c r="C36"/>
  <c r="E22"/>
  <c r="I26"/>
  <c r="C23"/>
  <c r="I50"/>
  <c r="G45"/>
  <c r="I21"/>
  <c r="E47"/>
  <c r="E36"/>
  <c r="C42"/>
  <c r="C21"/>
  <c r="E33"/>
  <c r="I30"/>
  <c r="G35"/>
  <c r="I24"/>
  <c r="C49"/>
  <c r="C17"/>
  <c r="C28"/>
  <c r="C39"/>
  <c r="G29"/>
  <c r="G27"/>
  <c r="C27"/>
  <c r="I42"/>
  <c r="G49"/>
  <c r="E29"/>
  <c r="E34"/>
  <c r="E38"/>
  <c r="G20"/>
  <c r="C16"/>
  <c r="G39"/>
  <c r="B50"/>
  <c r="A50" s="1"/>
  <c r="B34"/>
  <c r="A34" s="1"/>
  <c r="B27"/>
  <c r="A27" s="1"/>
  <c r="G47"/>
  <c r="H47" s="1"/>
  <c r="E42"/>
  <c r="G18"/>
  <c r="E43"/>
  <c r="C32"/>
  <c r="G40"/>
  <c r="G43"/>
  <c r="H43" s="1"/>
  <c r="C41"/>
  <c r="G19"/>
  <c r="G24"/>
  <c r="G25"/>
  <c r="H25" s="1"/>
  <c r="C45"/>
  <c r="G15"/>
  <c r="I43"/>
  <c r="J43" s="1"/>
  <c r="I37"/>
  <c r="E35"/>
  <c r="C38"/>
  <c r="I47"/>
  <c r="J47" s="1"/>
  <c r="G33"/>
  <c r="H33" s="1"/>
  <c r="I28"/>
  <c r="C15"/>
  <c r="G41"/>
  <c r="I31"/>
  <c r="J31" s="1"/>
  <c r="I44"/>
  <c r="E30"/>
  <c r="C31"/>
  <c r="I18"/>
  <c r="I32"/>
  <c r="E37"/>
  <c r="E15"/>
  <c r="G32"/>
  <c r="E18"/>
  <c r="G36"/>
  <c r="C44"/>
  <c r="I16"/>
  <c r="J16" s="1"/>
  <c r="E20"/>
  <c r="B23"/>
  <c r="A23" s="1"/>
  <c r="B30"/>
  <c r="A30" s="1"/>
  <c r="B32"/>
  <c r="A32" s="1"/>
  <c r="B38"/>
  <c r="A38" s="1"/>
  <c r="I25"/>
  <c r="J25" s="1"/>
  <c r="I49"/>
  <c r="I35"/>
  <c r="E40"/>
  <c r="E41"/>
  <c r="C37"/>
  <c r="I34"/>
  <c r="C34"/>
  <c r="G38"/>
  <c r="H38" s="1"/>
  <c r="C43"/>
  <c r="I41"/>
  <c r="G44"/>
  <c r="E16"/>
  <c r="E31"/>
  <c r="G34"/>
  <c r="I27"/>
  <c r="E27"/>
  <c r="I39"/>
  <c r="I22"/>
  <c r="J22" s="1"/>
  <c r="C18"/>
  <c r="I23"/>
  <c r="G23"/>
  <c r="I29"/>
  <c r="I20"/>
  <c r="E23"/>
  <c r="C29"/>
  <c r="I33"/>
  <c r="J33" s="1"/>
  <c r="E26"/>
  <c r="C24"/>
  <c r="C25"/>
  <c r="I38"/>
  <c r="J38" s="1"/>
  <c r="C48"/>
  <c r="E24"/>
  <c r="E46"/>
  <c r="G31"/>
  <c r="H31" s="1"/>
  <c r="I19"/>
  <c r="B45"/>
  <c r="A45" s="1"/>
  <c r="B21"/>
  <c r="A21" s="1"/>
  <c r="B31"/>
  <c r="A31" s="1"/>
  <c r="B19"/>
  <c r="A19" s="1"/>
  <c r="B26"/>
  <c r="A26" s="1"/>
  <c r="I14"/>
  <c r="B37"/>
  <c r="A37" s="1"/>
  <c r="B36"/>
  <c r="A36" s="1"/>
  <c r="B22"/>
  <c r="A22" s="1"/>
  <c r="B28"/>
  <c r="A28" s="1"/>
  <c r="B39"/>
  <c r="A39" s="1"/>
  <c r="B48"/>
  <c r="A48" s="1"/>
  <c r="B20"/>
  <c r="A20" s="1"/>
  <c r="B14"/>
  <c r="A14" s="1"/>
  <c r="B15"/>
  <c r="A15" s="1"/>
  <c r="B18"/>
  <c r="A18" s="1"/>
  <c r="B24"/>
  <c r="A24" s="1"/>
  <c r="B44"/>
  <c r="A44" s="1"/>
  <c r="B49"/>
  <c r="A49" s="1"/>
  <c r="B40"/>
  <c r="A40" s="1"/>
  <c r="B43"/>
  <c r="A43" s="1"/>
  <c r="B29"/>
  <c r="A29" s="1"/>
  <c r="B42"/>
  <c r="A42" s="1"/>
  <c r="B46"/>
  <c r="A46" s="1"/>
  <c r="B47"/>
  <c r="A47" s="1"/>
  <c r="B17"/>
  <c r="A17" s="1"/>
  <c r="G14"/>
  <c r="B35"/>
  <c r="A35" s="1"/>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G29" i="43"/>
  <c r="B82"/>
  <c r="D45"/>
  <c r="D39"/>
  <c r="D41"/>
  <c r="F60"/>
  <c r="D38"/>
  <c r="B56"/>
  <c r="E109"/>
  <c r="F104"/>
  <c r="D105"/>
  <c r="B107"/>
  <c r="E94"/>
  <c r="E119"/>
  <c r="D30"/>
  <c r="C36"/>
  <c r="G45"/>
  <c r="G68"/>
  <c r="B23"/>
  <c r="E102"/>
  <c r="F17"/>
  <c r="B108"/>
  <c r="E60"/>
  <c r="D109"/>
  <c r="B12"/>
  <c r="F120"/>
  <c r="E63"/>
  <c r="B22"/>
  <c r="C20"/>
  <c r="C73"/>
  <c r="F33"/>
  <c r="B116"/>
  <c r="F74"/>
  <c r="F51"/>
  <c r="E31"/>
  <c r="B40"/>
  <c r="F81"/>
  <c r="F100"/>
  <c r="C72"/>
  <c r="E107"/>
  <c r="D64"/>
  <c r="D13"/>
  <c r="C113"/>
  <c r="B53"/>
  <c r="G98"/>
  <c r="B30"/>
  <c r="G73"/>
  <c r="D113"/>
  <c r="E28"/>
  <c r="B110"/>
  <c r="C44"/>
  <c r="E64"/>
  <c r="C65"/>
  <c r="C118"/>
  <c r="D56"/>
  <c r="B20"/>
  <c r="D37"/>
  <c r="C64"/>
  <c r="G66"/>
  <c r="G69"/>
  <c r="E26"/>
  <c r="C78"/>
  <c r="E42"/>
  <c r="E24"/>
  <c r="F30"/>
  <c r="B44"/>
  <c r="F93"/>
  <c r="B83"/>
  <c r="B24"/>
  <c r="F31"/>
  <c r="C84"/>
  <c r="C52"/>
  <c r="E54"/>
  <c r="F109"/>
  <c r="B102"/>
  <c r="C62"/>
  <c r="C86"/>
  <c r="E108"/>
  <c r="B15"/>
  <c r="G87"/>
  <c r="G34"/>
  <c r="G99"/>
  <c r="E122"/>
  <c r="C14"/>
  <c r="E53"/>
  <c r="D70"/>
  <c r="C66"/>
  <c r="B59"/>
  <c r="G116"/>
  <c r="E88"/>
  <c r="C88"/>
  <c r="F49"/>
  <c r="E75"/>
  <c r="G18"/>
  <c r="F73"/>
  <c r="G35"/>
  <c r="F108"/>
  <c r="D110"/>
  <c r="C120"/>
  <c r="D79"/>
  <c r="G22"/>
  <c r="B103"/>
  <c r="E76"/>
  <c r="D35"/>
  <c r="D75"/>
  <c r="F20"/>
  <c r="F91"/>
  <c r="E55"/>
  <c r="E59"/>
  <c r="D69"/>
  <c r="F89"/>
  <c r="G78"/>
  <c r="E72"/>
  <c r="C94"/>
  <c r="E68"/>
  <c r="F53"/>
  <c r="F121"/>
  <c r="C15"/>
  <c r="G112"/>
  <c r="B51"/>
  <c r="B62"/>
  <c r="D29"/>
  <c r="F32"/>
  <c r="C100"/>
  <c r="G121"/>
  <c r="D36"/>
  <c r="D102"/>
  <c r="G62"/>
  <c r="B66"/>
  <c r="B28"/>
  <c r="C122"/>
  <c r="B114"/>
  <c r="F99"/>
  <c r="F58"/>
  <c r="D93"/>
  <c r="E16"/>
  <c r="B78"/>
  <c r="F123"/>
  <c r="B32"/>
  <c r="G76"/>
  <c r="F34"/>
  <c r="E33"/>
  <c r="C75"/>
  <c r="B120"/>
  <c r="G103"/>
  <c r="G27"/>
  <c r="D52"/>
  <c r="F110"/>
  <c r="F113"/>
  <c r="D98"/>
  <c r="E38"/>
  <c r="F114"/>
  <c r="D77"/>
  <c r="G94"/>
  <c r="D122"/>
  <c r="F102"/>
  <c r="B95"/>
  <c r="B69"/>
  <c r="C67"/>
  <c r="F79"/>
  <c r="F103"/>
  <c r="C105"/>
  <c r="C85"/>
  <c r="C22"/>
  <c r="F106"/>
  <c r="D55"/>
  <c r="E105"/>
  <c r="D26"/>
  <c r="E43"/>
  <c r="D65"/>
  <c r="F35"/>
  <c r="D106"/>
  <c r="C59"/>
  <c r="F18"/>
  <c r="C112"/>
  <c r="F55"/>
  <c r="G72"/>
  <c r="G114"/>
  <c r="C82"/>
  <c r="D100"/>
  <c r="G96"/>
  <c r="C39"/>
  <c r="C47"/>
  <c r="F28"/>
  <c r="G19"/>
  <c r="F15"/>
  <c r="D114"/>
  <c r="D25"/>
  <c r="F92"/>
  <c r="D112"/>
  <c r="B88"/>
  <c r="G109"/>
  <c r="F107"/>
  <c r="E77"/>
  <c r="C98"/>
  <c r="F22"/>
  <c r="D84"/>
  <c r="B17"/>
  <c r="G31"/>
  <c r="D78"/>
  <c r="C32"/>
  <c r="B70"/>
  <c r="B99"/>
  <c r="E73"/>
  <c r="G97"/>
  <c r="C33"/>
  <c r="D68"/>
  <c r="G118"/>
  <c r="D97"/>
  <c r="B63"/>
  <c r="F66"/>
  <c r="C50"/>
  <c r="C76"/>
  <c r="C60"/>
  <c r="C34"/>
  <c r="G90"/>
  <c r="G122"/>
  <c r="B74"/>
  <c r="B18"/>
  <c r="D22"/>
  <c r="D72"/>
  <c r="B119"/>
  <c r="G57"/>
  <c r="D76"/>
  <c r="F56"/>
  <c r="F25"/>
  <c r="D99"/>
  <c r="B121"/>
  <c r="D92"/>
  <c r="G23"/>
  <c r="G82"/>
  <c r="G46"/>
  <c r="E56"/>
  <c r="C117"/>
  <c r="E115"/>
  <c r="E96"/>
  <c r="E66"/>
  <c r="G60"/>
  <c r="D61"/>
  <c r="E30"/>
  <c r="D67"/>
  <c r="F62"/>
  <c r="E74"/>
  <c r="B43"/>
  <c r="G91"/>
  <c r="G67"/>
  <c r="G44"/>
  <c r="B80"/>
  <c r="F122"/>
  <c r="B91"/>
  <c r="G24"/>
  <c r="B48"/>
  <c r="C27"/>
  <c r="B71"/>
  <c r="B111"/>
  <c r="C123"/>
  <c r="B52"/>
  <c r="D53"/>
  <c r="F19"/>
  <c r="D49"/>
  <c r="G26"/>
  <c r="B106"/>
  <c r="B81"/>
  <c r="B54"/>
  <c r="G41"/>
  <c r="B87"/>
  <c r="F65"/>
  <c r="G102"/>
  <c r="D42"/>
  <c r="G36"/>
  <c r="E41"/>
  <c r="G113"/>
  <c r="B93"/>
  <c r="D27"/>
  <c r="F90"/>
  <c r="D51"/>
  <c r="D57"/>
  <c r="E101"/>
  <c r="B41"/>
  <c r="G75"/>
  <c r="F47"/>
  <c r="E46"/>
  <c r="F83"/>
  <c r="D117"/>
  <c r="F71"/>
  <c r="B84"/>
  <c r="B75"/>
  <c r="C53"/>
  <c r="E91"/>
  <c r="D54"/>
  <c r="B39"/>
  <c r="G101"/>
  <c r="D118"/>
  <c r="F111"/>
  <c r="C79"/>
  <c r="C111"/>
  <c r="F105"/>
  <c r="G56"/>
  <c r="E92"/>
  <c r="F101"/>
  <c r="G84"/>
  <c r="E86"/>
  <c r="E51"/>
  <c r="G20"/>
  <c r="B115"/>
  <c r="B47"/>
  <c r="G37"/>
  <c r="C107"/>
  <c r="F44"/>
  <c r="D121"/>
  <c r="G93"/>
  <c r="D85"/>
  <c r="B96"/>
  <c r="F57"/>
  <c r="F26"/>
  <c r="C81"/>
  <c r="C121"/>
  <c r="G14"/>
  <c r="D34"/>
  <c r="E19"/>
  <c r="D21"/>
  <c r="B79"/>
  <c r="B37"/>
  <c r="C103"/>
  <c r="B36"/>
  <c r="E34"/>
  <c r="F75"/>
  <c r="B98"/>
  <c r="E111"/>
  <c r="B26"/>
  <c r="C41"/>
  <c r="D123"/>
  <c r="F64"/>
  <c r="D94"/>
  <c r="C23"/>
  <c r="E79"/>
  <c r="E61"/>
  <c r="G28"/>
  <c r="E121"/>
  <c r="D103"/>
  <c r="E106"/>
  <c r="E15"/>
  <c r="D58"/>
  <c r="F95"/>
  <c r="D107"/>
  <c r="D66"/>
  <c r="G71"/>
  <c r="G117"/>
  <c r="E45"/>
  <c r="C13"/>
  <c r="C69"/>
  <c r="C17"/>
  <c r="G42"/>
  <c r="E90"/>
  <c r="E48"/>
  <c r="G110"/>
  <c r="F54"/>
  <c r="B50"/>
  <c r="B38"/>
  <c r="F115"/>
  <c r="G16"/>
  <c r="F70"/>
  <c r="B73"/>
  <c r="E40"/>
  <c r="G65"/>
  <c r="E117"/>
  <c r="D17"/>
  <c r="E120"/>
  <c r="E82"/>
  <c r="E85"/>
  <c r="G39"/>
  <c r="E110"/>
  <c r="C30"/>
  <c r="E12"/>
  <c r="D73"/>
  <c r="F84"/>
  <c r="E65"/>
  <c r="C38"/>
  <c r="F59"/>
  <c r="C87"/>
  <c r="C48"/>
  <c r="D80"/>
  <c r="C29"/>
  <c r="D46"/>
  <c r="G100"/>
  <c r="E58"/>
  <c r="C93"/>
  <c r="G43"/>
  <c r="D24"/>
  <c r="F94"/>
  <c r="C35"/>
  <c r="C109"/>
  <c r="F27"/>
  <c r="D19"/>
  <c r="B21"/>
  <c r="C95"/>
  <c r="G89"/>
  <c r="B49"/>
  <c r="D116"/>
  <c r="G32"/>
  <c r="B42"/>
  <c r="D32"/>
  <c r="D83"/>
  <c r="E39"/>
  <c r="B105"/>
  <c r="D48"/>
  <c r="F50"/>
  <c r="B123"/>
  <c r="B34"/>
  <c r="G40"/>
  <c r="E14"/>
  <c r="B13"/>
  <c r="E57"/>
  <c r="E98"/>
  <c r="C61"/>
  <c r="D87"/>
  <c r="F97"/>
  <c r="D43"/>
  <c r="C71"/>
  <c r="C74"/>
  <c r="C97"/>
  <c r="B72"/>
  <c r="E100"/>
  <c r="G80"/>
  <c r="B67"/>
  <c r="E83"/>
  <c r="C40"/>
  <c r="E37"/>
  <c r="F45"/>
  <c r="G92"/>
  <c r="F13"/>
  <c r="C114"/>
  <c r="E123"/>
  <c r="B64"/>
  <c r="F29"/>
  <c r="E80"/>
  <c r="E71"/>
  <c r="C45"/>
  <c r="C51"/>
  <c r="D47"/>
  <c r="C77"/>
  <c r="B14"/>
  <c r="D71"/>
  <c r="G50"/>
  <c r="E20"/>
  <c r="C43"/>
  <c r="F68"/>
  <c r="B97"/>
  <c r="B45"/>
  <c r="E87"/>
  <c r="D81"/>
  <c r="F69"/>
  <c r="E29"/>
  <c r="C104"/>
  <c r="F23"/>
  <c r="B86"/>
  <c r="C102"/>
  <c r="G119"/>
  <c r="C31"/>
  <c r="B77"/>
  <c r="C83"/>
  <c r="E70"/>
  <c r="G95"/>
  <c r="C55"/>
  <c r="E112"/>
  <c r="D12"/>
  <c r="E95"/>
  <c r="G51"/>
  <c r="B65"/>
  <c r="C26"/>
  <c r="D88"/>
  <c r="E78"/>
  <c r="D115"/>
  <c r="D16"/>
  <c r="D14"/>
  <c r="E27"/>
  <c r="B61"/>
  <c r="G120"/>
  <c r="D74"/>
  <c r="C119"/>
  <c r="C115"/>
  <c r="D96"/>
  <c r="C19"/>
  <c r="G107"/>
  <c r="G104"/>
  <c r="E35"/>
  <c r="B101"/>
  <c r="C42"/>
  <c r="G81"/>
  <c r="B68"/>
  <c r="F117"/>
  <c r="G53"/>
  <c r="C80"/>
  <c r="D44"/>
  <c r="D60"/>
  <c r="B122"/>
  <c r="C25"/>
  <c r="G86"/>
  <c r="B117"/>
  <c r="F67"/>
  <c r="C68"/>
  <c r="C108"/>
  <c r="C89"/>
  <c r="G58"/>
  <c r="E67"/>
  <c r="G77"/>
  <c r="C28"/>
  <c r="C101"/>
  <c r="B55"/>
  <c r="C58"/>
  <c r="C91"/>
  <c r="G55"/>
  <c r="G85"/>
  <c r="G123"/>
  <c r="F63"/>
  <c r="D89"/>
  <c r="C99"/>
  <c r="F46"/>
  <c r="F43"/>
  <c r="F119"/>
  <c r="G54"/>
  <c r="B100"/>
  <c r="G33"/>
  <c r="D101"/>
  <c r="B46"/>
  <c r="E36"/>
  <c r="C24"/>
  <c r="C63"/>
  <c r="F38"/>
  <c r="D104"/>
  <c r="B94"/>
  <c r="D120"/>
  <c r="D18"/>
  <c r="D31"/>
  <c r="F80"/>
  <c r="C90"/>
  <c r="E18"/>
  <c r="E103"/>
  <c r="C116"/>
  <c r="F36"/>
  <c r="G111"/>
  <c r="F78"/>
  <c r="D62"/>
  <c r="B85"/>
  <c r="F77"/>
  <c r="D119"/>
  <c r="G63"/>
  <c r="F85"/>
  <c r="F24"/>
  <c r="E17"/>
  <c r="D90"/>
  <c r="F118"/>
  <c r="D23"/>
  <c r="G17"/>
  <c r="C21"/>
  <c r="G106"/>
  <c r="G48"/>
  <c r="F16"/>
  <c r="C106"/>
  <c r="E23"/>
  <c r="E116"/>
  <c r="F61"/>
  <c r="D59"/>
  <c r="C96"/>
  <c r="E25"/>
  <c r="C54"/>
  <c r="E104"/>
  <c r="G25"/>
  <c r="B25"/>
  <c r="C56"/>
  <c r="G64"/>
  <c r="G38"/>
  <c r="E62"/>
  <c r="B104"/>
  <c r="C70"/>
  <c r="E22"/>
  <c r="F37"/>
  <c r="E69"/>
  <c r="F88"/>
  <c r="B29"/>
  <c r="B89"/>
  <c r="B33"/>
  <c r="F86"/>
  <c r="B35"/>
  <c r="E13"/>
  <c r="F39"/>
  <c r="G13"/>
  <c r="D33"/>
  <c r="G83"/>
  <c r="E47"/>
  <c r="E93"/>
  <c r="F14"/>
  <c r="C12"/>
  <c r="G70"/>
  <c r="E89"/>
  <c r="D95"/>
  <c r="E49"/>
  <c r="B57"/>
  <c r="D20"/>
  <c r="G49"/>
  <c r="G47"/>
  <c r="F116"/>
  <c r="F42"/>
  <c r="D91"/>
  <c r="C92"/>
  <c r="C49"/>
  <c r="G61"/>
  <c r="F48"/>
  <c r="D82"/>
  <c r="D28"/>
  <c r="D63"/>
  <c r="G74"/>
  <c r="E114"/>
  <c r="B31"/>
  <c r="B19"/>
  <c r="G52"/>
  <c r="F52"/>
  <c r="E97"/>
  <c r="B60"/>
  <c r="G15"/>
  <c r="G115"/>
  <c r="E99"/>
  <c r="F76"/>
  <c r="E118"/>
  <c r="B27"/>
  <c r="F41"/>
  <c r="C46"/>
  <c r="G21"/>
  <c r="F72"/>
  <c r="E21"/>
  <c r="C37"/>
  <c r="E113"/>
  <c r="B58"/>
  <c r="E50"/>
  <c r="B90"/>
  <c r="D111"/>
  <c r="B109"/>
  <c r="B112"/>
  <c r="F98"/>
  <c r="G79"/>
  <c r="C16"/>
  <c r="C57"/>
  <c r="G59"/>
  <c r="B16"/>
  <c r="F40"/>
  <c r="E44"/>
  <c r="G30"/>
  <c r="B118"/>
  <c r="F112"/>
  <c r="F87"/>
  <c r="D40"/>
  <c r="E84"/>
  <c r="C18"/>
  <c r="D86"/>
  <c r="F82"/>
  <c r="C110"/>
  <c r="B113"/>
  <c r="E81"/>
  <c r="G88"/>
  <c r="D108"/>
  <c r="D15"/>
  <c r="E52"/>
  <c r="E32"/>
  <c r="G105"/>
  <c r="G108"/>
  <c r="B76"/>
  <c r="D50"/>
  <c r="F21"/>
  <c r="F96"/>
  <c r="A106"/>
  <c r="H106" s="1"/>
  <c r="A104"/>
  <c r="H104" s="1"/>
  <c r="A74"/>
  <c r="A99"/>
  <c r="H99" s="1"/>
  <c r="A89"/>
  <c r="H89" s="1"/>
  <c r="A115"/>
  <c r="H115" s="1"/>
  <c r="A92"/>
  <c r="H92" s="1"/>
  <c r="A112"/>
  <c r="H112" s="1"/>
  <c r="A119"/>
  <c r="H119" s="1"/>
  <c r="A88"/>
  <c r="H88" s="1"/>
  <c r="A81"/>
  <c r="H81" s="1"/>
  <c r="A110"/>
  <c r="H110" s="1"/>
  <c r="A111"/>
  <c r="H111" s="1"/>
  <c r="A120"/>
  <c r="H120" s="1"/>
  <c r="A113"/>
  <c r="H113" s="1"/>
  <c r="A90"/>
  <c r="H90" s="1"/>
  <c r="A103"/>
  <c r="H103" s="1"/>
  <c r="A91"/>
  <c r="H91" s="1"/>
  <c r="G12"/>
  <c r="A86"/>
  <c r="H86" s="1"/>
  <c r="A95"/>
  <c r="H95" s="1"/>
  <c r="A79"/>
  <c r="H79" s="1"/>
  <c r="A108"/>
  <c r="H108" s="1"/>
  <c r="A123"/>
  <c r="H123" s="1"/>
  <c r="A82"/>
  <c r="H82" s="1"/>
  <c r="A121"/>
  <c r="H121" s="1"/>
  <c r="A97"/>
  <c r="H97" s="1"/>
  <c r="A93"/>
  <c r="H93" s="1"/>
  <c r="A80"/>
  <c r="H80" s="1"/>
  <c r="A100"/>
  <c r="H100" s="1"/>
  <c r="A94"/>
  <c r="H94" s="1"/>
  <c r="B92"/>
  <c r="A96"/>
  <c r="H96" s="1"/>
  <c r="A109"/>
  <c r="H109" s="1"/>
  <c r="A87"/>
  <c r="H87" s="1"/>
  <c r="A102"/>
  <c r="H102" s="1"/>
  <c r="A118"/>
  <c r="H118" s="1"/>
  <c r="A84"/>
  <c r="H84" s="1"/>
  <c r="A75"/>
  <c r="A116"/>
  <c r="H116" s="1"/>
  <c r="A85"/>
  <c r="H85" s="1"/>
  <c r="A77"/>
  <c r="H77" s="1"/>
  <c r="A76"/>
  <c r="H76" s="1"/>
  <c r="A117"/>
  <c r="H117" s="1"/>
  <c r="A107"/>
  <c r="H107" s="1"/>
  <c r="A101"/>
  <c r="H101" s="1"/>
  <c r="A83"/>
  <c r="H83" s="1"/>
  <c r="A105"/>
  <c r="H105" s="1"/>
  <c r="A122"/>
  <c r="H122" s="1"/>
  <c r="A98"/>
  <c r="H98" s="1"/>
  <c r="A78"/>
  <c r="H78" s="1"/>
  <c r="A114"/>
  <c r="H114" s="1"/>
  <c r="A71"/>
  <c r="A67"/>
  <c r="A63"/>
  <c r="A59"/>
  <c r="A55"/>
  <c r="A51"/>
  <c r="A47"/>
  <c r="A43"/>
  <c r="A39"/>
  <c r="A35"/>
  <c r="A31"/>
  <c r="A27"/>
  <c r="A23"/>
  <c r="A19"/>
  <c r="A15"/>
  <c r="A65"/>
  <c r="A49"/>
  <c r="A33"/>
  <c r="A17"/>
  <c r="A73"/>
  <c r="A45"/>
  <c r="A37"/>
  <c r="A68"/>
  <c r="A62"/>
  <c r="A52"/>
  <c r="A46"/>
  <c r="A36"/>
  <c r="A30"/>
  <c r="A20"/>
  <c r="A14"/>
  <c r="A12"/>
  <c r="A57"/>
  <c r="A29"/>
  <c r="A54"/>
  <c r="A48"/>
  <c r="A40"/>
  <c r="A26"/>
  <c r="A18"/>
  <c r="F12"/>
  <c r="A66"/>
  <c r="A38"/>
  <c r="A32"/>
  <c r="A60"/>
  <c r="A24"/>
  <c r="D27" i="47"/>
  <c r="D36" i="63"/>
  <c r="D18"/>
  <c r="D23" i="14"/>
  <c r="F20" i="57"/>
  <c r="D14"/>
  <c r="D46"/>
  <c r="AJ13" i="48"/>
  <c r="AN13"/>
  <c r="AR13"/>
  <c r="BJ13"/>
  <c r="CE17"/>
  <c r="AG17"/>
  <c r="AS17"/>
  <c r="B40" i="69"/>
  <c r="C30" i="48"/>
  <c r="A30" s="1" a="1"/>
  <c r="A30" s="1"/>
  <c r="I30" s="1"/>
  <c r="A16" i="43"/>
  <c r="A44"/>
  <c r="A58"/>
  <c r="A72"/>
  <c r="A25"/>
  <c r="D28" i="14"/>
  <c r="B35" i="69"/>
  <c r="D15" i="57"/>
  <c r="A30" i="58"/>
  <c r="A23" i="56"/>
  <c r="D23"/>
  <c r="C17" i="58"/>
  <c r="D14"/>
  <c r="G29"/>
  <c r="C28"/>
  <c r="G19"/>
  <c r="H26"/>
  <c r="G22"/>
  <c r="D24"/>
  <c r="D23"/>
  <c r="D26"/>
  <c r="D18"/>
  <c r="D20"/>
  <c r="H23"/>
  <c r="H28"/>
  <c r="C18"/>
  <c r="G15"/>
  <c r="D22"/>
  <c r="E17"/>
  <c r="I17" s="1"/>
  <c r="E23"/>
  <c r="I23" s="1"/>
  <c r="E24"/>
  <c r="I24" s="1"/>
  <c r="H20"/>
  <c r="G27"/>
  <c r="C30"/>
  <c r="C23"/>
  <c r="C26"/>
  <c r="G25"/>
  <c r="C21"/>
  <c r="G26"/>
  <c r="G17"/>
  <c r="D17"/>
  <c r="C25"/>
  <c r="D28"/>
  <c r="H22"/>
  <c r="H29"/>
  <c r="D21"/>
  <c r="D29"/>
  <c r="D27"/>
  <c r="C19"/>
  <c r="H16"/>
  <c r="G30"/>
  <c r="H17"/>
  <c r="G18"/>
  <c r="H15"/>
  <c r="H24"/>
  <c r="C24"/>
  <c r="H21"/>
  <c r="C15"/>
  <c r="C16"/>
  <c r="C20"/>
  <c r="E18"/>
  <c r="I18" s="1"/>
  <c r="E28"/>
  <c r="I28" s="1"/>
  <c r="C14"/>
  <c r="D19"/>
  <c r="G28"/>
  <c r="C29"/>
  <c r="C27"/>
  <c r="D25"/>
  <c r="H25"/>
  <c r="G16"/>
  <c r="C22"/>
  <c r="G24"/>
  <c r="H19"/>
  <c r="G21"/>
  <c r="D30"/>
  <c r="E26"/>
  <c r="I26" s="1"/>
  <c r="D16"/>
  <c r="H18"/>
  <c r="H30"/>
  <c r="D15"/>
  <c r="H27"/>
  <c r="G23"/>
  <c r="G20"/>
  <c r="E20"/>
  <c r="I20" s="1"/>
  <c r="E29"/>
  <c r="I29" s="1"/>
  <c r="E14"/>
  <c r="E30"/>
  <c r="I30" s="1"/>
  <c r="E16"/>
  <c r="I16" s="1"/>
  <c r="E21"/>
  <c r="I21" s="1"/>
  <c r="E25"/>
  <c r="I25" s="1"/>
  <c r="E15"/>
  <c r="I15" s="1"/>
  <c r="E22"/>
  <c r="I22" s="1"/>
  <c r="E19"/>
  <c r="I19" s="1"/>
  <c r="E27"/>
  <c r="I27" s="1"/>
  <c r="B18"/>
  <c r="B27"/>
  <c r="B26"/>
  <c r="B28"/>
  <c r="G14"/>
  <c r="H14"/>
  <c r="B29"/>
  <c r="B20"/>
  <c r="B16"/>
  <c r="B23"/>
  <c r="B17"/>
  <c r="F11" i="15"/>
  <c r="F75" s="1"/>
  <c r="F77" s="1"/>
  <c r="G10"/>
  <c r="G11" s="1"/>
  <c r="G75" s="1"/>
  <c r="H10"/>
  <c r="H11" s="1"/>
  <c r="H75" s="1"/>
  <c r="B21" i="58"/>
  <c r="A22" i="56"/>
  <c r="D22"/>
  <c r="A17"/>
  <c r="A18" s="1"/>
  <c r="A19" s="1"/>
  <c r="A20" s="1"/>
  <c r="A21" s="1"/>
  <c r="D17"/>
  <c r="H24"/>
  <c r="H121" i="42"/>
  <c r="D21" i="56"/>
  <c r="D19"/>
  <c r="G121" i="42"/>
  <c r="E136"/>
  <c r="A26" i="56"/>
  <c r="I14" i="58" l="1"/>
  <c r="AD11" i="48"/>
  <c r="CZ11"/>
  <c r="CR11"/>
  <c r="CT11"/>
  <c r="CF11"/>
  <c r="AJ11"/>
  <c r="BL11"/>
  <c r="CB11"/>
  <c r="AH11"/>
  <c r="CL11"/>
  <c r="BT11"/>
  <c r="T11"/>
  <c r="CX11"/>
  <c r="AF11"/>
  <c r="J11"/>
  <c r="BF11"/>
  <c r="CP11"/>
  <c r="BB11"/>
  <c r="BN11"/>
  <c r="BJ11"/>
  <c r="G23" i="52"/>
  <c r="F41" i="47"/>
  <c r="A24" i="48" a="1"/>
  <c r="A24" s="1"/>
  <c r="I24" s="1"/>
  <c r="X11"/>
  <c r="AL11"/>
  <c r="R11"/>
  <c r="AP11"/>
  <c r="Z11"/>
  <c r="F25" i="58"/>
  <c r="DA11" i="48"/>
  <c r="CW11"/>
  <c r="BG11"/>
  <c r="BB13"/>
  <c r="CL13"/>
  <c r="N11"/>
  <c r="CV11"/>
  <c r="V11"/>
  <c r="I122" i="42"/>
  <c r="H41" i="63"/>
  <c r="A29" i="48" a="1"/>
  <c r="A29" s="1"/>
  <c r="I29" s="1"/>
  <c r="J41" i="63"/>
  <c r="A17" i="48" a="1"/>
  <c r="A17" s="1"/>
  <c r="I17" s="1"/>
  <c r="I51" i="57"/>
  <c r="K41" i="63"/>
  <c r="H23" i="52"/>
  <c r="N24" s="1"/>
  <c r="I23"/>
  <c r="A16" i="48" a="1"/>
  <c r="A16" s="1"/>
  <c r="I16" s="1"/>
  <c r="A14" a="1"/>
  <c r="A14" s="1"/>
  <c r="I14" s="1"/>
  <c r="A29" i="58"/>
  <c r="F29"/>
  <c r="J20" i="57"/>
  <c r="H20"/>
  <c r="H27" i="47"/>
  <c r="I27"/>
  <c r="L41" i="57"/>
  <c r="K41"/>
  <c r="L29"/>
  <c r="K29"/>
  <c r="J30"/>
  <c r="H30"/>
  <c r="J36"/>
  <c r="H36"/>
  <c r="K30"/>
  <c r="L30"/>
  <c r="K32"/>
  <c r="L32"/>
  <c r="H15"/>
  <c r="J15"/>
  <c r="J32"/>
  <c r="H32"/>
  <c r="J39"/>
  <c r="H39"/>
  <c r="H35"/>
  <c r="J35"/>
  <c r="L48"/>
  <c r="K48"/>
  <c r="K42"/>
  <c r="L42"/>
  <c r="L43"/>
  <c r="K43"/>
  <c r="H29"/>
  <c r="J29"/>
  <c r="G51"/>
  <c r="K51" s="1"/>
  <c r="O37" i="63"/>
  <c r="N37"/>
  <c r="M37"/>
  <c r="L37"/>
  <c r="M17"/>
  <c r="O17"/>
  <c r="N17"/>
  <c r="L17"/>
  <c r="E26" i="69"/>
  <c r="F26"/>
  <c r="C26"/>
  <c r="J26"/>
  <c r="J30"/>
  <c r="E30"/>
  <c r="C30"/>
  <c r="F30"/>
  <c r="C24"/>
  <c r="E24"/>
  <c r="F24"/>
  <c r="J24"/>
  <c r="F20"/>
  <c r="E20"/>
  <c r="J20"/>
  <c r="C20"/>
  <c r="J29"/>
  <c r="E29"/>
  <c r="C29"/>
  <c r="F29"/>
  <c r="M20" i="52"/>
  <c r="N20"/>
  <c r="K20"/>
  <c r="L20"/>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K34" i="57"/>
  <c r="L34"/>
  <c r="I17" i="14"/>
  <c r="J17"/>
  <c r="J16"/>
  <c r="I16"/>
  <c r="J24"/>
  <c r="I24"/>
  <c r="J29"/>
  <c r="I29"/>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H39" i="47"/>
  <c r="I39"/>
  <c r="H33"/>
  <c r="I33"/>
  <c r="I19"/>
  <c r="H19"/>
  <c r="H16"/>
  <c r="I16"/>
  <c r="H26"/>
  <c r="I26"/>
  <c r="I22"/>
  <c r="H22"/>
  <c r="A21" i="58"/>
  <c r="F21"/>
  <c r="A27"/>
  <c r="F27"/>
  <c r="K15" i="57"/>
  <c r="L15"/>
  <c r="J23" i="14"/>
  <c r="I23"/>
  <c r="K20" i="57"/>
  <c r="L20"/>
  <c r="L35"/>
  <c r="K35"/>
  <c r="H14"/>
  <c r="J14"/>
  <c r="H37"/>
  <c r="J37"/>
  <c r="J26"/>
  <c r="H26"/>
  <c r="L23"/>
  <c r="K23"/>
  <c r="K45"/>
  <c r="L45"/>
  <c r="H42"/>
  <c r="J42"/>
  <c r="J50"/>
  <c r="H50"/>
  <c r="L19"/>
  <c r="K19"/>
  <c r="H45"/>
  <c r="J45"/>
  <c r="H46"/>
  <c r="J46"/>
  <c r="J18"/>
  <c r="H18"/>
  <c r="L21"/>
  <c r="K21"/>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L38" i="63"/>
  <c r="M38"/>
  <c r="N38"/>
  <c r="O38"/>
  <c r="F23" i="69"/>
  <c r="J23"/>
  <c r="E23"/>
  <c r="C23"/>
  <c r="F34"/>
  <c r="C34"/>
  <c r="J34"/>
  <c r="E34"/>
  <c r="F39"/>
  <c r="J39"/>
  <c r="E39"/>
  <c r="C39"/>
  <c r="E18"/>
  <c r="J18"/>
  <c r="F18"/>
  <c r="C18"/>
  <c r="F21"/>
  <c r="J21"/>
  <c r="E21"/>
  <c r="C21"/>
  <c r="M21" i="52"/>
  <c r="L21"/>
  <c r="K21"/>
  <c r="N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J21" i="14"/>
  <c r="I21"/>
  <c r="I14"/>
  <c r="J14"/>
  <c r="I18"/>
  <c r="J18"/>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I15" i="47"/>
  <c r="H15"/>
  <c r="H31"/>
  <c r="I31"/>
  <c r="I23"/>
  <c r="H23"/>
  <c r="H32"/>
  <c r="I32"/>
  <c r="I17"/>
  <c r="H17"/>
  <c r="H36"/>
  <c r="I36"/>
  <c r="F17" i="58"/>
  <c r="A17"/>
  <c r="A23"/>
  <c r="F23"/>
  <c r="G32"/>
  <c r="C35" i="69"/>
  <c r="F35"/>
  <c r="E35"/>
  <c r="J35"/>
  <c r="E40"/>
  <c r="J40"/>
  <c r="F40"/>
  <c r="C40"/>
  <c r="L46" i="57"/>
  <c r="K46"/>
  <c r="G125" i="43"/>
  <c r="K28" i="57"/>
  <c r="L28"/>
  <c r="L25"/>
  <c r="K25"/>
  <c r="K50"/>
  <c r="L50"/>
  <c r="H34"/>
  <c r="J34"/>
  <c r="L17"/>
  <c r="K17"/>
  <c r="L16"/>
  <c r="K16"/>
  <c r="L27"/>
  <c r="K27"/>
  <c r="L31"/>
  <c r="K31"/>
  <c r="L37"/>
  <c r="K37"/>
  <c r="H40"/>
  <c r="J40"/>
  <c r="H48"/>
  <c r="J48"/>
  <c r="H24"/>
  <c r="J24"/>
  <c r="L38"/>
  <c r="K38"/>
  <c r="K49"/>
  <c r="L49"/>
  <c r="M39" i="63"/>
  <c r="N39"/>
  <c r="L39"/>
  <c r="O39"/>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I30" i="14"/>
  <c r="J30"/>
  <c r="J19"/>
  <c r="I19"/>
  <c r="I15"/>
  <c r="J15"/>
  <c r="I22"/>
  <c r="J22"/>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H38" i="47"/>
  <c r="I38"/>
  <c r="F25" i="69"/>
  <c r="C25"/>
  <c r="J25"/>
  <c r="E25"/>
  <c r="I20" i="47"/>
  <c r="H20"/>
  <c r="I29"/>
  <c r="H29"/>
  <c r="I18"/>
  <c r="H18"/>
  <c r="H30"/>
  <c r="I30"/>
  <c r="I25"/>
  <c r="H25"/>
  <c r="H35"/>
  <c r="I35"/>
  <c r="F26" i="58"/>
  <c r="A26"/>
  <c r="H32"/>
  <c r="F16"/>
  <c r="A16"/>
  <c r="F18"/>
  <c r="A18"/>
  <c r="F125" i="43"/>
  <c r="H12"/>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A128"/>
  <c r="F20" i="58"/>
  <c r="A20"/>
  <c r="F28"/>
  <c r="A28"/>
  <c r="J28" i="14"/>
  <c r="I28"/>
  <c r="K14" i="57"/>
  <c r="O36" i="63"/>
  <c r="L36"/>
  <c r="M36"/>
  <c r="N36"/>
  <c r="K26" i="57"/>
  <c r="L26"/>
  <c r="H28"/>
  <c r="J28"/>
  <c r="J49"/>
  <c r="H49"/>
  <c r="H44"/>
  <c r="J44"/>
  <c r="K39"/>
  <c r="L39"/>
  <c r="K22"/>
  <c r="L22"/>
  <c r="J21"/>
  <c r="H21"/>
  <c r="J17"/>
  <c r="H17"/>
  <c r="L33"/>
  <c r="K33"/>
  <c r="K47"/>
  <c r="L47"/>
  <c r="L44"/>
  <c r="K44"/>
  <c r="J41"/>
  <c r="H41"/>
  <c r="L36"/>
  <c r="K36"/>
  <c r="K40"/>
  <c r="L40"/>
  <c r="N35" i="63"/>
  <c r="M35"/>
  <c r="O35"/>
  <c r="L35"/>
  <c r="I41"/>
  <c r="M40"/>
  <c r="L40"/>
  <c r="O40"/>
  <c r="N40"/>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H31" i="14"/>
  <c r="J32" s="1"/>
  <c r="J25"/>
  <c r="I25"/>
  <c r="J27"/>
  <c r="I27"/>
  <c r="I20"/>
  <c r="J20"/>
  <c r="A26" i="48"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I37" i="47"/>
  <c r="H37"/>
  <c r="H34"/>
  <c r="I34"/>
  <c r="I24"/>
  <c r="H24"/>
  <c r="I40"/>
  <c r="H40"/>
  <c r="I21"/>
  <c r="H21"/>
  <c r="G41"/>
  <c r="A15" i="48" a="1"/>
  <c r="A15" s="1"/>
  <c r="I15" s="1"/>
  <c r="L14" i="57" l="1"/>
  <c r="M42" i="63"/>
  <c r="M24" i="52"/>
  <c r="I42" i="47"/>
  <c r="L18" i="63"/>
  <c r="BS52" i="48"/>
  <c r="BS54" s="1"/>
  <c r="BS54" i="49" s="1"/>
  <c r="BS54" i="50" s="1"/>
  <c r="BS54" i="51" s="1"/>
  <c r="N18" i="63"/>
  <c r="Q52" i="48"/>
  <c r="Q54" s="1"/>
  <c r="Q54" i="49" s="1"/>
  <c r="Q54" i="50" s="1"/>
  <c r="Q54" i="51" s="1"/>
  <c r="H125" i="43"/>
  <c r="H126" s="1"/>
  <c r="K24" i="52"/>
  <c r="M18" i="63"/>
  <c r="N42"/>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O18" i="63"/>
  <c r="L42"/>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L19" s="1"/>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42" i="47"/>
  <c r="F40" i="49"/>
  <c r="F47"/>
  <c r="F48"/>
  <c r="F50" i="50"/>
  <c r="F44"/>
  <c r="E41" i="69"/>
  <c r="N41"/>
  <c r="AQ52" i="48"/>
  <c r="F50" i="51"/>
  <c r="F42"/>
  <c r="F43"/>
  <c r="I32" i="58"/>
  <c r="V52" i="48"/>
  <c r="F47" i="51"/>
  <c r="O42" i="63"/>
  <c r="F43" i="49"/>
  <c r="F46"/>
  <c r="I32" i="14"/>
  <c r="BL53" i="48" l="1"/>
  <c r="BL10" i="49" s="1"/>
  <c r="BM53" i="48"/>
  <c r="BM10" i="49" s="1"/>
  <c r="K53" i="48"/>
  <c r="K10" i="49" s="1"/>
  <c r="BP53" i="48"/>
  <c r="BP10" i="49" s="1"/>
  <c r="CA53" i="48"/>
  <c r="CA10" i="49" s="1"/>
  <c r="BS53" i="48"/>
  <c r="BS10" i="49" s="1"/>
  <c r="L19" i="63"/>
  <c r="AJ53" i="48"/>
  <c r="AJ10" i="49" s="1"/>
  <c r="AT53" i="48"/>
  <c r="AT10" i="49" s="1"/>
  <c r="BU53" i="48"/>
  <c r="BU10" i="49" s="1"/>
  <c r="CP54" i="48"/>
  <c r="CP54" i="49" s="1"/>
  <c r="CP54" i="50" s="1"/>
  <c r="CP54" i="51" s="1"/>
  <c r="P53" i="48"/>
  <c r="P10" i="49" s="1"/>
  <c r="M19" i="52"/>
  <c r="AU53" i="48"/>
  <c r="AU10" i="49" s="1"/>
  <c r="BB53" i="48"/>
  <c r="BB10" i="49" s="1"/>
  <c r="CB53" i="48"/>
  <c r="CB10" i="49" s="1"/>
  <c r="M19" i="63"/>
  <c r="AW53" i="48"/>
  <c r="AW10" i="49" s="1"/>
  <c r="O53" i="48"/>
  <c r="O10" i="49" s="1"/>
  <c r="N19" i="63"/>
  <c r="BO54" i="48"/>
  <c r="BO54" i="49" s="1"/>
  <c r="BO54" i="50" s="1"/>
  <c r="BO54" i="51" s="1"/>
  <c r="CX53" i="48"/>
  <c r="CX10" i="49" s="1"/>
  <c r="K19" i="52"/>
  <c r="AK53" i="48"/>
  <c r="AK10" i="49" s="1"/>
  <c r="AK53" s="1"/>
  <c r="AK10" i="50" s="1"/>
  <c r="BR53" i="48"/>
  <c r="BR10" i="49" s="1"/>
  <c r="AH53" i="48"/>
  <c r="AH10" i="49" s="1"/>
  <c r="BO53" i="48"/>
  <c r="BO10" i="49" s="1"/>
  <c r="BN53" s="1"/>
  <c r="BN10" i="50" s="1"/>
  <c r="AV53" i="48"/>
  <c r="AV10" i="49" s="1"/>
  <c r="BZ53" i="48"/>
  <c r="BZ10" i="49" s="1"/>
  <c r="CA53" s="1"/>
  <c r="CA10" i="50"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O19" i="63"/>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J53" s="1"/>
  <c r="J10" i="50" s="1"/>
  <c r="CZ44" i="49"/>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BL53" l="1"/>
  <c r="BL10" i="50" s="1"/>
  <c r="BM53" i="49"/>
  <c r="BM10" i="50" s="1"/>
  <c r="BP53" i="49"/>
  <c r="BP10" i="50" s="1"/>
  <c r="L20" i="63"/>
  <c r="BS53" i="49"/>
  <c r="BS10" i="50" s="1"/>
  <c r="AL53" i="49"/>
  <c r="AL10" i="50" s="1"/>
  <c r="AL53" s="1"/>
  <c r="AL10" i="51" s="1"/>
  <c r="AJ53" i="49"/>
  <c r="AJ10" i="50" s="1"/>
  <c r="AK53" s="1"/>
  <c r="AK10" i="51" s="1"/>
  <c r="BE53" i="49"/>
  <c r="BE10" i="50" s="1"/>
  <c r="CB53" i="49"/>
  <c r="CB10" i="50" s="1"/>
  <c r="CJ53" i="49"/>
  <c r="CJ10" i="50" s="1"/>
  <c r="N20" i="63"/>
  <c r="Q53" i="49"/>
  <c r="Q10" i="50" s="1"/>
  <c r="CO42" i="48"/>
  <c r="CO52" s="1"/>
  <c r="CO54" s="1"/>
  <c r="CO54" i="49" s="1"/>
  <c r="CO54" i="50" s="1"/>
  <c r="CO54" i="51" s="1"/>
  <c r="O20" i="63"/>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Z53" s="1"/>
  <c r="BZ10" i="51" s="1"/>
  <c r="BQ53" i="49"/>
  <c r="BQ10" i="50" s="1"/>
  <c r="Y53" i="49"/>
  <c r="Y10" i="50" s="1"/>
  <c r="L53" i="49"/>
  <c r="L10" i="50" s="1"/>
  <c r="M53" s="1"/>
  <c r="M10" i="51" s="1"/>
  <c r="AA53" i="49"/>
  <c r="AA10" i="50" s="1"/>
  <c r="AN53" i="49"/>
  <c r="AN10" i="50" s="1"/>
  <c r="AH53" i="49"/>
  <c r="AH10" i="50" s="1"/>
  <c r="BH53" i="49"/>
  <c r="BH10" i="50" s="1"/>
  <c r="Z53" i="49"/>
  <c r="Z10" i="50" s="1"/>
  <c r="Z53" s="1"/>
  <c r="Z10" i="51" s="1"/>
  <c r="AO53" i="49"/>
  <c r="AO10" i="50" s="1"/>
  <c r="AI53" i="49"/>
  <c r="AI10" i="50" s="1"/>
  <c r="P53" i="49"/>
  <c r="P10" i="50" s="1"/>
  <c r="P53" s="1"/>
  <c r="P10" i="51" s="1"/>
  <c r="M20" i="63"/>
  <c r="CK53" i="49"/>
  <c r="CK10" i="50" s="1"/>
  <c r="CK53" s="1"/>
  <c r="CK10" i="51" s="1"/>
  <c r="AF53" i="49"/>
  <c r="AF10" i="50" s="1"/>
  <c r="BD53" i="49"/>
  <c r="BD10" i="50" s="1"/>
  <c r="BE53" s="1"/>
  <c r="BE10" i="51" s="1"/>
  <c r="AJ53" i="50"/>
  <c r="AJ10" i="51" s="1"/>
  <c r="BB53" i="49"/>
  <c r="BB10" i="50" s="1"/>
  <c r="X53" i="49"/>
  <c r="X10" i="50" s="1"/>
  <c r="AM53"/>
  <c r="AM10" i="51" s="1"/>
  <c r="AZ53" i="49"/>
  <c r="AZ10" i="50" s="1"/>
  <c r="BM53"/>
  <c r="BM10" i="51" s="1"/>
  <c r="BA53" i="49"/>
  <c r="BA10" i="50" s="1"/>
  <c r="DA52" i="49"/>
  <c r="CZ52" i="50"/>
  <c r="AR53" i="49"/>
  <c r="AR10" i="50" s="1"/>
  <c r="AO53"/>
  <c r="AO10" i="51"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O53" i="48"/>
  <c r="CO10" i="49" s="1"/>
  <c r="CW50" i="48"/>
  <c r="CW52" s="1"/>
  <c r="CZ50"/>
  <c r="CZ52" s="1"/>
  <c r="AG53" i="49"/>
  <c r="AG10" i="50" s="1"/>
  <c r="BK53" i="49"/>
  <c r="BK10" i="50" s="1"/>
  <c r="BG53" i="49"/>
  <c r="BG10" i="50" s="1"/>
  <c r="BU53" i="49"/>
  <c r="BU10" i="50" s="1"/>
  <c r="K53" i="49"/>
  <c r="K10" i="50" s="1"/>
  <c r="K53" s="1"/>
  <c r="K10" i="51" s="1"/>
  <c r="BL53" i="50" l="1"/>
  <c r="BL10" i="51" s="1"/>
  <c r="BD53" i="50"/>
  <c r="BD10" i="51" s="1"/>
  <c r="BE53" s="1"/>
  <c r="AV53" i="50"/>
  <c r="AV10" i="51" s="1"/>
  <c r="BP53" i="50"/>
  <c r="BP10" i="51" s="1"/>
  <c r="CN53" i="48"/>
  <c r="CN10" i="49" s="1"/>
  <c r="CO53" s="1"/>
  <c r="CO10" i="50" s="1"/>
  <c r="AQ53"/>
  <c r="AQ10" i="51" s="1"/>
  <c r="BB53" i="50"/>
  <c r="BB10" i="51" s="1"/>
  <c r="BQ53" i="50"/>
  <c r="BQ10" i="51" s="1"/>
  <c r="BQ53" s="1"/>
  <c r="CC53" i="50"/>
  <c r="CC10" i="51" s="1"/>
  <c r="O21" i="63"/>
  <c r="Q22" s="1"/>
  <c r="T53" i="50"/>
  <c r="T10" i="51" s="1"/>
  <c r="N21" i="63"/>
  <c r="AT53" i="50"/>
  <c r="AT10" i="51" s="1"/>
  <c r="O53" i="50"/>
  <c r="O10" i="51" s="1"/>
  <c r="AE53" i="50"/>
  <c r="AE10" i="51" s="1"/>
  <c r="W53" i="50"/>
  <c r="W10" i="51" s="1"/>
  <c r="CY53" i="50"/>
  <c r="CY10" i="51" s="1"/>
  <c r="L21" i="63"/>
  <c r="L22" s="1"/>
  <c r="AU53" i="50"/>
  <c r="AU10" i="51" s="1"/>
  <c r="AU53" s="1"/>
  <c r="BU53" i="50"/>
  <c r="BU10" i="51" s="1"/>
  <c r="AB53" i="50"/>
  <c r="AB10" i="51" s="1"/>
  <c r="CS54" i="48"/>
  <c r="CS54" i="49" s="1"/>
  <c r="CS54" i="50" s="1"/>
  <c r="CS54" i="51" s="1"/>
  <c r="BV53" i="50"/>
  <c r="BV10" i="51" s="1"/>
  <c r="BW53" i="50"/>
  <c r="BW10" i="51" s="1"/>
  <c r="CX53" i="50"/>
  <c r="CX10" i="51" s="1"/>
  <c r="CY53" s="1"/>
  <c r="AW53" i="50"/>
  <c r="AW10" i="51" s="1"/>
  <c r="AV53" s="1"/>
  <c r="CB53" i="50"/>
  <c r="CB10" i="51" s="1"/>
  <c r="CC53" s="1"/>
  <c r="BG53" i="50"/>
  <c r="BG10" i="51" s="1"/>
  <c r="AC53" i="50"/>
  <c r="AC10" i="51" s="1"/>
  <c r="AB53" s="1"/>
  <c r="L53" i="50"/>
  <c r="L10" i="51" s="1"/>
  <c r="L53" s="1"/>
  <c r="BN53" i="50"/>
  <c r="BN10" i="51" s="1"/>
  <c r="BN53" s="1"/>
  <c r="AA53" i="50"/>
  <c r="AA10" i="51" s="1"/>
  <c r="AA53" s="1"/>
  <c r="CA53" i="50"/>
  <c r="CA10" i="51" s="1"/>
  <c r="BZ53" s="1"/>
  <c r="BY53" i="50"/>
  <c r="BY10" i="51" s="1"/>
  <c r="BX53" s="1"/>
  <c r="CR53" i="48"/>
  <c r="CR10" i="49" s="1"/>
  <c r="CS53" s="1"/>
  <c r="CS10" i="50" s="1"/>
  <c r="M21" i="63"/>
  <c r="M22" s="1"/>
  <c r="BS53" i="50"/>
  <c r="BS10" i="51" s="1"/>
  <c r="BS53" s="1"/>
  <c r="CJ53" i="50"/>
  <c r="CJ10" i="51" s="1"/>
  <c r="CJ53" s="1"/>
  <c r="U53" i="50"/>
  <c r="U10" i="51" s="1"/>
  <c r="X53" i="50"/>
  <c r="X10" i="51" s="1"/>
  <c r="BI53" i="50"/>
  <c r="BI10" i="51" s="1"/>
  <c r="AN53" i="50"/>
  <c r="AN10" i="51" s="1"/>
  <c r="AO53" s="1"/>
  <c r="AL53"/>
  <c r="Y53" i="50"/>
  <c r="Y10" i="51" s="1"/>
  <c r="BH53" i="50"/>
  <c r="BH10" i="51" s="1"/>
  <c r="BI53" s="1"/>
  <c r="AZ53" i="50"/>
  <c r="AZ10" i="51" s="1"/>
  <c r="AK53"/>
  <c r="BA53" i="50"/>
  <c r="BA10" i="51" s="1"/>
  <c r="AH53" i="50"/>
  <c r="AH10" i="51" s="1"/>
  <c r="AI53" i="50"/>
  <c r="AI10" i="51" s="1"/>
  <c r="Q53" i="50"/>
  <c r="Q10" i="51" s="1"/>
  <c r="BD53"/>
  <c r="AG53" i="50"/>
  <c r="AG10" i="51" s="1"/>
  <c r="BL53"/>
  <c r="BK53" i="50"/>
  <c r="BK10" i="51" s="1"/>
  <c r="AJ53"/>
  <c r="BC53" i="50"/>
  <c r="BC10" i="51" s="1"/>
  <c r="BM53"/>
  <c r="DA52" i="48"/>
  <c r="CZ53" s="1"/>
  <c r="CZ10" i="49" s="1"/>
  <c r="CN53"/>
  <c r="CN10" i="50" s="1"/>
  <c r="CT53" i="49"/>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J53" s="1"/>
  <c r="BF53" i="50"/>
  <c r="BF10" i="51" s="1"/>
  <c r="S53" i="49"/>
  <c r="S10" i="50" s="1"/>
  <c r="AM53" i="51"/>
  <c r="BT53" i="50"/>
  <c r="BT10" i="51" s="1"/>
  <c r="AD53" i="50"/>
  <c r="AD10" i="51" s="1"/>
  <c r="AF53" i="50"/>
  <c r="AF10" i="51" s="1"/>
  <c r="AF53" s="1"/>
  <c r="CU53" i="49"/>
  <c r="CU10" i="50" s="1"/>
  <c r="CF54" i="48"/>
  <c r="CF54" i="49" s="1"/>
  <c r="CF54" i="50" s="1"/>
  <c r="CF54" i="51" s="1"/>
  <c r="CF53" i="48"/>
  <c r="CF10" i="49" s="1"/>
  <c r="CG53" i="48"/>
  <c r="CG10" i="49" s="1"/>
  <c r="AR53" i="50"/>
  <c r="AR10" i="51" s="1"/>
  <c r="BP53" l="1"/>
  <c r="AP53"/>
  <c r="AD53"/>
  <c r="N53"/>
  <c r="AW53"/>
  <c r="CO53" i="50"/>
  <c r="CO10" i="51" s="1"/>
  <c r="N22" i="63"/>
  <c r="L23" s="1"/>
  <c r="V53" i="51"/>
  <c r="AT53"/>
  <c r="T53"/>
  <c r="BR53"/>
  <c r="BV53"/>
  <c r="CB53"/>
  <c r="BW53"/>
  <c r="BT53"/>
  <c r="CX53"/>
  <c r="BF53"/>
  <c r="BO53"/>
  <c r="BY53"/>
  <c r="AC53"/>
  <c r="AZ53"/>
  <c r="CR53" i="49"/>
  <c r="CR10" i="50" s="1"/>
  <c r="CS53" s="1"/>
  <c r="CS10" i="51" s="1"/>
  <c r="Z53"/>
  <c r="M53"/>
  <c r="O22" i="63"/>
  <c r="M23" s="1"/>
  <c r="CA53" i="51"/>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CR53" i="50"/>
  <c r="CR10" i="51" s="1"/>
  <c r="O53"/>
  <c r="AQ53"/>
  <c r="CD53" i="49"/>
  <c r="CD10" i="50" s="1"/>
  <c r="CT53"/>
  <c r="CT10" i="51" s="1"/>
  <c r="AG53"/>
  <c r="AE53"/>
  <c r="R53" i="50"/>
  <c r="R10" i="51" s="1"/>
  <c r="CP53" i="50"/>
  <c r="CP10" i="51" s="1"/>
  <c r="W53"/>
  <c r="BU53"/>
  <c r="CN53" i="50"/>
  <c r="CN10" i="51" s="1"/>
  <c r="K53"/>
  <c r="CW53" i="49"/>
  <c r="CW10" i="50" s="1"/>
  <c r="CL53"/>
  <c r="CL10" i="51" s="1"/>
  <c r="BK53"/>
  <c r="DA53" i="49"/>
  <c r="DA10" i="50" s="1"/>
  <c r="N23" i="63" l="1"/>
  <c r="L24" s="1"/>
  <c r="CN53" i="51"/>
  <c r="CH53"/>
  <c r="R53"/>
  <c r="O23" i="63"/>
  <c r="M24" s="1"/>
  <c r="CI53" i="51"/>
  <c r="CL53"/>
  <c r="CP53"/>
  <c r="CR53"/>
  <c r="CD53" i="50"/>
  <c r="CD10" i="51" s="1"/>
  <c r="AY53"/>
  <c r="CT53"/>
  <c r="AX53"/>
  <c r="CF53" i="50"/>
  <c r="CF10" i="51" s="1"/>
  <c r="CG53" i="50"/>
  <c r="CG10" i="51" s="1"/>
  <c r="CU53"/>
  <c r="S53"/>
  <c r="CW53" i="50"/>
  <c r="CW10" i="51" s="1"/>
  <c r="CE53" i="50"/>
  <c r="CE10" i="51" s="1"/>
  <c r="CQ53"/>
  <c r="DA53" i="50"/>
  <c r="DA10" i="51" s="1"/>
  <c r="CO53"/>
  <c r="CS53"/>
  <c r="CZ53" i="50"/>
  <c r="CZ10" i="51" s="1"/>
  <c r="CM53"/>
  <c r="CV53" i="50"/>
  <c r="CV10" i="51" s="1"/>
  <c r="N24" i="63" l="1"/>
  <c r="N25" s="1"/>
  <c r="O24"/>
  <c r="M25" s="1"/>
  <c r="CV53" i="51"/>
  <c r="CE53"/>
  <c r="CF53"/>
  <c r="CG53"/>
  <c r="CW53"/>
  <c r="CD53"/>
  <c r="CZ53"/>
  <c r="DA53"/>
  <c r="O25" i="63" l="1"/>
  <c r="M26" s="1"/>
  <c r="L25"/>
  <c r="L26" s="1"/>
  <c r="O26"/>
  <c r="O27" l="1"/>
  <c r="N26"/>
  <c r="N27" s="1"/>
  <c r="M27"/>
  <c r="M28" s="1"/>
  <c r="L27" l="1"/>
  <c r="O28"/>
  <c r="O29" s="1"/>
  <c r="L28" l="1"/>
  <c r="N28"/>
  <c r="M29"/>
  <c r="M30" s="1"/>
  <c r="L29" l="1"/>
  <c r="N29"/>
  <c r="O30"/>
  <c r="O31" s="1"/>
  <c r="N30" l="1"/>
  <c r="L30"/>
  <c r="M31"/>
  <c r="M32" s="1"/>
  <c r="O32" l="1"/>
  <c r="O33" s="1"/>
  <c r="L31"/>
  <c r="N31"/>
  <c r="N32" s="1"/>
  <c r="M33" l="1"/>
  <c r="M34" s="1"/>
  <c r="L32"/>
  <c r="L33" s="1"/>
  <c r="O34" l="1"/>
  <c r="N33"/>
  <c r="N34" s="1"/>
  <c r="L34" l="1"/>
</calcChain>
</file>

<file path=xl/comments1.xml><?xml version="1.0" encoding="utf-8"?>
<comments xmlns="http://schemas.openxmlformats.org/spreadsheetml/2006/main">
  <authors>
    <author>User</author>
  </authors>
  <commentList>
    <comment ref="G144" authorId="0">
      <text>
        <r>
          <rPr>
            <b/>
            <sz val="9"/>
            <color indexed="81"/>
            <rFont val="Tahoma"/>
            <family val="2"/>
          </rPr>
          <t>User:</t>
        </r>
        <r>
          <rPr>
            <sz val="9"/>
            <color indexed="81"/>
            <rFont val="Tahoma"/>
            <family val="2"/>
          </rPr>
          <t xml:space="preserve">
5ng
</t>
        </r>
      </text>
    </comment>
    <comment ref="M2218" authorId="0">
      <text>
        <r>
          <rPr>
            <b/>
            <sz val="9"/>
            <color indexed="81"/>
            <rFont val="Tahoma"/>
            <family val="2"/>
          </rPr>
          <t>User:</t>
        </r>
        <r>
          <rPr>
            <sz val="9"/>
            <color indexed="81"/>
            <rFont val="Tahoma"/>
            <family val="2"/>
          </rPr>
          <t xml:space="preserve">
1.935.564
</t>
        </r>
      </text>
    </comment>
    <comment ref="M2237" authorId="0">
      <text>
        <r>
          <rPr>
            <b/>
            <sz val="9"/>
            <color indexed="81"/>
            <rFont val="Tahoma"/>
            <family val="2"/>
          </rPr>
          <t>User:</t>
        </r>
        <r>
          <rPr>
            <sz val="9"/>
            <color indexed="81"/>
            <rFont val="Tahoma"/>
            <family val="2"/>
          </rPr>
          <t xml:space="preserve">
1.296.080</t>
        </r>
      </text>
    </comment>
    <comment ref="M3935"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<sst xmlns="http://schemas.openxmlformats.org/spreadsheetml/2006/main" count="6481" uniqueCount="1260">
  <si>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</si>
  <si>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</si>
  <si>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</si>
  <si>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</si>
  <si>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</si>
  <si>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</si>
  <si>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</si>
  <si>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</si>
  <si>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</si>
  <si>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</si>
  <si>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</si>
  <si>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</si>
  <si>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</si>
  <si>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</si>
  <si>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</si>
  <si>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</si>
  <si>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</si>
  <si>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</si>
  <si>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</si>
  <si>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</si>
  <si>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</si>
  <si>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</si>
  <si>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</si>
  <si>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</si>
  <si>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</si>
  <si>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</si>
  <si>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</si>
  <si>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</si>
  <si>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</si>
  <si>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</si>
  <si>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</si>
  <si>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</si>
  <si>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</si>
  <si>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</si>
  <si>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</si>
  <si>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</si>
  <si>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</si>
  <si>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</si>
  <si>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</si>
  <si>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</si>
  <si>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</si>
  <si>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</si>
  <si>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</si>
  <si>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</si>
  <si>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</si>
  <si>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</si>
  <si>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</si>
  <si>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</si>
  <si>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</si>
  <si>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</si>
  <si>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</si>
  <si>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</si>
  <si>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</si>
  <si>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</si>
  <si>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</si>
  <si>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</si>
  <si>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</si>
  <si>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</si>
  <si>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</si>
  <si>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</si>
  <si>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</si>
  <si>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</si>
  <si>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</si>
  <si>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</si>
  <si>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</si>
  <si>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</si>
  <si>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</si>
  <si>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</si>
  <si>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</si>
  <si>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</si>
  <si>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</si>
  <si>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</si>
  <si>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</si>
  <si>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</si>
  <si>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</si>
  <si>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</si>
  <si>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</si>
  <si>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</si>
  <si>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</si>
  <si>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</si>
  <si>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</si>
  <si>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</si>
  <si>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</si>
  <si>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</si>
  <si>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</si>
  <si>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</si>
  <si>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</si>
  <si>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</si>
  <si>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</si>
  <si>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</si>
  <si>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</si>
  <si>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</si>
  <si>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</si>
  <si>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</si>
  <si>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</si>
  <si>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</si>
  <si>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</si>
  <si>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</si>
  <si>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</si>
  <si>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</si>
  <si>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</si>
  <si>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</si>
  <si>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</si>
  <si>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</si>
  <si>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</si>
  <si>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</si>
  <si>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</si>
  <si>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</si>
  <si>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</si>
  <si>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</si>
  <si>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</si>
  <si>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</si>
  <si>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</si>
  <si>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</si>
  <si>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</si>
  <si>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</si>
  <si>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</si>
  <si>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</si>
  <si>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</si>
  <si>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</si>
  <si>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</si>
  <si>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</si>
  <si>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</si>
  <si>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</si>
  <si>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</si>
  <si>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</si>
  <si>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</si>
  <si>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</si>
  <si>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</si>
  <si>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</si>
  <si>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</si>
  <si>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</si>
  <si>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</si>
  <si>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</si>
  <si>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</si>
  <si>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</si>
  <si>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</si>
  <si>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</si>
  <si>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</si>
  <si>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</si>
  <si>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</si>
  <si>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</si>
  <si>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</si>
  <si>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</si>
  <si>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</si>
  <si>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</si>
  <si>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</si>
  <si>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</si>
  <si>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</si>
  <si>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</si>
  <si>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</si>
  <si>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</si>
  <si>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</si>
  <si>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</si>
  <si>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</si>
  <si>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</si>
  <si>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</si>
  <si>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</si>
  <si>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</si>
  <si>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</si>
  <si>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</si>
  <si>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</si>
  <si>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</si>
  <si>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</si>
  <si>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</si>
  <si>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</si>
  <si>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</si>
  <si>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</si>
  <si>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</si>
  <si>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</si>
  <si>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</si>
  <si>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</si>
  <si>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</si>
  <si>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</si>
  <si>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</si>
  <si>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</si>
  <si>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</si>
  <si>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</si>
  <si>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</si>
  <si>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</si>
  <si>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</si>
  <si>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</si>
  <si>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</si>
  <si>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</si>
  <si>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</si>
  <si>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</si>
  <si>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</si>
  <si>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</si>
  <si>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</si>
  <si>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</si>
  <si>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</si>
  <si>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</si>
  <si>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</si>
  <si>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</si>
  <si>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</si>
  <si>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</si>
  <si>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</si>
  <si>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</si>
  <si>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</si>
  <si>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</si>
  <si>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</si>
  <si>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</si>
  <si>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</si>
  <si>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</si>
  <si>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</si>
  <si>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</si>
  <si>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</si>
  <si>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</si>
  <si>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</si>
  <si>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</si>
  <si>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</si>
  <si>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</si>
  <si>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</si>
  <si>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</si>
  <si>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</si>
  <si>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</si>
  <si>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</si>
  <si>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</si>
  <si>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</si>
  <si>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</si>
  <si>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</si>
  <si>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</si>
  <si>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</si>
  <si>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</si>
  <si>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</si>
  <si>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</si>
  <si>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</si>
  <si>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</si>
  <si>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</si>
  <si>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</si>
  <si>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</si>
  <si>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</si>
  <si>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</si>
  <si>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</si>
  <si>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</si>
  <si>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</si>
  <si>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</si>
  <si>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</si>
  <si>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</si>
  <si>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</si>
  <si>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</si>
  <si>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</si>
  <si>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</si>
  <si>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</si>
  <si>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</si>
  <si>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</si>
  <si>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</si>
  <si>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</si>
  <si>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</si>
  <si>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</si>
  <si>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</si>
  <si>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</si>
  <si>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</si>
  <si>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</si>
  <si>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</si>
  <si>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</si>
  <si>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</si>
  <si>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</si>
  <si>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</si>
  <si>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</si>
  <si>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</si>
  <si>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</si>
  <si>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</si>
  <si>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</si>
  <si>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</si>
  <si>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</si>
  <si>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</si>
  <si>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</si>
  <si>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</si>
  <si>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</si>
  <si>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</si>
  <si>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</si>
  <si>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</si>
  <si>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</si>
  <si>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</si>
  <si>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</si>
  <si>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</si>
  <si>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</si>
  <si>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</si>
  <si>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</si>
  <si>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</si>
  <si>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</si>
  <si>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</si>
  <si>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</si>
  <si>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</si>
  <si>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</si>
  <si>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</si>
  <si>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</si>
  <si>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</si>
  <si>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</si>
  <si>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</si>
  <si>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</si>
  <si>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</si>
  <si>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</si>
  <si>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</si>
  <si>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</si>
  <si>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</si>
  <si>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</si>
  <si>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</si>
  <si>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</si>
  <si>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</si>
  <si>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</si>
  <si>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</si>
  <si>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</si>
  <si>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</si>
  <si>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</si>
  <si>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</si>
  <si>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</si>
  <si>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</si>
  <si>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</si>
  <si>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</si>
  <si>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</si>
  <si>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</si>
  <si>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</si>
  <si>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</si>
  <si>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</si>
  <si>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</si>
  <si>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</si>
  <si>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</si>
  <si>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</si>
  <si>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</si>
  <si>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</si>
  <si>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</si>
  <si>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</si>
  <si>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</si>
  <si>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</si>
  <si>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</si>
  <si>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</si>
  <si>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</si>
  <si>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</si>
  <si>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</si>
  <si>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</si>
  <si>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</si>
  <si>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</si>
  <si>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</si>
  <si>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</si>
  <si>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</si>
  <si>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</si>
  <si>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</si>
  <si>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</si>
  <si>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</si>
  <si>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</si>
  <si>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</si>
  <si>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</si>
  <si>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</si>
  <si>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</si>
  <si>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</si>
  <si>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</si>
  <si>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</si>
  <si>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</si>
  <si>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</si>
  <si>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</si>
  <si>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</si>
  <si>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</si>
  <si>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</si>
  <si>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</si>
  <si>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</si>
  <si>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</si>
  <si>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</si>
  <si>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</si>
  <si>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</si>
  <si>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</si>
  <si>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</si>
  <si>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</si>
  <si>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</si>
  <si>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</si>
  <si>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</si>
  <si>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</si>
  <si>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</si>
  <si>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</si>
  <si>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</si>
  <si>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</si>
  <si>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</si>
  <si>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</si>
  <si>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</si>
  <si>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</si>
  <si>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</si>
  <si>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</si>
  <si>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</si>
  <si>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</si>
  <si>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</si>
  <si>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</si>
  <si>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</si>
  <si>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</si>
  <si>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</si>
  <si>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</si>
  <si>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</si>
  <si>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</si>
  <si>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</si>
  <si>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</si>
  <si>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</si>
  <si>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</si>
  <si>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</si>
  <si>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</si>
  <si>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</si>
  <si>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</si>
  <si>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</si>
  <si>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</si>
  <si>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</si>
  <si>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</si>
  <si>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</si>
  <si>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</si>
  <si>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</si>
  <si>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</si>
  <si>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</si>
  <si>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</si>
  <si>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</si>
  <si>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</si>
  <si>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</si>
  <si>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</si>
  <si>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</si>
  <si>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</si>
  <si>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</si>
  <si>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</si>
  <si>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</si>
  <si>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</si>
  <si>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</si>
  <si>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</si>
  <si>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</si>
  <si>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</si>
  <si>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</si>
  <si>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</si>
  <si>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</si>
  <si>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</si>
  <si>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</si>
  <si>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</si>
  <si>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</si>
  <si>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</si>
  <si>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</si>
  <si>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</si>
  <si>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</si>
  <si>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</si>
  <si>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</si>
  <si>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</si>
  <si>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</si>
  <si>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</si>
  <si>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</si>
  <si>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</si>
  <si>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</si>
  <si>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</si>
  <si>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</si>
  <si>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</si>
  <si>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</si>
  <si>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</si>
  <si>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</si>
  <si>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</si>
  <si>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</si>
  <si>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</si>
  <si>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</si>
  <si>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</si>
  <si>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</si>
  <si>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</si>
  <si>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</si>
  <si>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</si>
  <si>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</si>
  <si>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</si>
  <si>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</si>
  <si>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</si>
  <si>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</si>
  <si>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</si>
  <si>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</si>
  <si>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</si>
  <si>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</si>
  <si>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</si>
  <si>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</si>
  <si>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</si>
  <si>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</si>
  <si>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</si>
  <si>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</si>
  <si>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</si>
  <si>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</si>
  <si>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</si>
  <si>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</si>
  <si>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</si>
  <si>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</si>
  <si>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</si>
  <si>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</si>
  <si>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</si>
  <si>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</si>
  <si>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</si>
  <si>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</si>
  <si>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</si>
  <si>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</si>
  <si>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</si>
  <si>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</si>
  <si>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</si>
  <si>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</si>
  <si>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</si>
  <si>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</si>
  <si>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</si>
  <si>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</si>
  <si>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</si>
  <si>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</si>
  <si>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</si>
  <si>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</si>
  <si>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</si>
  <si>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</si>
  <si>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</si>
  <si>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</si>
  <si>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</si>
  <si>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</si>
  <si>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</si>
  <si>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</si>
  <si>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</si>
  <si>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</si>
  <si>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</si>
  <si>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</si>
  <si>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</si>
  <si>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</si>
  <si>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</si>
  <si>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</si>
  <si>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</si>
  <si>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</si>
  <si>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</si>
  <si>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</si>
  <si>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</si>
  <si>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</si>
  <si>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</si>
  <si>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</si>
  <si>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</si>
  <si>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</si>
  <si>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</si>
  <si>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</si>
  <si>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</si>
  <si>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</si>
  <si>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</si>
  <si>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</si>
  <si>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</si>
  <si>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</si>
  <si>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</si>
  <si>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</si>
  <si>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</si>
  <si>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</si>
  <si>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</si>
  <si>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</si>
  <si>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</si>
  <si>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</si>
  <si>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</si>
  <si>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</si>
  <si>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</si>
  <si>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</si>
  <si>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</si>
  <si>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</si>
  <si>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</si>
  <si>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</si>
  <si>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</si>
  <si>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</si>
  <si>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</si>
  <si>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</si>
  <si>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</si>
  <si>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</si>
  <si>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</si>
  <si>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</si>
  <si>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</si>
  <si>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</si>
  <si>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</si>
  <si>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</si>
  <si>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</si>
  <si>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</si>
  <si>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</si>
  <si>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</si>
  <si>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</si>
  <si>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</si>
  <si>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</si>
  <si>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</si>
  <si>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</si>
  <si>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</si>
  <si>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</si>
  <si>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</si>
  <si>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</si>
  <si>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</si>
  <si>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</si>
  <si>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</si>
  <si>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</si>
  <si>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</si>
  <si>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</si>
  <si>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</si>
  <si>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</si>
  <si>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</si>
  <si>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</si>
  <si>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</si>
  <si>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</si>
  <si>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</si>
  <si>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</si>
  <si>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</si>
  <si>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</si>
  <si>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</si>
  <si>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</si>
  <si>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</si>
  <si>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</si>
  <si>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</si>
  <si>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</si>
  <si>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</si>
  <si>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</si>
  <si>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</si>
  <si>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</si>
  <si>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</si>
  <si>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</si>
  <si>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</si>
  <si>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</si>
  <si>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</si>
  <si>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</si>
  <si>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</si>
  <si>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</si>
  <si>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</si>
  <si>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</si>
  <si>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</si>
  <si>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</si>
  <si>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</si>
  <si>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</si>
  <si>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</si>
  <si>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</si>
  <si>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</si>
  <si>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</si>
  <si>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</si>
  <si>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</si>
  <si>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</si>
  <si>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</si>
  <si>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</si>
  <si>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</si>
  <si>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</si>
  <si>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</si>
  <si>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</si>
  <si>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</si>
  <si>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</si>
  <si>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</si>
  <si>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</si>
  <si>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</si>
  <si>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</si>
  <si>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</si>
  <si>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</si>
  <si>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</si>
  <si>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</si>
  <si>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</si>
  <si>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</si>
  <si>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</si>
  <si>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</si>
  <si>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</si>
  <si>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</si>
  <si>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</si>
  <si>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</si>
  <si>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</si>
  <si>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</si>
  <si>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</si>
  <si>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</si>
  <si>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</si>
  <si>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</si>
  <si>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</si>
  <si>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</si>
  <si>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</si>
  <si>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</si>
  <si>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</si>
  <si>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</si>
  <si>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</si>
  <si>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</si>
  <si>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</si>
  <si>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</si>
  <si>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</si>
  <si>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</si>
  <si>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</si>
  <si>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</si>
  <si>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</si>
  <si>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</si>
  <si>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</si>
  <si>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</si>
  <si>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</si>
  <si>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</si>
  <si>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</si>
  <si>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</si>
  <si>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</si>
  <si>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</si>
  <si>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</si>
  <si>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</si>
  <si>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</si>
  <si>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</si>
  <si>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</si>
  <si>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</si>
  <si>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</si>
  <si>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</si>
  <si>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</si>
  <si>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</si>
  <si>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</si>
  <si>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</si>
  <si>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</si>
  <si>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</si>
  <si>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</si>
  <si>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</si>
  <si>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</si>
  <si>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</si>
  <si>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</si>
  <si>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</si>
  <si>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</si>
  <si>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</si>
  <si>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</si>
  <si>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</si>
  <si>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</si>
  <si>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</si>
  <si>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</si>
  <si>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</si>
  <si>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</si>
  <si>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</si>
  <si>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</si>
  <si>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</si>
  <si>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</si>
  <si>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</si>
  <si>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</si>
  <si>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</si>
  <si>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</si>
  <si>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</si>
  <si>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</si>
  <si>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</si>
  <si>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</si>
  <si>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</si>
  <si>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</si>
  <si>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</si>
  <si>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</si>
  <si>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</si>
  <si>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</si>
  <si>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</si>
  <si>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</si>
  <si>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</si>
  <si>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</si>
  <si>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</si>
  <si>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</si>
  <si>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</si>
  <si>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</si>
  <si>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</si>
  <si>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</si>
  <si>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</si>
  <si>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</si>
  <si>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</si>
  <si>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</si>
  <si>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</si>
  <si>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</si>
  <si>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</si>
  <si>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</si>
  <si>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</si>
  <si>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</si>
  <si>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</si>
  <si>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</si>
  <si>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</si>
  <si>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</si>
  <si>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</si>
  <si>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</si>
  <si>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</si>
  <si>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</si>
  <si>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</si>
  <si>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</si>
  <si>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</si>
  <si>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</si>
  <si>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</si>
  <si>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</si>
  <si>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</si>
  <si>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</si>
  <si>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</si>
  <si>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</si>
  <si>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</si>
  <si>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</si>
  <si>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</si>
  <si>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</si>
  <si>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</si>
  <si>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</si>
  <si>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</si>
  <si>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</si>
  <si>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</si>
  <si>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</si>
  <si>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</si>
  <si>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</si>
  <si>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</si>
  <si>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</si>
  <si>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</si>
  <si>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</si>
  <si>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</si>
  <si>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</si>
  <si>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</si>
  <si>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</si>
  <si>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</si>
  <si>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</si>
  <si>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</si>
  <si>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</si>
  <si>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</si>
  <si>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</si>
  <si>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</si>
  <si>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</si>
  <si>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</si>
  <si>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</si>
  <si>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</si>
  <si>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</si>
  <si>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</si>
  <si>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</si>
  <si>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</si>
  <si>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</si>
  <si>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</si>
  <si>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</si>
  <si>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</si>
  <si>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</si>
  <si>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</si>
  <si>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</si>
  <si>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</si>
  <si>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</si>
  <si>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</si>
  <si>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</si>
  <si>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</si>
  <si>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</si>
  <si>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</si>
  <si>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</si>
  <si>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</si>
  <si>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</si>
  <si>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</si>
  <si>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</si>
  <si>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</si>
  <si>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</si>
  <si>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</si>
  <si>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</si>
  <si>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</si>
  <si>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</si>
  <si>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</si>
  <si>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</si>
  <si>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</si>
  <si>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</si>
  <si>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</si>
  <si>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</si>
  <si>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</si>
  <si>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</si>
  <si>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</si>
  <si>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</si>
  <si>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</si>
  <si>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</si>
  <si>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</si>
  <si>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</si>
  <si>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</si>
  <si>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</si>
  <si>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</si>
  <si>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</si>
  <si>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</si>
  <si>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</si>
  <si>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</si>
  <si>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</si>
  <si>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</si>
  <si>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</si>
  <si>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</si>
  <si>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</si>
  <si>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</si>
  <si>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</si>
  <si>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</si>
  <si>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</si>
  <si>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</si>
  <si>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</si>
  <si>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</si>
  <si>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</si>
  <si>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</si>
  <si>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</si>
  <si>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</si>
  <si>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</si>
  <si>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</si>
  <si>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</si>
  <si>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</si>
  <si>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</si>
  <si>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</si>
  <si>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</si>
  <si>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</si>
  <si>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</si>
  <si>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</si>
  <si>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</si>
  <si>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</si>
  <si>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</si>
  <si>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</si>
  <si>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</si>
  <si>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</si>
  <si>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</si>
  <si>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</si>
  <si>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</si>
  <si>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</si>
  <si>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</si>
  <si>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</si>
  <si>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</si>
  <si>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</si>
  <si>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</si>
  <si>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</si>
  <si>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</si>
  <si>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</si>
  <si>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</si>
  <si>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</si>
  <si>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</si>
  <si>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</si>
  <si>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</si>
  <si>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</si>
  <si>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</si>
  <si>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</si>
  <si>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</si>
  <si>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</si>
  <si>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</si>
  <si>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</si>
  <si>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</si>
  <si>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</si>
  <si>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</si>
  <si>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</si>
  <si>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</si>
  <si>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</si>
  <si>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</si>
  <si>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</si>
  <si>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</si>
  <si>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</si>
  <si>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</si>
  <si>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</si>
  <si>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</si>
  <si>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</si>
  <si>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</si>
  <si>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chỉ vàng mặn TP</t>
  </si>
  <si>
    <t>Khô cá sặc TP</t>
  </si>
  <si>
    <t>Khô cá chỉ vàng tẩm TP</t>
  </si>
  <si>
    <t xml:space="preserve">Ruốc khô </t>
  </si>
  <si>
    <t>Khô mực Daroma</t>
  </si>
  <si>
    <t>Tôm mặn nga</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</si>
  <si>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</si>
  <si>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</si>
  <si>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</si>
  <si>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</si>
  <si>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</si>
  <si>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</si>
  <si>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</si>
  <si>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</si>
  <si>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</si>
  <si>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</si>
  <si>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</si>
  <si>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</si>
  <si>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</si>
  <si>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</si>
  <si>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</si>
  <si>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</si>
  <si>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</si>
  <si>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</si>
  <si>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</si>
  <si>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</si>
  <si>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</si>
  <si>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</si>
  <si>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</si>
  <si>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</si>
  <si>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</si>
  <si>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</si>
  <si>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</si>
  <si>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</si>
  <si>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</si>
  <si>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</si>
  <si>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</si>
  <si>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</si>
  <si>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</si>
  <si>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</si>
  <si>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</si>
  <si>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</si>
  <si>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</si>
  <si>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</si>
  <si>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</si>
  <si>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</si>
  <si>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</si>
  <si>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</si>
  <si>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</si>
  <si>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</si>
  <si>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</si>
  <si>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</si>
  <si>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</si>
  <si>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</si>
  <si>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</si>
  <si>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</si>
  <si>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</si>
  <si>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</si>
  <si>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</si>
  <si>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</si>
  <si>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</si>
  <si>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</si>
  <si>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</si>
  <si>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</si>
  <si>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</si>
  <si>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</si>
  <si>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</si>
  <si>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</si>
  <si>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</si>
  <si>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</si>
  <si>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</si>
  <si>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</si>
  <si>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</si>
  <si>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</si>
  <si>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</si>
  <si>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</si>
  <si>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</si>
  <si>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</si>
  <si>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</si>
  <si>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</si>
  <si>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</si>
  <si>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</si>
  <si>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</si>
  <si>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</si>
  <si>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</si>
  <si>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</si>
  <si>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</si>
  <si>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</si>
  <si>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</si>
  <si>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</si>
  <si>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</si>
  <si>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</si>
  <si>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</si>
  <si>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</si>
  <si>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</si>
  <si>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</si>
  <si>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</si>
  <si>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</si>
  <si>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</si>
  <si>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</si>
  <si>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</si>
  <si>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</si>
  <si>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</si>
  <si>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</si>
  <si>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</si>
  <si>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</si>
  <si>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</si>
  <si>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</si>
  <si>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</si>
  <si>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</si>
  <si>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</si>
  <si>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</si>
  <si>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</si>
  <si>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</si>
  <si>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</si>
  <si>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</si>
  <si>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</si>
  <si>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</si>
  <si>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</si>
  <si>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</si>
  <si>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</si>
  <si>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</si>
  <si>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</si>
  <si>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</si>
  <si>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</si>
  <si>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</si>
  <si>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</si>
  <si>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</si>
  <si>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</si>
  <si>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</si>
  <si>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</si>
  <si>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</si>
  <si>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</si>
  <si>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</si>
  <si>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</si>
  <si>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</si>
  <si>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</si>
  <si>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</si>
  <si>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</si>
  <si>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</si>
  <si>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</si>
  <si>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</si>
  <si>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</si>
  <si>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</si>
  <si>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</si>
  <si>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</si>
  <si>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</si>
  <si>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</si>
  <si>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</si>
  <si>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</si>
  <si>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</si>
  <si>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</si>
  <si>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</si>
  <si>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</si>
  <si>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</si>
  <si>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</si>
  <si>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</si>
  <si>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</si>
  <si>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</si>
  <si>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</si>
  <si>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</si>
  <si>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</si>
  <si>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</si>
  <si>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</si>
  <si>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</si>
  <si>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</si>
  <si>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</si>
  <si>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</si>
  <si>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</si>
  <si>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</si>
  <si>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</si>
  <si>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</si>
  <si>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</si>
  <si>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</si>
  <si>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</si>
  <si>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</si>
  <si>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</si>
  <si>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</si>
  <si>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</si>
  <si>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</si>
  <si>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</si>
  <si>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</si>
  <si>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</si>
  <si>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</si>
  <si>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</si>
  <si>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</si>
  <si>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</si>
  <si>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</si>
  <si>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</si>
  <si>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</si>
  <si>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</si>
  <si>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</si>
  <si>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</si>
  <si>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</si>
  <si>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</si>
  <si>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</si>
  <si>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</si>
  <si>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</si>
  <si>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</si>
  <si>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</si>
  <si>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</si>
  <si>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</si>
  <si>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</si>
  <si>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</si>
  <si>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</si>
  <si>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</si>
  <si>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</si>
  <si>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</si>
  <si>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</si>
  <si>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</si>
  <si>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</si>
  <si>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</si>
  <si>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</si>
  <si>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</si>
  <si>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</si>
  <si>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</si>
  <si>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</si>
  <si>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</si>
  <si>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</si>
  <si>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</si>
  <si>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</si>
  <si>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</si>
  <si>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</si>
  <si>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</si>
  <si>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</si>
  <si>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</si>
  <si>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</si>
  <si>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</si>
  <si>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</si>
  <si>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</si>
  <si>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</si>
  <si>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</si>
  <si>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</si>
  <si>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</si>
  <si>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</si>
  <si>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</si>
  <si>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</si>
  <si>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</si>
  <si>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</si>
  <si>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</si>
  <si>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</si>
  <si>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</si>
  <si>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</si>
  <si>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</si>
  <si>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</si>
  <si>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</si>
  <si>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</si>
  <si>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</si>
  <si>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</si>
  <si>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</si>
  <si>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</si>
  <si>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</si>
  <si>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</si>
  <si>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</si>
  <si>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</si>
  <si>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</si>
  <si>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</si>
  <si>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</si>
  <si>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</si>
  <si>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</si>
  <si>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</si>
  <si>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</si>
  <si>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</si>
  <si>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</si>
  <si>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</si>
  <si>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</si>
  <si>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</si>
  <si>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</si>
  <si>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</si>
  <si>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</si>
  <si>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</si>
  <si>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</si>
  <si>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</si>
  <si>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</si>
  <si>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</si>
  <si>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</si>
  <si>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</si>
  <si>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</si>
  <si>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</si>
  <si>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</si>
  <si>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</si>
  <si>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</si>
  <si>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</si>
  <si>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</si>
  <si>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</si>
  <si>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</si>
  <si>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</si>
  <si>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</si>
  <si>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</si>
  <si>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</si>
  <si>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</si>
  <si>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</si>
  <si>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</si>
  <si>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</si>
  <si>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</si>
  <si>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</si>
  <si>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</si>
  <si>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</si>
  <si>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</si>
  <si>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</si>
  <si>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</si>
  <si>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</si>
  <si>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</si>
  <si>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</si>
  <si>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</si>
  <si>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</si>
  <si>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</si>
  <si>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</si>
  <si>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</si>
  <si>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</si>
  <si>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</si>
  <si>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</si>
  <si>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</si>
  <si>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</si>
  <si>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</si>
  <si>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</si>
  <si>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</si>
  <si>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LD 1706 237 120</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</si>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</sst>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7">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10"/>
      <color rgb="FF0070C0"/>
      <name val="Times New Roman"/>
      <family val="1"/>
    </font>
    <font>
      <sz val="9"/>
      <color rgb="FFFF0000"/>
      <name val="Times New Roman"/>
      <family val="1"/>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47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8" fillId="0" borderId="16" xfId="77" applyNumberFormat="1" applyFont="1" applyFill="1" applyBorder="1" applyAlignment="1">
      <alignment horizontal="center"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2"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8"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48" fillId="0" borderId="16" xfId="0" applyFont="1" applyFill="1" applyBorder="1" applyAlignment="1">
      <alignment horizontal="center"/>
    </xf>
    <xf numFmtId="0" fontId="49" fillId="0" borderId="16" xfId="0" applyFont="1" applyFill="1" applyBorder="1" applyAlignment="1">
      <alignment horizont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49" fillId="0" borderId="16" xfId="77" applyNumberFormat="1" applyFont="1" applyFill="1" applyBorder="1" applyAlignment="1">
      <alignment horizontal="center"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34" fillId="0" borderId="12" xfId="29" applyNumberFormat="1" applyFont="1" applyFill="1" applyBorder="1"/>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5" fillId="0" borderId="16" xfId="0" applyFont="1" applyFill="1" applyBorder="1" applyAlignment="1">
      <alignment horizontal="center"/>
    </xf>
    <xf numFmtId="0" fontId="105" fillId="0" borderId="16" xfId="77" applyNumberFormat="1" applyFont="1" applyFill="1" applyBorder="1" applyAlignment="1">
      <alignment horizontal="center"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0" fontId="102" fillId="0" borderId="16" xfId="0" applyFont="1" applyFill="1" applyBorder="1" applyAlignment="1">
      <alignment horizontal="center"/>
    </xf>
    <xf numFmtId="0" fontId="102" fillId="0" borderId="16" xfId="77" applyNumberFormat="1" applyFont="1" applyFill="1" applyBorder="1" applyAlignment="1">
      <alignment horizontal="center" vertical="center"/>
    </xf>
    <xf numFmtId="14" fontId="102" fillId="0" borderId="16" xfId="90" applyNumberFormat="1" applyFont="1" applyFill="1" applyBorder="1" applyAlignment="1">
      <alignment horizontal="center" vertical="center"/>
    </xf>
    <xf numFmtId="0" fontId="102" fillId="0" borderId="16" xfId="0" applyFont="1" applyFill="1" applyBorder="1" applyAlignment="1">
      <alignment vertical="center"/>
    </xf>
    <xf numFmtId="164" fontId="102" fillId="0" borderId="16" xfId="0" quotePrefix="1"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0" applyNumberFormat="1" applyFont="1" applyFill="1" applyBorder="1" applyAlignment="1">
      <alignment vertical="center"/>
    </xf>
    <xf numFmtId="0" fontId="102"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6" fillId="0" borderId="16" xfId="53" applyFont="1" applyFill="1" applyBorder="1" applyAlignment="1">
      <alignment vertical="center"/>
    </xf>
    <xf numFmtId="0" fontId="34" fillId="0" borderId="21" xfId="0" applyFont="1" applyFill="1" applyBorder="1" applyAlignment="1">
      <alignment vertical="center"/>
    </xf>
    <xf numFmtId="3" fontId="102"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48" fillId="25" borderId="16" xfId="0" quotePrefix="1" applyNumberFormat="1" applyFont="1" applyFill="1" applyBorder="1" applyAlignment="1">
      <alignment horizontal="left"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3"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4" fillId="0" borderId="23" xfId="101" applyFont="1" applyFill="1" applyBorder="1" applyAlignment="1">
      <alignment vertical="center"/>
    </xf>
    <xf numFmtId="175" fontId="94"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4" fillId="0" borderId="23" xfId="29" applyNumberFormat="1" applyFont="1" applyFill="1" applyBorder="1" applyAlignment="1">
      <alignment vertical="center"/>
    </xf>
    <xf numFmtId="164" fontId="94" fillId="29" borderId="23" xfId="29" applyNumberFormat="1" applyFont="1" applyFill="1" applyBorder="1" applyAlignment="1">
      <alignment horizontal="right" vertical="center"/>
    </xf>
    <xf numFmtId="164" fontId="94" fillId="0" borderId="23" xfId="29" applyNumberFormat="1" applyFont="1" applyBorder="1" applyAlignment="1">
      <alignment vertical="center"/>
    </xf>
    <xf numFmtId="43" fontId="94" fillId="0" borderId="23" xfId="29" applyFont="1" applyFill="1" applyBorder="1" applyAlignment="1">
      <alignment vertical="center"/>
    </xf>
    <xf numFmtId="0" fontId="94"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4" fillId="0" borderId="19" xfId="101" applyFont="1" applyFill="1" applyBorder="1" applyAlignment="1">
      <alignment vertical="center"/>
    </xf>
    <xf numFmtId="175" fontId="94" fillId="0" borderId="19" xfId="29" applyNumberFormat="1" applyFont="1" applyBorder="1" applyAlignment="1">
      <alignment vertical="center"/>
    </xf>
    <xf numFmtId="164" fontId="94" fillId="0" borderId="19" xfId="29" applyNumberFormat="1" applyFont="1" applyFill="1" applyBorder="1" applyAlignment="1">
      <alignment vertical="center"/>
    </xf>
    <xf numFmtId="164" fontId="94" fillId="29" borderId="19" xfId="29" applyNumberFormat="1" applyFont="1" applyFill="1" applyBorder="1" applyAlignment="1">
      <alignment horizontal="right" vertical="center"/>
    </xf>
    <xf numFmtId="164" fontId="94" fillId="0" borderId="19" xfId="29" applyNumberFormat="1" applyFont="1" applyBorder="1" applyAlignment="1">
      <alignment vertical="center"/>
    </xf>
    <xf numFmtId="43" fontId="94"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164" fontId="34" fillId="0" borderId="23" xfId="29" applyNumberFormat="1" applyFont="1" applyBorder="1" applyAlignment="1">
      <alignment horizontal="left" vertical="center"/>
    </xf>
    <xf numFmtId="164" fontId="34" fillId="0" borderId="23" xfId="29" applyNumberFormat="1" applyFont="1" applyBorder="1" applyAlignment="1">
      <alignment horizontal="center"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3"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3" fillId="0" borderId="12" xfId="29" applyNumberFormat="1" applyFont="1" applyBorder="1" applyAlignment="1">
      <alignment vertical="center"/>
    </xf>
    <xf numFmtId="43" fontId="93" fillId="0" borderId="19" xfId="29" applyNumberFormat="1" applyFont="1" applyBorder="1" applyAlignment="1">
      <alignment vertical="center"/>
    </xf>
    <xf numFmtId="0" fontId="3" fillId="0" borderId="0" xfId="0" applyFont="1"/>
    <xf numFmtId="0" fontId="50" fillId="0" borderId="0" xfId="0" applyFont="1"/>
    <xf numFmtId="0" fontId="49" fillId="25" borderId="16" xfId="0" applyFont="1" applyFill="1" applyBorder="1" applyAlignment="1">
      <alignment horizontal="center"/>
    </xf>
    <xf numFmtId="0" fontId="49" fillId="25" borderId="16" xfId="77" applyNumberFormat="1" applyFont="1" applyFill="1" applyBorder="1" applyAlignment="1">
      <alignment horizontal="center" vertical="center"/>
    </xf>
    <xf numFmtId="14" fontId="49" fillId="25" borderId="16" xfId="54" applyNumberFormat="1" applyFont="1" applyFill="1" applyBorder="1" applyAlignment="1">
      <alignment horizontal="center" vertical="center"/>
    </xf>
    <xf numFmtId="0" fontId="49" fillId="25" borderId="16" xfId="0" applyFont="1" applyFill="1" applyBorder="1" applyAlignment="1">
      <alignment vertical="center"/>
    </xf>
    <xf numFmtId="164" fontId="49" fillId="25" borderId="16" xfId="54" quotePrefix="1" applyNumberFormat="1" applyFont="1" applyFill="1" applyBorder="1" applyAlignment="1">
      <alignment horizontal="left" vertical="center"/>
    </xf>
    <xf numFmtId="3" fontId="49" fillId="25" borderId="16" xfId="46" applyFont="1" applyFill="1" applyBorder="1" applyAlignment="1">
      <alignment vertical="center"/>
    </xf>
    <xf numFmtId="164" fontId="49" fillId="25" borderId="16" xfId="29" applyNumberFormat="1" applyFont="1" applyFill="1" applyBorder="1" applyAlignment="1">
      <alignment horizontal="left" vertical="center"/>
    </xf>
    <xf numFmtId="43" fontId="49" fillId="25" borderId="16" xfId="29" applyFont="1" applyFill="1" applyBorder="1" applyAlignment="1">
      <alignment horizontal="left" vertical="center"/>
    </xf>
    <xf numFmtId="0" fontId="49" fillId="25" borderId="16" xfId="54" quotePrefix="1" applyNumberFormat="1" applyFont="1" applyFill="1" applyBorder="1" applyAlignment="1">
      <alignment horizontal="center" vertical="center"/>
    </xf>
    <xf numFmtId="0" fontId="34" fillId="0" borderId="16" xfId="101" applyFont="1" applyFill="1" applyBorder="1"/>
    <xf numFmtId="164" fontId="34" fillId="0" borderId="21" xfId="29" applyNumberFormat="1" applyFont="1" applyFill="1" applyBorder="1"/>
    <xf numFmtId="43" fontId="93"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0"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25" activePane="bottomLeft" state="frozen"/>
      <selection activeCell="A7" sqref="A7"/>
      <selection pane="bottomLeft" activeCell="A18" sqref="A18"/>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34"/>
      <c r="D5" s="34"/>
      <c r="E5" s="33"/>
      <c r="F5" s="33"/>
      <c r="G5" s="33"/>
      <c r="H5" s="33"/>
    </row>
    <row r="6" spans="1:12" ht="19.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42">
        <v>1807122022.5</v>
      </c>
      <c r="D10" s="42">
        <v>0</v>
      </c>
      <c r="E10" s="1012">
        <f t="array" ref="E10">SUM(IF(A10=KHN,TH))</f>
        <v>40417760000</v>
      </c>
      <c r="F10" s="1012">
        <f t="array" ref="F10">SUM(IF(A10=KHC,TH))</f>
        <v>2974372945</v>
      </c>
      <c r="G10" s="43">
        <f>MAX(C10+E10-D10-F10,0)</f>
        <v>39250509077.5</v>
      </c>
      <c r="H10" s="43">
        <f>MAX(D10+F10-E10-C10,0)</f>
        <v>0</v>
      </c>
      <c r="K10" s="44"/>
      <c r="L10" s="44"/>
    </row>
    <row r="11" spans="1:12" s="31" customFormat="1">
      <c r="A11" s="45" t="s">
        <v>18</v>
      </c>
      <c r="B11" s="46" t="s">
        <v>65</v>
      </c>
      <c r="C11" s="47">
        <v>1807122022.5</v>
      </c>
      <c r="D11" s="47">
        <v>0</v>
      </c>
      <c r="E11" s="1013">
        <f>E10</f>
        <v>40417760000</v>
      </c>
      <c r="F11" s="1013">
        <f>F10</f>
        <v>2974372945</v>
      </c>
      <c r="G11" s="47">
        <f>G10</f>
        <v>39250509077.5</v>
      </c>
      <c r="H11" s="47">
        <f>H10</f>
        <v>0</v>
      </c>
    </row>
    <row r="12" spans="1:12" s="31" customFormat="1">
      <c r="A12" s="48" t="s">
        <v>26</v>
      </c>
      <c r="B12" s="41" t="s">
        <v>66</v>
      </c>
      <c r="C12" s="42">
        <v>9382419</v>
      </c>
      <c r="D12" s="42">
        <v>0</v>
      </c>
      <c r="E12" s="1012">
        <f t="array" ref="E12">SUM(IF(A12=KHN,TH))</f>
        <v>68749967004</v>
      </c>
      <c r="F12" s="1012">
        <f t="array" ref="F12">SUM(IF(A12=KHC,TH))</f>
        <v>60594035818</v>
      </c>
      <c r="G12" s="43">
        <f>MAX(C12+E12-D12-F12,0)</f>
        <v>8165313605</v>
      </c>
      <c r="H12" s="43">
        <f>MAX(D12+F12-E12-C12,0)</f>
        <v>0</v>
      </c>
      <c r="K12" s="44"/>
      <c r="L12" s="44"/>
    </row>
    <row r="13" spans="1:12" s="31" customFormat="1">
      <c r="A13" s="48" t="s">
        <v>264</v>
      </c>
      <c r="B13" s="41" t="s">
        <v>265</v>
      </c>
      <c r="C13" s="42">
        <v>7381692.9499816895</v>
      </c>
      <c r="D13" s="42">
        <v>0</v>
      </c>
      <c r="E13" s="1012">
        <f t="array" ref="E13">SUM(IF(A13=KHN,TH))</f>
        <v>80651862956</v>
      </c>
      <c r="F13" s="1012">
        <f t="array" ref="F13">SUM(IF(A13=KHC,TH))</f>
        <v>80909640869.399994</v>
      </c>
      <c r="G13" s="43">
        <f>MAX(C13+E13-D13-F13,0)</f>
        <v>0</v>
      </c>
      <c r="H13" s="43">
        <f>MAX(D13+F13-E13-C13,0)</f>
        <v>250396220.45001221</v>
      </c>
      <c r="K13" s="44"/>
      <c r="L13" s="44"/>
    </row>
    <row r="14" spans="1:12" s="31" customFormat="1">
      <c r="A14" s="45" t="s">
        <v>67</v>
      </c>
      <c r="B14" s="46" t="s">
        <v>68</v>
      </c>
      <c r="C14" s="47">
        <v>16764111.949981689</v>
      </c>
      <c r="D14" s="47">
        <v>0</v>
      </c>
      <c r="E14" s="1013">
        <f>E12+E13</f>
        <v>149401829960</v>
      </c>
      <c r="F14" s="1013">
        <f>F12+F13</f>
        <v>141503676687.39999</v>
      </c>
      <c r="G14" s="47">
        <f>G12+G13</f>
        <v>8165313605</v>
      </c>
      <c r="H14" s="47">
        <f>H12+H13</f>
        <v>250396220.45001221</v>
      </c>
    </row>
    <row r="15" spans="1:12" s="31" customFormat="1">
      <c r="A15" s="45" t="s">
        <v>579</v>
      </c>
      <c r="B15" s="46" t="s">
        <v>638</v>
      </c>
      <c r="C15" s="47">
        <v>57038792896</v>
      </c>
      <c r="D15" s="47">
        <v>0</v>
      </c>
      <c r="E15" s="1014">
        <f t="array" ref="E15">SUM(IF(A15=KHN,TH))</f>
        <v>15527457290</v>
      </c>
      <c r="F15" s="1014">
        <f t="array" ref="F15">SUM(IF(A15=KHC,TH))</f>
        <v>68394091446</v>
      </c>
      <c r="G15" s="47">
        <f>MAX(C15+E15-D15-F15,0)</f>
        <v>4172158740</v>
      </c>
      <c r="H15" s="47">
        <f>MAX(D15+F15-E15-C15,0)</f>
        <v>0</v>
      </c>
    </row>
    <row r="16" spans="1:12" s="31" customFormat="1">
      <c r="A16" s="48" t="s">
        <v>9</v>
      </c>
      <c r="B16" s="41" t="s">
        <v>69</v>
      </c>
      <c r="C16" s="42">
        <v>518470991</v>
      </c>
      <c r="D16" s="42">
        <v>0</v>
      </c>
      <c r="E16" s="1012">
        <f t="array" ref="E16">SUM(IF(A16=KHN,TH))</f>
        <v>83669632.818181828</v>
      </c>
      <c r="F16" s="1012">
        <f t="array" ref="F16">SUM(IF(A16=KHC,TH))</f>
        <v>523800991</v>
      </c>
      <c r="G16" s="43">
        <f>MAX(C16+E16-D16-F16,0)</f>
        <v>78339632.818181872</v>
      </c>
      <c r="H16" s="43">
        <f>MAX(D16+F16-E16-C16,0)</f>
        <v>0</v>
      </c>
    </row>
    <row r="17" spans="1:8" s="31" customFormat="1">
      <c r="A17" s="45" t="s">
        <v>70</v>
      </c>
      <c r="B17" s="46" t="s">
        <v>71</v>
      </c>
      <c r="C17" s="47">
        <v>518470991</v>
      </c>
      <c r="D17" s="47">
        <v>0</v>
      </c>
      <c r="E17" s="1013">
        <f>E16</f>
        <v>83669632.818181828</v>
      </c>
      <c r="F17" s="1013">
        <f>F16</f>
        <v>523800991</v>
      </c>
      <c r="G17" s="47">
        <f>G16</f>
        <v>78339632.818181872</v>
      </c>
      <c r="H17" s="47">
        <f>H16</f>
        <v>0</v>
      </c>
    </row>
    <row r="18" spans="1:8" s="31" customFormat="1">
      <c r="A18" s="48" t="s">
        <v>72</v>
      </c>
      <c r="B18" s="41" t="s">
        <v>73</v>
      </c>
      <c r="C18" s="42">
        <v>0</v>
      </c>
      <c r="D18" s="42">
        <v>0</v>
      </c>
      <c r="E18" s="1012">
        <f t="array" ref="E18">SUM(IF(A18=KHN,TH))</f>
        <v>518470991</v>
      </c>
      <c r="F18" s="1012">
        <f t="array" ref="F18">SUM(IF(A18=KHC,TH))</f>
        <v>0</v>
      </c>
      <c r="G18" s="43">
        <f t="shared" ref="G18:G44" si="0">MAX(C18+E18-D18-F18,0)</f>
        <v>518470991</v>
      </c>
      <c r="H18" s="43">
        <f t="shared" ref="H18:H44" si="1">MAX(D18+F18-E18-C18,0)</f>
        <v>0</v>
      </c>
    </row>
    <row r="19" spans="1:8" s="31" customFormat="1">
      <c r="A19" s="45" t="s">
        <v>74</v>
      </c>
      <c r="B19" s="46" t="s">
        <v>75</v>
      </c>
      <c r="C19" s="47">
        <v>0</v>
      </c>
      <c r="D19" s="47">
        <v>0</v>
      </c>
      <c r="E19" s="1013">
        <f>E18</f>
        <v>518470991</v>
      </c>
      <c r="F19" s="1013">
        <f>F18</f>
        <v>0</v>
      </c>
      <c r="G19" s="47">
        <f t="shared" si="0"/>
        <v>518470991</v>
      </c>
      <c r="H19" s="47">
        <f t="shared" si="1"/>
        <v>0</v>
      </c>
    </row>
    <row r="20" spans="1:8" s="31" customFormat="1">
      <c r="A20" s="45" t="s">
        <v>270</v>
      </c>
      <c r="B20" s="46" t="s">
        <v>271</v>
      </c>
      <c r="C20" s="47">
        <v>0</v>
      </c>
      <c r="D20" s="47">
        <v>0</v>
      </c>
      <c r="E20" s="1014">
        <f t="array" ref="E20">SUM(IF(A20=KHN,TH))</f>
        <v>0</v>
      </c>
      <c r="F20" s="1014">
        <f t="array" ref="F20">SUM(IF(A20=KHC,TH))</f>
        <v>0</v>
      </c>
      <c r="G20" s="47">
        <f t="shared" si="0"/>
        <v>0</v>
      </c>
      <c r="H20" s="47">
        <f t="shared" si="1"/>
        <v>0</v>
      </c>
    </row>
    <row r="21" spans="1:8" s="31" customFormat="1">
      <c r="A21" s="48" t="s">
        <v>272</v>
      </c>
      <c r="B21" s="41" t="s">
        <v>273</v>
      </c>
      <c r="C21" s="42">
        <v>0</v>
      </c>
      <c r="D21" s="42">
        <v>0</v>
      </c>
      <c r="E21" s="1012">
        <f t="array" ref="E21">SUM(IF(A21=KHN,TH))</f>
        <v>0</v>
      </c>
      <c r="F21" s="1012">
        <f t="array" ref="F21">SUM(IF(A21=KHC,TH))</f>
        <v>0</v>
      </c>
      <c r="G21" s="43">
        <f t="shared" si="0"/>
        <v>0</v>
      </c>
      <c r="H21" s="43">
        <f t="shared" si="1"/>
        <v>0</v>
      </c>
    </row>
    <row r="22" spans="1:8" s="31" customFormat="1">
      <c r="A22" s="48" t="s">
        <v>274</v>
      </c>
      <c r="B22" s="41" t="s">
        <v>275</v>
      </c>
      <c r="C22" s="42">
        <v>351991384</v>
      </c>
      <c r="D22" s="42">
        <v>0</v>
      </c>
      <c r="E22" s="1012">
        <f t="array" ref="E22">SUM(IF(A22=KHN,TH))</f>
        <v>136190200</v>
      </c>
      <c r="F22" s="1012">
        <f t="array" ref="F22">SUM(IF(A22=KHC,TH))</f>
        <v>229253500</v>
      </c>
      <c r="G22" s="42">
        <f t="shared" si="0"/>
        <v>258928084</v>
      </c>
      <c r="H22" s="42">
        <f t="shared" si="1"/>
        <v>0</v>
      </c>
    </row>
    <row r="23" spans="1:8" s="31" customFormat="1">
      <c r="A23" s="45" t="s">
        <v>276</v>
      </c>
      <c r="B23" s="46" t="s">
        <v>277</v>
      </c>
      <c r="C23" s="47">
        <v>351991384</v>
      </c>
      <c r="D23" s="47">
        <v>0</v>
      </c>
      <c r="E23" s="1013">
        <f>E21+E22</f>
        <v>136190200</v>
      </c>
      <c r="F23" s="1013">
        <f>F21+F22</f>
        <v>229253500</v>
      </c>
      <c r="G23" s="47">
        <f t="shared" si="0"/>
        <v>258928084</v>
      </c>
      <c r="H23" s="47">
        <f t="shared" si="1"/>
        <v>0</v>
      </c>
    </row>
    <row r="24" spans="1:8" s="31" customFormat="1">
      <c r="A24" s="45" t="s">
        <v>278</v>
      </c>
      <c r="B24" s="46" t="s">
        <v>279</v>
      </c>
      <c r="C24" s="47">
        <v>49990909</v>
      </c>
      <c r="D24" s="47">
        <v>0</v>
      </c>
      <c r="E24" s="1014">
        <f t="array" ref="E24">SUM(IF(A24=KHN,TH))</f>
        <v>0</v>
      </c>
      <c r="F24" s="1014">
        <f t="array" ref="F24">SUM(IF(A24=KHC,TH))</f>
        <v>49990909</v>
      </c>
      <c r="G24" s="47">
        <f t="shared" si="0"/>
        <v>0</v>
      </c>
      <c r="H24" s="47">
        <f t="shared" si="1"/>
        <v>0</v>
      </c>
    </row>
    <row r="25" spans="1:8" s="31" customFormat="1">
      <c r="A25" s="45" t="s">
        <v>280</v>
      </c>
      <c r="B25" s="46" t="s">
        <v>281</v>
      </c>
      <c r="C25" s="47">
        <v>1450841000</v>
      </c>
      <c r="D25" s="47">
        <v>0</v>
      </c>
      <c r="E25" s="1014">
        <f t="array" ref="E25">SUM(IF(A25=KHN,TH))</f>
        <v>1382807074</v>
      </c>
      <c r="F25" s="1014">
        <f t="array" ref="F25">SUM(IF(A25=KHC,TH))</f>
        <v>0</v>
      </c>
      <c r="G25" s="47">
        <f>MAX(C25+E25-D25-F25,0)</f>
        <v>2833648074</v>
      </c>
      <c r="H25" s="47">
        <f t="shared" si="1"/>
        <v>0</v>
      </c>
    </row>
    <row r="26" spans="1:8" s="31" customFormat="1">
      <c r="A26" s="45" t="s">
        <v>282</v>
      </c>
      <c r="B26" s="46" t="s">
        <v>283</v>
      </c>
      <c r="C26" s="47">
        <v>3468509299</v>
      </c>
      <c r="D26" s="47">
        <v>0</v>
      </c>
      <c r="E26" s="1014">
        <f t="array" ref="E26">SUM(IF(A26=KHN,TH))</f>
        <v>4920916000</v>
      </c>
      <c r="F26" s="1014">
        <f t="array" ref="F26">SUM(IF(A26=KHC,TH))</f>
        <v>0</v>
      </c>
      <c r="G26" s="47">
        <f t="shared" si="0"/>
        <v>8389425299</v>
      </c>
      <c r="H26" s="47">
        <f t="shared" si="1"/>
        <v>0</v>
      </c>
    </row>
    <row r="27" spans="1:8" s="31" customFormat="1">
      <c r="A27" s="415" t="s">
        <v>284</v>
      </c>
      <c r="B27" s="416" t="s">
        <v>285</v>
      </c>
      <c r="C27" s="417">
        <v>7770361541</v>
      </c>
      <c r="D27" s="417">
        <v>0</v>
      </c>
      <c r="E27" s="1012">
        <f t="array" ref="E27">SUM(IF(A27=KHN,TH))</f>
        <v>0</v>
      </c>
      <c r="F27" s="1012">
        <f t="array" ref="F27">SUM(IF(A27=KHC,TH))</f>
        <v>0</v>
      </c>
      <c r="G27" s="417">
        <f t="shared" si="0"/>
        <v>7770361541</v>
      </c>
      <c r="H27" s="417">
        <f t="shared" si="1"/>
        <v>0</v>
      </c>
    </row>
    <row r="28" spans="1:8" s="31" customFormat="1">
      <c r="A28" s="418" t="s">
        <v>286</v>
      </c>
      <c r="B28" s="419" t="s">
        <v>287</v>
      </c>
      <c r="C28" s="420">
        <v>3807898863</v>
      </c>
      <c r="D28" s="420">
        <v>0</v>
      </c>
      <c r="E28" s="1012">
        <f t="array" ref="E28">SUM(IF(A28=KHN,TH))</f>
        <v>0</v>
      </c>
      <c r="F28" s="1012">
        <f t="array" ref="F28">SUM(IF(A28=KHC,TH))</f>
        <v>0</v>
      </c>
      <c r="G28" s="420">
        <f t="shared" si="0"/>
        <v>3807898863</v>
      </c>
      <c r="H28" s="420">
        <f t="shared" si="1"/>
        <v>0</v>
      </c>
    </row>
    <row r="29" spans="1:8" s="31" customFormat="1">
      <c r="A29" s="418" t="s">
        <v>288</v>
      </c>
      <c r="B29" s="419" t="s">
        <v>289</v>
      </c>
      <c r="C29" s="420">
        <v>3790918485</v>
      </c>
      <c r="D29" s="420">
        <v>0</v>
      </c>
      <c r="E29" s="1012">
        <f t="array" ref="E29">SUM(IF(A29=KHN,TH))</f>
        <v>0</v>
      </c>
      <c r="F29" s="1012">
        <f t="array" ref="F29">SUM(IF(A29=KHC,TH))</f>
        <v>0</v>
      </c>
      <c r="G29" s="420">
        <f t="shared" si="0"/>
        <v>3790918485</v>
      </c>
      <c r="H29" s="420">
        <f t="shared" si="1"/>
        <v>0</v>
      </c>
    </row>
    <row r="30" spans="1:8" s="31" customFormat="1">
      <c r="A30" s="45" t="s">
        <v>290</v>
      </c>
      <c r="B30" s="46" t="s">
        <v>291</v>
      </c>
      <c r="C30" s="47">
        <v>15369178889</v>
      </c>
      <c r="D30" s="47">
        <v>0</v>
      </c>
      <c r="E30" s="1013">
        <f>SUM(E27:E29)</f>
        <v>0</v>
      </c>
      <c r="F30" s="1013">
        <f>SUM(F27:F29)</f>
        <v>0</v>
      </c>
      <c r="G30" s="47">
        <f>SUM(G27:G29)</f>
        <v>15369178889</v>
      </c>
      <c r="H30" s="47">
        <f>SUM(H27:H29)</f>
        <v>0</v>
      </c>
    </row>
    <row r="31" spans="1:8" s="31" customFormat="1">
      <c r="A31" s="418" t="s">
        <v>630</v>
      </c>
      <c r="B31" s="419" t="s">
        <v>631</v>
      </c>
      <c r="C31" s="420">
        <v>5405781300</v>
      </c>
      <c r="D31" s="420">
        <v>0</v>
      </c>
      <c r="E31" s="1012">
        <f t="array" ref="E31">SUM(IF(A31=KHN,TH))</f>
        <v>0</v>
      </c>
      <c r="F31" s="1012">
        <f t="array" ref="F31">SUM(IF(A31=KHC,TH))</f>
        <v>0</v>
      </c>
      <c r="G31" s="420">
        <f>MAX(C31+E31-D31-F31,0)</f>
        <v>5405781300</v>
      </c>
      <c r="H31" s="420">
        <f>MAX(D31+F31-E31-C31,0)</f>
        <v>0</v>
      </c>
    </row>
    <row r="32" spans="1:8" s="31" customFormat="1">
      <c r="A32" s="49" t="s">
        <v>632</v>
      </c>
      <c r="B32" s="46" t="s">
        <v>633</v>
      </c>
      <c r="C32" s="47">
        <v>5405781300</v>
      </c>
      <c r="D32" s="47">
        <v>0</v>
      </c>
      <c r="E32" s="1013">
        <f t="shared" ref="E32:H32" si="2">E31</f>
        <v>0</v>
      </c>
      <c r="F32" s="1013">
        <f t="shared" si="2"/>
        <v>0</v>
      </c>
      <c r="G32" s="47">
        <f t="shared" si="2"/>
        <v>5405781300</v>
      </c>
      <c r="H32" s="47">
        <f t="shared" si="2"/>
        <v>0</v>
      </c>
    </row>
    <row r="33" spans="1:8" s="31" customFormat="1">
      <c r="A33" s="48" t="s">
        <v>581</v>
      </c>
      <c r="B33" s="41" t="s">
        <v>634</v>
      </c>
      <c r="C33" s="42">
        <v>0</v>
      </c>
      <c r="D33" s="42">
        <v>9758261933</v>
      </c>
      <c r="E33" s="1012">
        <f t="array" ref="E33">SUM(IF(A33=KHN,TH))</f>
        <v>0</v>
      </c>
      <c r="F33" s="1012">
        <f t="array" ref="F33">SUM(IF(A33=KHC,TH))</f>
        <v>614220088</v>
      </c>
      <c r="G33" s="42">
        <f>MAX(C33+E33-D33-F33,0)</f>
        <v>0</v>
      </c>
      <c r="H33" s="42">
        <f>MAX(D33+F33-E33-C33,0)</f>
        <v>10372482021</v>
      </c>
    </row>
    <row r="34" spans="1:8" s="31" customFormat="1">
      <c r="A34" s="40" t="s">
        <v>580</v>
      </c>
      <c r="B34" s="41" t="s">
        <v>635</v>
      </c>
      <c r="C34" s="42">
        <v>0</v>
      </c>
      <c r="D34" s="42">
        <v>720770838</v>
      </c>
      <c r="E34" s="1012">
        <f t="array" ref="E34">SUM(IF(A34=KHN,TH))</f>
        <v>0</v>
      </c>
      <c r="F34" s="1012">
        <f t="array" ref="F34">SUM(IF(A34=KHC,TH))</f>
        <v>120128473</v>
      </c>
      <c r="G34" s="42">
        <f>MAX(C34+E34-D34-F34,0)</f>
        <v>0</v>
      </c>
      <c r="H34" s="42">
        <f>MAX(D34+F34-E34-C34,0)</f>
        <v>840899311</v>
      </c>
    </row>
    <row r="35" spans="1:8" s="31" customFormat="1" ht="12.75" customHeight="1">
      <c r="A35" s="45" t="s">
        <v>636</v>
      </c>
      <c r="B35" s="46" t="s">
        <v>637</v>
      </c>
      <c r="C35" s="47">
        <v>0</v>
      </c>
      <c r="D35" s="47">
        <v>10479032771</v>
      </c>
      <c r="E35" s="1013">
        <f t="shared" ref="E35:H35" si="3">E33+E34</f>
        <v>0</v>
      </c>
      <c r="F35" s="1013">
        <f t="shared" si="3"/>
        <v>734348561</v>
      </c>
      <c r="G35" s="47">
        <f t="shared" si="3"/>
        <v>0</v>
      </c>
      <c r="H35" s="47">
        <f t="shared" si="3"/>
        <v>11213381332</v>
      </c>
    </row>
    <row r="36" spans="1:8" s="31" customFormat="1">
      <c r="A36" s="40" t="s">
        <v>162</v>
      </c>
      <c r="B36" s="41" t="s">
        <v>163</v>
      </c>
      <c r="C36" s="42">
        <v>0</v>
      </c>
      <c r="D36" s="42">
        <v>0</v>
      </c>
      <c r="E36" s="1012">
        <f t="array" ref="E36">SUM(IF(A36=KHN,TH))</f>
        <v>0</v>
      </c>
      <c r="F36" s="1012">
        <f t="array" ref="F36">SUM(IF(A36=KHC,TH))</f>
        <v>0</v>
      </c>
      <c r="G36" s="43">
        <f t="shared" si="0"/>
        <v>0</v>
      </c>
      <c r="H36" s="43">
        <f t="shared" si="1"/>
        <v>0</v>
      </c>
    </row>
    <row r="37" spans="1:8" s="31" customFormat="1">
      <c r="A37" s="49" t="s">
        <v>225</v>
      </c>
      <c r="B37" s="46" t="s">
        <v>164</v>
      </c>
      <c r="C37" s="47">
        <v>0</v>
      </c>
      <c r="D37" s="47">
        <v>0</v>
      </c>
      <c r="E37" s="1013">
        <f>E36</f>
        <v>0</v>
      </c>
      <c r="F37" s="1013">
        <f>F36</f>
        <v>0</v>
      </c>
      <c r="G37" s="47">
        <f t="shared" si="0"/>
        <v>0</v>
      </c>
      <c r="H37" s="47">
        <f t="shared" si="1"/>
        <v>0</v>
      </c>
    </row>
    <row r="38" spans="1:8" s="31" customFormat="1">
      <c r="A38" s="45" t="s">
        <v>8</v>
      </c>
      <c r="B38" s="46" t="s">
        <v>76</v>
      </c>
      <c r="C38" s="47">
        <v>0</v>
      </c>
      <c r="D38" s="47">
        <v>37054109099</v>
      </c>
      <c r="E38" s="1014">
        <f t="array" ref="E38">SUM(IF(A38=KHN,TH))</f>
        <v>20126319494</v>
      </c>
      <c r="F38" s="1014">
        <f t="array" ref="F38">SUM(IF(A38=KHC,TH))</f>
        <v>5930824570</v>
      </c>
      <c r="G38" s="47">
        <f t="shared" si="0"/>
        <v>0</v>
      </c>
      <c r="H38" s="47">
        <f t="shared" si="1"/>
        <v>22858614175</v>
      </c>
    </row>
    <row r="39" spans="1:8" s="31" customFormat="1">
      <c r="A39" s="421" t="s">
        <v>651</v>
      </c>
      <c r="B39" s="422" t="s">
        <v>875</v>
      </c>
      <c r="C39" s="423">
        <v>0</v>
      </c>
      <c r="D39" s="423">
        <v>0</v>
      </c>
      <c r="E39" s="1015">
        <f t="array" ref="E39">SUM(IF(A39=KHN,TH))</f>
        <v>5330000</v>
      </c>
      <c r="F39" s="1015">
        <f t="array" ref="F39">SUM(IF(A39=KHC,TH))</f>
        <v>5330000</v>
      </c>
      <c r="G39" s="417">
        <f t="shared" si="0"/>
        <v>0</v>
      </c>
      <c r="H39" s="417">
        <f t="shared" si="1"/>
        <v>0</v>
      </c>
    </row>
    <row r="40" spans="1:8" s="31" customFormat="1">
      <c r="A40" s="421" t="s">
        <v>814</v>
      </c>
      <c r="B40" s="422" t="s">
        <v>876</v>
      </c>
      <c r="C40" s="423">
        <v>0</v>
      </c>
      <c r="D40" s="423">
        <v>0</v>
      </c>
      <c r="E40" s="1015">
        <f t="array" ref="E40">SUM(IF(A40=KHN,TH))</f>
        <v>0</v>
      </c>
      <c r="F40" s="1015">
        <f t="array" ref="F40">SUM(IF(A40=KHC,TH))</f>
        <v>0</v>
      </c>
      <c r="G40" s="50">
        <f t="shared" si="0"/>
        <v>0</v>
      </c>
      <c r="H40" s="50">
        <f t="shared" si="1"/>
        <v>0</v>
      </c>
    </row>
    <row r="41" spans="1:8" s="31" customFormat="1">
      <c r="A41" s="48" t="s">
        <v>877</v>
      </c>
      <c r="B41" s="41" t="s">
        <v>878</v>
      </c>
      <c r="C41" s="42">
        <v>0</v>
      </c>
      <c r="D41" s="42">
        <v>0</v>
      </c>
      <c r="E41" s="1012">
        <f t="shared" ref="E41:H41" si="4">E39+E40</f>
        <v>5330000</v>
      </c>
      <c r="F41" s="1012">
        <f t="shared" si="4"/>
        <v>5330000</v>
      </c>
      <c r="G41" s="42">
        <f t="shared" si="4"/>
        <v>0</v>
      </c>
      <c r="H41" s="42">
        <f t="shared" si="4"/>
        <v>0</v>
      </c>
    </row>
    <row r="42" spans="1:8" s="31" customFormat="1">
      <c r="A42" s="48" t="s">
        <v>77</v>
      </c>
      <c r="B42" s="41" t="s">
        <v>78</v>
      </c>
      <c r="C42" s="42">
        <v>9756564</v>
      </c>
      <c r="D42" s="42">
        <v>0</v>
      </c>
      <c r="E42" s="1012">
        <f t="array" ref="E42">SUM(IF(A42=KHN,TH))</f>
        <v>0</v>
      </c>
      <c r="F42" s="1012">
        <f t="array" ref="F42">SUM(IF(A42=KHC,TH))</f>
        <v>0</v>
      </c>
      <c r="G42" s="42">
        <f t="shared" si="0"/>
        <v>9756564</v>
      </c>
      <c r="H42" s="42">
        <f t="shared" si="1"/>
        <v>0</v>
      </c>
    </row>
    <row r="43" spans="1:8" s="31" customFormat="1">
      <c r="A43" s="48" t="s">
        <v>628</v>
      </c>
      <c r="B43" s="41" t="s">
        <v>629</v>
      </c>
      <c r="C43" s="42">
        <v>3389804</v>
      </c>
      <c r="D43" s="42">
        <v>0</v>
      </c>
      <c r="E43" s="1012">
        <f t="array" ref="E43">SUM(IF(A43=KHN,TH))</f>
        <v>0</v>
      </c>
      <c r="F43" s="1012">
        <f t="array" ref="F43">SUM(IF(A43=KHC,TH))</f>
        <v>0</v>
      </c>
      <c r="G43" s="42">
        <f t="shared" si="0"/>
        <v>3389804</v>
      </c>
      <c r="H43" s="42">
        <f t="shared" si="1"/>
        <v>0</v>
      </c>
    </row>
    <row r="44" spans="1:8" s="31" customFormat="1">
      <c r="A44" s="51" t="s">
        <v>79</v>
      </c>
      <c r="B44" s="52" t="s">
        <v>80</v>
      </c>
      <c r="C44" s="50">
        <v>0</v>
      </c>
      <c r="D44" s="50">
        <v>0</v>
      </c>
      <c r="E44" s="1016">
        <f t="array" ref="E44">SUM(IF(A44=KHN,TH))</f>
        <v>2000000</v>
      </c>
      <c r="F44" s="1016">
        <f t="array" ref="F44">SUM(IF(A44=KHC,TH))</f>
        <v>0</v>
      </c>
      <c r="G44" s="50">
        <f t="shared" si="0"/>
        <v>2000000</v>
      </c>
      <c r="H44" s="50">
        <f t="shared" si="1"/>
        <v>0</v>
      </c>
    </row>
    <row r="45" spans="1:8" s="31" customFormat="1">
      <c r="A45" s="48" t="s">
        <v>20</v>
      </c>
      <c r="B45" s="41" t="s">
        <v>81</v>
      </c>
      <c r="C45" s="42">
        <v>0</v>
      </c>
      <c r="D45" s="42">
        <v>0</v>
      </c>
      <c r="E45" s="1012">
        <f>E44</f>
        <v>2000000</v>
      </c>
      <c r="F45" s="1012">
        <f>F44</f>
        <v>0</v>
      </c>
      <c r="G45" s="42">
        <f>G44</f>
        <v>2000000</v>
      </c>
      <c r="H45" s="42">
        <f>H44</f>
        <v>0</v>
      </c>
    </row>
    <row r="46" spans="1:8" s="31" customFormat="1">
      <c r="A46" s="45" t="s">
        <v>82</v>
      </c>
      <c r="B46" s="46" t="s">
        <v>83</v>
      </c>
      <c r="C46" s="47">
        <v>13146368</v>
      </c>
      <c r="D46" s="47">
        <v>0</v>
      </c>
      <c r="E46" s="1013">
        <f t="shared" ref="E46:H46" si="5">E41+E42+E43+E45</f>
        <v>7330000</v>
      </c>
      <c r="F46" s="1013">
        <f t="shared" si="5"/>
        <v>5330000</v>
      </c>
      <c r="G46" s="47">
        <f t="shared" si="5"/>
        <v>15146368</v>
      </c>
      <c r="H46" s="47">
        <f t="shared" si="5"/>
        <v>0</v>
      </c>
    </row>
    <row r="47" spans="1:8" s="31" customFormat="1">
      <c r="A47" s="48" t="s">
        <v>583</v>
      </c>
      <c r="B47" s="41" t="s">
        <v>625</v>
      </c>
      <c r="C47" s="42">
        <v>0</v>
      </c>
      <c r="D47" s="42">
        <v>0</v>
      </c>
      <c r="E47" s="1012">
        <f t="array" ref="E47">SUM(IF(A47=KHN,TH))</f>
        <v>103907550</v>
      </c>
      <c r="F47" s="1012">
        <f t="array" ref="F47">SUM(IF(A47=KHC,TH))</f>
        <v>103907550</v>
      </c>
      <c r="G47" s="42">
        <f t="shared" ref="G47:G52" si="6">MAX(C47+E47-D47-F47,0)</f>
        <v>0</v>
      </c>
      <c r="H47" s="42">
        <f t="shared" ref="H47:H52" si="7">MAX(D47+F47-E47-C47,0)</f>
        <v>0</v>
      </c>
    </row>
    <row r="48" spans="1:8" s="31" customFormat="1">
      <c r="A48" s="45" t="s">
        <v>626</v>
      </c>
      <c r="B48" s="46" t="s">
        <v>627</v>
      </c>
      <c r="C48" s="47">
        <v>0</v>
      </c>
      <c r="D48" s="47">
        <v>0</v>
      </c>
      <c r="E48" s="1013">
        <f>E47</f>
        <v>103907550</v>
      </c>
      <c r="F48" s="1013">
        <f>F47</f>
        <v>103907550</v>
      </c>
      <c r="G48" s="47">
        <f t="shared" si="6"/>
        <v>0</v>
      </c>
      <c r="H48" s="47">
        <f t="shared" si="7"/>
        <v>0</v>
      </c>
    </row>
    <row r="49" spans="1:8" s="31" customFormat="1" ht="12.75" customHeight="1">
      <c r="A49" s="40" t="s">
        <v>584</v>
      </c>
      <c r="B49" s="41" t="s">
        <v>622</v>
      </c>
      <c r="C49" s="42">
        <v>0</v>
      </c>
      <c r="D49" s="42">
        <v>106628549</v>
      </c>
      <c r="E49" s="1012">
        <f t="array" ref="E49">SUM(IF(A49=KHN,TH))</f>
        <v>0</v>
      </c>
      <c r="F49" s="1012">
        <f t="array" ref="F49">SUM(IF(A49=KHC,TH))</f>
        <v>25885860</v>
      </c>
      <c r="G49" s="42">
        <f t="shared" si="6"/>
        <v>0</v>
      </c>
      <c r="H49" s="42">
        <f t="shared" si="7"/>
        <v>132514409</v>
      </c>
    </row>
    <row r="50" spans="1:8" s="31" customFormat="1">
      <c r="A50" s="48" t="s">
        <v>585</v>
      </c>
      <c r="B50" s="41" t="s">
        <v>623</v>
      </c>
      <c r="C50" s="42">
        <v>0</v>
      </c>
      <c r="D50" s="42">
        <v>4469220</v>
      </c>
      <c r="E50" s="1012">
        <f t="array" ref="E50">SUM(IF(A50=KHN,TH))</f>
        <v>0</v>
      </c>
      <c r="F50" s="1012">
        <f t="array" ref="F50">SUM(IF(A50=KHC,TH))</f>
        <v>4480245</v>
      </c>
      <c r="G50" s="42">
        <f t="shared" si="6"/>
        <v>0</v>
      </c>
      <c r="H50" s="42">
        <f t="shared" si="7"/>
        <v>8949465</v>
      </c>
    </row>
    <row r="51" spans="1:8" s="31" customFormat="1">
      <c r="A51" s="40" t="s">
        <v>586</v>
      </c>
      <c r="B51" s="41" t="s">
        <v>624</v>
      </c>
      <c r="C51" s="42">
        <v>0</v>
      </c>
      <c r="D51" s="42">
        <v>1986320</v>
      </c>
      <c r="E51" s="1012">
        <f t="array" ref="E51">SUM(IF(A51=KHN,TH))</f>
        <v>0</v>
      </c>
      <c r="F51" s="1012">
        <f t="array" ref="F51">SUM(IF(A51=KHC,TH))</f>
        <v>1991220</v>
      </c>
      <c r="G51" s="42">
        <f t="shared" si="6"/>
        <v>0</v>
      </c>
      <c r="H51" s="42">
        <f t="shared" si="7"/>
        <v>3977540</v>
      </c>
    </row>
    <row r="52" spans="1:8" s="31" customFormat="1">
      <c r="A52" s="48" t="s">
        <v>19</v>
      </c>
      <c r="B52" s="41" t="s">
        <v>84</v>
      </c>
      <c r="C52" s="42">
        <v>0</v>
      </c>
      <c r="D52" s="42">
        <v>0</v>
      </c>
      <c r="E52" s="1012">
        <f t="array" ref="E52">SUM(IF(A52=KHN,TH))</f>
        <v>0</v>
      </c>
      <c r="F52" s="1012">
        <f t="array" ref="F52">SUM(IF(A52=KHC,TH))</f>
        <v>0</v>
      </c>
      <c r="G52" s="42">
        <f t="shared" si="6"/>
        <v>0</v>
      </c>
      <c r="H52" s="42">
        <f t="shared" si="7"/>
        <v>0</v>
      </c>
    </row>
    <row r="53" spans="1:8" s="31" customFormat="1">
      <c r="A53" s="45" t="s">
        <v>85</v>
      </c>
      <c r="B53" s="46" t="s">
        <v>86</v>
      </c>
      <c r="C53" s="47">
        <v>0</v>
      </c>
      <c r="D53" s="47">
        <v>113084089</v>
      </c>
      <c r="E53" s="1013">
        <f t="shared" ref="E53:H53" si="8">SUM(E49:E52)</f>
        <v>0</v>
      </c>
      <c r="F53" s="1013">
        <f t="shared" si="8"/>
        <v>32357325</v>
      </c>
      <c r="G53" s="47">
        <f t="shared" si="8"/>
        <v>0</v>
      </c>
      <c r="H53" s="47">
        <f t="shared" si="8"/>
        <v>145441414</v>
      </c>
    </row>
    <row r="54" spans="1:8" s="31" customFormat="1">
      <c r="A54" s="40" t="s">
        <v>87</v>
      </c>
      <c r="B54" s="41" t="s">
        <v>259</v>
      </c>
      <c r="C54" s="43">
        <v>0</v>
      </c>
      <c r="D54" s="43">
        <v>0</v>
      </c>
      <c r="E54" s="1012">
        <f t="array" ref="E54">SUM(IF(A54=KHN,TH))</f>
        <v>0</v>
      </c>
      <c r="F54" s="1012">
        <f t="array" ref="F54">SUM(IF(A54=KHC,TH))</f>
        <v>0</v>
      </c>
      <c r="G54" s="43">
        <f>MAX(C54+E54-D54-F54,0)</f>
        <v>0</v>
      </c>
      <c r="H54" s="43">
        <f>MAX(D54+F54-E54-C54,0)</f>
        <v>0</v>
      </c>
    </row>
    <row r="55" spans="1:8" s="31" customFormat="1">
      <c r="A55" s="40" t="s">
        <v>258</v>
      </c>
      <c r="B55" s="41" t="s">
        <v>260</v>
      </c>
      <c r="C55" s="42">
        <v>0</v>
      </c>
      <c r="D55" s="42">
        <v>27284564849.050003</v>
      </c>
      <c r="E55" s="1012">
        <f t="array" ref="E55">SUM(IF(A55=KHN,TH))</f>
        <v>17342912600</v>
      </c>
      <c r="F55" s="1012">
        <f t="array" ref="F55">SUM(IF(A55=KHC,TH))</f>
        <v>15469852600</v>
      </c>
      <c r="G55" s="42">
        <f>MAX(C55+E55-D55-F55,0)</f>
        <v>0</v>
      </c>
      <c r="H55" s="42">
        <f>MAX(D55+F55-E55-C55,0)</f>
        <v>25411504849.050003</v>
      </c>
    </row>
    <row r="56" spans="1:8" s="31" customFormat="1">
      <c r="A56" s="49" t="s">
        <v>42</v>
      </c>
      <c r="B56" s="46" t="s">
        <v>88</v>
      </c>
      <c r="C56" s="47">
        <v>0</v>
      </c>
      <c r="D56" s="47">
        <v>27284564849.050003</v>
      </c>
      <c r="E56" s="1013">
        <f t="shared" ref="E56:H56" si="9">SUM(E54:E55)</f>
        <v>17342912600</v>
      </c>
      <c r="F56" s="1013">
        <f t="shared" si="9"/>
        <v>15469852600</v>
      </c>
      <c r="G56" s="47">
        <f t="shared" si="9"/>
        <v>0</v>
      </c>
      <c r="H56" s="47">
        <f t="shared" si="9"/>
        <v>25411504849.050003</v>
      </c>
    </row>
    <row r="57" spans="1:8" s="31" customFormat="1">
      <c r="A57" s="48" t="s">
        <v>27</v>
      </c>
      <c r="B57" s="41" t="s">
        <v>89</v>
      </c>
      <c r="C57" s="42">
        <v>0</v>
      </c>
      <c r="D57" s="42">
        <v>10000000000</v>
      </c>
      <c r="E57" s="1012">
        <f t="array" ref="E57">SUM(IF(A57=KHN,TH))</f>
        <v>0</v>
      </c>
      <c r="F57" s="1012">
        <f t="array" ref="F57">SUM(IF(A57=KHC,TH))</f>
        <v>0</v>
      </c>
      <c r="G57" s="43">
        <f>MAX(C57+E57-D57-F57,0)</f>
        <v>0</v>
      </c>
      <c r="H57" s="43">
        <f>MAX(D57+F57-E57-C57,0)</f>
        <v>10000000000</v>
      </c>
    </row>
    <row r="58" spans="1:8" s="31" customFormat="1">
      <c r="A58" s="45" t="s">
        <v>90</v>
      </c>
      <c r="B58" s="46" t="s">
        <v>91</v>
      </c>
      <c r="C58" s="47">
        <v>0</v>
      </c>
      <c r="D58" s="47">
        <v>10000000000</v>
      </c>
      <c r="E58" s="1013">
        <f>E57</f>
        <v>0</v>
      </c>
      <c r="F58" s="1013">
        <f>F57</f>
        <v>0</v>
      </c>
      <c r="G58" s="47">
        <f>MAX(C58+E58-D58-F58,0)</f>
        <v>0</v>
      </c>
      <c r="H58" s="47">
        <f>MAX(D58+F58-E58-C58,0)</f>
        <v>10000000000</v>
      </c>
    </row>
    <row r="59" spans="1:8" s="31" customFormat="1">
      <c r="A59" s="40" t="s">
        <v>92</v>
      </c>
      <c r="B59" s="41" t="s">
        <v>93</v>
      </c>
      <c r="C59" s="42">
        <v>0</v>
      </c>
      <c r="D59" s="42">
        <v>527246020.00000048</v>
      </c>
      <c r="E59" s="1012">
        <f t="array" ref="E59">SUM(IF(A59=KHN,TH))</f>
        <v>0</v>
      </c>
      <c r="F59" s="1012">
        <f t="array" ref="F59">SUM(IF(A59=KHC,TH))</f>
        <v>0</v>
      </c>
      <c r="G59" s="43">
        <f>MAX(C59+E59-D59-F59,0)</f>
        <v>0</v>
      </c>
      <c r="H59" s="43">
        <f>MAX(D59+F59-E59-C59,0)</f>
        <v>527246020.00000048</v>
      </c>
    </row>
    <row r="60" spans="1:8" s="31" customFormat="1">
      <c r="A60" s="48" t="s">
        <v>94</v>
      </c>
      <c r="B60" s="41" t="s">
        <v>95</v>
      </c>
      <c r="C60" s="42">
        <v>0</v>
      </c>
      <c r="D60" s="42">
        <v>0</v>
      </c>
      <c r="E60" s="1012">
        <f t="array" ref="E60">SUM(IF(A60=TH!$N$10:$N$3775,TH!$M$10:$M$3775))</f>
        <v>0</v>
      </c>
      <c r="F60" s="1012">
        <f t="array" ref="F60">SUM(IF(A60=TH!$O$10:$O$3775,TH!$M$10:$M$3775))</f>
        <v>0</v>
      </c>
      <c r="G60" s="42">
        <f>MAX(C60+E60-D60-F60,0)</f>
        <v>0</v>
      </c>
      <c r="H60" s="42">
        <f>MAX(D60+F60-E60-C60,0)</f>
        <v>0</v>
      </c>
    </row>
    <row r="61" spans="1:8" s="31" customFormat="1">
      <c r="A61" s="45" t="s">
        <v>96</v>
      </c>
      <c r="B61" s="46" t="s">
        <v>97</v>
      </c>
      <c r="C61" s="47">
        <v>0</v>
      </c>
      <c r="D61" s="47">
        <v>527246020.00000048</v>
      </c>
      <c r="E61" s="1013">
        <f>E60+E59</f>
        <v>0</v>
      </c>
      <c r="F61" s="1013">
        <f>F60+F59</f>
        <v>0</v>
      </c>
      <c r="G61" s="47">
        <f>G60+G59</f>
        <v>0</v>
      </c>
      <c r="H61" s="47">
        <f>H60+H59</f>
        <v>527246020.00000048</v>
      </c>
    </row>
    <row r="62" spans="1:8" s="31" customFormat="1" ht="12.75" customHeight="1">
      <c r="A62" s="421" t="s">
        <v>294</v>
      </c>
      <c r="B62" s="422" t="s">
        <v>295</v>
      </c>
      <c r="C62" s="423"/>
      <c r="D62" s="423"/>
      <c r="E62" s="1015">
        <f t="array" ref="E62">SUM(IF(A62=KHN,TH))</f>
        <v>1667042026</v>
      </c>
      <c r="F62" s="1015">
        <f t="array" ref="F62">SUM(IF(A62=KHC,TH))</f>
        <v>1667042026</v>
      </c>
      <c r="G62" s="423"/>
      <c r="H62" s="423"/>
    </row>
    <row r="63" spans="1:8" s="31" customFormat="1">
      <c r="A63" s="421" t="s">
        <v>296</v>
      </c>
      <c r="B63" s="422" t="s">
        <v>297</v>
      </c>
      <c r="C63" s="423"/>
      <c r="D63" s="423"/>
      <c r="E63" s="1015">
        <f t="array" ref="E63">SUM(IF(A63=KHN,TH))</f>
        <v>14064774419</v>
      </c>
      <c r="F63" s="1015">
        <f t="array" ref="F63">SUM(IF(A63=KHC,TH))</f>
        <v>13819848959</v>
      </c>
      <c r="G63" s="423"/>
      <c r="H63" s="423"/>
    </row>
    <row r="64" spans="1:8" s="31" customFormat="1">
      <c r="A64" s="40" t="s">
        <v>298</v>
      </c>
      <c r="B64" s="41" t="s">
        <v>299</v>
      </c>
      <c r="C64" s="42"/>
      <c r="D64" s="42"/>
      <c r="E64" s="1012">
        <f>E62+E63</f>
        <v>15731816445</v>
      </c>
      <c r="F64" s="1012">
        <f>F62+F63</f>
        <v>15486890985</v>
      </c>
      <c r="G64" s="42"/>
      <c r="H64" s="42"/>
    </row>
    <row r="65" spans="1:8" s="31" customFormat="1">
      <c r="A65" s="45" t="s">
        <v>300</v>
      </c>
      <c r="B65" s="46" t="s">
        <v>301</v>
      </c>
      <c r="C65" s="47"/>
      <c r="D65" s="47"/>
      <c r="E65" s="1013">
        <f>E64</f>
        <v>15731816445</v>
      </c>
      <c r="F65" s="1013">
        <f>F64</f>
        <v>15486890985</v>
      </c>
      <c r="G65" s="47"/>
      <c r="H65" s="47"/>
    </row>
    <row r="66" spans="1:8" s="31" customFormat="1">
      <c r="A66" s="45" t="s">
        <v>43</v>
      </c>
      <c r="B66" s="46" t="s">
        <v>98</v>
      </c>
      <c r="C66" s="47"/>
      <c r="D66" s="47"/>
      <c r="E66" s="1014">
        <f t="array" ref="E66">SUM(IF(A66=KHN,TH))</f>
        <v>35558105</v>
      </c>
      <c r="F66" s="1014">
        <f t="array" ref="F66">SUM(IF(A66=KHC,TH))</f>
        <v>35558105</v>
      </c>
      <c r="G66" s="47"/>
      <c r="H66" s="47"/>
    </row>
    <row r="67" spans="1:8" s="31" customFormat="1" ht="12.75" customHeight="1">
      <c r="A67" s="45" t="s">
        <v>292</v>
      </c>
      <c r="B67" s="46" t="s">
        <v>293</v>
      </c>
      <c r="C67" s="47"/>
      <c r="D67" s="47"/>
      <c r="E67" s="1014">
        <f t="array" ref="E67">SUM(IF(A67=KHN,TH))</f>
        <v>0</v>
      </c>
      <c r="F67" s="1014">
        <f t="array" ref="F67">SUM(IF(A67=KHC,TH))</f>
        <v>0</v>
      </c>
      <c r="G67" s="47"/>
      <c r="H67" s="47"/>
    </row>
    <row r="68" spans="1:8" s="31" customFormat="1" ht="12.75" customHeight="1">
      <c r="A68" s="45" t="s">
        <v>99</v>
      </c>
      <c r="B68" s="46" t="s">
        <v>100</v>
      </c>
      <c r="C68" s="47"/>
      <c r="D68" s="47"/>
      <c r="E68" s="1014">
        <f t="array" ref="E68">SUM(IF(A68=KHN,TH))</f>
        <v>527273114.39999998</v>
      </c>
      <c r="F68" s="1014">
        <f t="array" ref="F68">SUM(IF(A68=KHC,TH))</f>
        <v>527273114.39999998</v>
      </c>
      <c r="G68" s="47"/>
      <c r="H68" s="47"/>
    </row>
    <row r="69" spans="1:8" s="31" customFormat="1" ht="12.75" customHeight="1">
      <c r="A69" s="49" t="s">
        <v>582</v>
      </c>
      <c r="B69" s="46" t="s">
        <v>794</v>
      </c>
      <c r="C69" s="47"/>
      <c r="D69" s="47"/>
      <c r="E69" s="1014">
        <f t="array" ref="E69">SUM(IF(A69=KHN,TH))</f>
        <v>515477449.18181819</v>
      </c>
      <c r="F69" s="1014">
        <f t="array" ref="F69">SUM(IF(A69=KHC,TH))</f>
        <v>515477449.18181819</v>
      </c>
      <c r="G69" s="47"/>
      <c r="H69" s="47"/>
    </row>
    <row r="70" spans="1:8" s="31" customFormat="1" ht="12.75" customHeight="1">
      <c r="A70" s="45" t="s">
        <v>101</v>
      </c>
      <c r="B70" s="46" t="s">
        <v>102</v>
      </c>
      <c r="C70" s="47"/>
      <c r="D70" s="47"/>
      <c r="E70" s="1014">
        <f t="array" ref="E70">SUM(IF(A70=KHN,TH))</f>
        <v>226325434</v>
      </c>
      <c r="F70" s="1014">
        <f t="array" ref="F70">SUM(IF(A70=KHC,TH))</f>
        <v>226325434</v>
      </c>
      <c r="G70" s="47"/>
      <c r="H70" s="47"/>
    </row>
    <row r="71" spans="1:8" s="31" customFormat="1" ht="12.75" customHeight="1">
      <c r="A71" s="49" t="s">
        <v>103</v>
      </c>
      <c r="B71" s="46" t="s">
        <v>104</v>
      </c>
      <c r="C71" s="47"/>
      <c r="D71" s="47"/>
      <c r="E71" s="1014">
        <f t="array" ref="E71">SUM(IF(A71=KHN,TH))</f>
        <v>9316075</v>
      </c>
      <c r="F71" s="1014">
        <f t="array" ref="F71">SUM(IF(A71=KHC,TH))</f>
        <v>9316075</v>
      </c>
      <c r="G71" s="47"/>
      <c r="H71" s="47"/>
    </row>
    <row r="72" spans="1:8" s="31" customFormat="1" ht="12.75" customHeight="1">
      <c r="A72" s="45" t="s">
        <v>105</v>
      </c>
      <c r="B72" s="46" t="s">
        <v>106</v>
      </c>
      <c r="C72" s="47"/>
      <c r="D72" s="47"/>
      <c r="E72" s="1014">
        <f t="array" ref="E72">SUM(IF(A72=KHN,TH))</f>
        <v>0</v>
      </c>
      <c r="F72" s="1014">
        <f t="array" ref="F72">SUM(IF(A72=KHC,TH))</f>
        <v>0</v>
      </c>
      <c r="G72" s="47"/>
      <c r="H72" s="47"/>
    </row>
    <row r="73" spans="1:8" s="31" customFormat="1" ht="12.75" customHeight="1">
      <c r="A73" s="49" t="s">
        <v>107</v>
      </c>
      <c r="B73" s="46" t="s">
        <v>108</v>
      </c>
      <c r="C73" s="47"/>
      <c r="D73" s="47"/>
      <c r="E73" s="1014">
        <f t="array" ref="E73">SUM(IF(A73=KHN,TH))</f>
        <v>0</v>
      </c>
      <c r="F73" s="1014">
        <f t="array" ref="F73">SUM(IF(A73=KHC,TH))</f>
        <v>0</v>
      </c>
      <c r="G73" s="47"/>
      <c r="H73" s="47"/>
    </row>
    <row r="74" spans="1:8" s="31" customFormat="1">
      <c r="A74" s="45" t="s">
        <v>109</v>
      </c>
      <c r="B74" s="46" t="s">
        <v>110</v>
      </c>
      <c r="C74" s="47"/>
      <c r="D74" s="47"/>
      <c r="E74" s="1017">
        <f t="array" ref="E74">SUM(IF(A74=KHN,TH))</f>
        <v>1269075997.5818181</v>
      </c>
      <c r="F74" s="1017">
        <f t="array" ref="F74">SUM(IF(A74=TH!$O$10:$O$3775,TH!$M$10:$M$3775))</f>
        <v>15531765165</v>
      </c>
      <c r="G74" s="47"/>
      <c r="H74" s="47"/>
    </row>
    <row r="75" spans="1:8" s="31" customFormat="1">
      <c r="A75" s="53" t="s">
        <v>111</v>
      </c>
      <c r="B75" s="53"/>
      <c r="C75" s="53">
        <f>C11+C14+C15+C17+C19+C20+C23+C24+C25+C26+C30+C32+C35+C37+C38+C46+C48+C53+C56+C58+C61+C65+C66+C67+C68+C69+C70+C71+C72+C73+C74</f>
        <v>85490589170.449982</v>
      </c>
      <c r="D75" s="53">
        <f t="shared" ref="D75:H75" si="10">D11+D14+D15+D17+D19+D20+D23+D24+D25+D26+D30+D32+D35+D37+D38+D46+D48+D53+D56+D58+D61+D65+D66+D67+D68+D69+D70+D71+D72+D73+D74</f>
        <v>85458036828.050003</v>
      </c>
      <c r="E75" s="53">
        <f t="shared" si="10"/>
        <v>268284413411.98181</v>
      </c>
      <c r="F75" s="53">
        <f t="shared" si="10"/>
        <v>268284413411.98181</v>
      </c>
      <c r="G75" s="53">
        <f t="shared" si="10"/>
        <v>84456900060.318176</v>
      </c>
      <c r="H75" s="53">
        <f t="shared" si="10"/>
        <v>70406584010.500015</v>
      </c>
    </row>
    <row r="76" spans="1:8">
      <c r="E76" s="54"/>
      <c r="F76" s="55"/>
    </row>
    <row r="77" spans="1:8">
      <c r="E77" s="55"/>
      <c r="F77" s="55">
        <f>E75-F75</f>
        <v>0</v>
      </c>
      <c r="H77" s="55"/>
    </row>
    <row r="78" spans="1:8">
      <c r="E78" s="56"/>
      <c r="F78" s="56"/>
    </row>
    <row r="79" spans="1:8">
      <c r="E79" s="56"/>
      <c r="F79" s="56"/>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E4068"/>
  <sheetViews>
    <sheetView tabSelected="1" topLeftCell="C7" workbookViewId="0">
      <pane ySplit="3" topLeftCell="A323" activePane="bottomLeft" state="frozen"/>
      <selection activeCell="A7" sqref="A7"/>
      <selection pane="bottomLeft" activeCell="F342" sqref="F342"/>
    </sheetView>
  </sheetViews>
  <sheetFormatPr defaultColWidth="8.140625" defaultRowHeight="12.75"/>
  <cols>
    <col min="1" max="1" width="4.5703125" customWidth="1"/>
    <col min="2" max="2" width="4.85546875" customWidth="1"/>
    <col min="3" max="3" width="9.140625" customWidth="1"/>
    <col min="4" max="4" width="6.85546875" customWidth="1"/>
    <col min="5" max="5" width="9.140625" customWidth="1"/>
    <col min="6" max="6" width="36.7109375" customWidth="1"/>
    <col min="7" max="7" width="12" customWidth="1"/>
    <col min="8" max="8" width="32.5703125" customWidth="1"/>
    <col min="9" max="9" width="8.42578125" customWidth="1"/>
    <col min="10" max="10" width="11" customWidth="1"/>
    <col min="11" max="11" width="10" customWidth="1"/>
    <col min="12" max="12" width="8.5703125" customWidth="1"/>
    <col min="13" max="13" width="15.7109375" customWidth="1"/>
    <col min="14" max="14" width="6.140625" customWidth="1"/>
    <col min="15" max="15" width="7" customWidth="1"/>
    <col min="16" max="16" width="4.42578125" hidden="1" customWidth="1"/>
    <col min="17" max="19" width="2.7109375" hidden="1" customWidth="1"/>
    <col min="20" max="22" width="2.5703125" hidden="1" customWidth="1"/>
    <col min="23" max="25" width="4.42578125" hidden="1" customWidth="1"/>
    <col min="26" max="26" width="4.140625" hidden="1" customWidth="1"/>
    <col min="27" max="30" width="2.7109375" hidden="1" customWidth="1"/>
  </cols>
  <sheetData>
    <row r="1" spans="1:30">
      <c r="A1" s="328"/>
      <c r="B1" s="57"/>
      <c r="C1" s="1033" t="s">
        <v>121</v>
      </c>
      <c r="D1" s="58"/>
      <c r="E1" s="1030"/>
      <c r="F1" s="59"/>
      <c r="G1" s="814"/>
      <c r="H1" s="86"/>
      <c r="I1" s="86"/>
      <c r="J1" s="86"/>
      <c r="K1" s="86"/>
      <c r="L1" s="86"/>
      <c r="M1" s="68"/>
      <c r="N1" s="60"/>
      <c r="O1" s="60"/>
      <c r="P1" s="60"/>
      <c r="Q1" s="60"/>
      <c r="R1" s="60"/>
      <c r="S1" s="60"/>
      <c r="T1" s="60"/>
      <c r="U1" s="60"/>
      <c r="V1" s="60"/>
      <c r="W1" s="60"/>
      <c r="X1" s="60"/>
      <c r="Y1" s="60"/>
      <c r="Z1" s="321"/>
      <c r="AA1" s="60"/>
      <c r="AB1" s="60"/>
      <c r="AC1" s="60"/>
      <c r="AD1" s="60"/>
    </row>
    <row r="2" spans="1:30">
      <c r="A2" s="328"/>
      <c r="B2" s="57"/>
      <c r="C2" s="1033" t="s">
        <v>122</v>
      </c>
      <c r="D2" s="58"/>
      <c r="E2" s="1030"/>
      <c r="F2" s="58"/>
      <c r="G2" s="814"/>
      <c r="H2" s="87"/>
      <c r="I2" s="87"/>
      <c r="J2" s="87"/>
      <c r="K2" s="87"/>
      <c r="L2" s="87"/>
      <c r="M2" s="68"/>
      <c r="N2" s="60"/>
      <c r="O2" s="60"/>
      <c r="P2" s="60"/>
      <c r="Q2" s="60"/>
      <c r="R2" s="60"/>
      <c r="S2" s="60"/>
      <c r="T2" s="60"/>
      <c r="U2" s="60"/>
      <c r="V2" s="60"/>
      <c r="W2" s="60"/>
      <c r="X2" s="60"/>
      <c r="Y2" s="60"/>
      <c r="Z2" s="321"/>
      <c r="AA2" s="60"/>
      <c r="AB2" s="60"/>
      <c r="AC2" s="60"/>
      <c r="AD2" s="60"/>
    </row>
    <row r="3" spans="1:30">
      <c r="A3" s="328"/>
      <c r="B3" s="58"/>
      <c r="C3" s="1030"/>
      <c r="D3" s="58"/>
      <c r="E3" s="1030"/>
      <c r="F3" s="58"/>
      <c r="G3" s="814"/>
      <c r="H3" s="87"/>
      <c r="I3" s="87"/>
      <c r="J3" s="87"/>
      <c r="K3" s="87"/>
      <c r="L3" s="87"/>
      <c r="M3" s="67"/>
      <c r="N3" s="61"/>
      <c r="O3" s="61"/>
      <c r="P3" s="61"/>
      <c r="Q3" s="61"/>
      <c r="R3" s="61"/>
      <c r="S3" s="61"/>
      <c r="T3" s="61"/>
      <c r="U3" s="61"/>
      <c r="V3" s="61"/>
      <c r="W3" s="61"/>
      <c r="X3" s="61"/>
      <c r="Y3" s="61"/>
      <c r="Z3" s="321"/>
      <c r="AA3" s="61"/>
      <c r="AB3" s="61"/>
      <c r="AC3" s="61"/>
      <c r="AD3" s="61"/>
    </row>
    <row r="4" spans="1:30" ht="22.5">
      <c r="A4" s="328"/>
      <c r="B4" s="68"/>
      <c r="C4" s="1230" t="s">
        <v>112</v>
      </c>
      <c r="D4" s="1231"/>
      <c r="E4" s="1230"/>
      <c r="F4" s="1231"/>
      <c r="G4" s="1231"/>
      <c r="H4" s="1231"/>
      <c r="I4" s="1231"/>
      <c r="J4" s="1231"/>
      <c r="K4" s="1231"/>
      <c r="L4" s="1231"/>
      <c r="M4" s="1231"/>
      <c r="N4" s="1231"/>
      <c r="O4" s="1231"/>
      <c r="P4" s="321"/>
      <c r="Q4" s="321"/>
      <c r="R4" s="321"/>
      <c r="S4" s="321"/>
      <c r="T4" s="321"/>
      <c r="U4" s="321"/>
      <c r="V4" s="321"/>
      <c r="W4" s="321"/>
      <c r="X4" s="321"/>
      <c r="Y4" s="321"/>
      <c r="Z4" s="321"/>
      <c r="AA4" s="321"/>
      <c r="AB4" s="321"/>
      <c r="AC4" s="321"/>
      <c r="AD4" s="321"/>
    </row>
    <row r="5" spans="1:30" ht="14.25">
      <c r="A5" s="328"/>
      <c r="B5" s="68"/>
      <c r="C5" s="1232"/>
      <c r="D5" s="1233"/>
      <c r="E5" s="1232"/>
      <c r="F5" s="1233"/>
      <c r="G5" s="1233"/>
      <c r="H5" s="1233"/>
      <c r="I5" s="1233"/>
      <c r="J5" s="1233"/>
      <c r="K5" s="1233"/>
      <c r="L5" s="1233"/>
      <c r="M5" s="1233"/>
      <c r="N5" s="1233"/>
      <c r="O5" s="1233"/>
      <c r="P5" s="321"/>
      <c r="Q5" s="321"/>
      <c r="R5" s="321"/>
      <c r="S5" s="321"/>
      <c r="T5" s="321"/>
      <c r="U5" s="321"/>
      <c r="V5" s="321"/>
      <c r="W5" s="321"/>
      <c r="X5" s="321"/>
      <c r="Y5" s="321"/>
      <c r="Z5" s="321"/>
      <c r="AA5" s="321"/>
      <c r="AB5" s="321"/>
      <c r="AC5" s="321"/>
      <c r="AD5" s="321"/>
    </row>
    <row r="6" spans="1:30">
      <c r="A6" s="328"/>
      <c r="B6" s="68"/>
      <c r="C6" s="1031"/>
      <c r="D6" s="68"/>
      <c r="E6" s="1031"/>
      <c r="F6" s="68"/>
      <c r="G6" s="57"/>
      <c r="H6" s="69"/>
      <c r="I6" s="69"/>
      <c r="J6" s="69"/>
      <c r="K6" s="69"/>
      <c r="L6" s="69"/>
      <c r="M6" s="68"/>
      <c r="N6" s="60"/>
      <c r="O6" s="60"/>
      <c r="P6" s="60"/>
      <c r="Q6" s="60"/>
      <c r="R6" s="60"/>
      <c r="S6" s="60"/>
      <c r="T6" s="60"/>
      <c r="U6" s="60"/>
      <c r="V6" s="60"/>
      <c r="W6" s="60"/>
      <c r="X6" s="60"/>
      <c r="Y6" s="60"/>
      <c r="Z6" s="321"/>
      <c r="AA6" s="60"/>
      <c r="AB6" s="60"/>
      <c r="AC6" s="60"/>
      <c r="AD6" s="60"/>
    </row>
    <row r="7" spans="1:30" ht="24.75" customHeight="1">
      <c r="A7" s="1243" t="s">
        <v>141</v>
      </c>
      <c r="B7" s="1245" t="s">
        <v>123</v>
      </c>
      <c r="C7" s="1234" t="s">
        <v>22</v>
      </c>
      <c r="D7" s="1235" t="s">
        <v>1</v>
      </c>
      <c r="E7" s="1236"/>
      <c r="F7" s="1237" t="s">
        <v>0</v>
      </c>
      <c r="G7" s="1239" t="s">
        <v>140</v>
      </c>
      <c r="H7" s="1247" t="s">
        <v>47</v>
      </c>
      <c r="I7" s="1252" t="s">
        <v>571</v>
      </c>
      <c r="J7" s="1253"/>
      <c r="K7" s="1237" t="s">
        <v>263</v>
      </c>
      <c r="L7" s="1237"/>
      <c r="M7" s="1237" t="s">
        <v>262</v>
      </c>
      <c r="N7" s="1238" t="s">
        <v>114</v>
      </c>
      <c r="O7" s="1238"/>
      <c r="P7" s="1250" t="s">
        <v>8</v>
      </c>
      <c r="Q7" s="1224" t="s">
        <v>63</v>
      </c>
      <c r="R7" s="1225"/>
      <c r="S7" s="1226"/>
      <c r="T7" s="1224" t="s">
        <v>67</v>
      </c>
      <c r="U7" s="1225"/>
      <c r="V7" s="1226"/>
      <c r="W7" s="1250" t="s">
        <v>42</v>
      </c>
      <c r="X7" s="1241" t="str">
        <f>CTTK!$E$7</f>
        <v>1388</v>
      </c>
      <c r="Y7" s="1241" t="s">
        <v>579</v>
      </c>
      <c r="Z7" s="1248" t="s">
        <v>224</v>
      </c>
      <c r="AA7" s="1224" t="s">
        <v>276</v>
      </c>
      <c r="AB7" s="1225"/>
      <c r="AC7" s="1225"/>
      <c r="AD7" s="1226"/>
    </row>
    <row r="8" spans="1:30" ht="24.75" customHeight="1">
      <c r="A8" s="1244"/>
      <c r="B8" s="1246"/>
      <c r="C8" s="1234"/>
      <c r="D8" s="1000" t="s">
        <v>17</v>
      </c>
      <c r="E8" s="1081" t="s">
        <v>34</v>
      </c>
      <c r="F8" s="1237"/>
      <c r="G8" s="1240"/>
      <c r="H8" s="1247"/>
      <c r="I8" s="1084" t="s">
        <v>463</v>
      </c>
      <c r="J8" s="1084" t="s">
        <v>464</v>
      </c>
      <c r="K8" s="1082" t="s">
        <v>269</v>
      </c>
      <c r="L8" s="1082" t="s">
        <v>267</v>
      </c>
      <c r="M8" s="1237"/>
      <c r="N8" s="1083" t="s">
        <v>24</v>
      </c>
      <c r="O8" s="1083" t="s">
        <v>25</v>
      </c>
      <c r="P8" s="1251"/>
      <c r="Q8" s="1227"/>
      <c r="R8" s="1228"/>
      <c r="S8" s="1229"/>
      <c r="T8" s="1227"/>
      <c r="U8" s="1228"/>
      <c r="V8" s="1229"/>
      <c r="W8" s="1251"/>
      <c r="X8" s="1242"/>
      <c r="Y8" s="1242"/>
      <c r="Z8" s="1249"/>
      <c r="AA8" s="1227"/>
      <c r="AB8" s="1228"/>
      <c r="AC8" s="1228"/>
      <c r="AD8" s="1229"/>
    </row>
    <row r="9" spans="1:30">
      <c r="A9" s="1092">
        <v>1</v>
      </c>
      <c r="B9" s="1093">
        <v>2</v>
      </c>
      <c r="C9" s="1093">
        <v>3</v>
      </c>
      <c r="D9" s="1093">
        <v>4</v>
      </c>
      <c r="E9" s="1093">
        <v>5</v>
      </c>
      <c r="F9" s="1093">
        <v>6</v>
      </c>
      <c r="G9" s="1094">
        <v>7</v>
      </c>
      <c r="H9" s="1093">
        <v>8</v>
      </c>
      <c r="I9" s="1095">
        <v>9</v>
      </c>
      <c r="J9" s="1093">
        <v>10</v>
      </c>
      <c r="K9" s="1095">
        <v>11</v>
      </c>
      <c r="L9" s="1093">
        <v>12</v>
      </c>
      <c r="M9" s="1095">
        <v>13</v>
      </c>
      <c r="N9" s="1093">
        <v>14</v>
      </c>
      <c r="O9" s="1095">
        <v>15</v>
      </c>
      <c r="P9" s="1093">
        <v>16</v>
      </c>
      <c r="Q9" s="1095">
        <v>17</v>
      </c>
      <c r="R9" s="1093">
        <v>18</v>
      </c>
      <c r="S9" s="1095">
        <v>19</v>
      </c>
      <c r="T9" s="1093">
        <v>20</v>
      </c>
      <c r="U9" s="1093"/>
      <c r="V9" s="1093"/>
      <c r="W9" s="1093">
        <v>26</v>
      </c>
      <c r="X9" s="1095">
        <v>27</v>
      </c>
      <c r="Y9" s="1095"/>
      <c r="Z9" s="1093">
        <v>24</v>
      </c>
      <c r="AA9" s="1093">
        <v>19</v>
      </c>
      <c r="AB9" s="1093">
        <v>20</v>
      </c>
      <c r="AC9" s="1093"/>
      <c r="AD9" s="1093">
        <v>21</v>
      </c>
    </row>
    <row r="10" spans="1:30" ht="15.75" customHeight="1">
      <c r="A10" s="327" t="str">
        <f>IF(B10&lt;&gt;"",IF(AND(B10='IN-TC'!$S$4,OR(TH!N10="1111",TH!O10="1111")),TH!D10,""),"")</f>
        <v/>
      </c>
      <c r="B10" s="62">
        <f t="shared" ref="B10:B97" si="0">IF(C10&lt;&gt;"",MONTH(C10),"")</f>
        <v>1</v>
      </c>
      <c r="C10" s="77">
        <f>E10</f>
        <v>42766</v>
      </c>
      <c r="D10" s="77" t="s">
        <v>115</v>
      </c>
      <c r="E10" s="77">
        <v>42766</v>
      </c>
      <c r="F10" s="78" t="s">
        <v>212</v>
      </c>
      <c r="G10" s="78"/>
      <c r="H10" s="79"/>
      <c r="I10" s="403"/>
      <c r="J10" s="403"/>
      <c r="K10" s="396"/>
      <c r="L10" s="403"/>
      <c r="M10" s="80">
        <f>CDPS!D60</f>
        <v>0</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0" ht="15.75" customHeight="1">
      <c r="A11" s="327" t="str">
        <f>IF(B11&lt;&gt;"",IF(AND(B11='IN-TC'!$S$4,OR(TH!N11="1111",TH!O11="1111")),TH!D11,""),"")</f>
        <v/>
      </c>
      <c r="B11" s="62">
        <f t="shared" si="0"/>
        <v>1</v>
      </c>
      <c r="C11" s="77">
        <f t="shared" ref="C11:C14" si="1">E11</f>
        <v>42766</v>
      </c>
      <c r="D11" s="77" t="s">
        <v>115</v>
      </c>
      <c r="E11" s="77">
        <v>42766</v>
      </c>
      <c r="F11" s="78" t="s">
        <v>1117</v>
      </c>
      <c r="G11" s="78"/>
      <c r="H11" s="79"/>
      <c r="I11" s="403"/>
      <c r="J11" s="403"/>
      <c r="K11" s="396"/>
      <c r="L11" s="403"/>
      <c r="M11" s="80">
        <v>5170000</v>
      </c>
      <c r="N11" s="83" t="s">
        <v>651</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0" ht="15.75" customHeight="1">
      <c r="A12" s="327" t="str">
        <f>IF(B12&lt;&gt;"",IF(AND(B12='IN-TC'!$S$4,OR(TH!N12="1111",TH!O12="1111")),TH!D12,""),"")</f>
        <v/>
      </c>
      <c r="B12" s="62">
        <f t="shared" ref="B12" si="2">IF(C12&lt;&gt;"",MONTH(C12),"")</f>
        <v>1</v>
      </c>
      <c r="C12" s="77">
        <f t="shared" ref="C12" si="3">E12</f>
        <v>42766</v>
      </c>
      <c r="D12" s="77" t="s">
        <v>115</v>
      </c>
      <c r="E12" s="77">
        <v>42766</v>
      </c>
      <c r="F12" s="78" t="s">
        <v>1247</v>
      </c>
      <c r="G12" s="78"/>
      <c r="H12" s="79"/>
      <c r="I12" s="403"/>
      <c r="J12" s="403"/>
      <c r="K12" s="396"/>
      <c r="L12" s="403"/>
      <c r="M12" s="80">
        <v>160000</v>
      </c>
      <c r="N12" s="83" t="s">
        <v>651</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0" ht="15.75" customHeight="1">
      <c r="A13" s="327" t="str">
        <f>IF(B13&lt;&gt;"",IF(AND(B13='IN-TC'!$S$4,OR(TH!N13="1111",TH!O13="1111")),TH!D13,""),"")</f>
        <v/>
      </c>
      <c r="B13" s="62">
        <f t="shared" si="0"/>
        <v>1</v>
      </c>
      <c r="C13" s="77">
        <f t="shared" si="1"/>
        <v>42766</v>
      </c>
      <c r="D13" s="77" t="s">
        <v>115</v>
      </c>
      <c r="E13" s="77">
        <v>42766</v>
      </c>
      <c r="F13" s="78" t="s">
        <v>647</v>
      </c>
      <c r="G13" s="78"/>
      <c r="H13" s="79"/>
      <c r="I13" s="403"/>
      <c r="J13" s="403"/>
      <c r="K13" s="396"/>
      <c r="L13" s="403"/>
      <c r="M13" s="80">
        <f>SUMIF(KHN,O13,TH)</f>
        <v>0</v>
      </c>
      <c r="N13" s="83" t="s">
        <v>109</v>
      </c>
      <c r="O13" s="81" t="s">
        <v>292</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0" ht="15.75" customHeight="1">
      <c r="A14" s="327" t="str">
        <f>IF(B14&lt;&gt;"",IF(AND(B14='IN-TC'!$S$4,OR(TH!N14="1111",TH!O14="1111")),TH!D14,""),"")</f>
        <v/>
      </c>
      <c r="B14" s="62">
        <f t="shared" si="0"/>
        <v>1</v>
      </c>
      <c r="C14" s="77">
        <f t="shared" si="1"/>
        <v>42766</v>
      </c>
      <c r="D14" s="77" t="s">
        <v>115</v>
      </c>
      <c r="E14" s="77">
        <v>42766</v>
      </c>
      <c r="F14" s="78" t="s">
        <v>116</v>
      </c>
      <c r="G14" s="78"/>
      <c r="H14" s="84"/>
      <c r="I14" s="404"/>
      <c r="J14" s="404"/>
      <c r="K14" s="397"/>
      <c r="L14" s="404"/>
      <c r="M14" s="80">
        <f>SUMIF(KHN,O14,TH)</f>
        <v>527273114.39999998</v>
      </c>
      <c r="N14" s="81" t="s">
        <v>109</v>
      </c>
      <c r="O14" s="81" t="s">
        <v>99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0" ht="15.75" customHeight="1">
      <c r="A15" s="327" t="str">
        <f>IF(B15&lt;&gt;"",IF(AND(B15='IN-TC'!$S$4,OR(TH!N15="1111",TH!O15="1111")),TH!D15,""),"")</f>
        <v/>
      </c>
      <c r="B15" s="62">
        <f t="shared" si="0"/>
        <v>1</v>
      </c>
      <c r="C15" s="77">
        <f t="shared" ref="C15:C24" si="4">E15</f>
        <v>42766</v>
      </c>
      <c r="D15" s="77" t="s">
        <v>115</v>
      </c>
      <c r="E15" s="77">
        <v>42766</v>
      </c>
      <c r="F15" s="78" t="s">
        <v>648</v>
      </c>
      <c r="G15" s="78"/>
      <c r="H15" s="79"/>
      <c r="I15" s="403"/>
      <c r="J15" s="403"/>
      <c r="K15" s="396"/>
      <c r="L15" s="403"/>
      <c r="M15" s="80">
        <f>SUMIF(KHN,O15,TH)</f>
        <v>515477449.18181819</v>
      </c>
      <c r="N15" s="81" t="s">
        <v>109</v>
      </c>
      <c r="O15" s="81" t="s">
        <v>582</v>
      </c>
      <c r="P15" s="81" t="str">
        <f>IF(AND('331-CT'!$E$7=TH!H15,OR(N15="331",O15="331")),"x","")</f>
        <v/>
      </c>
      <c r="Q15" s="81" t="str">
        <f>IF(AND(B15='111'!$L$11,OR($N15=$Q$7,$O15=$Q$7)),"x","")</f>
        <v/>
      </c>
      <c r="R15" s="81" t="str">
        <f>IF(AND($N15=$Q$7,$B15&lt;'111'!$L$11),"x","")</f>
        <v/>
      </c>
      <c r="S15" s="81" t="str">
        <f>IF(AND($O15=$Q$7,$B15&lt;'111'!$L$11),"x","")</f>
        <v/>
      </c>
      <c r="T15" s="81" t="str">
        <f>IF(ISERROR(FIND('112'!$M$9,G15,1)),"",IF((AND(FIND('112'!$M$9,G15,1)&gt;=1,B15='112'!$K$9,OR($N15='112'!$I$6,$O15='112'!$I$6))),"x",""))</f>
        <v/>
      </c>
      <c r="U15" s="81" t="str">
        <f>IF(ISERROR(FIND('112'!$M$9,G15,1)),"",IF((AND(LEFT(G15,2)=LEFT('112'!$M$9,2),B15&lt;'112'!$K$9,$N15='112'!$I$6)),"x",""))</f>
        <v/>
      </c>
      <c r="V15" s="81" t="str">
        <f>IF(ISERROR(FIND('112'!$M$9,G15,1)),"",IF((AND(RIGHT(G15,2)=RIGHT('112'!$M$9,2),B15&lt;'112'!$K$9,$O15='112'!$I$6)),"x",""))</f>
        <v/>
      </c>
      <c r="W15" s="81" t="str">
        <f>IF(AND('341-CT'!$H$9=H15,OR(LEFT(N15,3)=$W$7,LEFT(O15,3)=$W$7)),"x","")</f>
        <v/>
      </c>
      <c r="X15" s="81" t="str">
        <f>IF(OR(TH!N15=TH!$X$7,O15=TH!$X$7),"x","")</f>
        <v/>
      </c>
      <c r="Y15" s="81" t="str">
        <f>IF(AND(OR(N15="131",O15="131"),H15='131-CT'!$H$9),"x","")</f>
        <v/>
      </c>
      <c r="Z15" s="81"/>
      <c r="AA15" s="81" t="str">
        <f>IF(AND(MONTH(E15)='IN-NX'!$J$5,'IN-NX'!$D$7=D15),"x","")</f>
        <v/>
      </c>
      <c r="AB15" s="81" t="str">
        <f>IF(AND(OR(LEFT(TH!N15,2)="15",LEFT(TH!O15,2)="15"),LEFT(TH!O15,3)&lt;&gt;"111",'152-CT'!$J$8=TH!F15),"x","")</f>
        <v/>
      </c>
      <c r="AC15" s="81" t="str">
        <f>IF(AND(OR(LEFT(TH!N15,2)="15",LEFT(TH!O15,2)="15"),TK!$E$7=TH!F15),"x","")</f>
        <v/>
      </c>
      <c r="AD15" s="81" t="str">
        <f>IF(AND(N15="1521",MONTH(C15)='BK-NL'!$M$11),"x","")</f>
        <v/>
      </c>
    </row>
    <row r="16" spans="1:30" ht="15.75" customHeight="1">
      <c r="A16" s="327" t="str">
        <f>IF(B16&lt;&gt;"",IF(AND(B16='IN-TC'!$S$4,OR(TH!N16="1111",TH!O16="1111")),TH!D16,""),"")</f>
        <v/>
      </c>
      <c r="B16" s="62">
        <f t="shared" si="0"/>
        <v>1</v>
      </c>
      <c r="C16" s="77">
        <f t="shared" si="4"/>
        <v>42766</v>
      </c>
      <c r="D16" s="77" t="s">
        <v>115</v>
      </c>
      <c r="E16" s="77">
        <v>42766</v>
      </c>
      <c r="F16" s="78" t="s">
        <v>117</v>
      </c>
      <c r="G16" s="78"/>
      <c r="H16" s="79"/>
      <c r="I16" s="403"/>
      <c r="J16" s="403"/>
      <c r="K16" s="396"/>
      <c r="L16" s="403"/>
      <c r="M16" s="80">
        <f>SUMIF(KHN,O16,TH)</f>
        <v>226325434</v>
      </c>
      <c r="N16" s="81" t="s">
        <v>109</v>
      </c>
      <c r="O16" s="81" t="s">
        <v>101</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ht="15.75" customHeight="1">
      <c r="A17" s="327" t="str">
        <f>IF(B17&lt;&gt;"",IF(AND(B17='IN-TC'!$S$4,OR(TH!N17="1111",TH!O17="1111")),TH!D17,""),"")</f>
        <v/>
      </c>
      <c r="B17" s="62">
        <f t="shared" si="0"/>
        <v>1</v>
      </c>
      <c r="C17" s="77">
        <f t="shared" si="4"/>
        <v>42766</v>
      </c>
      <c r="D17" s="77" t="s">
        <v>115</v>
      </c>
      <c r="E17" s="77">
        <v>42766</v>
      </c>
      <c r="F17" s="78" t="s">
        <v>118</v>
      </c>
      <c r="G17" s="78"/>
      <c r="H17" s="79"/>
      <c r="I17" s="403"/>
      <c r="J17" s="403"/>
      <c r="K17" s="396"/>
      <c r="L17" s="403"/>
      <c r="M17" s="80">
        <f>SUMIF(KHC,N17,TH)</f>
        <v>35558105</v>
      </c>
      <c r="N17" s="83" t="s">
        <v>43</v>
      </c>
      <c r="O17" s="81" t="s">
        <v>109</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ht="15.75" customHeight="1">
      <c r="A18" s="327" t="str">
        <f>IF(B18&lt;&gt;"",IF(AND(B18='IN-TC'!$S$4,OR(TH!N18="1111",TH!O18="1111")),TH!D18,""),"")</f>
        <v/>
      </c>
      <c r="B18" s="62">
        <f t="shared" si="0"/>
        <v>1</v>
      </c>
      <c r="C18" s="77">
        <f t="shared" si="4"/>
        <v>42766</v>
      </c>
      <c r="D18" s="77" t="s">
        <v>115</v>
      </c>
      <c r="E18" s="77">
        <v>42766</v>
      </c>
      <c r="F18" s="78" t="s">
        <v>649</v>
      </c>
      <c r="G18" s="78"/>
      <c r="H18" s="84"/>
      <c r="I18" s="404"/>
      <c r="J18" s="404"/>
      <c r="K18" s="397"/>
      <c r="L18" s="404"/>
      <c r="M18" s="80">
        <f>SUMIF(KHC,N18,TH)</f>
        <v>1667042026</v>
      </c>
      <c r="N18" s="81" t="s">
        <v>294</v>
      </c>
      <c r="O18" s="81" t="s">
        <v>109</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ht="15.75" customHeight="1">
      <c r="A19" s="327" t="str">
        <f>IF(B19&lt;&gt;"",IF(AND(B19='IN-TC'!$S$4,OR(TH!N19="1111",TH!O19="1111")),TH!D19,""),"")</f>
        <v/>
      </c>
      <c r="B19" s="62">
        <f t="shared" si="0"/>
        <v>1</v>
      </c>
      <c r="C19" s="77">
        <f t="shared" si="4"/>
        <v>42766</v>
      </c>
      <c r="D19" s="77" t="s">
        <v>115</v>
      </c>
      <c r="E19" s="77">
        <v>42766</v>
      </c>
      <c r="F19" s="78" t="s">
        <v>650</v>
      </c>
      <c r="G19" s="78"/>
      <c r="H19" s="79"/>
      <c r="I19" s="403"/>
      <c r="J19" s="403"/>
      <c r="K19" s="396"/>
      <c r="L19" s="403"/>
      <c r="M19" s="80">
        <f>SUMIF(KHC,N19,TH)</f>
        <v>13819848959</v>
      </c>
      <c r="N19" s="81" t="s">
        <v>296</v>
      </c>
      <c r="O19" s="81" t="s">
        <v>109</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ht="15.75" customHeight="1">
      <c r="A20" s="327" t="str">
        <f>IF(B20&lt;&gt;"",IF(AND(B20='IN-TC'!$S$4,OR(TH!N20="1111",TH!O20="1111")),TH!D20,""),"")</f>
        <v/>
      </c>
      <c r="B20" s="62">
        <f t="shared" si="0"/>
        <v>1</v>
      </c>
      <c r="C20" s="77">
        <f t="shared" si="4"/>
        <v>42766</v>
      </c>
      <c r="D20" s="77" t="s">
        <v>115</v>
      </c>
      <c r="E20" s="77">
        <v>42766</v>
      </c>
      <c r="F20" s="78" t="s">
        <v>119</v>
      </c>
      <c r="G20" s="78"/>
      <c r="H20" s="79"/>
      <c r="I20" s="403"/>
      <c r="J20" s="403"/>
      <c r="K20" s="396"/>
      <c r="L20" s="403"/>
      <c r="M20" s="80">
        <f>SUMIF(KHC,N20,TH)</f>
        <v>9316075</v>
      </c>
      <c r="N20" s="81" t="s">
        <v>103</v>
      </c>
      <c r="O20" s="81" t="s">
        <v>109</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ht="15.75" customHeight="1">
      <c r="A21" s="327" t="str">
        <f>IF(B21&lt;&gt;"",IF(AND(B21='IN-TC'!$S$4,OR(TH!N21="1111",TH!O21="1111")),TH!D21,""),"")</f>
        <v/>
      </c>
      <c r="B21" s="62">
        <f t="shared" si="0"/>
        <v>1</v>
      </c>
      <c r="C21" s="77">
        <f t="shared" si="4"/>
        <v>42766</v>
      </c>
      <c r="D21" s="77" t="s">
        <v>115</v>
      </c>
      <c r="E21" s="77">
        <v>42766</v>
      </c>
      <c r="F21" s="78" t="s">
        <v>120</v>
      </c>
      <c r="G21" s="78"/>
      <c r="H21" s="79"/>
      <c r="I21" s="403"/>
      <c r="J21" s="403"/>
      <c r="K21" s="396"/>
      <c r="L21" s="403"/>
      <c r="M21" s="80">
        <f>SUMIF(KHN,O21,TH)</f>
        <v>0</v>
      </c>
      <c r="N21" s="83" t="s">
        <v>109</v>
      </c>
      <c r="O21" s="81" t="s">
        <v>105</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ht="15.75" customHeight="1">
      <c r="A22" s="327" t="str">
        <f>IF(B22&lt;&gt;"",IF(AND(B22='IN-TC'!$S$4,OR(TH!N22="1111",TH!O22="1111")),TH!D22,""),"")</f>
        <v/>
      </c>
      <c r="B22" s="62">
        <f t="shared" si="0"/>
        <v>1</v>
      </c>
      <c r="C22" s="77">
        <f t="shared" si="4"/>
        <v>42766</v>
      </c>
      <c r="D22" s="77" t="s">
        <v>115</v>
      </c>
      <c r="E22" s="77">
        <v>42766</v>
      </c>
      <c r="F22" s="78" t="s">
        <v>795</v>
      </c>
      <c r="G22" s="78"/>
      <c r="H22" s="79"/>
      <c r="I22" s="403"/>
      <c r="J22" s="403"/>
      <c r="K22" s="396"/>
      <c r="L22" s="403"/>
      <c r="M22" s="80"/>
      <c r="N22" s="83" t="s">
        <v>109</v>
      </c>
      <c r="O22" s="81" t="s">
        <v>94</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ht="15.75" customHeight="1">
      <c r="A23" s="327" t="str">
        <f>IF(B23&lt;&gt;"",IF(AND(B23='IN-TC'!$S$4,OR(TH!N23="1111",TH!O23="1111")),TH!D23,""),"")</f>
        <v/>
      </c>
      <c r="B23" s="62">
        <f t="shared" si="0"/>
        <v>1</v>
      </c>
      <c r="C23" s="77">
        <f t="shared" si="4"/>
        <v>42766</v>
      </c>
      <c r="D23" s="77" t="s">
        <v>115</v>
      </c>
      <c r="E23" s="77">
        <v>42766</v>
      </c>
      <c r="F23" s="78" t="s">
        <v>880</v>
      </c>
      <c r="G23" s="78"/>
      <c r="H23" s="79"/>
      <c r="I23" s="403"/>
      <c r="J23" s="403"/>
      <c r="K23" s="396"/>
      <c r="L23" s="403"/>
      <c r="M23" s="80"/>
      <c r="N23" s="83" t="s">
        <v>107</v>
      </c>
      <c r="O23" s="81" t="s">
        <v>77</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ht="15.75" customHeight="1">
      <c r="A24" s="327" t="str">
        <f>IF(B24&lt;&gt;"",IF(AND(B24='IN-TC'!$S$4,OR(TH!N24="1111",TH!O24="1111")),TH!D24,""),"")</f>
        <v/>
      </c>
      <c r="B24" s="62">
        <f t="shared" si="0"/>
        <v>1</v>
      </c>
      <c r="C24" s="77">
        <f t="shared" si="4"/>
        <v>42766</v>
      </c>
      <c r="D24" s="77" t="s">
        <v>115</v>
      </c>
      <c r="E24" s="77">
        <v>42766</v>
      </c>
      <c r="F24" s="78" t="s">
        <v>881</v>
      </c>
      <c r="G24" s="78"/>
      <c r="H24" s="79"/>
      <c r="I24" s="403"/>
      <c r="J24" s="403"/>
      <c r="K24" s="396"/>
      <c r="L24" s="403"/>
      <c r="M24" s="80"/>
      <c r="N24" s="83" t="s">
        <v>109</v>
      </c>
      <c r="O24" s="81" t="s">
        <v>107</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ht="15.75" customHeight="1">
      <c r="A25" s="327" t="str">
        <f>IF(B25&lt;&gt;"",IF(AND(B25='IN-TC'!$S$4,OR(TH!N25="1111",TH!O25="1111")),TH!D25,""),"")</f>
        <v/>
      </c>
      <c r="B25" s="62">
        <f t="shared" si="0"/>
        <v>1</v>
      </c>
      <c r="C25" s="721">
        <v>42766</v>
      </c>
      <c r="D25" s="721" t="s">
        <v>573</v>
      </c>
      <c r="E25" s="721">
        <f t="shared" ref="E25:E80" si="5">C25</f>
        <v>42766</v>
      </c>
      <c r="F25" s="995" t="s">
        <v>772</v>
      </c>
      <c r="G25" s="722"/>
      <c r="H25" s="71"/>
      <c r="I25" s="405"/>
      <c r="J25" s="405"/>
      <c r="K25" s="398"/>
      <c r="L25" s="405"/>
      <c r="M25" s="723">
        <v>10010706</v>
      </c>
      <c r="N25" s="725" t="s">
        <v>280</v>
      </c>
      <c r="O25" s="726" t="s">
        <v>580</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ht="15.75" customHeight="1">
      <c r="A26" s="327" t="str">
        <f>IF(B26&lt;&gt;"",IF(AND(B26='IN-TC'!$S$4,OR(TH!N26="1111",TH!O26="1111")),TH!D26,""),"")</f>
        <v/>
      </c>
      <c r="B26" s="62">
        <f t="shared" si="0"/>
        <v>1</v>
      </c>
      <c r="C26" s="721">
        <v>42766</v>
      </c>
      <c r="D26" s="721" t="s">
        <v>573</v>
      </c>
      <c r="E26" s="721">
        <f t="shared" si="5"/>
        <v>42766</v>
      </c>
      <c r="F26" s="995" t="s">
        <v>773</v>
      </c>
      <c r="G26" s="815"/>
      <c r="H26" s="70"/>
      <c r="I26" s="406"/>
      <c r="J26" s="406"/>
      <c r="K26" s="399"/>
      <c r="L26" s="406"/>
      <c r="M26" s="723">
        <v>3671166</v>
      </c>
      <c r="N26" s="727" t="s">
        <v>101</v>
      </c>
      <c r="O26" s="727" t="s">
        <v>581</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ht="15.75" customHeight="1">
      <c r="A27" s="327" t="str">
        <f>IF(B27&lt;&gt;"",IF(AND(B27='IN-TC'!$S$4,OR(TH!N27="1111",TH!O27="1111")),TH!D27,""),"")</f>
        <v/>
      </c>
      <c r="B27" s="62">
        <f t="shared" si="0"/>
        <v>1</v>
      </c>
      <c r="C27" s="721">
        <v>42766</v>
      </c>
      <c r="D27" s="721" t="s">
        <v>573</v>
      </c>
      <c r="E27" s="721">
        <f t="shared" si="5"/>
        <v>42766</v>
      </c>
      <c r="F27" s="995" t="s">
        <v>773</v>
      </c>
      <c r="G27" s="722"/>
      <c r="H27" s="70"/>
      <c r="I27" s="406"/>
      <c r="J27" s="406"/>
      <c r="K27" s="399"/>
      <c r="L27" s="406"/>
      <c r="M27" s="723">
        <v>47513841</v>
      </c>
      <c r="N27" s="727" t="s">
        <v>280</v>
      </c>
      <c r="O27" s="727" t="s">
        <v>581</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ht="15.75" customHeight="1">
      <c r="A28" s="327" t="str">
        <f>IF(B28&lt;&gt;"",IF(AND(B28='IN-TC'!$S$4,OR(TH!N28="1111",TH!O28="1111")),TH!D28,""),"")</f>
        <v/>
      </c>
      <c r="B28" s="62">
        <f t="shared" si="0"/>
        <v>2</v>
      </c>
      <c r="C28" s="721">
        <v>42794</v>
      </c>
      <c r="D28" s="721" t="s">
        <v>573</v>
      </c>
      <c r="E28" s="721">
        <f t="shared" si="5"/>
        <v>42794</v>
      </c>
      <c r="F28" s="995" t="s">
        <v>772</v>
      </c>
      <c r="G28" s="722"/>
      <c r="H28" s="71"/>
      <c r="I28" s="405"/>
      <c r="J28" s="405"/>
      <c r="K28" s="398"/>
      <c r="L28" s="405"/>
      <c r="M28" s="723">
        <v>10010706</v>
      </c>
      <c r="N28" s="725" t="s">
        <v>280</v>
      </c>
      <c r="O28" s="726" t="s">
        <v>580</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ht="15.75" customHeight="1">
      <c r="A29" s="327" t="str">
        <f>IF(B29&lt;&gt;"",IF(AND(B29='IN-TC'!$S$4,OR(TH!N29="1111",TH!O29="1111")),TH!D29,""),"")</f>
        <v/>
      </c>
      <c r="B29" s="62">
        <f t="shared" si="0"/>
        <v>2</v>
      </c>
      <c r="C29" s="721">
        <v>42794</v>
      </c>
      <c r="D29" s="721" t="s">
        <v>573</v>
      </c>
      <c r="E29" s="721">
        <f t="shared" si="5"/>
        <v>42794</v>
      </c>
      <c r="F29" s="995" t="s">
        <v>773</v>
      </c>
      <c r="G29" s="815"/>
      <c r="H29" s="70"/>
      <c r="I29" s="406"/>
      <c r="J29" s="406"/>
      <c r="K29" s="399"/>
      <c r="L29" s="406"/>
      <c r="M29" s="723">
        <v>3671166</v>
      </c>
      <c r="N29" s="727" t="s">
        <v>101</v>
      </c>
      <c r="O29" s="727" t="s">
        <v>581</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ht="15.75" customHeight="1">
      <c r="A30" s="327" t="str">
        <f>IF(B30&lt;&gt;"",IF(AND(B30='IN-TC'!$S$4,OR(TH!N30="1111",TH!O30="1111")),TH!D30,""),"")</f>
        <v/>
      </c>
      <c r="B30" s="62">
        <f t="shared" si="0"/>
        <v>2</v>
      </c>
      <c r="C30" s="721">
        <v>42794</v>
      </c>
      <c r="D30" s="721" t="s">
        <v>573</v>
      </c>
      <c r="E30" s="721">
        <f t="shared" si="5"/>
        <v>42794</v>
      </c>
      <c r="F30" s="995" t="s">
        <v>773</v>
      </c>
      <c r="G30" s="722"/>
      <c r="H30" s="70"/>
      <c r="I30" s="406"/>
      <c r="J30" s="406"/>
      <c r="K30" s="399"/>
      <c r="L30" s="406"/>
      <c r="M30" s="723">
        <v>47513841</v>
      </c>
      <c r="N30" s="727" t="s">
        <v>280</v>
      </c>
      <c r="O30" s="727" t="s">
        <v>581</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ht="15.75" customHeight="1">
      <c r="A31" s="327" t="str">
        <f>IF(B31&lt;&gt;"",IF(AND(B31='IN-TC'!$S$4,OR(TH!N31="1111",TH!O31="1111")),TH!D31,""),"")</f>
        <v/>
      </c>
      <c r="B31" s="62">
        <f t="shared" si="0"/>
        <v>3</v>
      </c>
      <c r="C31" s="721">
        <v>42825</v>
      </c>
      <c r="D31" s="721" t="s">
        <v>573</v>
      </c>
      <c r="E31" s="721">
        <f t="shared" si="5"/>
        <v>42825</v>
      </c>
      <c r="F31" s="995" t="s">
        <v>772</v>
      </c>
      <c r="G31" s="722"/>
      <c r="H31" s="71"/>
      <c r="I31" s="405"/>
      <c r="J31" s="405"/>
      <c r="K31" s="398"/>
      <c r="L31" s="405"/>
      <c r="M31" s="723">
        <v>10010706</v>
      </c>
      <c r="N31" s="725" t="s">
        <v>280</v>
      </c>
      <c r="O31" s="726" t="s">
        <v>580</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ht="15.75" customHeight="1">
      <c r="A32" s="327" t="str">
        <f>IF(B32&lt;&gt;"",IF(AND(B32='IN-TC'!$S$4,OR(TH!N32="1111",TH!O32="1111")),TH!D32,""),"")</f>
        <v/>
      </c>
      <c r="B32" s="62">
        <f t="shared" si="0"/>
        <v>3</v>
      </c>
      <c r="C32" s="721">
        <v>42825</v>
      </c>
      <c r="D32" s="721" t="s">
        <v>573</v>
      </c>
      <c r="E32" s="721">
        <f t="shared" si="5"/>
        <v>42825</v>
      </c>
      <c r="F32" s="995" t="s">
        <v>773</v>
      </c>
      <c r="G32" s="815"/>
      <c r="H32" s="70"/>
      <c r="I32" s="406"/>
      <c r="J32" s="406"/>
      <c r="K32" s="399"/>
      <c r="L32" s="406"/>
      <c r="M32" s="723">
        <v>3671166</v>
      </c>
      <c r="N32" s="727" t="s">
        <v>101</v>
      </c>
      <c r="O32" s="727" t="s">
        <v>581</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ht="15.75" customHeight="1">
      <c r="A33" s="327" t="str">
        <f>IF(B33&lt;&gt;"",IF(AND(B33='IN-TC'!$S$4,OR(TH!N33="1111",TH!O33="1111")),TH!D33,""),"")</f>
        <v/>
      </c>
      <c r="B33" s="62">
        <f t="shared" si="0"/>
        <v>3</v>
      </c>
      <c r="C33" s="721">
        <v>42825</v>
      </c>
      <c r="D33" s="721" t="s">
        <v>573</v>
      </c>
      <c r="E33" s="721">
        <f t="shared" si="5"/>
        <v>42825</v>
      </c>
      <c r="F33" s="995" t="s">
        <v>773</v>
      </c>
      <c r="G33" s="722"/>
      <c r="H33" s="70"/>
      <c r="I33" s="406"/>
      <c r="J33" s="406"/>
      <c r="K33" s="399"/>
      <c r="L33" s="406"/>
      <c r="M33" s="723">
        <v>47513841</v>
      </c>
      <c r="N33" s="727" t="s">
        <v>280</v>
      </c>
      <c r="O33" s="727" t="s">
        <v>581</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ht="15.75" customHeight="1">
      <c r="A34" s="327" t="str">
        <f>IF(B34&lt;&gt;"",IF(AND(B34='IN-TC'!$S$4,OR(TH!N34="1111",TH!O34="1111")),TH!D34,""),"")</f>
        <v/>
      </c>
      <c r="B34" s="62">
        <f t="shared" si="0"/>
        <v>4</v>
      </c>
      <c r="C34" s="721">
        <v>42855</v>
      </c>
      <c r="D34" s="721" t="s">
        <v>573</v>
      </c>
      <c r="E34" s="721">
        <f t="shared" si="5"/>
        <v>42855</v>
      </c>
      <c r="F34" s="995" t="s">
        <v>772</v>
      </c>
      <c r="G34" s="722"/>
      <c r="H34" s="71"/>
      <c r="I34" s="405"/>
      <c r="J34" s="405"/>
      <c r="K34" s="398"/>
      <c r="L34" s="405"/>
      <c r="M34" s="723">
        <v>10010706</v>
      </c>
      <c r="N34" s="725" t="s">
        <v>280</v>
      </c>
      <c r="O34" s="726" t="s">
        <v>580</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ht="15.75" customHeight="1">
      <c r="A35" s="327" t="str">
        <f>IF(B35&lt;&gt;"",IF(AND(B35='IN-TC'!$S$4,OR(TH!N35="1111",TH!O35="1111")),TH!D35,""),"")</f>
        <v/>
      </c>
      <c r="B35" s="62">
        <f t="shared" si="0"/>
        <v>4</v>
      </c>
      <c r="C35" s="721">
        <v>42855</v>
      </c>
      <c r="D35" s="721" t="s">
        <v>573</v>
      </c>
      <c r="E35" s="721">
        <f t="shared" si="5"/>
        <v>42855</v>
      </c>
      <c r="F35" s="995" t="s">
        <v>773</v>
      </c>
      <c r="G35" s="815"/>
      <c r="H35" s="70"/>
      <c r="I35" s="406"/>
      <c r="J35" s="406"/>
      <c r="K35" s="399"/>
      <c r="L35" s="406"/>
      <c r="M35" s="723">
        <v>3671166</v>
      </c>
      <c r="N35" s="727" t="s">
        <v>101</v>
      </c>
      <c r="O35" s="727" t="s">
        <v>581</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ht="15.75" customHeight="1">
      <c r="A36" s="327" t="str">
        <f>IF(B36&lt;&gt;"",IF(AND(B36='IN-TC'!$S$4,OR(TH!N36="1111",TH!O36="1111")),TH!D36,""),"")</f>
        <v/>
      </c>
      <c r="B36" s="62">
        <f t="shared" si="0"/>
        <v>4</v>
      </c>
      <c r="C36" s="721">
        <v>42855</v>
      </c>
      <c r="D36" s="721" t="s">
        <v>573</v>
      </c>
      <c r="E36" s="721">
        <f t="shared" si="5"/>
        <v>42855</v>
      </c>
      <c r="F36" s="995" t="s">
        <v>773</v>
      </c>
      <c r="G36" s="722"/>
      <c r="H36" s="70"/>
      <c r="I36" s="406"/>
      <c r="J36" s="406"/>
      <c r="K36" s="399"/>
      <c r="L36" s="406"/>
      <c r="M36" s="723">
        <v>47513841</v>
      </c>
      <c r="N36" s="727" t="s">
        <v>280</v>
      </c>
      <c r="O36" s="727" t="s">
        <v>581</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ht="15.75" customHeight="1">
      <c r="A37" s="327" t="str">
        <f>IF(B37&lt;&gt;"",IF(AND(B37='IN-TC'!$S$4,OR(TH!N37="1111",TH!O37="1111")),TH!D37,""),"")</f>
        <v/>
      </c>
      <c r="B37" s="62">
        <f t="shared" si="0"/>
        <v>5</v>
      </c>
      <c r="C37" s="721">
        <v>42886</v>
      </c>
      <c r="D37" s="721" t="s">
        <v>573</v>
      </c>
      <c r="E37" s="721">
        <f t="shared" si="5"/>
        <v>42886</v>
      </c>
      <c r="F37" s="995" t="s">
        <v>772</v>
      </c>
      <c r="G37" s="722"/>
      <c r="H37" s="71"/>
      <c r="I37" s="405"/>
      <c r="J37" s="405"/>
      <c r="K37" s="398"/>
      <c r="L37" s="405"/>
      <c r="M37" s="723">
        <v>10010706</v>
      </c>
      <c r="N37" s="725" t="s">
        <v>280</v>
      </c>
      <c r="O37" s="726" t="s">
        <v>580</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ht="15.75" customHeight="1">
      <c r="A38" s="327" t="str">
        <f>IF(B38&lt;&gt;"",IF(AND(B38='IN-TC'!$S$4,OR(TH!N38="1111",TH!O38="1111")),TH!D38,""),"")</f>
        <v/>
      </c>
      <c r="B38" s="62">
        <f t="shared" si="0"/>
        <v>5</v>
      </c>
      <c r="C38" s="721">
        <v>42886</v>
      </c>
      <c r="D38" s="721" t="s">
        <v>573</v>
      </c>
      <c r="E38" s="721">
        <f t="shared" si="5"/>
        <v>42886</v>
      </c>
      <c r="F38" s="995" t="s">
        <v>773</v>
      </c>
      <c r="G38" s="815"/>
      <c r="H38" s="70"/>
      <c r="I38" s="406"/>
      <c r="J38" s="406"/>
      <c r="K38" s="399"/>
      <c r="L38" s="406"/>
      <c r="M38" s="723">
        <v>3671166</v>
      </c>
      <c r="N38" s="727" t="s">
        <v>101</v>
      </c>
      <c r="O38" s="727" t="s">
        <v>581</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ht="15.75" customHeight="1">
      <c r="A39" s="327" t="str">
        <f>IF(B39&lt;&gt;"",IF(AND(B39='IN-TC'!$S$4,OR(TH!N39="1111",TH!O39="1111")),TH!D39,""),"")</f>
        <v/>
      </c>
      <c r="B39" s="62">
        <f t="shared" si="0"/>
        <v>5</v>
      </c>
      <c r="C39" s="721">
        <v>42886</v>
      </c>
      <c r="D39" s="721" t="s">
        <v>573</v>
      </c>
      <c r="E39" s="721">
        <f t="shared" si="5"/>
        <v>42886</v>
      </c>
      <c r="F39" s="995" t="s">
        <v>773</v>
      </c>
      <c r="G39" s="722"/>
      <c r="H39" s="70"/>
      <c r="I39" s="406"/>
      <c r="J39" s="406"/>
      <c r="K39" s="399"/>
      <c r="L39" s="406"/>
      <c r="M39" s="723">
        <v>47513841</v>
      </c>
      <c r="N39" s="727" t="s">
        <v>280</v>
      </c>
      <c r="O39" s="727" t="s">
        <v>581</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ht="15.75" customHeight="1">
      <c r="A40" s="327" t="str">
        <f>IF(B40&lt;&gt;"",IF(AND(B40='IN-TC'!$S$4,OR(TH!N40="1111",TH!O40="1111")),TH!D40,""),"")</f>
        <v/>
      </c>
      <c r="B40" s="62">
        <f t="shared" si="0"/>
        <v>6</v>
      </c>
      <c r="C40" s="721">
        <v>42916</v>
      </c>
      <c r="D40" s="721" t="s">
        <v>573</v>
      </c>
      <c r="E40" s="721">
        <f t="shared" si="5"/>
        <v>42916</v>
      </c>
      <c r="F40" s="995" t="s">
        <v>772</v>
      </c>
      <c r="G40" s="722"/>
      <c r="H40" s="71"/>
      <c r="I40" s="405"/>
      <c r="J40" s="405"/>
      <c r="K40" s="398"/>
      <c r="L40" s="405"/>
      <c r="M40" s="723">
        <v>10010706</v>
      </c>
      <c r="N40" s="725" t="s">
        <v>280</v>
      </c>
      <c r="O40" s="726" t="s">
        <v>580</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ht="15.75" customHeight="1">
      <c r="A41" s="327" t="str">
        <f>IF(B41&lt;&gt;"",IF(AND(B41='IN-TC'!$S$4,OR(TH!N41="1111",TH!O41="1111")),TH!D41,""),"")</f>
        <v/>
      </c>
      <c r="B41" s="62">
        <f t="shared" si="0"/>
        <v>6</v>
      </c>
      <c r="C41" s="721">
        <v>42916</v>
      </c>
      <c r="D41" s="721" t="s">
        <v>573</v>
      </c>
      <c r="E41" s="721">
        <f t="shared" si="5"/>
        <v>42916</v>
      </c>
      <c r="F41" s="995" t="s">
        <v>773</v>
      </c>
      <c r="G41" s="815"/>
      <c r="H41" s="70"/>
      <c r="I41" s="406"/>
      <c r="J41" s="406"/>
      <c r="K41" s="399"/>
      <c r="L41" s="406"/>
      <c r="M41" s="723">
        <v>3671166</v>
      </c>
      <c r="N41" s="727" t="s">
        <v>101</v>
      </c>
      <c r="O41" s="727" t="s">
        <v>581</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ht="15.75" customHeight="1">
      <c r="A42" s="327" t="str">
        <f>IF(B42&lt;&gt;"",IF(AND(B42='IN-TC'!$S$4,OR(TH!N42="1111",TH!O42="1111")),TH!D42,""),"")</f>
        <v/>
      </c>
      <c r="B42" s="62">
        <f t="shared" si="0"/>
        <v>6</v>
      </c>
      <c r="C42" s="721">
        <v>42916</v>
      </c>
      <c r="D42" s="721" t="s">
        <v>573</v>
      </c>
      <c r="E42" s="721">
        <f t="shared" si="5"/>
        <v>42916</v>
      </c>
      <c r="F42" s="995" t="s">
        <v>773</v>
      </c>
      <c r="G42" s="722"/>
      <c r="H42" s="70"/>
      <c r="I42" s="406"/>
      <c r="J42" s="406"/>
      <c r="K42" s="399"/>
      <c r="L42" s="406"/>
      <c r="M42" s="723">
        <v>47513841</v>
      </c>
      <c r="N42" s="727" t="s">
        <v>280</v>
      </c>
      <c r="O42" s="727" t="s">
        <v>581</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ht="15.75" customHeight="1">
      <c r="A43" s="327" t="str">
        <f>IF(B43&lt;&gt;"",IF(AND(B43='IN-TC'!$S$4,OR(TH!N43="1111",TH!O43="1111")),TH!D43,""),"")</f>
        <v/>
      </c>
      <c r="B43" s="62">
        <f t="shared" si="0"/>
        <v>7</v>
      </c>
      <c r="C43" s="721">
        <v>42947</v>
      </c>
      <c r="D43" s="721" t="s">
        <v>573</v>
      </c>
      <c r="E43" s="721">
        <f t="shared" si="5"/>
        <v>42947</v>
      </c>
      <c r="F43" s="995" t="s">
        <v>772</v>
      </c>
      <c r="G43" s="722"/>
      <c r="H43" s="71"/>
      <c r="I43" s="405"/>
      <c r="J43" s="405"/>
      <c r="K43" s="398"/>
      <c r="L43" s="405"/>
      <c r="M43" s="723">
        <v>10010706</v>
      </c>
      <c r="N43" s="725" t="s">
        <v>280</v>
      </c>
      <c r="O43" s="726" t="s">
        <v>580</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ht="15.75" customHeight="1">
      <c r="A44" s="327" t="str">
        <f>IF(B44&lt;&gt;"",IF(AND(B44='IN-TC'!$S$4,OR(TH!N44="1111",TH!O44="1111")),TH!D44,""),"")</f>
        <v/>
      </c>
      <c r="B44" s="62">
        <f t="shared" si="0"/>
        <v>7</v>
      </c>
      <c r="C44" s="721">
        <v>42947</v>
      </c>
      <c r="D44" s="721" t="s">
        <v>573</v>
      </c>
      <c r="E44" s="721">
        <f t="shared" si="5"/>
        <v>42947</v>
      </c>
      <c r="F44" s="995" t="s">
        <v>773</v>
      </c>
      <c r="G44" s="815"/>
      <c r="H44" s="70"/>
      <c r="I44" s="406"/>
      <c r="J44" s="406"/>
      <c r="K44" s="399"/>
      <c r="L44" s="406"/>
      <c r="M44" s="723">
        <v>3671166</v>
      </c>
      <c r="N44" s="727" t="s">
        <v>101</v>
      </c>
      <c r="O44" s="727" t="s">
        <v>581</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ht="15.75" customHeight="1">
      <c r="A45" s="327" t="str">
        <f>IF(B45&lt;&gt;"",IF(AND(B45='IN-TC'!$S$4,OR(TH!N45="1111",TH!O45="1111")),TH!D45,""),"")</f>
        <v/>
      </c>
      <c r="B45" s="62">
        <f t="shared" si="0"/>
        <v>7</v>
      </c>
      <c r="C45" s="721">
        <v>42947</v>
      </c>
      <c r="D45" s="721" t="s">
        <v>573</v>
      </c>
      <c r="E45" s="721">
        <f t="shared" si="5"/>
        <v>42947</v>
      </c>
      <c r="F45" s="995" t="s">
        <v>773</v>
      </c>
      <c r="G45" s="722"/>
      <c r="H45" s="70"/>
      <c r="I45" s="406"/>
      <c r="J45" s="406"/>
      <c r="K45" s="399"/>
      <c r="L45" s="406"/>
      <c r="M45" s="723">
        <v>47513841</v>
      </c>
      <c r="N45" s="727" t="s">
        <v>280</v>
      </c>
      <c r="O45" s="727" t="s">
        <v>581</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ht="15.75" customHeight="1">
      <c r="A46" s="327" t="str">
        <f>IF(B46&lt;&gt;"",IF(AND(B46='IN-TC'!$S$4,OR(TH!N46="1111",TH!O46="1111")),TH!D46,""),"")</f>
        <v/>
      </c>
      <c r="B46" s="62">
        <f t="shared" si="0"/>
        <v>8</v>
      </c>
      <c r="C46" s="721">
        <v>42978</v>
      </c>
      <c r="D46" s="721" t="s">
        <v>573</v>
      </c>
      <c r="E46" s="721">
        <f t="shared" si="5"/>
        <v>42978</v>
      </c>
      <c r="F46" s="995" t="s">
        <v>772</v>
      </c>
      <c r="G46" s="722"/>
      <c r="H46" s="71"/>
      <c r="I46" s="405"/>
      <c r="J46" s="405"/>
      <c r="K46" s="398"/>
      <c r="L46" s="405"/>
      <c r="M46" s="723">
        <v>10010706</v>
      </c>
      <c r="N46" s="725" t="s">
        <v>280</v>
      </c>
      <c r="O46" s="726" t="s">
        <v>580</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ht="15.75" customHeight="1">
      <c r="A47" s="327" t="str">
        <f>IF(B47&lt;&gt;"",IF(AND(B47='IN-TC'!$S$4,OR(TH!N47="1111",TH!O47="1111")),TH!D47,""),"")</f>
        <v/>
      </c>
      <c r="B47" s="62">
        <f t="shared" si="0"/>
        <v>8</v>
      </c>
      <c r="C47" s="721">
        <v>42978</v>
      </c>
      <c r="D47" s="721" t="s">
        <v>573</v>
      </c>
      <c r="E47" s="721">
        <f t="shared" si="5"/>
        <v>42978</v>
      </c>
      <c r="F47" s="995" t="s">
        <v>773</v>
      </c>
      <c r="G47" s="815"/>
      <c r="H47" s="70"/>
      <c r="I47" s="406"/>
      <c r="J47" s="406"/>
      <c r="K47" s="399"/>
      <c r="L47" s="406"/>
      <c r="M47" s="723">
        <v>3671166</v>
      </c>
      <c r="N47" s="727" t="s">
        <v>101</v>
      </c>
      <c r="O47" s="727" t="s">
        <v>581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ht="15.75" customHeight="1">
      <c r="A48" s="327" t="str">
        <f>IF(B48&lt;&gt;"",IF(AND(B48='IN-TC'!$S$4,OR(TH!N48="1111",TH!O48="1111")),TH!D48,""),"")</f>
        <v/>
      </c>
      <c r="B48" s="62">
        <f t="shared" si="0"/>
        <v>8</v>
      </c>
      <c r="C48" s="721">
        <v>42978</v>
      </c>
      <c r="D48" s="721" t="s">
        <v>573</v>
      </c>
      <c r="E48" s="721">
        <f t="shared" si="5"/>
        <v>42978</v>
      </c>
      <c r="F48" s="995" t="s">
        <v>773</v>
      </c>
      <c r="G48" s="722"/>
      <c r="H48" s="70"/>
      <c r="I48" s="406"/>
      <c r="J48" s="406"/>
      <c r="K48" s="399"/>
      <c r="L48" s="406"/>
      <c r="M48" s="723">
        <v>47513841</v>
      </c>
      <c r="N48" s="727" t="s">
        <v>280</v>
      </c>
      <c r="O48" s="727" t="s">
        <v>581</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ht="15.75" customHeight="1">
      <c r="A49" s="327" t="str">
        <f>IF(B49&lt;&gt;"",IF(AND(B49='IN-TC'!$S$4,OR(TH!N49="1111",TH!O49="1111")),TH!D49,""),"")</f>
        <v/>
      </c>
      <c r="B49" s="62">
        <f t="shared" si="0"/>
        <v>9</v>
      </c>
      <c r="C49" s="721">
        <v>43008</v>
      </c>
      <c r="D49" s="721" t="s">
        <v>573</v>
      </c>
      <c r="E49" s="721">
        <f t="shared" ref="E49:E51" si="6">C49</f>
        <v>43008</v>
      </c>
      <c r="F49" s="995" t="s">
        <v>772</v>
      </c>
      <c r="G49" s="722"/>
      <c r="H49" s="71"/>
      <c r="I49" s="405"/>
      <c r="J49" s="405"/>
      <c r="K49" s="398"/>
      <c r="L49" s="405"/>
      <c r="M49" s="723">
        <v>10010706</v>
      </c>
      <c r="N49" s="725" t="s">
        <v>280</v>
      </c>
      <c r="O49" s="726" t="s">
        <v>580</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ht="15.75" customHeight="1">
      <c r="A50" s="327" t="str">
        <f>IF(B50&lt;&gt;"",IF(AND(B50='IN-TC'!$S$4,OR(TH!N50="1111",TH!O50="1111")),TH!D50,""),"")</f>
        <v/>
      </c>
      <c r="B50" s="62">
        <f t="shared" si="0"/>
        <v>9</v>
      </c>
      <c r="C50" s="721">
        <v>43008</v>
      </c>
      <c r="D50" s="721" t="s">
        <v>573</v>
      </c>
      <c r="E50" s="721">
        <f t="shared" si="6"/>
        <v>43008</v>
      </c>
      <c r="F50" s="995" t="s">
        <v>773</v>
      </c>
      <c r="G50" s="815"/>
      <c r="H50" s="70"/>
      <c r="I50" s="406"/>
      <c r="J50" s="406"/>
      <c r="K50" s="399"/>
      <c r="L50" s="406"/>
      <c r="M50" s="723">
        <v>3671166</v>
      </c>
      <c r="N50" s="727" t="s">
        <v>101</v>
      </c>
      <c r="O50" s="727" t="s">
        <v>581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ht="15.75" customHeight="1">
      <c r="A51" s="327" t="str">
        <f>IF(B51&lt;&gt;"",IF(AND(B51='IN-TC'!$S$4,OR(TH!N51="1111",TH!O51="1111")),TH!D51,""),"")</f>
        <v/>
      </c>
      <c r="B51" s="62">
        <f t="shared" si="0"/>
        <v>9</v>
      </c>
      <c r="C51" s="721">
        <v>43008</v>
      </c>
      <c r="D51" s="721" t="s">
        <v>573</v>
      </c>
      <c r="E51" s="721">
        <f t="shared" si="6"/>
        <v>43008</v>
      </c>
      <c r="F51" s="995" t="s">
        <v>773</v>
      </c>
      <c r="G51" s="722"/>
      <c r="H51" s="70"/>
      <c r="I51" s="406"/>
      <c r="J51" s="406"/>
      <c r="K51" s="399"/>
      <c r="L51" s="406"/>
      <c r="M51" s="723">
        <v>47513841</v>
      </c>
      <c r="N51" s="727" t="s">
        <v>280</v>
      </c>
      <c r="O51" s="727" t="s">
        <v>581</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ht="15.75" customHeight="1">
      <c r="A52" s="327" t="str">
        <f>IF(B52&lt;&gt;"",IF(AND(B52='IN-TC'!$S$4,OR(TH!N52="1111",TH!O52="1111")),TH!D52,""),"")</f>
        <v/>
      </c>
      <c r="B52" s="62">
        <f t="shared" si="0"/>
        <v>10</v>
      </c>
      <c r="C52" s="721">
        <v>43039</v>
      </c>
      <c r="D52" s="721" t="s">
        <v>573</v>
      </c>
      <c r="E52" s="721">
        <f t="shared" ref="E52:E54" si="7">C52</f>
        <v>43039</v>
      </c>
      <c r="F52" s="995" t="s">
        <v>772</v>
      </c>
      <c r="G52" s="722"/>
      <c r="H52" s="71"/>
      <c r="I52" s="405"/>
      <c r="J52" s="405"/>
      <c r="K52" s="398"/>
      <c r="L52" s="405"/>
      <c r="M52" s="723">
        <v>10010706</v>
      </c>
      <c r="N52" s="725" t="s">
        <v>280</v>
      </c>
      <c r="O52" s="726" t="s">
        <v>580</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ht="15.75" customHeight="1">
      <c r="A53" s="327" t="str">
        <f>IF(B53&lt;&gt;"",IF(AND(B53='IN-TC'!$S$4,OR(TH!N53="1111",TH!O53="1111")),TH!D53,""),"")</f>
        <v/>
      </c>
      <c r="B53" s="62">
        <f t="shared" si="0"/>
        <v>10</v>
      </c>
      <c r="C53" s="721">
        <v>43039</v>
      </c>
      <c r="D53" s="721" t="s">
        <v>573</v>
      </c>
      <c r="E53" s="721">
        <f t="shared" si="7"/>
        <v>43039</v>
      </c>
      <c r="F53" s="995" t="s">
        <v>773</v>
      </c>
      <c r="G53" s="815"/>
      <c r="H53" s="70"/>
      <c r="I53" s="406"/>
      <c r="J53" s="406"/>
      <c r="K53" s="399"/>
      <c r="L53" s="406"/>
      <c r="M53" s="723">
        <v>3671166</v>
      </c>
      <c r="N53" s="727" t="s">
        <v>101</v>
      </c>
      <c r="O53" s="727" t="s">
        <v>581</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ht="15.75" customHeight="1">
      <c r="A54" s="327" t="str">
        <f>IF(B54&lt;&gt;"",IF(AND(B54='IN-TC'!$S$4,OR(TH!N54="1111",TH!O54="1111")),TH!D54,""),"")</f>
        <v/>
      </c>
      <c r="B54" s="62">
        <f t="shared" si="0"/>
        <v>10</v>
      </c>
      <c r="C54" s="721">
        <v>43039</v>
      </c>
      <c r="D54" s="721" t="s">
        <v>573</v>
      </c>
      <c r="E54" s="721">
        <f t="shared" si="7"/>
        <v>43039</v>
      </c>
      <c r="F54" s="995" t="s">
        <v>773</v>
      </c>
      <c r="G54" s="722"/>
      <c r="H54" s="70"/>
      <c r="I54" s="406"/>
      <c r="J54" s="406"/>
      <c r="K54" s="399"/>
      <c r="L54" s="406"/>
      <c r="M54" s="723">
        <v>47513841</v>
      </c>
      <c r="N54" s="727" t="s">
        <v>280</v>
      </c>
      <c r="O54" s="727" t="s">
        <v>581</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ht="15.75" customHeight="1">
      <c r="A55" s="327" t="str">
        <f>IF(B55&lt;&gt;"",IF(AND(B55='IN-TC'!$S$4,OR(TH!N55="1111",TH!O55="1111")),TH!D55,""),"")</f>
        <v/>
      </c>
      <c r="B55" s="62">
        <f t="shared" si="0"/>
        <v>11</v>
      </c>
      <c r="C55" s="721">
        <v>43069</v>
      </c>
      <c r="D55" s="721" t="s">
        <v>573</v>
      </c>
      <c r="E55" s="721">
        <f t="shared" ref="E55:E57" si="8">C55</f>
        <v>43069</v>
      </c>
      <c r="F55" s="995" t="s">
        <v>772</v>
      </c>
      <c r="G55" s="722"/>
      <c r="H55" s="71"/>
      <c r="I55" s="405"/>
      <c r="J55" s="405"/>
      <c r="K55" s="398"/>
      <c r="L55" s="405"/>
      <c r="M55" s="723">
        <v>10010706</v>
      </c>
      <c r="N55" s="725" t="s">
        <v>280</v>
      </c>
      <c r="O55" s="726" t="s">
        <v>580</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ht="15.75" customHeight="1">
      <c r="A56" s="327" t="str">
        <f>IF(B56&lt;&gt;"",IF(AND(B56='IN-TC'!$S$4,OR(TH!N56="1111",TH!O56="1111")),TH!D56,""),"")</f>
        <v/>
      </c>
      <c r="B56" s="62">
        <f t="shared" si="0"/>
        <v>11</v>
      </c>
      <c r="C56" s="721">
        <v>43069</v>
      </c>
      <c r="D56" s="721" t="s">
        <v>573</v>
      </c>
      <c r="E56" s="721">
        <f t="shared" si="8"/>
        <v>43069</v>
      </c>
      <c r="F56" s="995" t="s">
        <v>773</v>
      </c>
      <c r="G56" s="815"/>
      <c r="H56" s="70"/>
      <c r="I56" s="406"/>
      <c r="J56" s="406"/>
      <c r="K56" s="399"/>
      <c r="L56" s="406"/>
      <c r="M56" s="723">
        <v>3671167</v>
      </c>
      <c r="N56" s="727" t="s">
        <v>101</v>
      </c>
      <c r="O56" s="727" t="s">
        <v>581</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ht="15.75" customHeight="1">
      <c r="A57" s="327" t="str">
        <f>IF(B57&lt;&gt;"",IF(AND(B57='IN-TC'!$S$4,OR(TH!N57="1111",TH!O57="1111")),TH!D57,""),"")</f>
        <v/>
      </c>
      <c r="B57" s="62">
        <f t="shared" si="0"/>
        <v>11</v>
      </c>
      <c r="C57" s="721">
        <v>43069</v>
      </c>
      <c r="D57" s="721" t="s">
        <v>573</v>
      </c>
      <c r="E57" s="721">
        <f t="shared" si="8"/>
        <v>43069</v>
      </c>
      <c r="F57" s="995" t="s">
        <v>773</v>
      </c>
      <c r="G57" s="722"/>
      <c r="H57" s="70"/>
      <c r="I57" s="406"/>
      <c r="J57" s="406"/>
      <c r="K57" s="399"/>
      <c r="L57" s="406"/>
      <c r="M57" s="723">
        <v>47513842</v>
      </c>
      <c r="N57" s="727" t="s">
        <v>280</v>
      </c>
      <c r="O57" s="727" t="s">
        <v>581</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ht="15.75" customHeight="1">
      <c r="A58" s="327" t="str">
        <f>IF(B58&lt;&gt;"",IF(AND(B58='IN-TC'!$S$4,OR(TH!N58="1111",TH!O58="1111")),TH!D58,""),"")</f>
        <v/>
      </c>
      <c r="B58" s="62">
        <f t="shared" ref="B58:B66" si="9">IF(C58&lt;&gt;"",MONTH(C58),"")</f>
        <v>12</v>
      </c>
      <c r="C58" s="721">
        <v>43100</v>
      </c>
      <c r="D58" s="721" t="s">
        <v>573</v>
      </c>
      <c r="E58" s="721">
        <f t="shared" ref="E58:E60" si="10">C58</f>
        <v>43100</v>
      </c>
      <c r="F58" s="995" t="s">
        <v>772</v>
      </c>
      <c r="G58" s="722"/>
      <c r="H58" s="71"/>
      <c r="I58" s="405"/>
      <c r="J58" s="405"/>
      <c r="K58" s="398"/>
      <c r="L58" s="405"/>
      <c r="M58" s="723">
        <v>10010707</v>
      </c>
      <c r="N58" s="725" t="s">
        <v>280</v>
      </c>
      <c r="O58" s="726" t="s">
        <v>580</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ht="15.75" customHeight="1">
      <c r="A59" s="327" t="str">
        <f>IF(B59&lt;&gt;"",IF(AND(B59='IN-TC'!$S$4,OR(TH!N59="1111",TH!O59="1111")),TH!D59,""),"")</f>
        <v/>
      </c>
      <c r="B59" s="62">
        <f t="shared" si="9"/>
        <v>12</v>
      </c>
      <c r="C59" s="721">
        <v>43100</v>
      </c>
      <c r="D59" s="721" t="s">
        <v>573</v>
      </c>
      <c r="E59" s="721">
        <f t="shared" si="10"/>
        <v>43100</v>
      </c>
      <c r="F59" s="995" t="s">
        <v>773</v>
      </c>
      <c r="G59" s="815"/>
      <c r="H59" s="70"/>
      <c r="I59" s="406"/>
      <c r="J59" s="406"/>
      <c r="K59" s="399"/>
      <c r="L59" s="406"/>
      <c r="M59" s="723">
        <v>3671167</v>
      </c>
      <c r="N59" s="727" t="s">
        <v>101</v>
      </c>
      <c r="O59" s="727" t="s">
        <v>581</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ht="15.75" customHeight="1">
      <c r="A60" s="327" t="str">
        <f>IF(B60&lt;&gt;"",IF(AND(B60='IN-TC'!$S$4,OR(TH!N60="1111",TH!O60="1111")),TH!D60,""),"")</f>
        <v/>
      </c>
      <c r="B60" s="62">
        <f t="shared" si="9"/>
        <v>12</v>
      </c>
      <c r="C60" s="721">
        <v>43100</v>
      </c>
      <c r="D60" s="721" t="s">
        <v>573</v>
      </c>
      <c r="E60" s="721">
        <f t="shared" si="10"/>
        <v>43100</v>
      </c>
      <c r="F60" s="995" t="s">
        <v>773</v>
      </c>
      <c r="G60" s="722"/>
      <c r="H60" s="70"/>
      <c r="I60" s="406"/>
      <c r="J60" s="406"/>
      <c r="K60" s="399"/>
      <c r="L60" s="406"/>
      <c r="M60" s="723">
        <v>47513842</v>
      </c>
      <c r="N60" s="727" t="s">
        <v>280</v>
      </c>
      <c r="O60" s="727" t="s">
        <v>581</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ht="15.75" customHeight="1">
      <c r="A61" s="998" t="str">
        <f>IF(B61&lt;&gt;"",IF(AND(B61='IN-TC'!$S$4,OR(TH!N61="1111",TH!O61="1111")),TH!D61,""),"")</f>
        <v/>
      </c>
      <c r="B61" s="831">
        <f t="shared" ref="B61:B64" si="11">IF(C61&lt;&gt;"",MONTH(C61),"")</f>
        <v>12</v>
      </c>
      <c r="C61" s="269">
        <v>43100</v>
      </c>
      <c r="D61" s="269" t="s">
        <v>573</v>
      </c>
      <c r="E61" s="269">
        <v>42766</v>
      </c>
      <c r="F61" s="1110" t="s">
        <v>1217</v>
      </c>
      <c r="G61" s="1111"/>
      <c r="H61" s="79"/>
      <c r="I61" s="403"/>
      <c r="J61" s="403"/>
      <c r="K61" s="396"/>
      <c r="L61" s="403"/>
      <c r="M61" s="1053">
        <v>4165909</v>
      </c>
      <c r="N61" s="1112" t="s">
        <v>101</v>
      </c>
      <c r="O61" s="1112" t="s">
        <v>278</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ht="15.75" customHeight="1">
      <c r="A62" s="998" t="str">
        <f>IF(B62&lt;&gt;"",IF(AND(B62='IN-TC'!$S$4,OR(TH!N62="1111",TH!O62="1111")),TH!D62,""),"")</f>
        <v/>
      </c>
      <c r="B62" s="831">
        <f t="shared" si="11"/>
        <v>12</v>
      </c>
      <c r="C62" s="269">
        <v>43100</v>
      </c>
      <c r="D62" s="269" t="s">
        <v>573</v>
      </c>
      <c r="E62" s="269">
        <v>42794</v>
      </c>
      <c r="F62" s="1110" t="s">
        <v>1217</v>
      </c>
      <c r="G62" s="1111"/>
      <c r="H62" s="79"/>
      <c r="I62" s="403"/>
      <c r="J62" s="403"/>
      <c r="K62" s="396"/>
      <c r="L62" s="403"/>
      <c r="M62" s="1053">
        <v>4165909</v>
      </c>
      <c r="N62" s="1112" t="s">
        <v>101</v>
      </c>
      <c r="O62" s="1112" t="s">
        <v>278</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ht="15.75" customHeight="1">
      <c r="A63" s="998" t="str">
        <f>IF(B63&lt;&gt;"",IF(AND(B63='IN-TC'!$S$4,OR(TH!N63="1111",TH!O63="1111")),TH!D63,""),"")</f>
        <v/>
      </c>
      <c r="B63" s="831">
        <f t="shared" si="11"/>
        <v>12</v>
      </c>
      <c r="C63" s="269">
        <v>43100</v>
      </c>
      <c r="D63" s="269" t="s">
        <v>573</v>
      </c>
      <c r="E63" s="269">
        <v>42825</v>
      </c>
      <c r="F63" s="1110" t="s">
        <v>1217</v>
      </c>
      <c r="G63" s="1111"/>
      <c r="H63" s="79"/>
      <c r="I63" s="403"/>
      <c r="J63" s="403"/>
      <c r="K63" s="396"/>
      <c r="L63" s="403"/>
      <c r="M63" s="1053">
        <v>4165909</v>
      </c>
      <c r="N63" s="1112" t="s">
        <v>101</v>
      </c>
      <c r="O63" s="1112" t="s">
        <v>278</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ht="15.75" customHeight="1">
      <c r="A64" s="998" t="str">
        <f>IF(B64&lt;&gt;"",IF(AND(B64='IN-TC'!$S$4,OR(TH!N64="1111",TH!O64="1111")),TH!D64,""),"")</f>
        <v/>
      </c>
      <c r="B64" s="831">
        <f t="shared" si="11"/>
        <v>12</v>
      </c>
      <c r="C64" s="269">
        <v>43100</v>
      </c>
      <c r="D64" s="269" t="s">
        <v>573</v>
      </c>
      <c r="E64" s="269">
        <v>42855</v>
      </c>
      <c r="F64" s="1110" t="s">
        <v>1217</v>
      </c>
      <c r="G64" s="1111"/>
      <c r="H64" s="79"/>
      <c r="I64" s="403"/>
      <c r="J64" s="403"/>
      <c r="K64" s="396"/>
      <c r="L64" s="403"/>
      <c r="M64" s="1053">
        <v>4165909</v>
      </c>
      <c r="N64" s="1112" t="s">
        <v>101</v>
      </c>
      <c r="O64" s="1112" t="s">
        <v>278</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ht="15.75" customHeight="1">
      <c r="A65" s="998" t="str">
        <f>IF(B65&lt;&gt;"",IF(AND(B65='IN-TC'!$S$4,OR(TH!N65="1111",TH!O65="1111")),TH!D65,""),"")</f>
        <v/>
      </c>
      <c r="B65" s="831">
        <f t="shared" si="9"/>
        <v>12</v>
      </c>
      <c r="C65" s="269">
        <v>43100</v>
      </c>
      <c r="D65" s="269" t="s">
        <v>573</v>
      </c>
      <c r="E65" s="269">
        <v>42886</v>
      </c>
      <c r="F65" s="1110" t="s">
        <v>1217</v>
      </c>
      <c r="G65" s="1111"/>
      <c r="H65" s="79"/>
      <c r="I65" s="403"/>
      <c r="J65" s="403"/>
      <c r="K65" s="396"/>
      <c r="L65" s="403"/>
      <c r="M65" s="1053">
        <v>4165909</v>
      </c>
      <c r="N65" s="1112" t="s">
        <v>101</v>
      </c>
      <c r="O65" s="1112" t="s">
        <v>278</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ht="15.75" customHeight="1">
      <c r="A66" s="998" t="str">
        <f>IF(B66&lt;&gt;"",IF(AND(B66='IN-TC'!$S$4,OR(TH!N66="1111",TH!O66="1111")),TH!D66,""),"")</f>
        <v/>
      </c>
      <c r="B66" s="831">
        <f t="shared" si="9"/>
        <v>12</v>
      </c>
      <c r="C66" s="269">
        <v>43100</v>
      </c>
      <c r="D66" s="269" t="s">
        <v>573</v>
      </c>
      <c r="E66" s="269">
        <v>42916</v>
      </c>
      <c r="F66" s="1110" t="s">
        <v>1217</v>
      </c>
      <c r="G66" s="1111"/>
      <c r="H66" s="79"/>
      <c r="I66" s="403"/>
      <c r="J66" s="403"/>
      <c r="K66" s="396"/>
      <c r="L66" s="403"/>
      <c r="M66" s="1053">
        <v>4165909</v>
      </c>
      <c r="N66" s="1112" t="s">
        <v>101</v>
      </c>
      <c r="O66" s="1112" t="s">
        <v>278</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ht="15.75" customHeight="1">
      <c r="A67" s="998" t="str">
        <f>IF(B67&lt;&gt;"",IF(AND(B67='IN-TC'!$S$4,OR(TH!N67="1111",TH!O67="1111")),TH!D67,""),"")</f>
        <v/>
      </c>
      <c r="B67" s="831">
        <f t="shared" ref="B67" si="12">IF(C67&lt;&gt;"",MONTH(C67),"")</f>
        <v>12</v>
      </c>
      <c r="C67" s="269">
        <v>43100</v>
      </c>
      <c r="D67" s="269" t="s">
        <v>573</v>
      </c>
      <c r="E67" s="269">
        <v>42947</v>
      </c>
      <c r="F67" s="1110" t="s">
        <v>1217</v>
      </c>
      <c r="G67" s="1111"/>
      <c r="H67" s="79"/>
      <c r="I67" s="403"/>
      <c r="J67" s="403"/>
      <c r="K67" s="396"/>
      <c r="L67" s="403"/>
      <c r="M67" s="1053">
        <v>4165909</v>
      </c>
      <c r="N67" s="1112" t="s">
        <v>101</v>
      </c>
      <c r="O67" s="1112" t="s">
        <v>278</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ht="15.75" customHeight="1">
      <c r="A68" s="998" t="str">
        <f>IF(B68&lt;&gt;"",IF(AND(B68='IN-TC'!$S$4,OR(TH!N68="1111",TH!O68="1111")),TH!D68,""),"")</f>
        <v/>
      </c>
      <c r="B68" s="831">
        <f t="shared" ref="B68:B69" si="13">IF(C68&lt;&gt;"",MONTH(C68),"")</f>
        <v>12</v>
      </c>
      <c r="C68" s="269">
        <v>43100</v>
      </c>
      <c r="D68" s="269" t="s">
        <v>573</v>
      </c>
      <c r="E68" s="269">
        <v>42978</v>
      </c>
      <c r="F68" s="1110" t="s">
        <v>1217</v>
      </c>
      <c r="G68" s="1111"/>
      <c r="H68" s="79"/>
      <c r="I68" s="403"/>
      <c r="J68" s="403"/>
      <c r="K68" s="396"/>
      <c r="L68" s="403"/>
      <c r="M68" s="1053">
        <v>4165909</v>
      </c>
      <c r="N68" s="1112" t="s">
        <v>101</v>
      </c>
      <c r="O68" s="1112" t="s">
        <v>278</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ht="15.75" customHeight="1">
      <c r="A69" s="998" t="str">
        <f>IF(B69&lt;&gt;"",IF(AND(B69='IN-TC'!$S$4,OR(TH!N69="1111",TH!O69="1111")),TH!D69,""),"")</f>
        <v/>
      </c>
      <c r="B69" s="831">
        <f t="shared" si="13"/>
        <v>12</v>
      </c>
      <c r="C69" s="269">
        <v>43100</v>
      </c>
      <c r="D69" s="269" t="s">
        <v>573</v>
      </c>
      <c r="E69" s="269">
        <v>43008</v>
      </c>
      <c r="F69" s="1110" t="s">
        <v>1217</v>
      </c>
      <c r="G69" s="1111"/>
      <c r="H69" s="79"/>
      <c r="I69" s="403"/>
      <c r="J69" s="403"/>
      <c r="K69" s="396"/>
      <c r="L69" s="403"/>
      <c r="M69" s="1053">
        <v>4165909</v>
      </c>
      <c r="N69" s="1112" t="s">
        <v>101</v>
      </c>
      <c r="O69" s="1112" t="s">
        <v>278</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ht="15.75" customHeight="1">
      <c r="A70" s="998" t="str">
        <f>IF(B70&lt;&gt;"",IF(AND(B70='IN-TC'!$S$4,OR(TH!N70="1111",TH!O70="1111")),TH!D70,""),"")</f>
        <v/>
      </c>
      <c r="B70" s="831">
        <f t="shared" ref="B70" si="14">IF(C70&lt;&gt;"",MONTH(C70),"")</f>
        <v>12</v>
      </c>
      <c r="C70" s="269">
        <v>43100</v>
      </c>
      <c r="D70" s="269" t="s">
        <v>573</v>
      </c>
      <c r="E70" s="269">
        <v>43039</v>
      </c>
      <c r="F70" s="1110" t="s">
        <v>1217</v>
      </c>
      <c r="G70" s="1111"/>
      <c r="H70" s="79"/>
      <c r="I70" s="403"/>
      <c r="J70" s="403"/>
      <c r="K70" s="396"/>
      <c r="L70" s="403"/>
      <c r="M70" s="1053">
        <v>4165909</v>
      </c>
      <c r="N70" s="1112" t="s">
        <v>101</v>
      </c>
      <c r="O70" s="1112" t="s">
        <v>278</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ht="15.75" customHeight="1">
      <c r="A71" s="998" t="str">
        <f>IF(B71&lt;&gt;"",IF(AND(B71='IN-TC'!$S$4,OR(TH!N71="1111",TH!O71="1111")),TH!D71,""),"")</f>
        <v/>
      </c>
      <c r="B71" s="831">
        <f t="shared" ref="B71" si="15">IF(C71&lt;&gt;"",MONTH(C71),"")</f>
        <v>12</v>
      </c>
      <c r="C71" s="269">
        <v>43100</v>
      </c>
      <c r="D71" s="269" t="s">
        <v>573</v>
      </c>
      <c r="E71" s="269">
        <v>43069</v>
      </c>
      <c r="F71" s="1110" t="s">
        <v>1217</v>
      </c>
      <c r="G71" s="1111"/>
      <c r="H71" s="79"/>
      <c r="I71" s="403"/>
      <c r="J71" s="403"/>
      <c r="K71" s="396"/>
      <c r="L71" s="403"/>
      <c r="M71" s="1053">
        <v>4165909</v>
      </c>
      <c r="N71" s="1112" t="s">
        <v>101</v>
      </c>
      <c r="O71" s="1112" t="s">
        <v>278</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ht="15.75" customHeight="1">
      <c r="A72" s="998" t="str">
        <f>IF(B72&lt;&gt;"",IF(AND(B72='IN-TC'!$S$4,OR(TH!N72="1111",TH!O72="1111")),TH!D72,""),"")</f>
        <v/>
      </c>
      <c r="B72" s="831">
        <f t="shared" ref="B72" si="16">IF(C72&lt;&gt;"",MONTH(C72),"")</f>
        <v>12</v>
      </c>
      <c r="C72" s="269">
        <v>43100</v>
      </c>
      <c r="D72" s="269" t="s">
        <v>573</v>
      </c>
      <c r="E72" s="269">
        <v>43100</v>
      </c>
      <c r="F72" s="1110" t="s">
        <v>1217</v>
      </c>
      <c r="G72" s="1111"/>
      <c r="H72" s="79"/>
      <c r="I72" s="403"/>
      <c r="J72" s="403"/>
      <c r="K72" s="396"/>
      <c r="L72" s="403"/>
      <c r="M72" s="1053">
        <v>4165910</v>
      </c>
      <c r="N72" s="1112" t="s">
        <v>101</v>
      </c>
      <c r="O72" s="1112" t="s">
        <v>278</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ht="15.75" customHeight="1">
      <c r="A73" s="327" t="str">
        <f>IF(B73&lt;&gt;"",IF(AND(B73='IN-TC'!$S$4,OR(TH!N73="1111",TH!O73="1111")),TH!D73,""),"")</f>
        <v/>
      </c>
      <c r="B73" s="62">
        <f t="shared" si="0"/>
        <v>1</v>
      </c>
      <c r="C73" s="724">
        <v>42766</v>
      </c>
      <c r="D73" s="724" t="s">
        <v>573</v>
      </c>
      <c r="E73" s="724">
        <f t="shared" si="5"/>
        <v>42766</v>
      </c>
      <c r="F73" s="996" t="s">
        <v>780</v>
      </c>
      <c r="G73" s="267">
        <v>41217000</v>
      </c>
      <c r="H73" s="311"/>
      <c r="I73" s="405"/>
      <c r="J73" s="405"/>
      <c r="K73" s="398"/>
      <c r="L73" s="405"/>
      <c r="M73" s="728">
        <v>41726550</v>
      </c>
      <c r="N73" s="729" t="s">
        <v>582</v>
      </c>
      <c r="O73" s="729" t="s">
        <v>583</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ht="15.75" customHeight="1">
      <c r="A74" s="327" t="str">
        <f>IF(B74&lt;&gt;"",IF(AND(B74='IN-TC'!$S$4,OR(TH!N74="1111",TH!O74="1111")),TH!D74,""),"")</f>
        <v/>
      </c>
      <c r="B74" s="62">
        <f t="shared" si="0"/>
        <v>1</v>
      </c>
      <c r="C74" s="724">
        <v>42766</v>
      </c>
      <c r="D74" s="724" t="s">
        <v>573</v>
      </c>
      <c r="E74" s="724">
        <f t="shared" si="5"/>
        <v>42766</v>
      </c>
      <c r="F74" s="996" t="s">
        <v>781</v>
      </c>
      <c r="G74" s="267">
        <v>58344000</v>
      </c>
      <c r="H74" s="311"/>
      <c r="I74" s="405"/>
      <c r="J74" s="405"/>
      <c r="K74" s="398"/>
      <c r="L74" s="405"/>
      <c r="M74" s="728">
        <v>62181000</v>
      </c>
      <c r="N74" s="729" t="s">
        <v>280</v>
      </c>
      <c r="O74" s="729" t="s">
        <v>583</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ht="15.75" customHeight="1">
      <c r="A75" s="327" t="str">
        <f>IF(B75&lt;&gt;"",IF(AND(B75='IN-TC'!$S$4,OR(TH!N75="1111",TH!O75="1111")),TH!D75,""),"")</f>
        <v/>
      </c>
      <c r="B75" s="62">
        <f t="shared" si="0"/>
        <v>1</v>
      </c>
      <c r="C75" s="724">
        <v>42766</v>
      </c>
      <c r="D75" s="724" t="s">
        <v>573</v>
      </c>
      <c r="E75" s="724">
        <f t="shared" si="5"/>
        <v>42766</v>
      </c>
      <c r="F75" s="996" t="s">
        <v>782</v>
      </c>
      <c r="G75" s="813" t="s">
        <v>574</v>
      </c>
      <c r="H75" s="311"/>
      <c r="I75" s="405"/>
      <c r="J75" s="405"/>
      <c r="K75" s="398"/>
      <c r="L75" s="405"/>
      <c r="M75" s="728">
        <f>ROUND(G73*$G75,0)</f>
        <v>3297360</v>
      </c>
      <c r="N75" s="729" t="s">
        <v>583</v>
      </c>
      <c r="O75" s="729" t="s">
        <v>584</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ht="15.75" customHeight="1">
      <c r="A76" s="327" t="str">
        <f>IF(B76&lt;&gt;"",IF(AND(B76='IN-TC'!$S$4,OR(TH!N76="1111",TH!O76="1111")),TH!D76,""),"")</f>
        <v/>
      </c>
      <c r="B76" s="62">
        <f t="shared" si="0"/>
        <v>1</v>
      </c>
      <c r="C76" s="724">
        <v>42766</v>
      </c>
      <c r="D76" s="724" t="s">
        <v>573</v>
      </c>
      <c r="E76" s="724">
        <f t="shared" si="5"/>
        <v>42766</v>
      </c>
      <c r="F76" s="996" t="s">
        <v>783</v>
      </c>
      <c r="G76" s="267"/>
      <c r="H76" s="311"/>
      <c r="I76" s="405"/>
      <c r="J76" s="405"/>
      <c r="K76" s="398"/>
      <c r="L76" s="405"/>
      <c r="M76" s="728">
        <f>ROUND(G74*$G75,0)</f>
        <v>4667520</v>
      </c>
      <c r="N76" s="730" t="s">
        <v>583</v>
      </c>
      <c r="O76" s="731" t="s">
        <v>584</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ht="15.75" customHeight="1">
      <c r="A77" s="327" t="str">
        <f>IF(B77&lt;&gt;"",IF(AND(B77='IN-TC'!$S$4,OR(TH!N77="1111",TH!O77="1111")),TH!D77,""),"")</f>
        <v/>
      </c>
      <c r="B77" s="62">
        <f t="shared" si="0"/>
        <v>1</v>
      </c>
      <c r="C77" s="724">
        <v>42766</v>
      </c>
      <c r="D77" s="724" t="s">
        <v>573</v>
      </c>
      <c r="E77" s="724">
        <f t="shared" si="5"/>
        <v>42766</v>
      </c>
      <c r="F77" s="996" t="s">
        <v>784</v>
      </c>
      <c r="G77" s="813" t="s">
        <v>575</v>
      </c>
      <c r="H77" s="311"/>
      <c r="I77" s="405"/>
      <c r="J77" s="405"/>
      <c r="K77" s="398"/>
      <c r="L77" s="405"/>
      <c r="M77" s="728">
        <f>ROUND(G73*$G77,0)</f>
        <v>7419060</v>
      </c>
      <c r="N77" s="729" t="s">
        <v>582</v>
      </c>
      <c r="O77" s="729" t="s">
        <v>584</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ht="15.75" customHeight="1">
      <c r="A78" s="327" t="str">
        <f>IF(B78&lt;&gt;"",IF(AND(B78='IN-TC'!$S$4,OR(TH!N78="1111",TH!O78="1111")),TH!D78,""),"")</f>
        <v/>
      </c>
      <c r="B78" s="62">
        <f t="shared" si="0"/>
        <v>1</v>
      </c>
      <c r="C78" s="724">
        <v>42766</v>
      </c>
      <c r="D78" s="724" t="s">
        <v>573</v>
      </c>
      <c r="E78" s="724">
        <f t="shared" si="5"/>
        <v>42766</v>
      </c>
      <c r="F78" s="996" t="s">
        <v>785</v>
      </c>
      <c r="G78" s="267"/>
      <c r="H78" s="311"/>
      <c r="I78" s="405"/>
      <c r="J78" s="405"/>
      <c r="K78" s="398"/>
      <c r="L78" s="405"/>
      <c r="M78" s="728">
        <f>G74*$G77</f>
        <v>10501920</v>
      </c>
      <c r="N78" s="729" t="s">
        <v>280</v>
      </c>
      <c r="O78" s="729" t="s">
        <v>584</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ht="15.75" customHeight="1">
      <c r="A79" s="327" t="str">
        <f>IF(B79&lt;&gt;"",IF(AND(B79='IN-TC'!$S$4,OR(TH!N79="1111",TH!O79="1111")),TH!D79,""),"")</f>
        <v/>
      </c>
      <c r="B79" s="62">
        <f t="shared" si="0"/>
        <v>1</v>
      </c>
      <c r="C79" s="724">
        <v>42766</v>
      </c>
      <c r="D79" s="724" t="s">
        <v>573</v>
      </c>
      <c r="E79" s="724">
        <f t="shared" si="5"/>
        <v>42766</v>
      </c>
      <c r="F79" s="996" t="s">
        <v>786</v>
      </c>
      <c r="G79" s="813" t="s">
        <v>576</v>
      </c>
      <c r="H79" s="313"/>
      <c r="I79" s="403"/>
      <c r="J79" s="403"/>
      <c r="K79" s="396"/>
      <c r="L79" s="403"/>
      <c r="M79" s="728">
        <f>ROUND(G73*$G79,0)</f>
        <v>618255</v>
      </c>
      <c r="N79" s="729" t="s">
        <v>583</v>
      </c>
      <c r="O79" s="729" t="s">
        <v>585</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ht="15.75" customHeight="1">
      <c r="A80" s="327" t="str">
        <f>IF(B80&lt;&gt;"",IF(AND(B80='IN-TC'!$S$4,OR(TH!N80="1111",TH!O80="1111")),TH!D80,""),"")</f>
        <v/>
      </c>
      <c r="B80" s="62">
        <f t="shared" si="0"/>
        <v>1</v>
      </c>
      <c r="C80" s="724">
        <v>42766</v>
      </c>
      <c r="D80" s="724" t="s">
        <v>573</v>
      </c>
      <c r="E80" s="724">
        <f t="shared" si="5"/>
        <v>42766</v>
      </c>
      <c r="F80" s="996" t="s">
        <v>787</v>
      </c>
      <c r="G80" s="267"/>
      <c r="H80" s="313"/>
      <c r="I80" s="403"/>
      <c r="J80" s="403"/>
      <c r="K80" s="396"/>
      <c r="L80" s="403"/>
      <c r="M80" s="728">
        <f>ROUND(G74*$G79,0)</f>
        <v>875160</v>
      </c>
      <c r="N80" s="729" t="s">
        <v>583</v>
      </c>
      <c r="O80" s="729" t="s">
        <v>585</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ht="15.75" customHeight="1">
      <c r="A81" s="327" t="str">
        <f>IF(B81&lt;&gt;"",IF(AND(B81='IN-TC'!$S$4,OR(TH!N81="1111",TH!O81="1111")),TH!D81,""),"")</f>
        <v/>
      </c>
      <c r="B81" s="62">
        <f t="shared" si="0"/>
        <v>1</v>
      </c>
      <c r="C81" s="724">
        <v>42766</v>
      </c>
      <c r="D81" s="724" t="s">
        <v>573</v>
      </c>
      <c r="E81" s="724">
        <f t="shared" ref="E81:E112" si="17">C81</f>
        <v>42766</v>
      </c>
      <c r="F81" s="996" t="s">
        <v>788</v>
      </c>
      <c r="G81" s="813" t="s">
        <v>577</v>
      </c>
      <c r="H81" s="311"/>
      <c r="I81" s="405"/>
      <c r="J81" s="405"/>
      <c r="K81" s="398"/>
      <c r="L81" s="405"/>
      <c r="M81" s="728">
        <f>ROUND(G73*$G81,0)</f>
        <v>1236510</v>
      </c>
      <c r="N81" s="729" t="s">
        <v>582</v>
      </c>
      <c r="O81" s="729" t="s">
        <v>585</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ht="15.75" customHeight="1">
      <c r="A82" s="327" t="str">
        <f>IF(B82&lt;&gt;"",IF(AND(B82='IN-TC'!$S$4,OR(TH!N82="1111",TH!O82="1111")),TH!D82,""),"")</f>
        <v/>
      </c>
      <c r="B82" s="62">
        <f t="shared" si="0"/>
        <v>1</v>
      </c>
      <c r="C82" s="724">
        <v>42766</v>
      </c>
      <c r="D82" s="724" t="s">
        <v>573</v>
      </c>
      <c r="E82" s="724">
        <f t="shared" si="17"/>
        <v>42766</v>
      </c>
      <c r="F82" s="996" t="s">
        <v>789</v>
      </c>
      <c r="G82" s="267"/>
      <c r="H82" s="311"/>
      <c r="I82" s="405"/>
      <c r="J82" s="405"/>
      <c r="K82" s="398"/>
      <c r="L82" s="405"/>
      <c r="M82" s="728">
        <f>ROUND(G74*$G81,0)</f>
        <v>1750320</v>
      </c>
      <c r="N82" s="729" t="s">
        <v>280</v>
      </c>
      <c r="O82" s="729" t="s">
        <v>585</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ht="15.75" customHeight="1">
      <c r="A83" s="327" t="str">
        <f>IF(B83&lt;&gt;"",IF(AND(B83='IN-TC'!$S$4,OR(TH!N83="1111",TH!O83="1111")),TH!D83,""),"")</f>
        <v/>
      </c>
      <c r="B83" s="62">
        <f t="shared" si="0"/>
        <v>1</v>
      </c>
      <c r="C83" s="724">
        <v>42766</v>
      </c>
      <c r="D83" s="724" t="s">
        <v>573</v>
      </c>
      <c r="E83" s="724">
        <f t="shared" si="17"/>
        <v>42766</v>
      </c>
      <c r="F83" s="996" t="s">
        <v>790</v>
      </c>
      <c r="G83" s="813" t="s">
        <v>578</v>
      </c>
      <c r="H83" s="311"/>
      <c r="I83" s="405"/>
      <c r="J83" s="405"/>
      <c r="K83" s="398"/>
      <c r="L83" s="405"/>
      <c r="M83" s="728">
        <f>ROUND(G73*$G83,0)</f>
        <v>412170</v>
      </c>
      <c r="N83" s="729" t="s">
        <v>583</v>
      </c>
      <c r="O83" s="729" t="s">
        <v>586</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ht="15.75" customHeight="1">
      <c r="A84" s="327" t="str">
        <f>IF(B84&lt;&gt;"",IF(AND(B84='IN-TC'!$S$4,OR(TH!N84="1111",TH!O84="1111")),TH!D84,""),"")</f>
        <v/>
      </c>
      <c r="B84" s="62">
        <f t="shared" si="0"/>
        <v>1</v>
      </c>
      <c r="C84" s="724">
        <v>42766</v>
      </c>
      <c r="D84" s="724" t="s">
        <v>573</v>
      </c>
      <c r="E84" s="724">
        <f t="shared" si="17"/>
        <v>42766</v>
      </c>
      <c r="F84" s="996" t="s">
        <v>791</v>
      </c>
      <c r="G84" s="267"/>
      <c r="H84" s="311"/>
      <c r="I84" s="405"/>
      <c r="J84" s="405"/>
      <c r="K84" s="398"/>
      <c r="L84" s="405"/>
      <c r="M84" s="728">
        <f>ROUND(G74*$G83,0)</f>
        <v>583440</v>
      </c>
      <c r="N84" s="729" t="s">
        <v>583</v>
      </c>
      <c r="O84" s="729" t="s">
        <v>586</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ht="15.75" customHeight="1">
      <c r="A85" s="327" t="str">
        <f>IF(B85&lt;&gt;"",IF(AND(B85='IN-TC'!$S$4,OR(TH!N85="1111",TH!O85="1111")),TH!D85,""),"")</f>
        <v/>
      </c>
      <c r="B85" s="62">
        <f t="shared" si="0"/>
        <v>1</v>
      </c>
      <c r="C85" s="724">
        <v>42766</v>
      </c>
      <c r="D85" s="724" t="s">
        <v>573</v>
      </c>
      <c r="E85" s="724">
        <f t="shared" si="17"/>
        <v>42766</v>
      </c>
      <c r="F85" s="996" t="s">
        <v>792</v>
      </c>
      <c r="G85" s="813" t="s">
        <v>578</v>
      </c>
      <c r="H85" s="952"/>
      <c r="I85" s="406"/>
      <c r="J85" s="406"/>
      <c r="K85" s="399"/>
      <c r="L85" s="406"/>
      <c r="M85" s="728">
        <f>M83</f>
        <v>412170</v>
      </c>
      <c r="N85" s="729" t="s">
        <v>582</v>
      </c>
      <c r="O85" s="729" t="s">
        <v>586</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ht="15.75" customHeight="1">
      <c r="A86" s="327" t="str">
        <f>IF(B86&lt;&gt;"",IF(AND(B86='IN-TC'!$S$4,OR(TH!N86="1111",TH!O86="1111")),TH!D86,""),"")</f>
        <v/>
      </c>
      <c r="B86" s="62">
        <f t="shared" si="0"/>
        <v>1</v>
      </c>
      <c r="C86" s="724">
        <v>42766</v>
      </c>
      <c r="D86" s="724" t="s">
        <v>573</v>
      </c>
      <c r="E86" s="724">
        <f t="shared" si="17"/>
        <v>42766</v>
      </c>
      <c r="F86" s="996" t="s">
        <v>793</v>
      </c>
      <c r="G86" s="267"/>
      <c r="H86" s="311"/>
      <c r="I86" s="405"/>
      <c r="J86" s="405"/>
      <c r="K86" s="398"/>
      <c r="L86" s="405"/>
      <c r="M86" s="728">
        <f>M84</f>
        <v>583440</v>
      </c>
      <c r="N86" s="729" t="s">
        <v>280</v>
      </c>
      <c r="O86" s="729" t="s">
        <v>586</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ht="15.75" customHeight="1">
      <c r="A87" s="327" t="str">
        <f>IF(B87&lt;&gt;"",IF(AND(B87='IN-TC'!$S$4,OR(TH!N87="1111",TH!O87="1111")),TH!D87,""),"")</f>
        <v/>
      </c>
      <c r="B87" s="62">
        <f t="shared" si="0"/>
        <v>2</v>
      </c>
      <c r="C87" s="724">
        <v>42794</v>
      </c>
      <c r="D87" s="724" t="s">
        <v>573</v>
      </c>
      <c r="E87" s="724">
        <f t="shared" si="17"/>
        <v>42794</v>
      </c>
      <c r="F87" s="996" t="s">
        <v>780</v>
      </c>
      <c r="G87" s="267"/>
      <c r="H87" s="311"/>
      <c r="I87" s="405"/>
      <c r="J87" s="405"/>
      <c r="K87" s="398"/>
      <c r="L87" s="405"/>
      <c r="M87" s="728"/>
      <c r="N87" s="729" t="s">
        <v>582</v>
      </c>
      <c r="O87" s="729" t="s">
        <v>583</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ht="15.75" customHeight="1">
      <c r="A88" s="327" t="str">
        <f>IF(B88&lt;&gt;"",IF(AND(B88='IN-TC'!$S$4,OR(TH!N88="1111",TH!O88="1111")),TH!D88,""),"")</f>
        <v/>
      </c>
      <c r="B88" s="62">
        <f t="shared" si="0"/>
        <v>2</v>
      </c>
      <c r="C88" s="724">
        <v>42794</v>
      </c>
      <c r="D88" s="724" t="s">
        <v>573</v>
      </c>
      <c r="E88" s="724">
        <f t="shared" si="17"/>
        <v>42794</v>
      </c>
      <c r="F88" s="996" t="s">
        <v>781</v>
      </c>
      <c r="G88" s="267"/>
      <c r="H88" s="311"/>
      <c r="I88" s="405"/>
      <c r="J88" s="405"/>
      <c r="K88" s="398"/>
      <c r="L88" s="405"/>
      <c r="M88" s="728"/>
      <c r="N88" s="729" t="s">
        <v>280</v>
      </c>
      <c r="O88" s="729" t="s">
        <v>583</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ht="15.75" customHeight="1">
      <c r="A89" s="327" t="str">
        <f>IF(B89&lt;&gt;"",IF(AND(B89='IN-TC'!$S$4,OR(TH!N89="1111",TH!O89="1111")),TH!D89,""),"")</f>
        <v/>
      </c>
      <c r="B89" s="62">
        <f t="shared" si="0"/>
        <v>2</v>
      </c>
      <c r="C89" s="724">
        <v>42794</v>
      </c>
      <c r="D89" s="724" t="s">
        <v>573</v>
      </c>
      <c r="E89" s="724">
        <f t="shared" si="17"/>
        <v>42794</v>
      </c>
      <c r="F89" s="996" t="s">
        <v>782</v>
      </c>
      <c r="G89" s="813" t="s">
        <v>574</v>
      </c>
      <c r="H89" s="311"/>
      <c r="I89" s="405"/>
      <c r="J89" s="405"/>
      <c r="K89" s="398"/>
      <c r="L89" s="405"/>
      <c r="M89" s="728">
        <f>ROUND(G87*$G89,0)</f>
        <v>0</v>
      </c>
      <c r="N89" s="729" t="s">
        <v>583</v>
      </c>
      <c r="O89" s="729" t="s">
        <v>584</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ht="15.75" customHeight="1">
      <c r="A90" s="327" t="str">
        <f>IF(B90&lt;&gt;"",IF(AND(B90='IN-TC'!$S$4,OR(TH!N90="1111",TH!O90="1111")),TH!D90,""),"")</f>
        <v/>
      </c>
      <c r="B90" s="62">
        <f t="shared" si="0"/>
        <v>2</v>
      </c>
      <c r="C90" s="724">
        <v>42794</v>
      </c>
      <c r="D90" s="724" t="s">
        <v>573</v>
      </c>
      <c r="E90" s="724">
        <f t="shared" si="17"/>
        <v>42794</v>
      </c>
      <c r="F90" s="996" t="s">
        <v>783</v>
      </c>
      <c r="G90" s="267"/>
      <c r="H90" s="311"/>
      <c r="I90" s="405"/>
      <c r="J90" s="405"/>
      <c r="K90" s="398"/>
      <c r="L90" s="405"/>
      <c r="M90" s="728">
        <f>ROUND(G88*$G89,0)</f>
        <v>0</v>
      </c>
      <c r="N90" s="730" t="s">
        <v>583</v>
      </c>
      <c r="O90" s="731" t="s">
        <v>584</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ht="15.75" customHeight="1">
      <c r="A91" s="327" t="str">
        <f>IF(B91&lt;&gt;"",IF(AND(B91='IN-TC'!$S$4,OR(TH!N91="1111",TH!O91="1111")),TH!D91,""),"")</f>
        <v/>
      </c>
      <c r="B91" s="62">
        <f t="shared" si="0"/>
        <v>2</v>
      </c>
      <c r="C91" s="724">
        <v>42794</v>
      </c>
      <c r="D91" s="724" t="s">
        <v>573</v>
      </c>
      <c r="E91" s="724">
        <f t="shared" si="17"/>
        <v>42794</v>
      </c>
      <c r="F91" s="996" t="s">
        <v>784</v>
      </c>
      <c r="G91" s="813" t="s">
        <v>575</v>
      </c>
      <c r="H91" s="311"/>
      <c r="I91" s="405"/>
      <c r="J91" s="405"/>
      <c r="K91" s="398"/>
      <c r="L91" s="405"/>
      <c r="M91" s="728">
        <f>ROUND(G87*$G91,0)</f>
        <v>0</v>
      </c>
      <c r="N91" s="729" t="s">
        <v>582</v>
      </c>
      <c r="O91" s="729" t="s">
        <v>584</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ht="15.75" customHeight="1">
      <c r="A92" s="327" t="str">
        <f>IF(B92&lt;&gt;"",IF(AND(B92='IN-TC'!$S$4,OR(TH!N92="1111",TH!O92="1111")),TH!D92,""),"")</f>
        <v/>
      </c>
      <c r="B92" s="62">
        <f t="shared" si="0"/>
        <v>2</v>
      </c>
      <c r="C92" s="724">
        <v>42794</v>
      </c>
      <c r="D92" s="724" t="s">
        <v>573</v>
      </c>
      <c r="E92" s="724">
        <f t="shared" si="17"/>
        <v>42794</v>
      </c>
      <c r="F92" s="996" t="s">
        <v>785</v>
      </c>
      <c r="G92" s="267"/>
      <c r="H92" s="311"/>
      <c r="I92" s="405"/>
      <c r="J92" s="405"/>
      <c r="K92" s="398"/>
      <c r="L92" s="405"/>
      <c r="M92" s="728">
        <f>ROUND(G88*$G91,0)</f>
        <v>0</v>
      </c>
      <c r="N92" s="729" t="s">
        <v>280</v>
      </c>
      <c r="O92" s="729" t="s">
        <v>584</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ht="15.75" customHeight="1">
      <c r="A93" s="327" t="str">
        <f>IF(B93&lt;&gt;"",IF(AND(B93='IN-TC'!$S$4,OR(TH!N93="1111",TH!O93="1111")),TH!D93,""),"")</f>
        <v/>
      </c>
      <c r="B93" s="62">
        <f t="shared" si="0"/>
        <v>2</v>
      </c>
      <c r="C93" s="724">
        <v>42794</v>
      </c>
      <c r="D93" s="724" t="s">
        <v>573</v>
      </c>
      <c r="E93" s="724">
        <f t="shared" si="17"/>
        <v>42794</v>
      </c>
      <c r="F93" s="996" t="s">
        <v>786</v>
      </c>
      <c r="G93" s="813" t="s">
        <v>576</v>
      </c>
      <c r="H93" s="313"/>
      <c r="I93" s="403"/>
      <c r="J93" s="403"/>
      <c r="K93" s="396"/>
      <c r="L93" s="403"/>
      <c r="M93" s="728">
        <f>ROUND(G87*$G93,0)</f>
        <v>0</v>
      </c>
      <c r="N93" s="729" t="s">
        <v>583</v>
      </c>
      <c r="O93" s="729" t="s">
        <v>585</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ht="15.75" customHeight="1">
      <c r="A94" s="327" t="str">
        <f>IF(B94&lt;&gt;"",IF(AND(B94='IN-TC'!$S$4,OR(TH!N94="1111",TH!O94="1111")),TH!D94,""),"")</f>
        <v/>
      </c>
      <c r="B94" s="62">
        <f t="shared" si="0"/>
        <v>2</v>
      </c>
      <c r="C94" s="724">
        <v>42794</v>
      </c>
      <c r="D94" s="724" t="s">
        <v>573</v>
      </c>
      <c r="E94" s="724">
        <f t="shared" si="17"/>
        <v>42794</v>
      </c>
      <c r="F94" s="996" t="s">
        <v>787</v>
      </c>
      <c r="G94" s="267"/>
      <c r="H94" s="313"/>
      <c r="I94" s="403"/>
      <c r="J94" s="403"/>
      <c r="K94" s="396"/>
      <c r="L94" s="403"/>
      <c r="M94" s="728">
        <f>G88*$G93</f>
        <v>0</v>
      </c>
      <c r="N94" s="729" t="s">
        <v>583</v>
      </c>
      <c r="O94" s="729" t="s">
        <v>585</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ht="15.75" customHeight="1">
      <c r="A95" s="327" t="str">
        <f>IF(B95&lt;&gt;"",IF(AND(B95='IN-TC'!$S$4,OR(TH!N95="1111",TH!O95="1111")),TH!D95,""),"")</f>
        <v/>
      </c>
      <c r="B95" s="62">
        <f t="shared" si="0"/>
        <v>2</v>
      </c>
      <c r="C95" s="724">
        <v>42794</v>
      </c>
      <c r="D95" s="724" t="s">
        <v>573</v>
      </c>
      <c r="E95" s="724">
        <f t="shared" si="17"/>
        <v>42794</v>
      </c>
      <c r="F95" s="996" t="s">
        <v>788</v>
      </c>
      <c r="G95" s="813" t="s">
        <v>577</v>
      </c>
      <c r="H95" s="311"/>
      <c r="I95" s="405"/>
      <c r="J95" s="405"/>
      <c r="K95" s="398"/>
      <c r="L95" s="405"/>
      <c r="M95" s="728">
        <f>G87*$G95</f>
        <v>0</v>
      </c>
      <c r="N95" s="729" t="s">
        <v>582</v>
      </c>
      <c r="O95" s="729" t="s">
        <v>585</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ht="15.75" customHeight="1">
      <c r="A96" s="327" t="str">
        <f>IF(B96&lt;&gt;"",IF(AND(B96='IN-TC'!$S$4,OR(TH!N96="1111",TH!O96="1111")),TH!D96,""),"")</f>
        <v/>
      </c>
      <c r="B96" s="62">
        <f t="shared" si="0"/>
        <v>2</v>
      </c>
      <c r="C96" s="724">
        <v>42794</v>
      </c>
      <c r="D96" s="724" t="s">
        <v>573</v>
      </c>
      <c r="E96" s="724">
        <f t="shared" si="17"/>
        <v>42794</v>
      </c>
      <c r="F96" s="996" t="s">
        <v>789</v>
      </c>
      <c r="G96" s="267"/>
      <c r="H96" s="311"/>
      <c r="I96" s="405"/>
      <c r="J96" s="405"/>
      <c r="K96" s="398"/>
      <c r="L96" s="405"/>
      <c r="M96" s="728">
        <f>G88*$G95</f>
        <v>0</v>
      </c>
      <c r="N96" s="729" t="s">
        <v>280</v>
      </c>
      <c r="O96" s="729" t="s">
        <v>585</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ht="15.75" customHeight="1">
      <c r="A97" s="327" t="str">
        <f>IF(B97&lt;&gt;"",IF(AND(B97='IN-TC'!$S$4,OR(TH!N97="1111",TH!O97="1111")),TH!D97,""),"")</f>
        <v/>
      </c>
      <c r="B97" s="62">
        <f t="shared" si="0"/>
        <v>2</v>
      </c>
      <c r="C97" s="724">
        <v>42794</v>
      </c>
      <c r="D97" s="724" t="s">
        <v>573</v>
      </c>
      <c r="E97" s="724">
        <f t="shared" si="17"/>
        <v>42794</v>
      </c>
      <c r="F97" s="996" t="s">
        <v>790</v>
      </c>
      <c r="G97" s="813" t="s">
        <v>578</v>
      </c>
      <c r="H97" s="311"/>
      <c r="I97" s="405"/>
      <c r="J97" s="405"/>
      <c r="K97" s="398"/>
      <c r="L97" s="405"/>
      <c r="M97" s="728">
        <f>G87*$G97</f>
        <v>0</v>
      </c>
      <c r="N97" s="729" t="s">
        <v>583</v>
      </c>
      <c r="O97" s="729" t="s">
        <v>586</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ht="15.75" customHeight="1">
      <c r="A98" s="327" t="str">
        <f>IF(B98&lt;&gt;"",IF(AND(B98='IN-TC'!$S$4,OR(TH!N98="1111",TH!O98="1111")),TH!D98,""),"")</f>
        <v/>
      </c>
      <c r="B98" s="62">
        <f t="shared" ref="B98:B161" si="18">IF(C98&lt;&gt;"",MONTH(C98),"")</f>
        <v>2</v>
      </c>
      <c r="C98" s="724">
        <v>42794</v>
      </c>
      <c r="D98" s="724" t="s">
        <v>573</v>
      </c>
      <c r="E98" s="724">
        <f t="shared" si="17"/>
        <v>42794</v>
      </c>
      <c r="F98" s="996" t="s">
        <v>791</v>
      </c>
      <c r="G98" s="267"/>
      <c r="H98" s="311"/>
      <c r="I98" s="405"/>
      <c r="J98" s="405"/>
      <c r="K98" s="398"/>
      <c r="L98" s="405"/>
      <c r="M98" s="728">
        <f>G88*$G97</f>
        <v>0</v>
      </c>
      <c r="N98" s="729" t="s">
        <v>583</v>
      </c>
      <c r="O98" s="729" t="s">
        <v>586</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ht="15.75" customHeight="1">
      <c r="A99" s="327" t="str">
        <f>IF(B99&lt;&gt;"",IF(AND(B99='IN-TC'!$S$4,OR(TH!N99="1111",TH!O99="1111")),TH!D99,""),"")</f>
        <v/>
      </c>
      <c r="B99" s="62">
        <f t="shared" si="18"/>
        <v>2</v>
      </c>
      <c r="C99" s="724">
        <v>42794</v>
      </c>
      <c r="D99" s="724" t="s">
        <v>573</v>
      </c>
      <c r="E99" s="724">
        <f t="shared" si="17"/>
        <v>42794</v>
      </c>
      <c r="F99" s="996" t="s">
        <v>792</v>
      </c>
      <c r="G99" s="813" t="s">
        <v>578</v>
      </c>
      <c r="H99" s="952"/>
      <c r="I99" s="406"/>
      <c r="J99" s="406"/>
      <c r="K99" s="399"/>
      <c r="L99" s="406"/>
      <c r="M99" s="728">
        <f>M97</f>
        <v>0</v>
      </c>
      <c r="N99" s="729" t="s">
        <v>582</v>
      </c>
      <c r="O99" s="729" t="s">
        <v>586</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ht="15.75" customHeight="1">
      <c r="A100" s="327" t="str">
        <f>IF(B100&lt;&gt;"",IF(AND(B100='IN-TC'!$S$4,OR(TH!N100="1111",TH!O100="1111")),TH!D100,""),"")</f>
        <v/>
      </c>
      <c r="B100" s="62">
        <f t="shared" si="18"/>
        <v>2</v>
      </c>
      <c r="C100" s="724">
        <v>42794</v>
      </c>
      <c r="D100" s="724" t="s">
        <v>573</v>
      </c>
      <c r="E100" s="724">
        <f t="shared" si="17"/>
        <v>42794</v>
      </c>
      <c r="F100" s="996" t="s">
        <v>793</v>
      </c>
      <c r="G100" s="267"/>
      <c r="H100" s="311"/>
      <c r="I100" s="405"/>
      <c r="J100" s="405"/>
      <c r="K100" s="398"/>
      <c r="L100" s="405"/>
      <c r="M100" s="728">
        <f>M98</f>
        <v>0</v>
      </c>
      <c r="N100" s="729" t="s">
        <v>280</v>
      </c>
      <c r="O100" s="729" t="s">
        <v>586</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ht="15.75" customHeight="1">
      <c r="A101" s="327" t="str">
        <f>IF(B101&lt;&gt;"",IF(AND(B101='IN-TC'!$S$4,OR(TH!N101="1111",TH!O101="1111")),TH!D101,""),"")</f>
        <v/>
      </c>
      <c r="B101" s="62">
        <f t="shared" si="18"/>
        <v>3</v>
      </c>
      <c r="C101" s="724">
        <v>42825</v>
      </c>
      <c r="D101" s="724" t="s">
        <v>573</v>
      </c>
      <c r="E101" s="724">
        <f t="shared" si="17"/>
        <v>42825</v>
      </c>
      <c r="F101" s="996" t="s">
        <v>780</v>
      </c>
      <c r="G101" s="267"/>
      <c r="H101" s="311"/>
      <c r="I101" s="405"/>
      <c r="J101" s="405"/>
      <c r="K101" s="398"/>
      <c r="L101" s="405"/>
      <c r="M101" s="728"/>
      <c r="N101" s="729" t="s">
        <v>582</v>
      </c>
      <c r="O101" s="729" t="s">
        <v>583</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ht="15.75" customHeight="1">
      <c r="A102" s="327" t="str">
        <f>IF(B102&lt;&gt;"",IF(AND(B102='IN-TC'!$S$4,OR(TH!N102="1111",TH!O102="1111")),TH!D102,""),"")</f>
        <v/>
      </c>
      <c r="B102" s="62">
        <f t="shared" si="18"/>
        <v>3</v>
      </c>
      <c r="C102" s="724">
        <v>42825</v>
      </c>
      <c r="D102" s="724" t="s">
        <v>573</v>
      </c>
      <c r="E102" s="724">
        <f t="shared" si="17"/>
        <v>42825</v>
      </c>
      <c r="F102" s="996" t="s">
        <v>781</v>
      </c>
      <c r="G102" s="267"/>
      <c r="H102" s="311"/>
      <c r="I102" s="405"/>
      <c r="J102" s="405"/>
      <c r="K102" s="398"/>
      <c r="L102" s="405"/>
      <c r="M102" s="728"/>
      <c r="N102" s="729" t="s">
        <v>280</v>
      </c>
      <c r="O102" s="729" t="s">
        <v>583</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ht="15.75" customHeight="1">
      <c r="A103" s="327" t="str">
        <f>IF(B103&lt;&gt;"",IF(AND(B103='IN-TC'!$S$4,OR(TH!N103="1111",TH!O103="1111")),TH!D103,""),"")</f>
        <v/>
      </c>
      <c r="B103" s="62">
        <f t="shared" si="18"/>
        <v>3</v>
      </c>
      <c r="C103" s="724">
        <v>42825</v>
      </c>
      <c r="D103" s="724" t="s">
        <v>573</v>
      </c>
      <c r="E103" s="724">
        <f t="shared" si="17"/>
        <v>42825</v>
      </c>
      <c r="F103" s="996" t="s">
        <v>782</v>
      </c>
      <c r="G103" s="813" t="s">
        <v>574</v>
      </c>
      <c r="H103" s="311"/>
      <c r="I103" s="405"/>
      <c r="J103" s="405"/>
      <c r="K103" s="398"/>
      <c r="L103" s="405"/>
      <c r="M103" s="728">
        <f>G101*$G103</f>
        <v>0</v>
      </c>
      <c r="N103" s="729" t="s">
        <v>583</v>
      </c>
      <c r="O103" s="729" t="s">
        <v>584</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ht="15.75" customHeight="1">
      <c r="A104" s="327" t="str">
        <f>IF(B104&lt;&gt;"",IF(AND(B104='IN-TC'!$S$4,OR(TH!N104="1111",TH!O104="1111")),TH!D104,""),"")</f>
        <v/>
      </c>
      <c r="B104" s="62">
        <f t="shared" si="18"/>
        <v>3</v>
      </c>
      <c r="C104" s="724">
        <v>42825</v>
      </c>
      <c r="D104" s="724" t="s">
        <v>573</v>
      </c>
      <c r="E104" s="724">
        <f t="shared" si="17"/>
        <v>42825</v>
      </c>
      <c r="F104" s="996" t="s">
        <v>783</v>
      </c>
      <c r="G104" s="267"/>
      <c r="H104" s="311"/>
      <c r="I104" s="405"/>
      <c r="J104" s="405"/>
      <c r="K104" s="398"/>
      <c r="L104" s="405"/>
      <c r="M104" s="728">
        <f>G102*$G103</f>
        <v>0</v>
      </c>
      <c r="N104" s="730" t="s">
        <v>583</v>
      </c>
      <c r="O104" s="731" t="s">
        <v>584</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ht="15.75" customHeight="1">
      <c r="A105" s="327" t="str">
        <f>IF(B105&lt;&gt;"",IF(AND(B105='IN-TC'!$S$4,OR(TH!N105="1111",TH!O105="1111")),TH!D105,""),"")</f>
        <v/>
      </c>
      <c r="B105" s="62">
        <f t="shared" si="18"/>
        <v>3</v>
      </c>
      <c r="C105" s="724">
        <v>42825</v>
      </c>
      <c r="D105" s="724" t="s">
        <v>573</v>
      </c>
      <c r="E105" s="724">
        <f t="shared" si="17"/>
        <v>42825</v>
      </c>
      <c r="F105" s="996" t="s">
        <v>784</v>
      </c>
      <c r="G105" s="813" t="s">
        <v>575</v>
      </c>
      <c r="H105" s="311"/>
      <c r="I105" s="405"/>
      <c r="J105" s="405"/>
      <c r="K105" s="398"/>
      <c r="L105" s="405"/>
      <c r="M105" s="728">
        <f>G101*$G105</f>
        <v>0</v>
      </c>
      <c r="N105" s="729" t="s">
        <v>582</v>
      </c>
      <c r="O105" s="729" t="s">
        <v>584</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ht="15.75" customHeight="1">
      <c r="A106" s="327" t="str">
        <f>IF(B106&lt;&gt;"",IF(AND(B106='IN-TC'!$S$4,OR(TH!N106="1111",TH!O106="1111")),TH!D106,""),"")</f>
        <v/>
      </c>
      <c r="B106" s="62">
        <f t="shared" si="18"/>
        <v>3</v>
      </c>
      <c r="C106" s="724">
        <v>42825</v>
      </c>
      <c r="D106" s="724" t="s">
        <v>573</v>
      </c>
      <c r="E106" s="724">
        <f t="shared" si="17"/>
        <v>42825</v>
      </c>
      <c r="F106" s="996" t="s">
        <v>785</v>
      </c>
      <c r="G106" s="267"/>
      <c r="H106" s="311"/>
      <c r="I106" s="405"/>
      <c r="J106" s="405"/>
      <c r="K106" s="398"/>
      <c r="L106" s="405"/>
      <c r="M106" s="728">
        <f>G102*$G105</f>
        <v>0</v>
      </c>
      <c r="N106" s="729" t="s">
        <v>280</v>
      </c>
      <c r="O106" s="729" t="s">
        <v>584</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ht="15.75" customHeight="1">
      <c r="A107" s="327" t="str">
        <f>IF(B107&lt;&gt;"",IF(AND(B107='IN-TC'!$S$4,OR(TH!N107="1111",TH!O107="1111")),TH!D107,""),"")</f>
        <v/>
      </c>
      <c r="B107" s="62">
        <f t="shared" si="18"/>
        <v>3</v>
      </c>
      <c r="C107" s="724">
        <v>42825</v>
      </c>
      <c r="D107" s="724" t="s">
        <v>573</v>
      </c>
      <c r="E107" s="724">
        <f t="shared" si="17"/>
        <v>42825</v>
      </c>
      <c r="F107" s="996" t="s">
        <v>786</v>
      </c>
      <c r="G107" s="813" t="s">
        <v>576</v>
      </c>
      <c r="H107" s="313"/>
      <c r="I107" s="403"/>
      <c r="J107" s="403"/>
      <c r="K107" s="396"/>
      <c r="L107" s="403"/>
      <c r="M107" s="728">
        <f>ROUND(G101*$G107,0)</f>
        <v>0</v>
      </c>
      <c r="N107" s="729" t="s">
        <v>583</v>
      </c>
      <c r="O107" s="729" t="s">
        <v>585</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ht="15.75" customHeight="1">
      <c r="A108" s="327" t="str">
        <f>IF(B108&lt;&gt;"",IF(AND(B108='IN-TC'!$S$4,OR(TH!N108="1111",TH!O108="1111")),TH!D108,""),"")</f>
        <v/>
      </c>
      <c r="B108" s="62">
        <f t="shared" si="18"/>
        <v>3</v>
      </c>
      <c r="C108" s="724">
        <v>42825</v>
      </c>
      <c r="D108" s="724" t="s">
        <v>573</v>
      </c>
      <c r="E108" s="724">
        <f t="shared" si="17"/>
        <v>42825</v>
      </c>
      <c r="F108" s="996" t="s">
        <v>787</v>
      </c>
      <c r="G108" s="267"/>
      <c r="H108" s="313"/>
      <c r="I108" s="403"/>
      <c r="J108" s="403"/>
      <c r="K108" s="396"/>
      <c r="L108" s="403"/>
      <c r="M108" s="728">
        <f>G102*$G107</f>
        <v>0</v>
      </c>
      <c r="N108" s="729" t="s">
        <v>583</v>
      </c>
      <c r="O108" s="729" t="s">
        <v>585</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ht="15.75" customHeight="1">
      <c r="A109" s="327" t="str">
        <f>IF(B109&lt;&gt;"",IF(AND(B109='IN-TC'!$S$4,OR(TH!N109="1111",TH!O109="1111")),TH!D109,""),"")</f>
        <v/>
      </c>
      <c r="B109" s="62">
        <f t="shared" si="18"/>
        <v>3</v>
      </c>
      <c r="C109" s="724">
        <v>42825</v>
      </c>
      <c r="D109" s="724" t="s">
        <v>573</v>
      </c>
      <c r="E109" s="724">
        <f t="shared" si="17"/>
        <v>42825</v>
      </c>
      <c r="F109" s="996" t="s">
        <v>788</v>
      </c>
      <c r="G109" s="813" t="s">
        <v>577</v>
      </c>
      <c r="H109" s="311"/>
      <c r="I109" s="405"/>
      <c r="J109" s="405"/>
      <c r="K109" s="398"/>
      <c r="L109" s="405"/>
      <c r="M109" s="728">
        <f>G101*$G109</f>
        <v>0</v>
      </c>
      <c r="N109" s="729" t="s">
        <v>582</v>
      </c>
      <c r="O109" s="729" t="s">
        <v>585</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ht="15.75" customHeight="1">
      <c r="A110" s="327" t="str">
        <f>IF(B110&lt;&gt;"",IF(AND(B110='IN-TC'!$S$4,OR(TH!N110="1111",TH!O110="1111")),TH!D110,""),"")</f>
        <v/>
      </c>
      <c r="B110" s="62">
        <f t="shared" si="18"/>
        <v>3</v>
      </c>
      <c r="C110" s="724">
        <v>42825</v>
      </c>
      <c r="D110" s="724" t="s">
        <v>573</v>
      </c>
      <c r="E110" s="724">
        <f t="shared" si="17"/>
        <v>42825</v>
      </c>
      <c r="F110" s="996" t="s">
        <v>789</v>
      </c>
      <c r="G110" s="267"/>
      <c r="H110" s="311"/>
      <c r="I110" s="405"/>
      <c r="J110" s="405"/>
      <c r="K110" s="398"/>
      <c r="L110" s="405"/>
      <c r="M110" s="728">
        <f>G102*$G109</f>
        <v>0</v>
      </c>
      <c r="N110" s="729" t="s">
        <v>280</v>
      </c>
      <c r="O110" s="729" t="s">
        <v>585</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ht="15.75" customHeight="1">
      <c r="A111" s="327" t="str">
        <f>IF(B111&lt;&gt;"",IF(AND(B111='IN-TC'!$S$4,OR(TH!N111="1111",TH!O111="1111")),TH!D111,""),"")</f>
        <v/>
      </c>
      <c r="B111" s="62">
        <f t="shared" si="18"/>
        <v>3</v>
      </c>
      <c r="C111" s="724">
        <v>42825</v>
      </c>
      <c r="D111" s="724" t="s">
        <v>573</v>
      </c>
      <c r="E111" s="724">
        <f t="shared" si="17"/>
        <v>42825</v>
      </c>
      <c r="F111" s="996" t="s">
        <v>790</v>
      </c>
      <c r="G111" s="813" t="s">
        <v>578</v>
      </c>
      <c r="H111" s="311"/>
      <c r="I111" s="405"/>
      <c r="J111" s="405"/>
      <c r="K111" s="398"/>
      <c r="L111" s="405"/>
      <c r="M111" s="728">
        <f>G101*$G111</f>
        <v>0</v>
      </c>
      <c r="N111" s="729" t="s">
        <v>583</v>
      </c>
      <c r="O111" s="729" t="s">
        <v>586</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ht="15.75" customHeight="1">
      <c r="A112" s="327" t="str">
        <f>IF(B112&lt;&gt;"",IF(AND(B112='IN-TC'!$S$4,OR(TH!N112="1111",TH!O112="1111")),TH!D112,""),"")</f>
        <v/>
      </c>
      <c r="B112" s="62">
        <f t="shared" si="18"/>
        <v>3</v>
      </c>
      <c r="C112" s="724">
        <v>42825</v>
      </c>
      <c r="D112" s="724" t="s">
        <v>573</v>
      </c>
      <c r="E112" s="724">
        <f t="shared" si="17"/>
        <v>42825</v>
      </c>
      <c r="F112" s="996" t="s">
        <v>791</v>
      </c>
      <c r="G112" s="267"/>
      <c r="H112" s="311"/>
      <c r="I112" s="405"/>
      <c r="J112" s="405"/>
      <c r="K112" s="398"/>
      <c r="L112" s="405"/>
      <c r="M112" s="728">
        <f>G102*$G111</f>
        <v>0</v>
      </c>
      <c r="N112" s="729" t="s">
        <v>583</v>
      </c>
      <c r="O112" s="729" t="s">
        <v>586</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ht="15.75" customHeight="1">
      <c r="A113" s="327" t="str">
        <f>IF(B113&lt;&gt;"",IF(AND(B113='IN-TC'!$S$4,OR(TH!N113="1111",TH!O113="1111")),TH!D113,""),"")</f>
        <v/>
      </c>
      <c r="B113" s="62">
        <f t="shared" si="18"/>
        <v>3</v>
      </c>
      <c r="C113" s="724">
        <v>42825</v>
      </c>
      <c r="D113" s="724" t="s">
        <v>573</v>
      </c>
      <c r="E113" s="724">
        <f t="shared" ref="E113:E144" si="19">C113</f>
        <v>42825</v>
      </c>
      <c r="F113" s="996" t="s">
        <v>792</v>
      </c>
      <c r="G113" s="813" t="s">
        <v>578</v>
      </c>
      <c r="H113" s="952"/>
      <c r="I113" s="406"/>
      <c r="J113" s="406"/>
      <c r="K113" s="399"/>
      <c r="L113" s="406"/>
      <c r="M113" s="728">
        <f>M111</f>
        <v>0</v>
      </c>
      <c r="N113" s="729" t="s">
        <v>582</v>
      </c>
      <c r="O113" s="729" t="s">
        <v>586</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ht="15.75" customHeight="1">
      <c r="A114" s="327" t="str">
        <f>IF(B114&lt;&gt;"",IF(AND(B114='IN-TC'!$S$4,OR(TH!N114="1111",TH!O114="1111")),TH!D114,""),"")</f>
        <v/>
      </c>
      <c r="B114" s="62">
        <f t="shared" si="18"/>
        <v>3</v>
      </c>
      <c r="C114" s="724">
        <v>42825</v>
      </c>
      <c r="D114" s="724" t="s">
        <v>573</v>
      </c>
      <c r="E114" s="724">
        <f t="shared" si="19"/>
        <v>42825</v>
      </c>
      <c r="F114" s="996" t="s">
        <v>793</v>
      </c>
      <c r="G114" s="267"/>
      <c r="H114" s="311"/>
      <c r="I114" s="405"/>
      <c r="J114" s="405"/>
      <c r="K114" s="398"/>
      <c r="L114" s="405"/>
      <c r="M114" s="728">
        <f>M112</f>
        <v>0</v>
      </c>
      <c r="N114" s="729" t="s">
        <v>280</v>
      </c>
      <c r="O114" s="729" t="s">
        <v>586</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ht="15.75" customHeight="1">
      <c r="A115" s="327" t="str">
        <f>IF(B115&lt;&gt;"",IF(AND(B115='IN-TC'!$S$4,OR(TH!N115="1111",TH!O115="1111")),TH!D115,""),"")</f>
        <v/>
      </c>
      <c r="B115" s="62">
        <f t="shared" si="18"/>
        <v>4</v>
      </c>
      <c r="C115" s="724">
        <v>42854</v>
      </c>
      <c r="D115" s="724" t="s">
        <v>573</v>
      </c>
      <c r="E115" s="724">
        <f t="shared" si="19"/>
        <v>42854</v>
      </c>
      <c r="F115" s="996" t="s">
        <v>780</v>
      </c>
      <c r="G115" s="267"/>
      <c r="H115" s="311"/>
      <c r="I115" s="405"/>
      <c r="J115" s="405"/>
      <c r="K115" s="398"/>
      <c r="L115" s="405"/>
      <c r="M115" s="728"/>
      <c r="N115" s="729" t="s">
        <v>582</v>
      </c>
      <c r="O115" s="729" t="s">
        <v>583</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ht="15.75" customHeight="1">
      <c r="A116" s="327" t="str">
        <f>IF(B116&lt;&gt;"",IF(AND(B116='IN-TC'!$S$4,OR(TH!N116="1111",TH!O116="1111")),TH!D116,""),"")</f>
        <v/>
      </c>
      <c r="B116" s="62">
        <f t="shared" si="18"/>
        <v>4</v>
      </c>
      <c r="C116" s="724">
        <v>42854</v>
      </c>
      <c r="D116" s="724" t="s">
        <v>573</v>
      </c>
      <c r="E116" s="724">
        <f t="shared" si="19"/>
        <v>42854</v>
      </c>
      <c r="F116" s="996" t="s">
        <v>781</v>
      </c>
      <c r="G116" s="267"/>
      <c r="H116" s="311"/>
      <c r="I116" s="405"/>
      <c r="J116" s="405"/>
      <c r="K116" s="398"/>
      <c r="L116" s="405"/>
      <c r="M116" s="728"/>
      <c r="N116" s="729" t="s">
        <v>280</v>
      </c>
      <c r="O116" s="729" t="s">
        <v>583</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ht="15.75" customHeight="1">
      <c r="A117" s="327" t="str">
        <f>IF(B117&lt;&gt;"",IF(AND(B117='IN-TC'!$S$4,OR(TH!N117="1111",TH!O117="1111")),TH!D117,""),"")</f>
        <v/>
      </c>
      <c r="B117" s="62">
        <f t="shared" si="18"/>
        <v>4</v>
      </c>
      <c r="C117" s="724">
        <v>42854</v>
      </c>
      <c r="D117" s="724" t="s">
        <v>573</v>
      </c>
      <c r="E117" s="724">
        <f t="shared" si="19"/>
        <v>42854</v>
      </c>
      <c r="F117" s="996" t="s">
        <v>782</v>
      </c>
      <c r="G117" s="813" t="s">
        <v>574</v>
      </c>
      <c r="H117" s="311"/>
      <c r="I117" s="405"/>
      <c r="J117" s="405"/>
      <c r="K117" s="398"/>
      <c r="L117" s="405"/>
      <c r="M117" s="728">
        <f>G115*$G117</f>
        <v>0</v>
      </c>
      <c r="N117" s="729" t="s">
        <v>583</v>
      </c>
      <c r="O117" s="729" t="s">
        <v>584</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ht="15.75" customHeight="1">
      <c r="A118" s="327" t="str">
        <f>IF(B118&lt;&gt;"",IF(AND(B118='IN-TC'!$S$4,OR(TH!N118="1111",TH!O118="1111")),TH!D118,""),"")</f>
        <v/>
      </c>
      <c r="B118" s="62">
        <f t="shared" si="18"/>
        <v>4</v>
      </c>
      <c r="C118" s="724">
        <v>42854</v>
      </c>
      <c r="D118" s="724" t="s">
        <v>573</v>
      </c>
      <c r="E118" s="724">
        <f t="shared" si="19"/>
        <v>42854</v>
      </c>
      <c r="F118" s="996" t="s">
        <v>783</v>
      </c>
      <c r="G118" s="267"/>
      <c r="H118" s="311"/>
      <c r="I118" s="405"/>
      <c r="J118" s="405"/>
      <c r="K118" s="398"/>
      <c r="L118" s="405"/>
      <c r="M118" s="728">
        <f>G116*$G117</f>
        <v>0</v>
      </c>
      <c r="N118" s="730" t="s">
        <v>583</v>
      </c>
      <c r="O118" s="731" t="s">
        <v>584</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ht="15.75" customHeight="1">
      <c r="A119" s="327" t="str">
        <f>IF(B119&lt;&gt;"",IF(AND(B119='IN-TC'!$S$4,OR(TH!N119="1111",TH!O119="1111")),TH!D119,""),"")</f>
        <v/>
      </c>
      <c r="B119" s="62">
        <f t="shared" si="18"/>
        <v>4</v>
      </c>
      <c r="C119" s="724">
        <v>42854</v>
      </c>
      <c r="D119" s="724" t="s">
        <v>573</v>
      </c>
      <c r="E119" s="724">
        <f t="shared" si="19"/>
        <v>42854</v>
      </c>
      <c r="F119" s="996" t="s">
        <v>784</v>
      </c>
      <c r="G119" s="813" t="s">
        <v>575</v>
      </c>
      <c r="H119" s="311"/>
      <c r="I119" s="405"/>
      <c r="J119" s="405"/>
      <c r="K119" s="398"/>
      <c r="L119" s="405"/>
      <c r="M119" s="728">
        <f>G115*$G119</f>
        <v>0</v>
      </c>
      <c r="N119" s="729" t="s">
        <v>582</v>
      </c>
      <c r="O119" s="729" t="s">
        <v>584</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ht="15.75" customHeight="1">
      <c r="A120" s="327" t="str">
        <f>IF(B120&lt;&gt;"",IF(AND(B120='IN-TC'!$S$4,OR(TH!N120="1111",TH!O120="1111")),TH!D120,""),"")</f>
        <v/>
      </c>
      <c r="B120" s="62">
        <f t="shared" si="18"/>
        <v>4</v>
      </c>
      <c r="C120" s="724">
        <v>42854</v>
      </c>
      <c r="D120" s="724" t="s">
        <v>573</v>
      </c>
      <c r="E120" s="724">
        <f t="shared" si="19"/>
        <v>42854</v>
      </c>
      <c r="F120" s="996" t="s">
        <v>785</v>
      </c>
      <c r="G120" s="267"/>
      <c r="H120" s="311"/>
      <c r="I120" s="405"/>
      <c r="J120" s="405"/>
      <c r="K120" s="398"/>
      <c r="L120" s="405"/>
      <c r="M120" s="728">
        <f>G116*$G119</f>
        <v>0</v>
      </c>
      <c r="N120" s="729" t="s">
        <v>280</v>
      </c>
      <c r="O120" s="729" t="s">
        <v>584</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ht="15.75" customHeight="1">
      <c r="A121" s="327" t="str">
        <f>IF(B121&lt;&gt;"",IF(AND(B121='IN-TC'!$S$4,OR(TH!N121="1111",TH!O121="1111")),TH!D121,""),"")</f>
        <v/>
      </c>
      <c r="B121" s="62">
        <f t="shared" si="18"/>
        <v>4</v>
      </c>
      <c r="C121" s="724">
        <v>42854</v>
      </c>
      <c r="D121" s="724" t="s">
        <v>573</v>
      </c>
      <c r="E121" s="724">
        <f t="shared" si="19"/>
        <v>42854</v>
      </c>
      <c r="F121" s="996" t="s">
        <v>786</v>
      </c>
      <c r="G121" s="813" t="s">
        <v>576</v>
      </c>
      <c r="H121" s="313"/>
      <c r="I121" s="403"/>
      <c r="J121" s="403"/>
      <c r="K121" s="396"/>
      <c r="L121" s="403"/>
      <c r="M121" s="728">
        <f>ROUND(G115*$G121,0)</f>
        <v>0</v>
      </c>
      <c r="N121" s="729" t="s">
        <v>583</v>
      </c>
      <c r="O121" s="729" t="s">
        <v>585</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ht="15.75" customHeight="1">
      <c r="A122" s="327" t="str">
        <f>IF(B122&lt;&gt;"",IF(AND(B122='IN-TC'!$S$4,OR(TH!N122="1111",TH!O122="1111")),TH!D122,""),"")</f>
        <v/>
      </c>
      <c r="B122" s="62">
        <f t="shared" si="18"/>
        <v>4</v>
      </c>
      <c r="C122" s="724">
        <v>42854</v>
      </c>
      <c r="D122" s="724" t="s">
        <v>573</v>
      </c>
      <c r="E122" s="724">
        <f t="shared" si="19"/>
        <v>42854</v>
      </c>
      <c r="F122" s="996" t="s">
        <v>787</v>
      </c>
      <c r="G122" s="267"/>
      <c r="H122" s="313"/>
      <c r="I122" s="403"/>
      <c r="J122" s="403"/>
      <c r="K122" s="396"/>
      <c r="L122" s="403"/>
      <c r="M122" s="728">
        <f>ROUND(G116*$G121,0)</f>
        <v>0</v>
      </c>
      <c r="N122" s="729" t="s">
        <v>583</v>
      </c>
      <c r="O122" s="729" t="s">
        <v>585</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ht="15.75" customHeight="1">
      <c r="A123" s="327" t="str">
        <f>IF(B123&lt;&gt;"",IF(AND(B123='IN-TC'!$S$4,OR(TH!N123="1111",TH!O123="1111")),TH!D123,""),"")</f>
        <v/>
      </c>
      <c r="B123" s="62">
        <f t="shared" si="18"/>
        <v>4</v>
      </c>
      <c r="C123" s="724">
        <v>42854</v>
      </c>
      <c r="D123" s="724" t="s">
        <v>573</v>
      </c>
      <c r="E123" s="724">
        <f t="shared" si="19"/>
        <v>42854</v>
      </c>
      <c r="F123" s="996" t="s">
        <v>788</v>
      </c>
      <c r="G123" s="813" t="s">
        <v>577</v>
      </c>
      <c r="H123" s="311"/>
      <c r="I123" s="405"/>
      <c r="J123" s="405"/>
      <c r="K123" s="398"/>
      <c r="L123" s="405"/>
      <c r="M123" s="728">
        <f>G115*$G123</f>
        <v>0</v>
      </c>
      <c r="N123" s="729" t="s">
        <v>582</v>
      </c>
      <c r="O123" s="729" t="s">
        <v>585</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ht="15.75" customHeight="1">
      <c r="A124" s="327" t="str">
        <f>IF(B124&lt;&gt;"",IF(AND(B124='IN-TC'!$S$4,OR(TH!N124="1111",TH!O124="1111")),TH!D124,""),"")</f>
        <v/>
      </c>
      <c r="B124" s="62">
        <f t="shared" si="18"/>
        <v>4</v>
      </c>
      <c r="C124" s="724">
        <v>42854</v>
      </c>
      <c r="D124" s="724" t="s">
        <v>573</v>
      </c>
      <c r="E124" s="724">
        <f t="shared" si="19"/>
        <v>42854</v>
      </c>
      <c r="F124" s="996" t="s">
        <v>789</v>
      </c>
      <c r="G124" s="267"/>
      <c r="H124" s="311"/>
      <c r="I124" s="405"/>
      <c r="J124" s="405"/>
      <c r="K124" s="398"/>
      <c r="L124" s="405"/>
      <c r="M124" s="728">
        <f>G116*$G123</f>
        <v>0</v>
      </c>
      <c r="N124" s="729" t="s">
        <v>280</v>
      </c>
      <c r="O124" s="729" t="s">
        <v>585</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ht="15.75" customHeight="1">
      <c r="A125" s="327" t="str">
        <f>IF(B125&lt;&gt;"",IF(AND(B125='IN-TC'!$S$4,OR(TH!N125="1111",TH!O125="1111")),TH!D125,""),"")</f>
        <v/>
      </c>
      <c r="B125" s="62">
        <f t="shared" si="18"/>
        <v>4</v>
      </c>
      <c r="C125" s="724">
        <v>42854</v>
      </c>
      <c r="D125" s="724" t="s">
        <v>573</v>
      </c>
      <c r="E125" s="724">
        <f t="shared" si="19"/>
        <v>42854</v>
      </c>
      <c r="F125" s="996" t="s">
        <v>790</v>
      </c>
      <c r="G125" s="813" t="s">
        <v>578</v>
      </c>
      <c r="H125" s="311"/>
      <c r="I125" s="405"/>
      <c r="J125" s="405"/>
      <c r="K125" s="398"/>
      <c r="L125" s="405"/>
      <c r="M125" s="728">
        <f>G115*$G125</f>
        <v>0</v>
      </c>
      <c r="N125" s="729" t="s">
        <v>583</v>
      </c>
      <c r="O125" s="729" t="s">
        <v>586</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ht="15.75" customHeight="1">
      <c r="A126" s="327" t="str">
        <f>IF(B126&lt;&gt;"",IF(AND(B126='IN-TC'!$S$4,OR(TH!N126="1111",TH!O126="1111")),TH!D126,""),"")</f>
        <v/>
      </c>
      <c r="B126" s="62">
        <f t="shared" si="18"/>
        <v>4</v>
      </c>
      <c r="C126" s="724">
        <v>42854</v>
      </c>
      <c r="D126" s="724" t="s">
        <v>573</v>
      </c>
      <c r="E126" s="724">
        <f t="shared" si="19"/>
        <v>42854</v>
      </c>
      <c r="F126" s="996" t="s">
        <v>791</v>
      </c>
      <c r="G126" s="267"/>
      <c r="H126" s="311"/>
      <c r="I126" s="405"/>
      <c r="J126" s="405"/>
      <c r="K126" s="398"/>
      <c r="L126" s="405"/>
      <c r="M126" s="728">
        <f>G116*$G125</f>
        <v>0</v>
      </c>
      <c r="N126" s="729" t="s">
        <v>583</v>
      </c>
      <c r="O126" s="729" t="s">
        <v>586</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ht="15.75" customHeight="1">
      <c r="A127" s="327" t="str">
        <f>IF(B127&lt;&gt;"",IF(AND(B127='IN-TC'!$S$4,OR(TH!N127="1111",TH!O127="1111")),TH!D127,""),"")</f>
        <v/>
      </c>
      <c r="B127" s="62">
        <f t="shared" si="18"/>
        <v>4</v>
      </c>
      <c r="C127" s="724">
        <v>42854</v>
      </c>
      <c r="D127" s="724" t="s">
        <v>573</v>
      </c>
      <c r="E127" s="724">
        <f t="shared" si="19"/>
        <v>42854</v>
      </c>
      <c r="F127" s="996" t="s">
        <v>792</v>
      </c>
      <c r="G127" s="813" t="s">
        <v>578</v>
      </c>
      <c r="H127" s="952"/>
      <c r="I127" s="406"/>
      <c r="J127" s="406"/>
      <c r="K127" s="399"/>
      <c r="L127" s="406"/>
      <c r="M127" s="728">
        <f>M125</f>
        <v>0</v>
      </c>
      <c r="N127" s="729" t="s">
        <v>582</v>
      </c>
      <c r="O127" s="729" t="s">
        <v>586</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ht="15.75" customHeight="1">
      <c r="A128" s="327" t="str">
        <f>IF(B128&lt;&gt;"",IF(AND(B128='IN-TC'!$S$4,OR(TH!N128="1111",TH!O128="1111")),TH!D128,""),"")</f>
        <v/>
      </c>
      <c r="B128" s="62">
        <f t="shared" si="18"/>
        <v>4</v>
      </c>
      <c r="C128" s="724">
        <v>42854</v>
      </c>
      <c r="D128" s="724" t="s">
        <v>573</v>
      </c>
      <c r="E128" s="724">
        <f t="shared" si="19"/>
        <v>42854</v>
      </c>
      <c r="F128" s="996" t="s">
        <v>793</v>
      </c>
      <c r="G128" s="267"/>
      <c r="H128" s="311"/>
      <c r="I128" s="405"/>
      <c r="J128" s="405"/>
      <c r="K128" s="398"/>
      <c r="L128" s="405"/>
      <c r="M128" s="728">
        <f>M126</f>
        <v>0</v>
      </c>
      <c r="N128" s="729" t="s">
        <v>280</v>
      </c>
      <c r="O128" s="729" t="s">
        <v>586</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ht="15.75" customHeight="1">
      <c r="A129" s="327" t="str">
        <f>IF(B129&lt;&gt;"",IF(AND(B129='IN-TC'!$S$4,OR(TH!N129="1111",TH!O129="1111")),TH!D129,""),"")</f>
        <v/>
      </c>
      <c r="B129" s="62">
        <f t="shared" si="18"/>
        <v>5</v>
      </c>
      <c r="C129" s="724">
        <v>42886</v>
      </c>
      <c r="D129" s="724" t="s">
        <v>573</v>
      </c>
      <c r="E129" s="724">
        <f t="shared" si="19"/>
        <v>42886</v>
      </c>
      <c r="F129" s="996" t="s">
        <v>780</v>
      </c>
      <c r="G129" s="267"/>
      <c r="H129" s="311"/>
      <c r="I129" s="405"/>
      <c r="J129" s="405"/>
      <c r="K129" s="398"/>
      <c r="L129" s="405"/>
      <c r="M129" s="728"/>
      <c r="N129" s="729" t="s">
        <v>582</v>
      </c>
      <c r="O129" s="729" t="s">
        <v>583</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ht="15.75" customHeight="1">
      <c r="A130" s="327" t="str">
        <f>IF(B130&lt;&gt;"",IF(AND(B130='IN-TC'!$S$4,OR(TH!N130="1111",TH!O130="1111")),TH!D130,""),"")</f>
        <v/>
      </c>
      <c r="B130" s="62">
        <f t="shared" si="18"/>
        <v>5</v>
      </c>
      <c r="C130" s="724">
        <v>42886</v>
      </c>
      <c r="D130" s="724" t="s">
        <v>573</v>
      </c>
      <c r="E130" s="724">
        <f t="shared" si="19"/>
        <v>42886</v>
      </c>
      <c r="F130" s="996" t="s">
        <v>781</v>
      </c>
      <c r="G130" s="267"/>
      <c r="H130" s="311"/>
      <c r="I130" s="405"/>
      <c r="J130" s="405"/>
      <c r="K130" s="398"/>
      <c r="L130" s="405"/>
      <c r="M130" s="728"/>
      <c r="N130" s="729" t="s">
        <v>280</v>
      </c>
      <c r="O130" s="729" t="s">
        <v>583</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ht="15.75" customHeight="1">
      <c r="A131" s="327" t="str">
        <f>IF(B131&lt;&gt;"",IF(AND(B131='IN-TC'!$S$4,OR(TH!N131="1111",TH!O131="1111")),TH!D131,""),"")</f>
        <v/>
      </c>
      <c r="B131" s="62">
        <f t="shared" si="18"/>
        <v>5</v>
      </c>
      <c r="C131" s="724">
        <v>42886</v>
      </c>
      <c r="D131" s="724" t="s">
        <v>573</v>
      </c>
      <c r="E131" s="724">
        <f t="shared" si="19"/>
        <v>42886</v>
      </c>
      <c r="F131" s="996" t="s">
        <v>782</v>
      </c>
      <c r="G131" s="813" t="s">
        <v>574</v>
      </c>
      <c r="H131" s="311"/>
      <c r="I131" s="405"/>
      <c r="J131" s="405"/>
      <c r="K131" s="398"/>
      <c r="L131" s="405"/>
      <c r="M131" s="728">
        <f>G129*$G131</f>
        <v>0</v>
      </c>
      <c r="N131" s="729" t="s">
        <v>583</v>
      </c>
      <c r="O131" s="729" t="s">
        <v>584</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ht="15.75" customHeight="1">
      <c r="A132" s="327" t="str">
        <f>IF(B132&lt;&gt;"",IF(AND(B132='IN-TC'!$S$4,OR(TH!N132="1111",TH!O132="1111")),TH!D132,""),"")</f>
        <v/>
      </c>
      <c r="B132" s="62">
        <f t="shared" si="18"/>
        <v>5</v>
      </c>
      <c r="C132" s="724">
        <v>42886</v>
      </c>
      <c r="D132" s="724" t="s">
        <v>573</v>
      </c>
      <c r="E132" s="724">
        <f t="shared" si="19"/>
        <v>42886</v>
      </c>
      <c r="F132" s="996" t="s">
        <v>783</v>
      </c>
      <c r="G132" s="267"/>
      <c r="H132" s="311"/>
      <c r="I132" s="405"/>
      <c r="J132" s="405"/>
      <c r="K132" s="398"/>
      <c r="L132" s="405"/>
      <c r="M132" s="728">
        <f>G130*$G131</f>
        <v>0</v>
      </c>
      <c r="N132" s="730" t="s">
        <v>583</v>
      </c>
      <c r="O132" s="731" t="s">
        <v>584</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ht="15.75" customHeight="1">
      <c r="A133" s="327" t="str">
        <f>IF(B133&lt;&gt;"",IF(AND(B133='IN-TC'!$S$4,OR(TH!N133="1111",TH!O133="1111")),TH!D133,""),"")</f>
        <v/>
      </c>
      <c r="B133" s="62">
        <f t="shared" si="18"/>
        <v>5</v>
      </c>
      <c r="C133" s="724">
        <v>42886</v>
      </c>
      <c r="D133" s="724" t="s">
        <v>573</v>
      </c>
      <c r="E133" s="724">
        <f t="shared" si="19"/>
        <v>42886</v>
      </c>
      <c r="F133" s="996" t="s">
        <v>784</v>
      </c>
      <c r="G133" s="813" t="s">
        <v>575</v>
      </c>
      <c r="H133" s="311"/>
      <c r="I133" s="405"/>
      <c r="J133" s="405"/>
      <c r="K133" s="398"/>
      <c r="L133" s="405"/>
      <c r="M133" s="728">
        <f>G129*$G133</f>
        <v>0</v>
      </c>
      <c r="N133" s="729" t="s">
        <v>582</v>
      </c>
      <c r="O133" s="729" t="s">
        <v>584</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ht="15.75" customHeight="1">
      <c r="A134" s="327" t="str">
        <f>IF(B134&lt;&gt;"",IF(AND(B134='IN-TC'!$S$4,OR(TH!N134="1111",TH!O134="1111")),TH!D134,""),"")</f>
        <v/>
      </c>
      <c r="B134" s="62">
        <f t="shared" si="18"/>
        <v>5</v>
      </c>
      <c r="C134" s="724">
        <v>42886</v>
      </c>
      <c r="D134" s="724" t="s">
        <v>573</v>
      </c>
      <c r="E134" s="724">
        <f t="shared" si="19"/>
        <v>42886</v>
      </c>
      <c r="F134" s="996" t="s">
        <v>785</v>
      </c>
      <c r="G134" s="267"/>
      <c r="H134" s="311"/>
      <c r="I134" s="405"/>
      <c r="J134" s="405"/>
      <c r="K134" s="398"/>
      <c r="L134" s="405"/>
      <c r="M134" s="728">
        <f>G130*$G133</f>
        <v>0</v>
      </c>
      <c r="N134" s="729" t="s">
        <v>280</v>
      </c>
      <c r="O134" s="729" t="s">
        <v>584</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ht="15.75" customHeight="1">
      <c r="A135" s="327" t="str">
        <f>IF(B135&lt;&gt;"",IF(AND(B135='IN-TC'!$S$4,OR(TH!N135="1111",TH!O135="1111")),TH!D135,""),"")</f>
        <v/>
      </c>
      <c r="B135" s="62">
        <f t="shared" si="18"/>
        <v>5</v>
      </c>
      <c r="C135" s="724">
        <v>42886</v>
      </c>
      <c r="D135" s="724" t="s">
        <v>573</v>
      </c>
      <c r="E135" s="724">
        <f t="shared" si="19"/>
        <v>42886</v>
      </c>
      <c r="F135" s="996" t="s">
        <v>786</v>
      </c>
      <c r="G135" s="813" t="s">
        <v>576</v>
      </c>
      <c r="H135" s="313"/>
      <c r="I135" s="403"/>
      <c r="J135" s="403"/>
      <c r="K135" s="396"/>
      <c r="L135" s="403"/>
      <c r="M135" s="728">
        <f>ROUND(G129*$G135,0)</f>
        <v>0</v>
      </c>
      <c r="N135" s="729" t="s">
        <v>583</v>
      </c>
      <c r="O135" s="729" t="s">
        <v>585</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ht="15.75" customHeight="1">
      <c r="A136" s="327" t="str">
        <f>IF(B136&lt;&gt;"",IF(AND(B136='IN-TC'!$S$4,OR(TH!N136="1111",TH!O136="1111")),TH!D136,""),"")</f>
        <v/>
      </c>
      <c r="B136" s="62">
        <f t="shared" si="18"/>
        <v>5</v>
      </c>
      <c r="C136" s="724">
        <v>42886</v>
      </c>
      <c r="D136" s="724" t="s">
        <v>573</v>
      </c>
      <c r="E136" s="724">
        <f t="shared" si="19"/>
        <v>42886</v>
      </c>
      <c r="F136" s="996" t="s">
        <v>787</v>
      </c>
      <c r="G136" s="267"/>
      <c r="H136" s="313"/>
      <c r="I136" s="403"/>
      <c r="J136" s="403"/>
      <c r="K136" s="396"/>
      <c r="L136" s="403"/>
      <c r="M136" s="728">
        <f>G130*$G135</f>
        <v>0</v>
      </c>
      <c r="N136" s="729" t="s">
        <v>583</v>
      </c>
      <c r="O136" s="729" t="s">
        <v>585</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ht="15.75" customHeight="1">
      <c r="A137" s="327" t="str">
        <f>IF(B137&lt;&gt;"",IF(AND(B137='IN-TC'!$S$4,OR(TH!N137="1111",TH!O137="1111")),TH!D137,""),"")</f>
        <v/>
      </c>
      <c r="B137" s="62">
        <f t="shared" si="18"/>
        <v>5</v>
      </c>
      <c r="C137" s="724">
        <v>42886</v>
      </c>
      <c r="D137" s="724" t="s">
        <v>573</v>
      </c>
      <c r="E137" s="724">
        <f t="shared" si="19"/>
        <v>42886</v>
      </c>
      <c r="F137" s="996" t="s">
        <v>788</v>
      </c>
      <c r="G137" s="813" t="s">
        <v>577</v>
      </c>
      <c r="H137" s="311"/>
      <c r="I137" s="405"/>
      <c r="J137" s="405"/>
      <c r="K137" s="398"/>
      <c r="L137" s="405"/>
      <c r="M137" s="728">
        <f>G129*$G137</f>
        <v>0</v>
      </c>
      <c r="N137" s="729" t="s">
        <v>582</v>
      </c>
      <c r="O137" s="729" t="s">
        <v>585</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ht="15.75" customHeight="1">
      <c r="A138" s="327" t="str">
        <f>IF(B138&lt;&gt;"",IF(AND(B138='IN-TC'!$S$4,OR(TH!N138="1111",TH!O138="1111")),TH!D138,""),"")</f>
        <v/>
      </c>
      <c r="B138" s="62">
        <f t="shared" si="18"/>
        <v>5</v>
      </c>
      <c r="C138" s="724">
        <v>42886</v>
      </c>
      <c r="D138" s="724" t="s">
        <v>573</v>
      </c>
      <c r="E138" s="724">
        <f t="shared" si="19"/>
        <v>42886</v>
      </c>
      <c r="F138" s="996" t="s">
        <v>789</v>
      </c>
      <c r="G138" s="267"/>
      <c r="H138" s="311"/>
      <c r="I138" s="405"/>
      <c r="J138" s="405"/>
      <c r="K138" s="398"/>
      <c r="L138" s="405"/>
      <c r="M138" s="728">
        <f>G130*$G137</f>
        <v>0</v>
      </c>
      <c r="N138" s="729" t="s">
        <v>280</v>
      </c>
      <c r="O138" s="729" t="s">
        <v>585</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ht="15.75" customHeight="1">
      <c r="A139" s="327" t="str">
        <f>IF(B139&lt;&gt;"",IF(AND(B139='IN-TC'!$S$4,OR(TH!N139="1111",TH!O139="1111")),TH!D139,""),"")</f>
        <v/>
      </c>
      <c r="B139" s="62">
        <f t="shared" si="18"/>
        <v>5</v>
      </c>
      <c r="C139" s="724">
        <v>42886</v>
      </c>
      <c r="D139" s="724" t="s">
        <v>573</v>
      </c>
      <c r="E139" s="724">
        <f t="shared" si="19"/>
        <v>42886</v>
      </c>
      <c r="F139" s="996" t="s">
        <v>790</v>
      </c>
      <c r="G139" s="813" t="s">
        <v>578</v>
      </c>
      <c r="H139" s="311"/>
      <c r="I139" s="405"/>
      <c r="J139" s="405"/>
      <c r="K139" s="398"/>
      <c r="L139" s="405"/>
      <c r="M139" s="728">
        <f>G129*$G139</f>
        <v>0</v>
      </c>
      <c r="N139" s="729" t="s">
        <v>583</v>
      </c>
      <c r="O139" s="729" t="s">
        <v>586</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ht="15.75" customHeight="1">
      <c r="A140" s="327" t="str">
        <f>IF(B140&lt;&gt;"",IF(AND(B140='IN-TC'!$S$4,OR(TH!N140="1111",TH!O140="1111")),TH!D140,""),"")</f>
        <v/>
      </c>
      <c r="B140" s="62">
        <f t="shared" si="18"/>
        <v>5</v>
      </c>
      <c r="C140" s="724">
        <v>42886</v>
      </c>
      <c r="D140" s="724" t="s">
        <v>573</v>
      </c>
      <c r="E140" s="724">
        <f t="shared" si="19"/>
        <v>42886</v>
      </c>
      <c r="F140" s="996" t="s">
        <v>791</v>
      </c>
      <c r="G140" s="267"/>
      <c r="H140" s="311"/>
      <c r="I140" s="405"/>
      <c r="J140" s="405"/>
      <c r="K140" s="398"/>
      <c r="L140" s="405"/>
      <c r="M140" s="728">
        <f>G130*$G139</f>
        <v>0</v>
      </c>
      <c r="N140" s="729" t="s">
        <v>583</v>
      </c>
      <c r="O140" s="729" t="s">
        <v>586</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ht="15.75" customHeight="1">
      <c r="A141" s="327" t="str">
        <f>IF(B141&lt;&gt;"",IF(AND(B141='IN-TC'!$S$4,OR(TH!N141="1111",TH!O141="1111")),TH!D141,""),"")</f>
        <v/>
      </c>
      <c r="B141" s="62">
        <f t="shared" si="18"/>
        <v>5</v>
      </c>
      <c r="C141" s="724">
        <v>42886</v>
      </c>
      <c r="D141" s="724" t="s">
        <v>573</v>
      </c>
      <c r="E141" s="724">
        <f t="shared" si="19"/>
        <v>42886</v>
      </c>
      <c r="F141" s="996" t="s">
        <v>792</v>
      </c>
      <c r="G141" s="813" t="s">
        <v>578</v>
      </c>
      <c r="H141" s="952"/>
      <c r="I141" s="406"/>
      <c r="J141" s="406"/>
      <c r="K141" s="399"/>
      <c r="L141" s="406"/>
      <c r="M141" s="728">
        <f>M139</f>
        <v>0</v>
      </c>
      <c r="N141" s="729" t="s">
        <v>582</v>
      </c>
      <c r="O141" s="729" t="s">
        <v>586</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ht="15.75" customHeight="1">
      <c r="A142" s="327" t="str">
        <f>IF(B142&lt;&gt;"",IF(AND(B142='IN-TC'!$S$4,OR(TH!N142="1111",TH!O142="1111")),TH!D142,""),"")</f>
        <v/>
      </c>
      <c r="B142" s="62">
        <f t="shared" si="18"/>
        <v>5</v>
      </c>
      <c r="C142" s="724">
        <v>42886</v>
      </c>
      <c r="D142" s="724" t="s">
        <v>573</v>
      </c>
      <c r="E142" s="724">
        <f t="shared" si="19"/>
        <v>42886</v>
      </c>
      <c r="F142" s="996" t="s">
        <v>793</v>
      </c>
      <c r="G142" s="267"/>
      <c r="H142" s="311"/>
      <c r="I142" s="405"/>
      <c r="J142" s="405"/>
      <c r="K142" s="398"/>
      <c r="L142" s="405"/>
      <c r="M142" s="728">
        <f>M140</f>
        <v>0</v>
      </c>
      <c r="N142" s="729" t="s">
        <v>280</v>
      </c>
      <c r="O142" s="729" t="s">
        <v>586</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ht="15.75" customHeight="1">
      <c r="A143" s="327" t="str">
        <f>IF(B143&lt;&gt;"",IF(AND(B143='IN-TC'!$S$4,OR(TH!N143="1111",TH!O143="1111")),TH!D143,""),"")</f>
        <v/>
      </c>
      <c r="B143" s="62">
        <f t="shared" si="18"/>
        <v>6</v>
      </c>
      <c r="C143" s="724">
        <v>42916</v>
      </c>
      <c r="D143" s="724" t="s">
        <v>573</v>
      </c>
      <c r="E143" s="724">
        <f t="shared" si="19"/>
        <v>42916</v>
      </c>
      <c r="F143" s="996" t="s">
        <v>780</v>
      </c>
      <c r="G143" s="267"/>
      <c r="H143" s="311"/>
      <c r="I143" s="405"/>
      <c r="J143" s="405"/>
      <c r="K143" s="398"/>
      <c r="L143" s="405"/>
      <c r="M143" s="728"/>
      <c r="N143" s="729" t="s">
        <v>582</v>
      </c>
      <c r="O143" s="729" t="s">
        <v>583</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ht="15.75" customHeight="1">
      <c r="A144" s="327" t="str">
        <f>IF(B144&lt;&gt;"",IF(AND(B144='IN-TC'!$S$4,OR(TH!N144="1111",TH!O144="1111")),TH!D144,""),"")</f>
        <v/>
      </c>
      <c r="B144" s="62">
        <f t="shared" si="18"/>
        <v>6</v>
      </c>
      <c r="C144" s="724">
        <v>42916</v>
      </c>
      <c r="D144" s="724" t="s">
        <v>573</v>
      </c>
      <c r="E144" s="724">
        <f t="shared" si="19"/>
        <v>42916</v>
      </c>
      <c r="F144" s="996" t="s">
        <v>781</v>
      </c>
      <c r="G144" s="267"/>
      <c r="H144" s="311"/>
      <c r="I144" s="405"/>
      <c r="J144" s="405"/>
      <c r="K144" s="398"/>
      <c r="L144" s="405"/>
      <c r="M144" s="728"/>
      <c r="N144" s="729" t="s">
        <v>280</v>
      </c>
      <c r="O144" s="729" t="s">
        <v>583</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ht="15.75" customHeight="1">
      <c r="A145" s="327" t="str">
        <f>IF(B145&lt;&gt;"",IF(AND(B145='IN-TC'!$S$4,OR(TH!N145="1111",TH!O145="1111")),TH!D145,""),"")</f>
        <v/>
      </c>
      <c r="B145" s="62">
        <f t="shared" si="18"/>
        <v>6</v>
      </c>
      <c r="C145" s="724">
        <v>42916</v>
      </c>
      <c r="D145" s="724" t="s">
        <v>573</v>
      </c>
      <c r="E145" s="724">
        <f t="shared" ref="E145:E176" si="20">C145</f>
        <v>42916</v>
      </c>
      <c r="F145" s="996" t="s">
        <v>782</v>
      </c>
      <c r="G145" s="813" t="s">
        <v>574</v>
      </c>
      <c r="H145" s="311"/>
      <c r="I145" s="405"/>
      <c r="J145" s="405"/>
      <c r="K145" s="398"/>
      <c r="L145" s="405"/>
      <c r="M145" s="728">
        <f>G143*$G145</f>
        <v>0</v>
      </c>
      <c r="N145" s="729" t="s">
        <v>583</v>
      </c>
      <c r="O145" s="729" t="s">
        <v>584</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ht="15.75" customHeight="1">
      <c r="A146" s="327" t="str">
        <f>IF(B146&lt;&gt;"",IF(AND(B146='IN-TC'!$S$4,OR(TH!N146="1111",TH!O146="1111")),TH!D146,""),"")</f>
        <v/>
      </c>
      <c r="B146" s="62">
        <f t="shared" si="18"/>
        <v>6</v>
      </c>
      <c r="C146" s="724">
        <v>42916</v>
      </c>
      <c r="D146" s="724" t="s">
        <v>573</v>
      </c>
      <c r="E146" s="724">
        <f t="shared" si="20"/>
        <v>42916</v>
      </c>
      <c r="F146" s="996" t="s">
        <v>783</v>
      </c>
      <c r="G146" s="267"/>
      <c r="H146" s="311"/>
      <c r="I146" s="405"/>
      <c r="J146" s="405"/>
      <c r="K146" s="398"/>
      <c r="L146" s="405"/>
      <c r="M146" s="728">
        <f>G144*$G145</f>
        <v>0</v>
      </c>
      <c r="N146" s="730" t="s">
        <v>583</v>
      </c>
      <c r="O146" s="731" t="s">
        <v>584</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ht="15.75" customHeight="1">
      <c r="A147" s="327" t="str">
        <f>IF(B147&lt;&gt;"",IF(AND(B147='IN-TC'!$S$4,OR(TH!N147="1111",TH!O147="1111")),TH!D147,""),"")</f>
        <v/>
      </c>
      <c r="B147" s="62">
        <f t="shared" si="18"/>
        <v>6</v>
      </c>
      <c r="C147" s="724">
        <v>42916</v>
      </c>
      <c r="D147" s="724" t="s">
        <v>573</v>
      </c>
      <c r="E147" s="724">
        <f t="shared" si="20"/>
        <v>42916</v>
      </c>
      <c r="F147" s="996" t="s">
        <v>784</v>
      </c>
      <c r="G147" s="813" t="s">
        <v>575</v>
      </c>
      <c r="H147" s="311"/>
      <c r="I147" s="405"/>
      <c r="J147" s="405"/>
      <c r="K147" s="398"/>
      <c r="L147" s="405"/>
      <c r="M147" s="728">
        <f>G143*$G147</f>
        <v>0</v>
      </c>
      <c r="N147" s="729" t="s">
        <v>582</v>
      </c>
      <c r="O147" s="729" t="s">
        <v>584</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ht="15.75" customHeight="1">
      <c r="A148" s="327" t="str">
        <f>IF(B148&lt;&gt;"",IF(AND(B148='IN-TC'!$S$4,OR(TH!N148="1111",TH!O148="1111")),TH!D148,""),"")</f>
        <v/>
      </c>
      <c r="B148" s="62">
        <f t="shared" si="18"/>
        <v>6</v>
      </c>
      <c r="C148" s="724">
        <v>42916</v>
      </c>
      <c r="D148" s="724" t="s">
        <v>573</v>
      </c>
      <c r="E148" s="724">
        <f t="shared" si="20"/>
        <v>42916</v>
      </c>
      <c r="F148" s="996" t="s">
        <v>785</v>
      </c>
      <c r="G148" s="267"/>
      <c r="H148" s="311"/>
      <c r="I148" s="405"/>
      <c r="J148" s="405"/>
      <c r="K148" s="398"/>
      <c r="L148" s="405"/>
      <c r="M148" s="728">
        <f>G144*$G147</f>
        <v>0</v>
      </c>
      <c r="N148" s="729" t="s">
        <v>280</v>
      </c>
      <c r="O148" s="729" t="s">
        <v>584</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ht="15.75" customHeight="1">
      <c r="A149" s="327" t="str">
        <f>IF(B149&lt;&gt;"",IF(AND(B149='IN-TC'!$S$4,OR(TH!N149="1111",TH!O149="1111")),TH!D149,""),"")</f>
        <v/>
      </c>
      <c r="B149" s="62">
        <f t="shared" si="18"/>
        <v>6</v>
      </c>
      <c r="C149" s="724">
        <v>42916</v>
      </c>
      <c r="D149" s="724" t="s">
        <v>573</v>
      </c>
      <c r="E149" s="724">
        <f t="shared" si="20"/>
        <v>42916</v>
      </c>
      <c r="F149" s="996" t="s">
        <v>786</v>
      </c>
      <c r="G149" s="813" t="s">
        <v>576</v>
      </c>
      <c r="H149" s="313"/>
      <c r="I149" s="403"/>
      <c r="J149" s="403"/>
      <c r="K149" s="396"/>
      <c r="L149" s="403"/>
      <c r="M149" s="728">
        <f>ROUND(G143*$G149,0)</f>
        <v>0</v>
      </c>
      <c r="N149" s="729" t="s">
        <v>583</v>
      </c>
      <c r="O149" s="729" t="s">
        <v>585</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ht="15.75" customHeight="1">
      <c r="A150" s="327" t="str">
        <f>IF(B150&lt;&gt;"",IF(AND(B150='IN-TC'!$S$4,OR(TH!N150="1111",TH!O150="1111")),TH!D150,""),"")</f>
        <v/>
      </c>
      <c r="B150" s="62">
        <f t="shared" si="18"/>
        <v>6</v>
      </c>
      <c r="C150" s="724">
        <v>42916</v>
      </c>
      <c r="D150" s="724" t="s">
        <v>573</v>
      </c>
      <c r="E150" s="724">
        <f t="shared" si="20"/>
        <v>42916</v>
      </c>
      <c r="F150" s="996" t="s">
        <v>787</v>
      </c>
      <c r="G150" s="267"/>
      <c r="H150" s="313"/>
      <c r="I150" s="403"/>
      <c r="J150" s="403"/>
      <c r="K150" s="396"/>
      <c r="L150" s="403"/>
      <c r="M150" s="728">
        <f>ROUND(G144*$G149,0)</f>
        <v>0</v>
      </c>
      <c r="N150" s="729" t="s">
        <v>583</v>
      </c>
      <c r="O150" s="729" t="s">
        <v>585</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ht="15.75" customHeight="1">
      <c r="A151" s="327" t="str">
        <f>IF(B151&lt;&gt;"",IF(AND(B151='IN-TC'!$S$4,OR(TH!N151="1111",TH!O151="1111")),TH!D151,""),"")</f>
        <v/>
      </c>
      <c r="B151" s="62">
        <f t="shared" si="18"/>
        <v>6</v>
      </c>
      <c r="C151" s="724">
        <v>42916</v>
      </c>
      <c r="D151" s="724" t="s">
        <v>573</v>
      </c>
      <c r="E151" s="724">
        <f t="shared" si="20"/>
        <v>42916</v>
      </c>
      <c r="F151" s="996" t="s">
        <v>788</v>
      </c>
      <c r="G151" s="813" t="s">
        <v>577</v>
      </c>
      <c r="H151" s="311"/>
      <c r="I151" s="405"/>
      <c r="J151" s="405"/>
      <c r="K151" s="398"/>
      <c r="L151" s="405"/>
      <c r="M151" s="728">
        <f>G143*$G151</f>
        <v>0</v>
      </c>
      <c r="N151" s="729" t="s">
        <v>582</v>
      </c>
      <c r="O151" s="729" t="s">
        <v>585</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ht="15.75" customHeight="1">
      <c r="A152" s="327" t="str">
        <f>IF(B152&lt;&gt;"",IF(AND(B152='IN-TC'!$S$4,OR(TH!N152="1111",TH!O152="1111")),TH!D152,""),"")</f>
        <v/>
      </c>
      <c r="B152" s="62">
        <f t="shared" si="18"/>
        <v>6</v>
      </c>
      <c r="C152" s="724">
        <v>42916</v>
      </c>
      <c r="D152" s="724" t="s">
        <v>573</v>
      </c>
      <c r="E152" s="724">
        <f t="shared" si="20"/>
        <v>42916</v>
      </c>
      <c r="F152" s="996" t="s">
        <v>789</v>
      </c>
      <c r="G152" s="267"/>
      <c r="H152" s="311"/>
      <c r="I152" s="405"/>
      <c r="J152" s="405"/>
      <c r="K152" s="398"/>
      <c r="L152" s="405"/>
      <c r="M152" s="728">
        <f>G144*$G151</f>
        <v>0</v>
      </c>
      <c r="N152" s="729" t="s">
        <v>280</v>
      </c>
      <c r="O152" s="729" t="s">
        <v>585</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ht="15.75" customHeight="1">
      <c r="A153" s="327" t="str">
        <f>IF(B153&lt;&gt;"",IF(AND(B153='IN-TC'!$S$4,OR(TH!N153="1111",TH!O153="1111")),TH!D153,""),"")</f>
        <v/>
      </c>
      <c r="B153" s="62">
        <f t="shared" si="18"/>
        <v>6</v>
      </c>
      <c r="C153" s="724">
        <v>42916</v>
      </c>
      <c r="D153" s="724" t="s">
        <v>573</v>
      </c>
      <c r="E153" s="724">
        <f t="shared" si="20"/>
        <v>42916</v>
      </c>
      <c r="F153" s="996" t="s">
        <v>790</v>
      </c>
      <c r="G153" s="813" t="s">
        <v>578</v>
      </c>
      <c r="H153" s="311"/>
      <c r="I153" s="405"/>
      <c r="J153" s="405"/>
      <c r="K153" s="398"/>
      <c r="L153" s="405"/>
      <c r="M153" s="728">
        <f>G143*$G153</f>
        <v>0</v>
      </c>
      <c r="N153" s="729" t="s">
        <v>583</v>
      </c>
      <c r="O153" s="729" t="s">
        <v>586</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ht="15.75" customHeight="1">
      <c r="A154" s="327" t="str">
        <f>IF(B154&lt;&gt;"",IF(AND(B154='IN-TC'!$S$4,OR(TH!N154="1111",TH!O154="1111")),TH!D154,""),"")</f>
        <v/>
      </c>
      <c r="B154" s="62">
        <f t="shared" si="18"/>
        <v>6</v>
      </c>
      <c r="C154" s="724">
        <v>42916</v>
      </c>
      <c r="D154" s="724" t="s">
        <v>573</v>
      </c>
      <c r="E154" s="724">
        <f t="shared" si="20"/>
        <v>42916</v>
      </c>
      <c r="F154" s="996" t="s">
        <v>791</v>
      </c>
      <c r="G154" s="267"/>
      <c r="H154" s="311"/>
      <c r="I154" s="405"/>
      <c r="J154" s="405"/>
      <c r="K154" s="398"/>
      <c r="L154" s="405"/>
      <c r="M154" s="728">
        <f>G144*$G153</f>
        <v>0</v>
      </c>
      <c r="N154" s="729" t="s">
        <v>583</v>
      </c>
      <c r="O154" s="729" t="s">
        <v>586</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ht="15.75" customHeight="1">
      <c r="A155" s="327" t="str">
        <f>IF(B155&lt;&gt;"",IF(AND(B155='IN-TC'!$S$4,OR(TH!N155="1111",TH!O155="1111")),TH!D155,""),"")</f>
        <v/>
      </c>
      <c r="B155" s="62">
        <f t="shared" si="18"/>
        <v>6</v>
      </c>
      <c r="C155" s="724">
        <v>42916</v>
      </c>
      <c r="D155" s="724" t="s">
        <v>573</v>
      </c>
      <c r="E155" s="724">
        <f t="shared" si="20"/>
        <v>42916</v>
      </c>
      <c r="F155" s="996" t="s">
        <v>792</v>
      </c>
      <c r="G155" s="813" t="s">
        <v>578</v>
      </c>
      <c r="H155" s="952"/>
      <c r="I155" s="406"/>
      <c r="J155" s="406"/>
      <c r="K155" s="399"/>
      <c r="L155" s="406"/>
      <c r="M155" s="728">
        <f>M153</f>
        <v>0</v>
      </c>
      <c r="N155" s="729" t="s">
        <v>582</v>
      </c>
      <c r="O155" s="729" t="s">
        <v>586</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ht="15.75" customHeight="1">
      <c r="A156" s="327" t="str">
        <f>IF(B156&lt;&gt;"",IF(AND(B156='IN-TC'!$S$4,OR(TH!N156="1111",TH!O156="1111")),TH!D156,""),"")</f>
        <v/>
      </c>
      <c r="B156" s="62">
        <f t="shared" si="18"/>
        <v>6</v>
      </c>
      <c r="C156" s="724">
        <v>42916</v>
      </c>
      <c r="D156" s="724" t="s">
        <v>573</v>
      </c>
      <c r="E156" s="724">
        <f t="shared" si="20"/>
        <v>42916</v>
      </c>
      <c r="F156" s="996" t="s">
        <v>793</v>
      </c>
      <c r="G156" s="267"/>
      <c r="H156" s="311"/>
      <c r="I156" s="405"/>
      <c r="J156" s="405"/>
      <c r="K156" s="398"/>
      <c r="L156" s="405"/>
      <c r="M156" s="728">
        <f>M154</f>
        <v>0</v>
      </c>
      <c r="N156" s="729" t="s">
        <v>280</v>
      </c>
      <c r="O156" s="729" t="s">
        <v>586</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ht="15.75" customHeight="1">
      <c r="A157" s="327" t="str">
        <f>IF(B157&lt;&gt;"",IF(AND(B157='IN-TC'!$S$4,OR(TH!N157="1111",TH!O157="1111")),TH!D157,""),"")</f>
        <v/>
      </c>
      <c r="B157" s="62">
        <f t="shared" si="18"/>
        <v>7</v>
      </c>
      <c r="C157" s="724">
        <v>42947</v>
      </c>
      <c r="D157" s="724" t="s">
        <v>573</v>
      </c>
      <c r="E157" s="724">
        <f t="shared" si="20"/>
        <v>42947</v>
      </c>
      <c r="F157" s="996" t="s">
        <v>780</v>
      </c>
      <c r="G157" s="267"/>
      <c r="H157" s="311"/>
      <c r="I157" s="405"/>
      <c r="J157" s="405"/>
      <c r="K157" s="398"/>
      <c r="L157" s="405"/>
      <c r="M157" s="728"/>
      <c r="N157" s="729" t="s">
        <v>582</v>
      </c>
      <c r="O157" s="729" t="s">
        <v>583</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ht="15.75" customHeight="1">
      <c r="A158" s="327" t="str">
        <f>IF(B158&lt;&gt;"",IF(AND(B158='IN-TC'!$S$4,OR(TH!N158="1111",TH!O158="1111")),TH!D158,""),"")</f>
        <v/>
      </c>
      <c r="B158" s="62">
        <f t="shared" si="18"/>
        <v>7</v>
      </c>
      <c r="C158" s="724">
        <v>42947</v>
      </c>
      <c r="D158" s="724" t="s">
        <v>573</v>
      </c>
      <c r="E158" s="724">
        <f t="shared" si="20"/>
        <v>42947</v>
      </c>
      <c r="F158" s="996" t="s">
        <v>781</v>
      </c>
      <c r="G158" s="267"/>
      <c r="H158" s="311"/>
      <c r="I158" s="405"/>
      <c r="J158" s="405"/>
      <c r="K158" s="398"/>
      <c r="L158" s="405"/>
      <c r="M158" s="728"/>
      <c r="N158" s="729" t="s">
        <v>280</v>
      </c>
      <c r="O158" s="729" t="s">
        <v>583</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ht="15.75" customHeight="1">
      <c r="A159" s="327" t="str">
        <f>IF(B159&lt;&gt;"",IF(AND(B159='IN-TC'!$S$4,OR(TH!N159="1111",TH!O159="1111")),TH!D159,""),"")</f>
        <v/>
      </c>
      <c r="B159" s="62">
        <f t="shared" si="18"/>
        <v>7</v>
      </c>
      <c r="C159" s="724">
        <v>42947</v>
      </c>
      <c r="D159" s="724" t="s">
        <v>573</v>
      </c>
      <c r="E159" s="724">
        <f t="shared" si="20"/>
        <v>42947</v>
      </c>
      <c r="F159" s="996" t="s">
        <v>782</v>
      </c>
      <c r="G159" s="813" t="s">
        <v>574</v>
      </c>
      <c r="H159" s="311"/>
      <c r="I159" s="405"/>
      <c r="J159" s="405"/>
      <c r="K159" s="398"/>
      <c r="L159" s="405"/>
      <c r="M159" s="728">
        <f>G157*$G159</f>
        <v>0</v>
      </c>
      <c r="N159" s="729" t="s">
        <v>583</v>
      </c>
      <c r="O159" s="729" t="s">
        <v>584</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ht="15.75" customHeight="1">
      <c r="A160" s="327" t="str">
        <f>IF(B160&lt;&gt;"",IF(AND(B160='IN-TC'!$S$4,OR(TH!N160="1111",TH!O160="1111")),TH!D160,""),"")</f>
        <v/>
      </c>
      <c r="B160" s="62">
        <f t="shared" si="18"/>
        <v>7</v>
      </c>
      <c r="C160" s="724">
        <v>42947</v>
      </c>
      <c r="D160" s="724" t="s">
        <v>573</v>
      </c>
      <c r="E160" s="724">
        <f t="shared" si="20"/>
        <v>42947</v>
      </c>
      <c r="F160" s="996" t="s">
        <v>783</v>
      </c>
      <c r="G160" s="267"/>
      <c r="H160" s="311"/>
      <c r="I160" s="405"/>
      <c r="J160" s="405"/>
      <c r="K160" s="398"/>
      <c r="L160" s="405"/>
      <c r="M160" s="728">
        <f>G158*$G159</f>
        <v>0</v>
      </c>
      <c r="N160" s="730" t="s">
        <v>583</v>
      </c>
      <c r="O160" s="731" t="s">
        <v>584</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ht="15.75" customHeight="1">
      <c r="A161" s="327" t="str">
        <f>IF(B161&lt;&gt;"",IF(AND(B161='IN-TC'!$S$4,OR(TH!N161="1111",TH!O161="1111")),TH!D161,""),"")</f>
        <v/>
      </c>
      <c r="B161" s="62">
        <f t="shared" si="18"/>
        <v>7</v>
      </c>
      <c r="C161" s="724">
        <v>42947</v>
      </c>
      <c r="D161" s="724" t="s">
        <v>573</v>
      </c>
      <c r="E161" s="724">
        <f t="shared" si="20"/>
        <v>42947</v>
      </c>
      <c r="F161" s="996" t="s">
        <v>784</v>
      </c>
      <c r="G161" s="813" t="s">
        <v>575</v>
      </c>
      <c r="H161" s="311"/>
      <c r="I161" s="405"/>
      <c r="J161" s="405"/>
      <c r="K161" s="398"/>
      <c r="L161" s="405"/>
      <c r="M161" s="728">
        <f>G157*$G161</f>
        <v>0</v>
      </c>
      <c r="N161" s="729" t="s">
        <v>582</v>
      </c>
      <c r="O161" s="729" t="s">
        <v>584</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ht="15.75" customHeight="1">
      <c r="A162" s="327" t="str">
        <f>IF(B162&lt;&gt;"",IF(AND(B162='IN-TC'!$S$4,OR(TH!N162="1111",TH!O162="1111")),TH!D162,""),"")</f>
        <v/>
      </c>
      <c r="B162" s="62">
        <f t="shared" ref="B162:B225" si="21">IF(C162&lt;&gt;"",MONTH(C162),"")</f>
        <v>7</v>
      </c>
      <c r="C162" s="724">
        <v>42947</v>
      </c>
      <c r="D162" s="724" t="s">
        <v>573</v>
      </c>
      <c r="E162" s="724">
        <f t="shared" si="20"/>
        <v>42947</v>
      </c>
      <c r="F162" s="996" t="s">
        <v>785</v>
      </c>
      <c r="G162" s="267"/>
      <c r="H162" s="311"/>
      <c r="I162" s="405"/>
      <c r="J162" s="405"/>
      <c r="K162" s="398"/>
      <c r="L162" s="405"/>
      <c r="M162" s="728">
        <f>G158*$G161</f>
        <v>0</v>
      </c>
      <c r="N162" s="729" t="s">
        <v>280</v>
      </c>
      <c r="O162" s="729" t="s">
        <v>584</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ht="15.75" customHeight="1">
      <c r="A163" s="327" t="str">
        <f>IF(B163&lt;&gt;"",IF(AND(B163='IN-TC'!$S$4,OR(TH!N163="1111",TH!O163="1111")),TH!D163,""),"")</f>
        <v/>
      </c>
      <c r="B163" s="62">
        <f t="shared" si="21"/>
        <v>7</v>
      </c>
      <c r="C163" s="724">
        <v>42947</v>
      </c>
      <c r="D163" s="724" t="s">
        <v>573</v>
      </c>
      <c r="E163" s="724">
        <f t="shared" si="20"/>
        <v>42947</v>
      </c>
      <c r="F163" s="996" t="s">
        <v>786</v>
      </c>
      <c r="G163" s="813" t="s">
        <v>576</v>
      </c>
      <c r="H163" s="313"/>
      <c r="I163" s="403"/>
      <c r="J163" s="403"/>
      <c r="K163" s="396"/>
      <c r="L163" s="403"/>
      <c r="M163" s="728">
        <f>ROUND(G157*$G163,0)</f>
        <v>0</v>
      </c>
      <c r="N163" s="729" t="s">
        <v>583</v>
      </c>
      <c r="O163" s="729" t="s">
        <v>585</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ht="15.75" customHeight="1">
      <c r="A164" s="327" t="str">
        <f>IF(B164&lt;&gt;"",IF(AND(B164='IN-TC'!$S$4,OR(TH!N164="1111",TH!O164="1111")),TH!D164,""),"")</f>
        <v/>
      </c>
      <c r="B164" s="62">
        <f t="shared" si="21"/>
        <v>7</v>
      </c>
      <c r="C164" s="724">
        <v>42947</v>
      </c>
      <c r="D164" s="724" t="s">
        <v>573</v>
      </c>
      <c r="E164" s="724">
        <f t="shared" si="20"/>
        <v>42947</v>
      </c>
      <c r="F164" s="996" t="s">
        <v>787</v>
      </c>
      <c r="G164" s="267"/>
      <c r="H164" s="313"/>
      <c r="I164" s="403"/>
      <c r="J164" s="403"/>
      <c r="K164" s="396"/>
      <c r="L164" s="403"/>
      <c r="M164" s="728">
        <f>ROUND(G158*$G163,0)</f>
        <v>0</v>
      </c>
      <c r="N164" s="729" t="s">
        <v>583</v>
      </c>
      <c r="O164" s="729" t="s">
        <v>585</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ht="15.75" customHeight="1">
      <c r="A165" s="327" t="str">
        <f>IF(B165&lt;&gt;"",IF(AND(B165='IN-TC'!$S$4,OR(TH!N165="1111",TH!O165="1111")),TH!D165,""),"")</f>
        <v/>
      </c>
      <c r="B165" s="62">
        <f t="shared" si="21"/>
        <v>7</v>
      </c>
      <c r="C165" s="724">
        <v>42947</v>
      </c>
      <c r="D165" s="724" t="s">
        <v>573</v>
      </c>
      <c r="E165" s="724">
        <f t="shared" si="20"/>
        <v>42947</v>
      </c>
      <c r="F165" s="996" t="s">
        <v>788</v>
      </c>
      <c r="G165" s="813" t="s">
        <v>577</v>
      </c>
      <c r="H165" s="311"/>
      <c r="I165" s="405"/>
      <c r="J165" s="405"/>
      <c r="K165" s="398"/>
      <c r="L165" s="405"/>
      <c r="M165" s="728">
        <f>G157*$G165</f>
        <v>0</v>
      </c>
      <c r="N165" s="729" t="s">
        <v>582</v>
      </c>
      <c r="O165" s="729" t="s">
        <v>585</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ht="15.75" customHeight="1">
      <c r="A166" s="327" t="str">
        <f>IF(B166&lt;&gt;"",IF(AND(B166='IN-TC'!$S$4,OR(TH!N166="1111",TH!O166="1111")),TH!D166,""),"")</f>
        <v/>
      </c>
      <c r="B166" s="62">
        <f t="shared" si="21"/>
        <v>7</v>
      </c>
      <c r="C166" s="724">
        <v>42947</v>
      </c>
      <c r="D166" s="724" t="s">
        <v>573</v>
      </c>
      <c r="E166" s="724">
        <f t="shared" si="20"/>
        <v>42947</v>
      </c>
      <c r="F166" s="996" t="s">
        <v>789</v>
      </c>
      <c r="G166" s="267"/>
      <c r="H166" s="311"/>
      <c r="I166" s="405"/>
      <c r="J166" s="405"/>
      <c r="K166" s="398"/>
      <c r="L166" s="405"/>
      <c r="M166" s="728">
        <f>G158*$G165</f>
        <v>0</v>
      </c>
      <c r="N166" s="729" t="s">
        <v>280</v>
      </c>
      <c r="O166" s="729" t="s">
        <v>585</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ht="15.75" customHeight="1">
      <c r="A167" s="327" t="str">
        <f>IF(B167&lt;&gt;"",IF(AND(B167='IN-TC'!$S$4,OR(TH!N167="1111",TH!O167="1111")),TH!D167,""),"")</f>
        <v/>
      </c>
      <c r="B167" s="62">
        <f t="shared" si="21"/>
        <v>7</v>
      </c>
      <c r="C167" s="724">
        <v>42947</v>
      </c>
      <c r="D167" s="724" t="s">
        <v>573</v>
      </c>
      <c r="E167" s="724">
        <f t="shared" si="20"/>
        <v>42947</v>
      </c>
      <c r="F167" s="996" t="s">
        <v>790</v>
      </c>
      <c r="G167" s="813" t="s">
        <v>578</v>
      </c>
      <c r="H167" s="311"/>
      <c r="I167" s="405"/>
      <c r="J167" s="405"/>
      <c r="K167" s="398"/>
      <c r="L167" s="405"/>
      <c r="M167" s="728">
        <f>G157*$G167</f>
        <v>0</v>
      </c>
      <c r="N167" s="729" t="s">
        <v>583</v>
      </c>
      <c r="O167" s="729" t="s">
        <v>586</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ht="15.75" customHeight="1">
      <c r="A168" s="327" t="str">
        <f>IF(B168&lt;&gt;"",IF(AND(B168='IN-TC'!$S$4,OR(TH!N168="1111",TH!O168="1111")),TH!D168,""),"")</f>
        <v/>
      </c>
      <c r="B168" s="62">
        <f t="shared" si="21"/>
        <v>7</v>
      </c>
      <c r="C168" s="724">
        <v>42947</v>
      </c>
      <c r="D168" s="724" t="s">
        <v>573</v>
      </c>
      <c r="E168" s="724">
        <f t="shared" si="20"/>
        <v>42947</v>
      </c>
      <c r="F168" s="996" t="s">
        <v>791</v>
      </c>
      <c r="G168" s="267"/>
      <c r="H168" s="311"/>
      <c r="I168" s="405"/>
      <c r="J168" s="405"/>
      <c r="K168" s="398"/>
      <c r="L168" s="405"/>
      <c r="M168" s="728">
        <f>G158*$G167</f>
        <v>0</v>
      </c>
      <c r="N168" s="729" t="s">
        <v>583</v>
      </c>
      <c r="O168" s="729" t="s">
        <v>586</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ht="15.75" customHeight="1">
      <c r="A169" s="327" t="str">
        <f>IF(B169&lt;&gt;"",IF(AND(B169='IN-TC'!$S$4,OR(TH!N169="1111",TH!O169="1111")),TH!D169,""),"")</f>
        <v/>
      </c>
      <c r="B169" s="62">
        <f t="shared" si="21"/>
        <v>7</v>
      </c>
      <c r="C169" s="724">
        <v>42947</v>
      </c>
      <c r="D169" s="724" t="s">
        <v>573</v>
      </c>
      <c r="E169" s="724">
        <f t="shared" si="20"/>
        <v>42947</v>
      </c>
      <c r="F169" s="996" t="s">
        <v>792</v>
      </c>
      <c r="G169" s="813" t="s">
        <v>578</v>
      </c>
      <c r="H169" s="952"/>
      <c r="I169" s="406"/>
      <c r="J169" s="406"/>
      <c r="K169" s="399"/>
      <c r="L169" s="406"/>
      <c r="M169" s="728">
        <f>M167</f>
        <v>0</v>
      </c>
      <c r="N169" s="729" t="s">
        <v>582</v>
      </c>
      <c r="O169" s="729" t="s">
        <v>586</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ht="15.75" customHeight="1">
      <c r="A170" s="327" t="str">
        <f>IF(B170&lt;&gt;"",IF(AND(B170='IN-TC'!$S$4,OR(TH!N170="1111",TH!O170="1111")),TH!D170,""),"")</f>
        <v/>
      </c>
      <c r="B170" s="62">
        <f t="shared" si="21"/>
        <v>7</v>
      </c>
      <c r="C170" s="724">
        <v>42947</v>
      </c>
      <c r="D170" s="724" t="s">
        <v>573</v>
      </c>
      <c r="E170" s="724">
        <f t="shared" si="20"/>
        <v>42947</v>
      </c>
      <c r="F170" s="996" t="s">
        <v>793</v>
      </c>
      <c r="G170" s="267"/>
      <c r="H170" s="311"/>
      <c r="I170" s="405"/>
      <c r="J170" s="405"/>
      <c r="K170" s="398"/>
      <c r="L170" s="405"/>
      <c r="M170" s="728">
        <f>M168</f>
        <v>0</v>
      </c>
      <c r="N170" s="729" t="s">
        <v>280</v>
      </c>
      <c r="O170" s="729" t="s">
        <v>586</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ht="15.75" customHeight="1">
      <c r="A171" s="327" t="str">
        <f>IF(B171&lt;&gt;"",IF(AND(B171='IN-TC'!$S$4,OR(TH!N171="1111",TH!O171="1111")),TH!D171,""),"")</f>
        <v/>
      </c>
      <c r="B171" s="62">
        <f t="shared" si="21"/>
        <v>8</v>
      </c>
      <c r="C171" s="724">
        <v>42978</v>
      </c>
      <c r="D171" s="724" t="s">
        <v>573</v>
      </c>
      <c r="E171" s="724">
        <f t="shared" si="20"/>
        <v>42978</v>
      </c>
      <c r="F171" s="996" t="s">
        <v>780</v>
      </c>
      <c r="G171" s="267"/>
      <c r="H171" s="311"/>
      <c r="I171" s="405"/>
      <c r="J171" s="405"/>
      <c r="K171" s="398"/>
      <c r="L171" s="405"/>
      <c r="M171" s="728"/>
      <c r="N171" s="729" t="s">
        <v>582</v>
      </c>
      <c r="O171" s="729" t="s">
        <v>583</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ht="15.75" customHeight="1">
      <c r="A172" s="327" t="str">
        <f>IF(B172&lt;&gt;"",IF(AND(B172='IN-TC'!$S$4,OR(TH!N172="1111",TH!O172="1111")),TH!D172,""),"")</f>
        <v/>
      </c>
      <c r="B172" s="62">
        <f t="shared" si="21"/>
        <v>8</v>
      </c>
      <c r="C172" s="724">
        <v>42978</v>
      </c>
      <c r="D172" s="724" t="s">
        <v>573</v>
      </c>
      <c r="E172" s="724">
        <f t="shared" si="20"/>
        <v>42978</v>
      </c>
      <c r="F172" s="996" t="s">
        <v>781</v>
      </c>
      <c r="G172" s="267"/>
      <c r="H172" s="311"/>
      <c r="I172" s="405"/>
      <c r="J172" s="405"/>
      <c r="K172" s="398"/>
      <c r="L172" s="405"/>
      <c r="M172" s="728"/>
      <c r="N172" s="729" t="s">
        <v>280</v>
      </c>
      <c r="O172" s="729" t="s">
        <v>583</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ht="15.75" customHeight="1">
      <c r="A173" s="327" t="str">
        <f>IF(B173&lt;&gt;"",IF(AND(B173='IN-TC'!$S$4,OR(TH!N173="1111",TH!O173="1111")),TH!D173,""),"")</f>
        <v/>
      </c>
      <c r="B173" s="62">
        <f t="shared" si="21"/>
        <v>8</v>
      </c>
      <c r="C173" s="724">
        <v>42978</v>
      </c>
      <c r="D173" s="724" t="s">
        <v>573</v>
      </c>
      <c r="E173" s="724">
        <f t="shared" si="20"/>
        <v>42978</v>
      </c>
      <c r="F173" s="996" t="s">
        <v>782</v>
      </c>
      <c r="G173" s="813" t="s">
        <v>574</v>
      </c>
      <c r="H173" s="311"/>
      <c r="I173" s="405"/>
      <c r="J173" s="405"/>
      <c r="K173" s="398"/>
      <c r="L173" s="405"/>
      <c r="M173" s="728">
        <f>G171*$G173</f>
        <v>0</v>
      </c>
      <c r="N173" s="729" t="s">
        <v>583</v>
      </c>
      <c r="O173" s="729" t="s">
        <v>584</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ht="15.75" customHeight="1">
      <c r="A174" s="327" t="str">
        <f>IF(B174&lt;&gt;"",IF(AND(B174='IN-TC'!$S$4,OR(TH!N174="1111",TH!O174="1111")),TH!D174,""),"")</f>
        <v/>
      </c>
      <c r="B174" s="62">
        <f t="shared" si="21"/>
        <v>8</v>
      </c>
      <c r="C174" s="724">
        <v>42978</v>
      </c>
      <c r="D174" s="724" t="s">
        <v>573</v>
      </c>
      <c r="E174" s="724">
        <f t="shared" si="20"/>
        <v>42978</v>
      </c>
      <c r="F174" s="996" t="s">
        <v>783</v>
      </c>
      <c r="G174" s="267"/>
      <c r="H174" s="311"/>
      <c r="I174" s="405"/>
      <c r="J174" s="405"/>
      <c r="K174" s="398"/>
      <c r="L174" s="405"/>
      <c r="M174" s="728">
        <f>G172*$G173</f>
        <v>0</v>
      </c>
      <c r="N174" s="730" t="s">
        <v>583</v>
      </c>
      <c r="O174" s="731" t="s">
        <v>584</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ht="15.75" customHeight="1">
      <c r="A175" s="327" t="str">
        <f>IF(B175&lt;&gt;"",IF(AND(B175='IN-TC'!$S$4,OR(TH!N175="1111",TH!O175="1111")),TH!D175,""),"")</f>
        <v/>
      </c>
      <c r="B175" s="62">
        <f t="shared" si="21"/>
        <v>8</v>
      </c>
      <c r="C175" s="724">
        <v>42978</v>
      </c>
      <c r="D175" s="724" t="s">
        <v>573</v>
      </c>
      <c r="E175" s="724">
        <f t="shared" si="20"/>
        <v>42978</v>
      </c>
      <c r="F175" s="996" t="s">
        <v>784</v>
      </c>
      <c r="G175" s="813" t="s">
        <v>575</v>
      </c>
      <c r="H175" s="311"/>
      <c r="I175" s="405"/>
      <c r="J175" s="405"/>
      <c r="K175" s="398"/>
      <c r="L175" s="405"/>
      <c r="M175" s="728">
        <f>G171*$G175</f>
        <v>0</v>
      </c>
      <c r="N175" s="729" t="s">
        <v>582</v>
      </c>
      <c r="O175" s="729" t="s">
        <v>584</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ht="15.75" customHeight="1">
      <c r="A176" s="327" t="str">
        <f>IF(B176&lt;&gt;"",IF(AND(B176='IN-TC'!$S$4,OR(TH!N176="1111",TH!O176="1111")),TH!D176,""),"")</f>
        <v/>
      </c>
      <c r="B176" s="62">
        <f t="shared" si="21"/>
        <v>8</v>
      </c>
      <c r="C176" s="724">
        <v>42978</v>
      </c>
      <c r="D176" s="724" t="s">
        <v>573</v>
      </c>
      <c r="E176" s="724">
        <f t="shared" si="20"/>
        <v>42978</v>
      </c>
      <c r="F176" s="996" t="s">
        <v>785</v>
      </c>
      <c r="G176" s="267"/>
      <c r="H176" s="311"/>
      <c r="I176" s="405"/>
      <c r="J176" s="405"/>
      <c r="K176" s="398"/>
      <c r="L176" s="405"/>
      <c r="M176" s="728">
        <f>G172*$G175</f>
        <v>0</v>
      </c>
      <c r="N176" s="729" t="s">
        <v>280</v>
      </c>
      <c r="O176" s="729" t="s">
        <v>584</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ht="15.75" customHeight="1">
      <c r="A177" s="327" t="str">
        <f>IF(B177&lt;&gt;"",IF(AND(B177='IN-TC'!$S$4,OR(TH!N177="1111",TH!O177="1111")),TH!D177,""),"")</f>
        <v/>
      </c>
      <c r="B177" s="62">
        <f t="shared" si="21"/>
        <v>8</v>
      </c>
      <c r="C177" s="724">
        <v>42978</v>
      </c>
      <c r="D177" s="724" t="s">
        <v>573</v>
      </c>
      <c r="E177" s="724">
        <f t="shared" ref="E177:E190" si="22">C177</f>
        <v>42978</v>
      </c>
      <c r="F177" s="996" t="s">
        <v>786</v>
      </c>
      <c r="G177" s="813" t="s">
        <v>576</v>
      </c>
      <c r="H177" s="313"/>
      <c r="I177" s="403"/>
      <c r="J177" s="403"/>
      <c r="K177" s="396"/>
      <c r="L177" s="403"/>
      <c r="M177" s="728">
        <f>ROUND(G171*$G177,0)</f>
        <v>0</v>
      </c>
      <c r="N177" s="729" t="s">
        <v>583</v>
      </c>
      <c r="O177" s="729" t="s">
        <v>585</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ht="15.75" customHeight="1">
      <c r="A178" s="327" t="str">
        <f>IF(B178&lt;&gt;"",IF(AND(B178='IN-TC'!$S$4,OR(TH!N178="1111",TH!O178="1111")),TH!D178,""),"")</f>
        <v/>
      </c>
      <c r="B178" s="62">
        <f t="shared" si="21"/>
        <v>8</v>
      </c>
      <c r="C178" s="724">
        <v>42978</v>
      </c>
      <c r="D178" s="724" t="s">
        <v>573</v>
      </c>
      <c r="E178" s="724">
        <f t="shared" si="22"/>
        <v>42978</v>
      </c>
      <c r="F178" s="996" t="s">
        <v>787</v>
      </c>
      <c r="G178" s="267"/>
      <c r="H178" s="313"/>
      <c r="I178" s="403"/>
      <c r="J178" s="403"/>
      <c r="K178" s="396"/>
      <c r="L178" s="403"/>
      <c r="M178" s="728">
        <f>ROUND(G172*$G177,0)</f>
        <v>0</v>
      </c>
      <c r="N178" s="729" t="s">
        <v>583</v>
      </c>
      <c r="O178" s="729" t="s">
        <v>585</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ht="15.75" customHeight="1">
      <c r="A179" s="327" t="str">
        <f>IF(B179&lt;&gt;"",IF(AND(B179='IN-TC'!$S$4,OR(TH!N179="1111",TH!O179="1111")),TH!D179,""),"")</f>
        <v/>
      </c>
      <c r="B179" s="62">
        <f t="shared" si="21"/>
        <v>8</v>
      </c>
      <c r="C179" s="724">
        <v>42978</v>
      </c>
      <c r="D179" s="724" t="s">
        <v>573</v>
      </c>
      <c r="E179" s="724">
        <f t="shared" si="22"/>
        <v>42978</v>
      </c>
      <c r="F179" s="996" t="s">
        <v>788</v>
      </c>
      <c r="G179" s="813" t="s">
        <v>577</v>
      </c>
      <c r="H179" s="311"/>
      <c r="I179" s="405"/>
      <c r="J179" s="405"/>
      <c r="K179" s="398"/>
      <c r="L179" s="405"/>
      <c r="M179" s="728">
        <f>G171*$G179</f>
        <v>0</v>
      </c>
      <c r="N179" s="729" t="s">
        <v>582</v>
      </c>
      <c r="O179" s="729" t="s">
        <v>585</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ht="15.75" customHeight="1">
      <c r="A180" s="327" t="str">
        <f>IF(B180&lt;&gt;"",IF(AND(B180='IN-TC'!$S$4,OR(TH!N180="1111",TH!O180="1111")),TH!D180,""),"")</f>
        <v/>
      </c>
      <c r="B180" s="62">
        <f t="shared" si="21"/>
        <v>8</v>
      </c>
      <c r="C180" s="724">
        <v>42978</v>
      </c>
      <c r="D180" s="724" t="s">
        <v>573</v>
      </c>
      <c r="E180" s="724">
        <f t="shared" si="22"/>
        <v>42978</v>
      </c>
      <c r="F180" s="996" t="s">
        <v>789</v>
      </c>
      <c r="G180" s="267"/>
      <c r="H180" s="311"/>
      <c r="I180" s="405"/>
      <c r="J180" s="405"/>
      <c r="K180" s="398"/>
      <c r="L180" s="405"/>
      <c r="M180" s="728">
        <f>G172*$G179</f>
        <v>0</v>
      </c>
      <c r="N180" s="729" t="s">
        <v>280</v>
      </c>
      <c r="O180" s="729" t="s">
        <v>585</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ht="15.75" customHeight="1">
      <c r="A181" s="327" t="str">
        <f>IF(B181&lt;&gt;"",IF(AND(B181='IN-TC'!$S$4,OR(TH!N181="1111",TH!O181="1111")),TH!D181,""),"")</f>
        <v/>
      </c>
      <c r="B181" s="62">
        <f t="shared" si="21"/>
        <v>8</v>
      </c>
      <c r="C181" s="724">
        <v>42978</v>
      </c>
      <c r="D181" s="724" t="s">
        <v>573</v>
      </c>
      <c r="E181" s="724">
        <f t="shared" si="22"/>
        <v>42978</v>
      </c>
      <c r="F181" s="996" t="s">
        <v>790</v>
      </c>
      <c r="G181" s="813" t="s">
        <v>578</v>
      </c>
      <c r="H181" s="311"/>
      <c r="I181" s="405"/>
      <c r="J181" s="405"/>
      <c r="K181" s="398"/>
      <c r="L181" s="405"/>
      <c r="M181" s="728">
        <f>G171*$G181</f>
        <v>0</v>
      </c>
      <c r="N181" s="729" t="s">
        <v>583</v>
      </c>
      <c r="O181" s="729" t="s">
        <v>586</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ht="15.75" customHeight="1">
      <c r="A182" s="327" t="str">
        <f>IF(B182&lt;&gt;"",IF(AND(B182='IN-TC'!$S$4,OR(TH!N182="1111",TH!O182="1111")),TH!D182,""),"")</f>
        <v/>
      </c>
      <c r="B182" s="62">
        <f t="shared" si="21"/>
        <v>8</v>
      </c>
      <c r="C182" s="724">
        <v>42978</v>
      </c>
      <c r="D182" s="724" t="s">
        <v>573</v>
      </c>
      <c r="E182" s="724">
        <f t="shared" si="22"/>
        <v>42978</v>
      </c>
      <c r="F182" s="996" t="s">
        <v>791</v>
      </c>
      <c r="G182" s="267"/>
      <c r="H182" s="311"/>
      <c r="I182" s="405"/>
      <c r="J182" s="405"/>
      <c r="K182" s="398"/>
      <c r="L182" s="405"/>
      <c r="M182" s="728">
        <f>G172*$G181</f>
        <v>0</v>
      </c>
      <c r="N182" s="729" t="s">
        <v>583</v>
      </c>
      <c r="O182" s="729" t="s">
        <v>586</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ht="15.75" customHeight="1">
      <c r="A183" s="327" t="str">
        <f>IF(B183&lt;&gt;"",IF(AND(B183='IN-TC'!$S$4,OR(TH!N183="1111",TH!O183="1111")),TH!D183,""),"")</f>
        <v/>
      </c>
      <c r="B183" s="62">
        <f t="shared" si="21"/>
        <v>8</v>
      </c>
      <c r="C183" s="724">
        <v>42978</v>
      </c>
      <c r="D183" s="724" t="s">
        <v>573</v>
      </c>
      <c r="E183" s="724">
        <f t="shared" si="22"/>
        <v>42978</v>
      </c>
      <c r="F183" s="996" t="s">
        <v>792</v>
      </c>
      <c r="G183" s="813" t="s">
        <v>578</v>
      </c>
      <c r="H183" s="952"/>
      <c r="I183" s="406"/>
      <c r="J183" s="406"/>
      <c r="K183" s="399"/>
      <c r="L183" s="406"/>
      <c r="M183" s="728">
        <f>M181</f>
        <v>0</v>
      </c>
      <c r="N183" s="729" t="s">
        <v>582</v>
      </c>
      <c r="O183" s="729" t="s">
        <v>586</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ht="15.75" customHeight="1">
      <c r="A184" s="327" t="str">
        <f>IF(B184&lt;&gt;"",IF(AND(B184='IN-TC'!$S$4,OR(TH!N184="1111",TH!O184="1111")),TH!D184,""),"")</f>
        <v/>
      </c>
      <c r="B184" s="62">
        <f t="shared" si="21"/>
        <v>8</v>
      </c>
      <c r="C184" s="724">
        <v>42978</v>
      </c>
      <c r="D184" s="724" t="s">
        <v>573</v>
      </c>
      <c r="E184" s="724">
        <f t="shared" si="22"/>
        <v>42978</v>
      </c>
      <c r="F184" s="996" t="s">
        <v>793</v>
      </c>
      <c r="G184" s="267"/>
      <c r="H184" s="311"/>
      <c r="I184" s="405"/>
      <c r="J184" s="405"/>
      <c r="K184" s="398"/>
      <c r="L184" s="405"/>
      <c r="M184" s="728">
        <f>M182</f>
        <v>0</v>
      </c>
      <c r="N184" s="729" t="s">
        <v>280</v>
      </c>
      <c r="O184" s="729" t="s">
        <v>586</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ht="15.75" customHeight="1">
      <c r="A185" s="327" t="str">
        <f>IF(B185&lt;&gt;"",IF(AND(B185='IN-TC'!$S$4,OR(TH!N185="1111",TH!O185="1111")),TH!D185,""),"")</f>
        <v/>
      </c>
      <c r="B185" s="62">
        <f t="shared" si="21"/>
        <v>9</v>
      </c>
      <c r="C185" s="724">
        <v>43008</v>
      </c>
      <c r="D185" s="724" t="s">
        <v>573</v>
      </c>
      <c r="E185" s="724">
        <f t="shared" si="22"/>
        <v>43008</v>
      </c>
      <c r="F185" s="996" t="s">
        <v>780</v>
      </c>
      <c r="G185" s="267"/>
      <c r="H185" s="311"/>
      <c r="I185" s="405"/>
      <c r="J185" s="405"/>
      <c r="K185" s="398"/>
      <c r="L185" s="405"/>
      <c r="M185" s="728"/>
      <c r="N185" s="729" t="s">
        <v>582</v>
      </c>
      <c r="O185" s="729" t="s">
        <v>583</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ht="15.75" customHeight="1">
      <c r="A186" s="327" t="str">
        <f>IF(B186&lt;&gt;"",IF(AND(B186='IN-TC'!$S$4,OR(TH!N186="1111",TH!O186="1111")),TH!D186,""),"")</f>
        <v/>
      </c>
      <c r="B186" s="62">
        <f t="shared" si="21"/>
        <v>9</v>
      </c>
      <c r="C186" s="724">
        <v>43008</v>
      </c>
      <c r="D186" s="724" t="s">
        <v>573</v>
      </c>
      <c r="E186" s="724">
        <f t="shared" si="22"/>
        <v>43008</v>
      </c>
      <c r="F186" s="996" t="s">
        <v>781</v>
      </c>
      <c r="G186" s="267"/>
      <c r="H186" s="311"/>
      <c r="I186" s="405"/>
      <c r="J186" s="405"/>
      <c r="K186" s="398"/>
      <c r="L186" s="405"/>
      <c r="M186" s="728"/>
      <c r="N186" s="729" t="s">
        <v>280</v>
      </c>
      <c r="O186" s="729" t="s">
        <v>583</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ht="15.75" customHeight="1">
      <c r="A187" s="327" t="str">
        <f>IF(B187&lt;&gt;"",IF(AND(B187='IN-TC'!$S$4,OR(TH!N187="1111",TH!O187="1111")),TH!D187,""),"")</f>
        <v/>
      </c>
      <c r="B187" s="62">
        <f t="shared" si="21"/>
        <v>9</v>
      </c>
      <c r="C187" s="724">
        <v>43008</v>
      </c>
      <c r="D187" s="724" t="s">
        <v>573</v>
      </c>
      <c r="E187" s="724">
        <f t="shared" si="22"/>
        <v>43008</v>
      </c>
      <c r="F187" s="996" t="s">
        <v>782</v>
      </c>
      <c r="G187" s="813" t="s">
        <v>574</v>
      </c>
      <c r="H187" s="311"/>
      <c r="I187" s="405"/>
      <c r="J187" s="405"/>
      <c r="K187" s="398"/>
      <c r="L187" s="405"/>
      <c r="M187" s="728">
        <f>G185*$G187</f>
        <v>0</v>
      </c>
      <c r="N187" s="729" t="s">
        <v>583</v>
      </c>
      <c r="O187" s="729" t="s">
        <v>584</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ht="15.75" customHeight="1">
      <c r="A188" s="327" t="str">
        <f>IF(B188&lt;&gt;"",IF(AND(B188='IN-TC'!$S$4,OR(TH!N188="1111",TH!O188="1111")),TH!D188,""),"")</f>
        <v/>
      </c>
      <c r="B188" s="62">
        <f t="shared" si="21"/>
        <v>9</v>
      </c>
      <c r="C188" s="724">
        <v>43008</v>
      </c>
      <c r="D188" s="724" t="s">
        <v>573</v>
      </c>
      <c r="E188" s="724">
        <f t="shared" si="22"/>
        <v>43008</v>
      </c>
      <c r="F188" s="996" t="s">
        <v>783</v>
      </c>
      <c r="G188" s="267"/>
      <c r="H188" s="311"/>
      <c r="I188" s="405"/>
      <c r="J188" s="405"/>
      <c r="K188" s="398"/>
      <c r="L188" s="405"/>
      <c r="M188" s="728">
        <f>G186*$G187</f>
        <v>0</v>
      </c>
      <c r="N188" s="730" t="s">
        <v>583</v>
      </c>
      <c r="O188" s="731" t="s">
        <v>584</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ht="15.75" customHeight="1">
      <c r="A189" s="327" t="str">
        <f>IF(B189&lt;&gt;"",IF(AND(B189='IN-TC'!$S$4,OR(TH!N189="1111",TH!O189="1111")),TH!D189,""),"")</f>
        <v/>
      </c>
      <c r="B189" s="62">
        <f t="shared" si="21"/>
        <v>9</v>
      </c>
      <c r="C189" s="724">
        <v>43008</v>
      </c>
      <c r="D189" s="724" t="s">
        <v>573</v>
      </c>
      <c r="E189" s="724">
        <f t="shared" si="22"/>
        <v>43008</v>
      </c>
      <c r="F189" s="996" t="s">
        <v>784</v>
      </c>
      <c r="G189" s="813" t="s">
        <v>575</v>
      </c>
      <c r="H189" s="311"/>
      <c r="I189" s="405"/>
      <c r="J189" s="405"/>
      <c r="K189" s="398"/>
      <c r="L189" s="405"/>
      <c r="M189" s="728">
        <f>G185*$G189</f>
        <v>0</v>
      </c>
      <c r="N189" s="729" t="s">
        <v>582</v>
      </c>
      <c r="O189" s="729" t="s">
        <v>584</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ht="15.75" customHeight="1">
      <c r="A190" s="327" t="str">
        <f>IF(B190&lt;&gt;"",IF(AND(B190='IN-TC'!$S$4,OR(TH!N190="1111",TH!O190="1111")),TH!D190,""),"")</f>
        <v/>
      </c>
      <c r="B190" s="62">
        <f t="shared" si="21"/>
        <v>9</v>
      </c>
      <c r="C190" s="724">
        <v>43008</v>
      </c>
      <c r="D190" s="724" t="s">
        <v>573</v>
      </c>
      <c r="E190" s="724">
        <f t="shared" si="22"/>
        <v>43008</v>
      </c>
      <c r="F190" s="996" t="s">
        <v>785</v>
      </c>
      <c r="G190" s="267"/>
      <c r="H190" s="311"/>
      <c r="I190" s="405"/>
      <c r="J190" s="405"/>
      <c r="K190" s="398"/>
      <c r="L190" s="405"/>
      <c r="M190" s="728">
        <f>G186*$G189</f>
        <v>0</v>
      </c>
      <c r="N190" s="729" t="s">
        <v>280</v>
      </c>
      <c r="O190" s="729" t="s">
        <v>584</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ht="15.75" customHeight="1">
      <c r="A191" s="327" t="str">
        <f>IF(B191&lt;&gt;"",IF(AND(B191='IN-TC'!$S$4,OR(TH!N191="1111",TH!O191="1111")),TH!D191,""),"")</f>
        <v/>
      </c>
      <c r="B191" s="62">
        <f t="shared" si="21"/>
        <v>9</v>
      </c>
      <c r="C191" s="724">
        <v>43008</v>
      </c>
      <c r="D191" s="724" t="s">
        <v>573</v>
      </c>
      <c r="E191" s="724">
        <f t="shared" ref="E191:E204" si="23">C191</f>
        <v>43008</v>
      </c>
      <c r="F191" s="996" t="s">
        <v>786</v>
      </c>
      <c r="G191" s="813" t="s">
        <v>576</v>
      </c>
      <c r="H191" s="313"/>
      <c r="I191" s="403"/>
      <c r="J191" s="403"/>
      <c r="K191" s="396"/>
      <c r="L191" s="403"/>
      <c r="M191" s="728">
        <f>ROUND(G185*$G191,0)</f>
        <v>0</v>
      </c>
      <c r="N191" s="729" t="s">
        <v>583</v>
      </c>
      <c r="O191" s="729" t="s">
        <v>585</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ht="15.75" customHeight="1">
      <c r="A192" s="327" t="str">
        <f>IF(B192&lt;&gt;"",IF(AND(B192='IN-TC'!$S$4,OR(TH!N192="1111",TH!O192="1111")),TH!D192,""),"")</f>
        <v/>
      </c>
      <c r="B192" s="62">
        <f t="shared" si="21"/>
        <v>9</v>
      </c>
      <c r="C192" s="724">
        <v>43008</v>
      </c>
      <c r="D192" s="724" t="s">
        <v>573</v>
      </c>
      <c r="E192" s="724">
        <f t="shared" si="23"/>
        <v>43008</v>
      </c>
      <c r="F192" s="996" t="s">
        <v>787</v>
      </c>
      <c r="G192" s="267"/>
      <c r="H192" s="313"/>
      <c r="I192" s="403"/>
      <c r="J192" s="403"/>
      <c r="K192" s="396"/>
      <c r="L192" s="403"/>
      <c r="M192" s="728">
        <f>ROUND(G186*$G191,0)</f>
        <v>0</v>
      </c>
      <c r="N192" s="729" t="s">
        <v>583</v>
      </c>
      <c r="O192" s="729" t="s">
        <v>585</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ht="15.75" customHeight="1">
      <c r="A193" s="327" t="str">
        <f>IF(B193&lt;&gt;"",IF(AND(B193='IN-TC'!$S$4,OR(TH!N193="1111",TH!O193="1111")),TH!D193,""),"")</f>
        <v/>
      </c>
      <c r="B193" s="62">
        <f t="shared" si="21"/>
        <v>9</v>
      </c>
      <c r="C193" s="724">
        <v>43008</v>
      </c>
      <c r="D193" s="724" t="s">
        <v>573</v>
      </c>
      <c r="E193" s="724">
        <f t="shared" si="23"/>
        <v>43008</v>
      </c>
      <c r="F193" s="996" t="s">
        <v>788</v>
      </c>
      <c r="G193" s="813" t="s">
        <v>577</v>
      </c>
      <c r="H193" s="311"/>
      <c r="I193" s="405"/>
      <c r="J193" s="405"/>
      <c r="K193" s="398"/>
      <c r="L193" s="405"/>
      <c r="M193" s="728">
        <f>G185*$G193</f>
        <v>0</v>
      </c>
      <c r="N193" s="729" t="s">
        <v>582</v>
      </c>
      <c r="O193" s="729" t="s">
        <v>585</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ht="15.75" customHeight="1">
      <c r="A194" s="327" t="str">
        <f>IF(B194&lt;&gt;"",IF(AND(B194='IN-TC'!$S$4,OR(TH!N194="1111",TH!O194="1111")),TH!D194,""),"")</f>
        <v/>
      </c>
      <c r="B194" s="62">
        <f t="shared" si="21"/>
        <v>9</v>
      </c>
      <c r="C194" s="724">
        <v>43008</v>
      </c>
      <c r="D194" s="724" t="s">
        <v>573</v>
      </c>
      <c r="E194" s="724">
        <f t="shared" si="23"/>
        <v>43008</v>
      </c>
      <c r="F194" s="996" t="s">
        <v>789</v>
      </c>
      <c r="G194" s="267"/>
      <c r="H194" s="311"/>
      <c r="I194" s="405"/>
      <c r="J194" s="405"/>
      <c r="K194" s="398"/>
      <c r="L194" s="405"/>
      <c r="M194" s="728">
        <f>G186*$G193</f>
        <v>0</v>
      </c>
      <c r="N194" s="729" t="s">
        <v>280</v>
      </c>
      <c r="O194" s="729" t="s">
        <v>585</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ht="15.75" customHeight="1">
      <c r="A195" s="327" t="str">
        <f>IF(B195&lt;&gt;"",IF(AND(B195='IN-TC'!$S$4,OR(TH!N195="1111",TH!O195="1111")),TH!D195,""),"")</f>
        <v/>
      </c>
      <c r="B195" s="62">
        <f t="shared" si="21"/>
        <v>9</v>
      </c>
      <c r="C195" s="724">
        <v>43008</v>
      </c>
      <c r="D195" s="724" t="s">
        <v>573</v>
      </c>
      <c r="E195" s="724">
        <f t="shared" si="23"/>
        <v>43008</v>
      </c>
      <c r="F195" s="996" t="s">
        <v>790</v>
      </c>
      <c r="G195" s="813" t="s">
        <v>578</v>
      </c>
      <c r="H195" s="311"/>
      <c r="I195" s="405"/>
      <c r="J195" s="405"/>
      <c r="K195" s="398"/>
      <c r="L195" s="405"/>
      <c r="M195" s="728">
        <f>G185*$G195</f>
        <v>0</v>
      </c>
      <c r="N195" s="729" t="s">
        <v>583</v>
      </c>
      <c r="O195" s="729" t="s">
        <v>586</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ht="15.75" customHeight="1">
      <c r="A196" s="327" t="str">
        <f>IF(B196&lt;&gt;"",IF(AND(B196='IN-TC'!$S$4,OR(TH!N196="1111",TH!O196="1111")),TH!D196,""),"")</f>
        <v/>
      </c>
      <c r="B196" s="62">
        <f t="shared" si="21"/>
        <v>9</v>
      </c>
      <c r="C196" s="724">
        <v>43008</v>
      </c>
      <c r="D196" s="724" t="s">
        <v>573</v>
      </c>
      <c r="E196" s="724">
        <f t="shared" si="23"/>
        <v>43008</v>
      </c>
      <c r="F196" s="996" t="s">
        <v>791</v>
      </c>
      <c r="G196" s="267"/>
      <c r="H196" s="311"/>
      <c r="I196" s="405"/>
      <c r="J196" s="405"/>
      <c r="K196" s="398"/>
      <c r="L196" s="405"/>
      <c r="M196" s="728">
        <f>G186*$G195</f>
        <v>0</v>
      </c>
      <c r="N196" s="729" t="s">
        <v>583</v>
      </c>
      <c r="O196" s="729" t="s">
        <v>586</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ht="15.75" customHeight="1">
      <c r="A197" s="327" t="str">
        <f>IF(B197&lt;&gt;"",IF(AND(B197='IN-TC'!$S$4,OR(TH!N197="1111",TH!O197="1111")),TH!D197,""),"")</f>
        <v/>
      </c>
      <c r="B197" s="62">
        <f t="shared" si="21"/>
        <v>9</v>
      </c>
      <c r="C197" s="724">
        <v>43008</v>
      </c>
      <c r="D197" s="724" t="s">
        <v>573</v>
      </c>
      <c r="E197" s="724">
        <f t="shared" si="23"/>
        <v>43008</v>
      </c>
      <c r="F197" s="996" t="s">
        <v>792</v>
      </c>
      <c r="G197" s="813" t="s">
        <v>578</v>
      </c>
      <c r="H197" s="952"/>
      <c r="I197" s="406"/>
      <c r="J197" s="406"/>
      <c r="K197" s="399"/>
      <c r="L197" s="406"/>
      <c r="M197" s="728">
        <f>M195</f>
        <v>0</v>
      </c>
      <c r="N197" s="729" t="s">
        <v>582</v>
      </c>
      <c r="O197" s="729" t="s">
        <v>586</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ht="15.75" customHeight="1">
      <c r="A198" s="327" t="str">
        <f>IF(B198&lt;&gt;"",IF(AND(B198='IN-TC'!$S$4,OR(TH!N198="1111",TH!O198="1111")),TH!D198,""),"")</f>
        <v/>
      </c>
      <c r="B198" s="62">
        <f t="shared" si="21"/>
        <v>9</v>
      </c>
      <c r="C198" s="724">
        <v>43008</v>
      </c>
      <c r="D198" s="724" t="s">
        <v>573</v>
      </c>
      <c r="E198" s="724">
        <f t="shared" si="23"/>
        <v>43008</v>
      </c>
      <c r="F198" s="996" t="s">
        <v>793</v>
      </c>
      <c r="G198" s="267"/>
      <c r="H198" s="311"/>
      <c r="I198" s="405"/>
      <c r="J198" s="405"/>
      <c r="K198" s="398"/>
      <c r="L198" s="405"/>
      <c r="M198" s="728">
        <f>M196</f>
        <v>0</v>
      </c>
      <c r="N198" s="729" t="s">
        <v>280</v>
      </c>
      <c r="O198" s="729" t="s">
        <v>586</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ht="15.75" customHeight="1">
      <c r="A199" s="327" t="str">
        <f>IF(B199&lt;&gt;"",IF(AND(B199='IN-TC'!$S$4,OR(TH!N199="1111",TH!O199="1111")),TH!D199,""),"")</f>
        <v/>
      </c>
      <c r="B199" s="62">
        <f t="shared" si="21"/>
        <v>10</v>
      </c>
      <c r="C199" s="724">
        <v>43039</v>
      </c>
      <c r="D199" s="724" t="s">
        <v>573</v>
      </c>
      <c r="E199" s="724">
        <f t="shared" si="23"/>
        <v>43039</v>
      </c>
      <c r="F199" s="996" t="s">
        <v>780</v>
      </c>
      <c r="G199" s="267"/>
      <c r="H199" s="311"/>
      <c r="I199" s="405"/>
      <c r="J199" s="405"/>
      <c r="K199" s="398"/>
      <c r="L199" s="405"/>
      <c r="M199" s="728"/>
      <c r="N199" s="729" t="s">
        <v>582</v>
      </c>
      <c r="O199" s="729" t="s">
        <v>583</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ht="15.75" customHeight="1">
      <c r="A200" s="327" t="str">
        <f>IF(B200&lt;&gt;"",IF(AND(B200='IN-TC'!$S$4,OR(TH!N200="1111",TH!O200="1111")),TH!D200,""),"")</f>
        <v/>
      </c>
      <c r="B200" s="62">
        <f t="shared" si="21"/>
        <v>10</v>
      </c>
      <c r="C200" s="724">
        <v>43039</v>
      </c>
      <c r="D200" s="724" t="s">
        <v>573</v>
      </c>
      <c r="E200" s="724">
        <f t="shared" si="23"/>
        <v>43039</v>
      </c>
      <c r="F200" s="996" t="s">
        <v>781</v>
      </c>
      <c r="G200" s="267"/>
      <c r="H200" s="311"/>
      <c r="I200" s="405"/>
      <c r="J200" s="405"/>
      <c r="K200" s="398"/>
      <c r="L200" s="405"/>
      <c r="M200" s="728"/>
      <c r="N200" s="729" t="s">
        <v>280</v>
      </c>
      <c r="O200" s="729" t="s">
        <v>583</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ht="15.75" customHeight="1">
      <c r="A201" s="327" t="str">
        <f>IF(B201&lt;&gt;"",IF(AND(B201='IN-TC'!$S$4,OR(TH!N201="1111",TH!O201="1111")),TH!D201,""),"")</f>
        <v/>
      </c>
      <c r="B201" s="62">
        <f t="shared" si="21"/>
        <v>10</v>
      </c>
      <c r="C201" s="724">
        <v>43039</v>
      </c>
      <c r="D201" s="724" t="s">
        <v>573</v>
      </c>
      <c r="E201" s="724">
        <f t="shared" si="23"/>
        <v>43039</v>
      </c>
      <c r="F201" s="996" t="s">
        <v>782</v>
      </c>
      <c r="G201" s="813" t="s">
        <v>574</v>
      </c>
      <c r="H201" s="311"/>
      <c r="I201" s="405"/>
      <c r="J201" s="405"/>
      <c r="K201" s="398"/>
      <c r="L201" s="405"/>
      <c r="M201" s="728">
        <f>ROUND(G199*$G201,0)</f>
        <v>0</v>
      </c>
      <c r="N201" s="729" t="s">
        <v>583</v>
      </c>
      <c r="O201" s="729" t="s">
        <v>584</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ht="15.75" customHeight="1">
      <c r="A202" s="327" t="str">
        <f>IF(B202&lt;&gt;"",IF(AND(B202='IN-TC'!$S$4,OR(TH!N202="1111",TH!O202="1111")),TH!D202,""),"")</f>
        <v/>
      </c>
      <c r="B202" s="62">
        <f t="shared" si="21"/>
        <v>10</v>
      </c>
      <c r="C202" s="724">
        <v>43039</v>
      </c>
      <c r="D202" s="724" t="s">
        <v>573</v>
      </c>
      <c r="E202" s="724">
        <f t="shared" si="23"/>
        <v>43039</v>
      </c>
      <c r="F202" s="996" t="s">
        <v>783</v>
      </c>
      <c r="G202" s="267"/>
      <c r="H202" s="311"/>
      <c r="I202" s="405"/>
      <c r="J202" s="405"/>
      <c r="K202" s="398"/>
      <c r="L202" s="405"/>
      <c r="M202" s="728">
        <f>ROUND(G200*$G201,0)</f>
        <v>0</v>
      </c>
      <c r="N202" s="730" t="s">
        <v>583</v>
      </c>
      <c r="O202" s="731" t="s">
        <v>584</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ht="15.75" customHeight="1">
      <c r="A203" s="327" t="str">
        <f>IF(B203&lt;&gt;"",IF(AND(B203='IN-TC'!$S$4,OR(TH!N203="1111",TH!O203="1111")),TH!D203,""),"")</f>
        <v/>
      </c>
      <c r="B203" s="62">
        <f t="shared" si="21"/>
        <v>10</v>
      </c>
      <c r="C203" s="724">
        <v>43039</v>
      </c>
      <c r="D203" s="724" t="s">
        <v>573</v>
      </c>
      <c r="E203" s="724">
        <f t="shared" si="23"/>
        <v>43039</v>
      </c>
      <c r="F203" s="996" t="s">
        <v>784</v>
      </c>
      <c r="G203" s="813" t="s">
        <v>575</v>
      </c>
      <c r="H203" s="311"/>
      <c r="I203" s="405"/>
      <c r="J203" s="405"/>
      <c r="K203" s="398"/>
      <c r="L203" s="405"/>
      <c r="M203" s="728">
        <f>ROUND(G199*$G203,0)</f>
        <v>0</v>
      </c>
      <c r="N203" s="729" t="s">
        <v>582</v>
      </c>
      <c r="O203" s="729" t="s">
        <v>584</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ht="15.75" customHeight="1">
      <c r="A204" s="327" t="str">
        <f>IF(B204&lt;&gt;"",IF(AND(B204='IN-TC'!$S$4,OR(TH!N204="1111",TH!O204="1111")),TH!D204,""),"")</f>
        <v/>
      </c>
      <c r="B204" s="62">
        <f t="shared" si="21"/>
        <v>10</v>
      </c>
      <c r="C204" s="724">
        <v>43039</v>
      </c>
      <c r="D204" s="724" t="s">
        <v>573</v>
      </c>
      <c r="E204" s="724">
        <f t="shared" si="23"/>
        <v>43039</v>
      </c>
      <c r="F204" s="996" t="s">
        <v>785</v>
      </c>
      <c r="G204" s="267"/>
      <c r="H204" s="311"/>
      <c r="I204" s="405"/>
      <c r="J204" s="405"/>
      <c r="K204" s="398"/>
      <c r="L204" s="405"/>
      <c r="M204" s="728">
        <f>G200*$G203</f>
        <v>0</v>
      </c>
      <c r="N204" s="729" t="s">
        <v>280</v>
      </c>
      <c r="O204" s="729" t="s">
        <v>584</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ht="15.75" customHeight="1">
      <c r="A205" s="327" t="str">
        <f>IF(B205&lt;&gt;"",IF(AND(B205='IN-TC'!$S$4,OR(TH!N205="1111",TH!O205="1111")),TH!D205,""),"")</f>
        <v/>
      </c>
      <c r="B205" s="62">
        <f t="shared" si="21"/>
        <v>10</v>
      </c>
      <c r="C205" s="724">
        <v>43039</v>
      </c>
      <c r="D205" s="724" t="s">
        <v>573</v>
      </c>
      <c r="E205" s="724">
        <f t="shared" ref="E205:E218" si="24">C205</f>
        <v>43039</v>
      </c>
      <c r="F205" s="996" t="s">
        <v>786</v>
      </c>
      <c r="G205" s="813" t="s">
        <v>576</v>
      </c>
      <c r="H205" s="313"/>
      <c r="I205" s="403"/>
      <c r="J205" s="403"/>
      <c r="K205" s="396"/>
      <c r="L205" s="403"/>
      <c r="M205" s="728">
        <f>ROUND(G199*$G205,0)</f>
        <v>0</v>
      </c>
      <c r="N205" s="729" t="s">
        <v>583</v>
      </c>
      <c r="O205" s="729" t="s">
        <v>585</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ht="15.75" customHeight="1">
      <c r="A206" s="327" t="str">
        <f>IF(B206&lt;&gt;"",IF(AND(B206='IN-TC'!$S$4,OR(TH!N206="1111",TH!O206="1111")),TH!D206,""),"")</f>
        <v/>
      </c>
      <c r="B206" s="62">
        <f t="shared" si="21"/>
        <v>10</v>
      </c>
      <c r="C206" s="724">
        <v>43039</v>
      </c>
      <c r="D206" s="724" t="s">
        <v>573</v>
      </c>
      <c r="E206" s="724">
        <f t="shared" si="24"/>
        <v>43039</v>
      </c>
      <c r="F206" s="996" t="s">
        <v>787</v>
      </c>
      <c r="G206" s="267"/>
      <c r="H206" s="313"/>
      <c r="I206" s="403"/>
      <c r="J206" s="403"/>
      <c r="K206" s="396"/>
      <c r="L206" s="403"/>
      <c r="M206" s="728">
        <f>ROUND(G200*$G205,0)</f>
        <v>0</v>
      </c>
      <c r="N206" s="729" t="s">
        <v>583</v>
      </c>
      <c r="O206" s="729" t="s">
        <v>585</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ht="15.75" customHeight="1">
      <c r="A207" s="327" t="str">
        <f>IF(B207&lt;&gt;"",IF(AND(B207='IN-TC'!$S$4,OR(TH!N207="1111",TH!O207="1111")),TH!D207,""),"")</f>
        <v/>
      </c>
      <c r="B207" s="62">
        <f t="shared" si="21"/>
        <v>10</v>
      </c>
      <c r="C207" s="724">
        <v>43039</v>
      </c>
      <c r="D207" s="724" t="s">
        <v>573</v>
      </c>
      <c r="E207" s="724">
        <f t="shared" si="24"/>
        <v>43039</v>
      </c>
      <c r="F207" s="996" t="s">
        <v>788</v>
      </c>
      <c r="G207" s="813" t="s">
        <v>577</v>
      </c>
      <c r="H207" s="311"/>
      <c r="I207" s="405"/>
      <c r="J207" s="405"/>
      <c r="K207" s="398"/>
      <c r="L207" s="405"/>
      <c r="M207" s="728">
        <f>G199*$G207</f>
        <v>0</v>
      </c>
      <c r="N207" s="729" t="s">
        <v>582</v>
      </c>
      <c r="O207" s="729" t="s">
        <v>585</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ht="15.75" customHeight="1">
      <c r="A208" s="327" t="str">
        <f>IF(B208&lt;&gt;"",IF(AND(B208='IN-TC'!$S$4,OR(TH!N208="1111",TH!O208="1111")),TH!D208,""),"")</f>
        <v/>
      </c>
      <c r="B208" s="62">
        <f t="shared" si="21"/>
        <v>10</v>
      </c>
      <c r="C208" s="724">
        <v>43039</v>
      </c>
      <c r="D208" s="724" t="s">
        <v>573</v>
      </c>
      <c r="E208" s="724">
        <f t="shared" si="24"/>
        <v>43039</v>
      </c>
      <c r="F208" s="996" t="s">
        <v>789</v>
      </c>
      <c r="G208" s="267"/>
      <c r="H208" s="311"/>
      <c r="I208" s="405"/>
      <c r="J208" s="405"/>
      <c r="K208" s="398"/>
      <c r="L208" s="405"/>
      <c r="M208" s="728">
        <f>G200*$G207</f>
        <v>0</v>
      </c>
      <c r="N208" s="729" t="s">
        <v>280</v>
      </c>
      <c r="O208" s="729" t="s">
        <v>585</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ht="15.75" customHeight="1">
      <c r="A209" s="327" t="str">
        <f>IF(B209&lt;&gt;"",IF(AND(B209='IN-TC'!$S$4,OR(TH!N209="1111",TH!O209="1111")),TH!D209,""),"")</f>
        <v/>
      </c>
      <c r="B209" s="62">
        <f t="shared" si="21"/>
        <v>10</v>
      </c>
      <c r="C209" s="724">
        <v>43039</v>
      </c>
      <c r="D209" s="724" t="s">
        <v>573</v>
      </c>
      <c r="E209" s="724">
        <f t="shared" si="24"/>
        <v>43039</v>
      </c>
      <c r="F209" s="996" t="s">
        <v>790</v>
      </c>
      <c r="G209" s="813" t="s">
        <v>578</v>
      </c>
      <c r="H209" s="311"/>
      <c r="I209" s="405"/>
      <c r="J209" s="405"/>
      <c r="K209" s="398"/>
      <c r="L209" s="405"/>
      <c r="M209" s="728">
        <f>G199*$G209</f>
        <v>0</v>
      </c>
      <c r="N209" s="729" t="s">
        <v>583</v>
      </c>
      <c r="O209" s="729" t="s">
        <v>586</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ht="15.75" customHeight="1">
      <c r="A210" s="327" t="str">
        <f>IF(B210&lt;&gt;"",IF(AND(B210='IN-TC'!$S$4,OR(TH!N210="1111",TH!O210="1111")),TH!D210,""),"")</f>
        <v/>
      </c>
      <c r="B210" s="62">
        <f t="shared" si="21"/>
        <v>10</v>
      </c>
      <c r="C210" s="724">
        <v>43039</v>
      </c>
      <c r="D210" s="724" t="s">
        <v>573</v>
      </c>
      <c r="E210" s="724">
        <f t="shared" si="24"/>
        <v>43039</v>
      </c>
      <c r="F210" s="996" t="s">
        <v>791</v>
      </c>
      <c r="G210" s="267"/>
      <c r="H210" s="311"/>
      <c r="I210" s="405"/>
      <c r="J210" s="405"/>
      <c r="K210" s="398"/>
      <c r="L210" s="405"/>
      <c r="M210" s="728">
        <f>G200*$G209</f>
        <v>0</v>
      </c>
      <c r="N210" s="729" t="s">
        <v>583</v>
      </c>
      <c r="O210" s="729" t="s">
        <v>586</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ht="15.75" customHeight="1">
      <c r="A211" s="327" t="str">
        <f>IF(B211&lt;&gt;"",IF(AND(B211='IN-TC'!$S$4,OR(TH!N211="1111",TH!O211="1111")),TH!D211,""),"")</f>
        <v/>
      </c>
      <c r="B211" s="62">
        <f t="shared" si="21"/>
        <v>10</v>
      </c>
      <c r="C211" s="724">
        <v>43039</v>
      </c>
      <c r="D211" s="724" t="s">
        <v>573</v>
      </c>
      <c r="E211" s="724">
        <f t="shared" si="24"/>
        <v>43039</v>
      </c>
      <c r="F211" s="996" t="s">
        <v>792</v>
      </c>
      <c r="G211" s="813" t="s">
        <v>578</v>
      </c>
      <c r="H211" s="952"/>
      <c r="I211" s="406"/>
      <c r="J211" s="406"/>
      <c r="K211" s="399"/>
      <c r="L211" s="406"/>
      <c r="M211" s="728">
        <f>M209</f>
        <v>0</v>
      </c>
      <c r="N211" s="729" t="s">
        <v>582</v>
      </c>
      <c r="O211" s="729" t="s">
        <v>586</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ht="15.75" customHeight="1">
      <c r="A212" s="327" t="str">
        <f>IF(B212&lt;&gt;"",IF(AND(B212='IN-TC'!$S$4,OR(TH!N212="1111",TH!O212="1111")),TH!D212,""),"")</f>
        <v/>
      </c>
      <c r="B212" s="62">
        <f t="shared" si="21"/>
        <v>10</v>
      </c>
      <c r="C212" s="724">
        <v>43039</v>
      </c>
      <c r="D212" s="724" t="s">
        <v>573</v>
      </c>
      <c r="E212" s="724">
        <f t="shared" si="24"/>
        <v>43039</v>
      </c>
      <c r="F212" s="996" t="s">
        <v>793</v>
      </c>
      <c r="G212" s="267"/>
      <c r="H212" s="311"/>
      <c r="I212" s="405"/>
      <c r="J212" s="405"/>
      <c r="K212" s="398"/>
      <c r="L212" s="405"/>
      <c r="M212" s="728">
        <f>M210</f>
        <v>0</v>
      </c>
      <c r="N212" s="729" t="s">
        <v>280</v>
      </c>
      <c r="O212" s="729" t="s">
        <v>586</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ht="15.75" customHeight="1">
      <c r="A213" s="327" t="str">
        <f>IF(B213&lt;&gt;"",IF(AND(B213='IN-TC'!$S$4,OR(TH!N213="1111",TH!O213="1111")),TH!D213,""),"")</f>
        <v/>
      </c>
      <c r="B213" s="62">
        <f t="shared" si="21"/>
        <v>11</v>
      </c>
      <c r="C213" s="724">
        <v>43069</v>
      </c>
      <c r="D213" s="724" t="s">
        <v>573</v>
      </c>
      <c r="E213" s="724">
        <f t="shared" si="24"/>
        <v>43069</v>
      </c>
      <c r="F213" s="996" t="s">
        <v>780</v>
      </c>
      <c r="G213" s="267"/>
      <c r="H213" s="311"/>
      <c r="I213" s="405"/>
      <c r="J213" s="405"/>
      <c r="K213" s="398"/>
      <c r="L213" s="405"/>
      <c r="M213" s="728"/>
      <c r="N213" s="729" t="s">
        <v>582</v>
      </c>
      <c r="O213" s="729" t="s">
        <v>583</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ht="15.75" customHeight="1">
      <c r="A214" s="327" t="str">
        <f>IF(B214&lt;&gt;"",IF(AND(B214='IN-TC'!$S$4,OR(TH!N214="1111",TH!O214="1111")),TH!D214,""),"")</f>
        <v/>
      </c>
      <c r="B214" s="62">
        <f t="shared" si="21"/>
        <v>11</v>
      </c>
      <c r="C214" s="724">
        <v>43069</v>
      </c>
      <c r="D214" s="724" t="s">
        <v>573</v>
      </c>
      <c r="E214" s="724">
        <f t="shared" si="24"/>
        <v>43069</v>
      </c>
      <c r="F214" s="996" t="s">
        <v>781</v>
      </c>
      <c r="G214" s="267"/>
      <c r="H214" s="311"/>
      <c r="I214" s="405"/>
      <c r="J214" s="405"/>
      <c r="K214" s="398"/>
      <c r="L214" s="405"/>
      <c r="M214" s="728"/>
      <c r="N214" s="729" t="s">
        <v>280</v>
      </c>
      <c r="O214" s="729" t="s">
        <v>583</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ht="15.75" customHeight="1">
      <c r="A215" s="327" t="str">
        <f>IF(B215&lt;&gt;"",IF(AND(B215='IN-TC'!$S$4,OR(TH!N215="1111",TH!O215="1111")),TH!D215,""),"")</f>
        <v/>
      </c>
      <c r="B215" s="62">
        <f t="shared" si="21"/>
        <v>11</v>
      </c>
      <c r="C215" s="724">
        <v>43069</v>
      </c>
      <c r="D215" s="724" t="s">
        <v>573</v>
      </c>
      <c r="E215" s="724">
        <f t="shared" si="24"/>
        <v>43069</v>
      </c>
      <c r="F215" s="996" t="s">
        <v>782</v>
      </c>
      <c r="G215" s="813" t="s">
        <v>574</v>
      </c>
      <c r="H215" s="311"/>
      <c r="I215" s="405"/>
      <c r="J215" s="405"/>
      <c r="K215" s="398"/>
      <c r="L215" s="405"/>
      <c r="M215" s="728">
        <f>G213*$G215</f>
        <v>0</v>
      </c>
      <c r="N215" s="729" t="s">
        <v>583</v>
      </c>
      <c r="O215" s="729" t="s">
        <v>584</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ht="15.75" customHeight="1">
      <c r="A216" s="327" t="str">
        <f>IF(B216&lt;&gt;"",IF(AND(B216='IN-TC'!$S$4,OR(TH!N216="1111",TH!O216="1111")),TH!D216,""),"")</f>
        <v/>
      </c>
      <c r="B216" s="62">
        <f t="shared" si="21"/>
        <v>11</v>
      </c>
      <c r="C216" s="724">
        <v>43069</v>
      </c>
      <c r="D216" s="724" t="s">
        <v>573</v>
      </c>
      <c r="E216" s="724">
        <f t="shared" si="24"/>
        <v>43069</v>
      </c>
      <c r="F216" s="996" t="s">
        <v>783</v>
      </c>
      <c r="G216" s="267"/>
      <c r="H216" s="311"/>
      <c r="I216" s="405"/>
      <c r="J216" s="405"/>
      <c r="K216" s="398"/>
      <c r="L216" s="405"/>
      <c r="M216" s="728">
        <f>G214*$G215</f>
        <v>0</v>
      </c>
      <c r="N216" s="730" t="s">
        <v>583</v>
      </c>
      <c r="O216" s="731" t="s">
        <v>584</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ht="15.75" customHeight="1">
      <c r="A217" s="327" t="str">
        <f>IF(B217&lt;&gt;"",IF(AND(B217='IN-TC'!$S$4,OR(TH!N217="1111",TH!O217="1111")),TH!D217,""),"")</f>
        <v/>
      </c>
      <c r="B217" s="62">
        <f t="shared" si="21"/>
        <v>11</v>
      </c>
      <c r="C217" s="724">
        <v>43069</v>
      </c>
      <c r="D217" s="724" t="s">
        <v>573</v>
      </c>
      <c r="E217" s="724">
        <f t="shared" si="24"/>
        <v>43069</v>
      </c>
      <c r="F217" s="996" t="s">
        <v>784</v>
      </c>
      <c r="G217" s="813" t="s">
        <v>575</v>
      </c>
      <c r="H217" s="311"/>
      <c r="I217" s="405"/>
      <c r="J217" s="405"/>
      <c r="K217" s="398"/>
      <c r="L217" s="405"/>
      <c r="M217" s="728">
        <f>G213*$G217</f>
        <v>0</v>
      </c>
      <c r="N217" s="729" t="s">
        <v>582</v>
      </c>
      <c r="O217" s="729" t="s">
        <v>584</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ht="15.75" customHeight="1">
      <c r="A218" s="327" t="str">
        <f>IF(B218&lt;&gt;"",IF(AND(B218='IN-TC'!$S$4,OR(TH!N218="1111",TH!O218="1111")),TH!D218,""),"")</f>
        <v/>
      </c>
      <c r="B218" s="62">
        <f t="shared" si="21"/>
        <v>11</v>
      </c>
      <c r="C218" s="724">
        <v>43069</v>
      </c>
      <c r="D218" s="724" t="s">
        <v>573</v>
      </c>
      <c r="E218" s="724">
        <f t="shared" si="24"/>
        <v>43069</v>
      </c>
      <c r="F218" s="996" t="s">
        <v>785</v>
      </c>
      <c r="G218" s="267"/>
      <c r="H218" s="311"/>
      <c r="I218" s="405"/>
      <c r="J218" s="405"/>
      <c r="K218" s="398"/>
      <c r="L218" s="405"/>
      <c r="M218" s="728">
        <f>G214*$G217</f>
        <v>0</v>
      </c>
      <c r="N218" s="729" t="s">
        <v>280</v>
      </c>
      <c r="O218" s="729" t="s">
        <v>584</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ht="15.75" customHeight="1">
      <c r="A219" s="327" t="str">
        <f>IF(B219&lt;&gt;"",IF(AND(B219='IN-TC'!$S$4,OR(TH!N219="1111",TH!O219="1111")),TH!D219,""),"")</f>
        <v/>
      </c>
      <c r="B219" s="62">
        <f t="shared" si="21"/>
        <v>11</v>
      </c>
      <c r="C219" s="724">
        <v>43069</v>
      </c>
      <c r="D219" s="724" t="s">
        <v>573</v>
      </c>
      <c r="E219" s="724">
        <f t="shared" ref="E219:E232" si="25">C219</f>
        <v>43069</v>
      </c>
      <c r="F219" s="996" t="s">
        <v>786</v>
      </c>
      <c r="G219" s="813" t="s">
        <v>576</v>
      </c>
      <c r="H219" s="313"/>
      <c r="I219" s="403"/>
      <c r="J219" s="403"/>
      <c r="K219" s="396"/>
      <c r="L219" s="403"/>
      <c r="M219" s="728">
        <f>ROUND(G213*$G219,0)</f>
        <v>0</v>
      </c>
      <c r="N219" s="729" t="s">
        <v>583</v>
      </c>
      <c r="O219" s="729" t="s">
        <v>585</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ht="15.75" customHeight="1">
      <c r="A220" s="327" t="str">
        <f>IF(B220&lt;&gt;"",IF(AND(B220='IN-TC'!$S$4,OR(TH!N220="1111",TH!O220="1111")),TH!D220,""),"")</f>
        <v/>
      </c>
      <c r="B220" s="62">
        <f t="shared" si="21"/>
        <v>11</v>
      </c>
      <c r="C220" s="724">
        <v>43069</v>
      </c>
      <c r="D220" s="724" t="s">
        <v>573</v>
      </c>
      <c r="E220" s="724">
        <f t="shared" si="25"/>
        <v>43069</v>
      </c>
      <c r="F220" s="996" t="s">
        <v>787</v>
      </c>
      <c r="G220" s="267"/>
      <c r="H220" s="313"/>
      <c r="I220" s="403"/>
      <c r="J220" s="403"/>
      <c r="K220" s="396"/>
      <c r="L220" s="403"/>
      <c r="M220" s="728">
        <f>ROUND(G214*$G219,0)</f>
        <v>0</v>
      </c>
      <c r="N220" s="729" t="s">
        <v>583</v>
      </c>
      <c r="O220" s="729" t="s">
        <v>585</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ht="15.75" customHeight="1">
      <c r="A221" s="327" t="str">
        <f>IF(B221&lt;&gt;"",IF(AND(B221='IN-TC'!$S$4,OR(TH!N221="1111",TH!O221="1111")),TH!D221,""),"")</f>
        <v/>
      </c>
      <c r="B221" s="62">
        <f t="shared" si="21"/>
        <v>11</v>
      </c>
      <c r="C221" s="724">
        <v>43069</v>
      </c>
      <c r="D221" s="724" t="s">
        <v>573</v>
      </c>
      <c r="E221" s="724">
        <f t="shared" si="25"/>
        <v>43069</v>
      </c>
      <c r="F221" s="996" t="s">
        <v>788</v>
      </c>
      <c r="G221" s="813" t="s">
        <v>577</v>
      </c>
      <c r="H221" s="311"/>
      <c r="I221" s="405"/>
      <c r="J221" s="405"/>
      <c r="K221" s="398"/>
      <c r="L221" s="405"/>
      <c r="M221" s="728">
        <f>G213*$G221</f>
        <v>0</v>
      </c>
      <c r="N221" s="729" t="s">
        <v>582</v>
      </c>
      <c r="O221" s="729" t="s">
        <v>585</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ht="15.75" customHeight="1">
      <c r="A222" s="327" t="str">
        <f>IF(B222&lt;&gt;"",IF(AND(B222='IN-TC'!$S$4,OR(TH!N222="1111",TH!O222="1111")),TH!D222,""),"")</f>
        <v/>
      </c>
      <c r="B222" s="62">
        <f t="shared" si="21"/>
        <v>11</v>
      </c>
      <c r="C222" s="724">
        <v>43069</v>
      </c>
      <c r="D222" s="724" t="s">
        <v>573</v>
      </c>
      <c r="E222" s="724">
        <f t="shared" si="25"/>
        <v>43069</v>
      </c>
      <c r="F222" s="996" t="s">
        <v>789</v>
      </c>
      <c r="G222" s="267"/>
      <c r="H222" s="311"/>
      <c r="I222" s="405"/>
      <c r="J222" s="405"/>
      <c r="K222" s="398"/>
      <c r="L222" s="405"/>
      <c r="M222" s="728">
        <f>G214*$G221</f>
        <v>0</v>
      </c>
      <c r="N222" s="729" t="s">
        <v>280</v>
      </c>
      <c r="O222" s="729" t="s">
        <v>585</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ht="15.75" customHeight="1">
      <c r="A223" s="327" t="str">
        <f>IF(B223&lt;&gt;"",IF(AND(B223='IN-TC'!$S$4,OR(TH!N223="1111",TH!O223="1111")),TH!D223,""),"")</f>
        <v/>
      </c>
      <c r="B223" s="62">
        <f t="shared" si="21"/>
        <v>11</v>
      </c>
      <c r="C223" s="724">
        <v>43069</v>
      </c>
      <c r="D223" s="724" t="s">
        <v>573</v>
      </c>
      <c r="E223" s="724">
        <f t="shared" si="25"/>
        <v>43069</v>
      </c>
      <c r="F223" s="996" t="s">
        <v>790</v>
      </c>
      <c r="G223" s="813" t="s">
        <v>578</v>
      </c>
      <c r="H223" s="311"/>
      <c r="I223" s="405"/>
      <c r="J223" s="405"/>
      <c r="K223" s="398"/>
      <c r="L223" s="405"/>
      <c r="M223" s="728">
        <f>G213*$G223</f>
        <v>0</v>
      </c>
      <c r="N223" s="729" t="s">
        <v>583</v>
      </c>
      <c r="O223" s="729" t="s">
        <v>586</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ht="15.75" customHeight="1">
      <c r="A224" s="327" t="str">
        <f>IF(B224&lt;&gt;"",IF(AND(B224='IN-TC'!$S$4,OR(TH!N224="1111",TH!O224="1111")),TH!D224,""),"")</f>
        <v/>
      </c>
      <c r="B224" s="62">
        <f t="shared" si="21"/>
        <v>11</v>
      </c>
      <c r="C224" s="724">
        <v>43069</v>
      </c>
      <c r="D224" s="724" t="s">
        <v>573</v>
      </c>
      <c r="E224" s="724">
        <f t="shared" si="25"/>
        <v>43069</v>
      </c>
      <c r="F224" s="996" t="s">
        <v>791</v>
      </c>
      <c r="G224" s="267"/>
      <c r="H224" s="311"/>
      <c r="I224" s="405"/>
      <c r="J224" s="405"/>
      <c r="K224" s="398"/>
      <c r="L224" s="405"/>
      <c r="M224" s="728">
        <f>G214*$G223</f>
        <v>0</v>
      </c>
      <c r="N224" s="729" t="s">
        <v>583</v>
      </c>
      <c r="O224" s="729" t="s">
        <v>586</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ht="15.75" customHeight="1">
      <c r="A225" s="327" t="str">
        <f>IF(B225&lt;&gt;"",IF(AND(B225='IN-TC'!$S$4,OR(TH!N225="1111",TH!O225="1111")),TH!D225,""),"")</f>
        <v/>
      </c>
      <c r="B225" s="62">
        <f t="shared" si="21"/>
        <v>11</v>
      </c>
      <c r="C225" s="724">
        <v>43069</v>
      </c>
      <c r="D225" s="724" t="s">
        <v>573</v>
      </c>
      <c r="E225" s="724">
        <f t="shared" si="25"/>
        <v>43069</v>
      </c>
      <c r="F225" s="996" t="s">
        <v>792</v>
      </c>
      <c r="G225" s="813" t="s">
        <v>578</v>
      </c>
      <c r="H225" s="952"/>
      <c r="I225" s="406"/>
      <c r="J225" s="406"/>
      <c r="K225" s="399"/>
      <c r="L225" s="406"/>
      <c r="M225" s="728">
        <f>M223</f>
        <v>0</v>
      </c>
      <c r="N225" s="729" t="s">
        <v>582</v>
      </c>
      <c r="O225" s="729" t="s">
        <v>586</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ht="15.75" customHeight="1">
      <c r="A226" s="327" t="str">
        <f>IF(B226&lt;&gt;"",IF(AND(B226='IN-TC'!$S$4,OR(TH!N226="1111",TH!O226="1111")),TH!D226,""),"")</f>
        <v/>
      </c>
      <c r="B226" s="62">
        <f t="shared" ref="B226:B494" si="26">IF(C226&lt;&gt;"",MONTH(C226),"")</f>
        <v>11</v>
      </c>
      <c r="C226" s="724">
        <v>43069</v>
      </c>
      <c r="D226" s="724" t="s">
        <v>573</v>
      </c>
      <c r="E226" s="724">
        <f t="shared" si="25"/>
        <v>43069</v>
      </c>
      <c r="F226" s="996" t="s">
        <v>793</v>
      </c>
      <c r="G226" s="267"/>
      <c r="H226" s="311"/>
      <c r="I226" s="405"/>
      <c r="J226" s="405"/>
      <c r="K226" s="398"/>
      <c r="L226" s="405"/>
      <c r="M226" s="728">
        <f>M224</f>
        <v>0</v>
      </c>
      <c r="N226" s="729" t="s">
        <v>280</v>
      </c>
      <c r="O226" s="729" t="s">
        <v>586</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ht="15.75" customHeight="1">
      <c r="A227" s="327" t="str">
        <f>IF(B227&lt;&gt;"",IF(AND(B227='IN-TC'!$S$4,OR(TH!N227="1111",TH!O227="1111")),TH!D227,""),"")</f>
        <v/>
      </c>
      <c r="B227" s="62">
        <f t="shared" si="26"/>
        <v>12</v>
      </c>
      <c r="C227" s="724">
        <v>43100</v>
      </c>
      <c r="D227" s="724" t="s">
        <v>573</v>
      </c>
      <c r="E227" s="724">
        <f t="shared" si="25"/>
        <v>43100</v>
      </c>
      <c r="F227" s="996" t="s">
        <v>780</v>
      </c>
      <c r="G227" s="267"/>
      <c r="H227" s="311"/>
      <c r="I227" s="405"/>
      <c r="J227" s="405"/>
      <c r="K227" s="398"/>
      <c r="L227" s="405"/>
      <c r="M227" s="728"/>
      <c r="N227" s="729" t="s">
        <v>582</v>
      </c>
      <c r="O227" s="729" t="s">
        <v>583</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ht="15.75" customHeight="1">
      <c r="A228" s="327" t="str">
        <f>IF(B228&lt;&gt;"",IF(AND(B228='IN-TC'!$S$4,OR(TH!N228="1111",TH!O228="1111")),TH!D228,""),"")</f>
        <v/>
      </c>
      <c r="B228" s="62">
        <f t="shared" si="26"/>
        <v>12</v>
      </c>
      <c r="C228" s="724">
        <v>43100</v>
      </c>
      <c r="D228" s="724" t="s">
        <v>573</v>
      </c>
      <c r="E228" s="724">
        <f t="shared" si="25"/>
        <v>43100</v>
      </c>
      <c r="F228" s="996" t="s">
        <v>781</v>
      </c>
      <c r="G228" s="267"/>
      <c r="H228" s="311"/>
      <c r="I228" s="405"/>
      <c r="J228" s="405"/>
      <c r="K228" s="398"/>
      <c r="L228" s="405"/>
      <c r="M228" s="728"/>
      <c r="N228" s="729" t="s">
        <v>280</v>
      </c>
      <c r="O228" s="729" t="s">
        <v>583</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ht="15.75" customHeight="1">
      <c r="A229" s="327" t="str">
        <f>IF(B229&lt;&gt;"",IF(AND(B229='IN-TC'!$S$4,OR(TH!N229="1111",TH!O229="1111")),TH!D229,""),"")</f>
        <v/>
      </c>
      <c r="B229" s="62">
        <f t="shared" si="26"/>
        <v>12</v>
      </c>
      <c r="C229" s="724">
        <v>43100</v>
      </c>
      <c r="D229" s="724" t="s">
        <v>573</v>
      </c>
      <c r="E229" s="724">
        <f t="shared" si="25"/>
        <v>43100</v>
      </c>
      <c r="F229" s="996" t="s">
        <v>782</v>
      </c>
      <c r="G229" s="813" t="s">
        <v>574</v>
      </c>
      <c r="H229" s="311"/>
      <c r="I229" s="405"/>
      <c r="J229" s="405"/>
      <c r="K229" s="398"/>
      <c r="L229" s="405"/>
      <c r="M229" s="728">
        <f>G227*$G229</f>
        <v>0</v>
      </c>
      <c r="N229" s="729" t="s">
        <v>583</v>
      </c>
      <c r="O229" s="729" t="s">
        <v>584</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ht="15.75" customHeight="1">
      <c r="A230" s="327" t="str">
        <f>IF(B230&lt;&gt;"",IF(AND(B230='IN-TC'!$S$4,OR(TH!N230="1111",TH!O230="1111")),TH!D230,""),"")</f>
        <v/>
      </c>
      <c r="B230" s="62">
        <f t="shared" si="26"/>
        <v>12</v>
      </c>
      <c r="C230" s="724">
        <v>43100</v>
      </c>
      <c r="D230" s="724" t="s">
        <v>573</v>
      </c>
      <c r="E230" s="724">
        <f t="shared" si="25"/>
        <v>43100</v>
      </c>
      <c r="F230" s="996" t="s">
        <v>783</v>
      </c>
      <c r="G230" s="267"/>
      <c r="H230" s="311"/>
      <c r="I230" s="405"/>
      <c r="J230" s="405"/>
      <c r="K230" s="398"/>
      <c r="L230" s="405"/>
      <c r="M230" s="728">
        <f>G228*$G229</f>
        <v>0</v>
      </c>
      <c r="N230" s="730" t="s">
        <v>583</v>
      </c>
      <c r="O230" s="731" t="s">
        <v>584</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ht="15.75" customHeight="1">
      <c r="A231" s="327" t="str">
        <f>IF(B231&lt;&gt;"",IF(AND(B231='IN-TC'!$S$4,OR(TH!N231="1111",TH!O231="1111")),TH!D231,""),"")</f>
        <v/>
      </c>
      <c r="B231" s="62">
        <f t="shared" si="26"/>
        <v>12</v>
      </c>
      <c r="C231" s="724">
        <v>43100</v>
      </c>
      <c r="D231" s="724" t="s">
        <v>573</v>
      </c>
      <c r="E231" s="724">
        <f t="shared" si="25"/>
        <v>43100</v>
      </c>
      <c r="F231" s="996" t="s">
        <v>784</v>
      </c>
      <c r="G231" s="813" t="s">
        <v>575</v>
      </c>
      <c r="H231" s="311"/>
      <c r="I231" s="405"/>
      <c r="J231" s="405"/>
      <c r="K231" s="398"/>
      <c r="L231" s="405"/>
      <c r="M231" s="728">
        <f>G227*$G231</f>
        <v>0</v>
      </c>
      <c r="N231" s="729" t="s">
        <v>582</v>
      </c>
      <c r="O231" s="729" t="s">
        <v>584</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ht="15.75" customHeight="1">
      <c r="A232" s="327" t="str">
        <f>IF(B232&lt;&gt;"",IF(AND(B232='IN-TC'!$S$4,OR(TH!N232="1111",TH!O232="1111")),TH!D232,""),"")</f>
        <v/>
      </c>
      <c r="B232" s="62">
        <f t="shared" si="26"/>
        <v>12</v>
      </c>
      <c r="C232" s="724">
        <v>43100</v>
      </c>
      <c r="D232" s="724" t="s">
        <v>573</v>
      </c>
      <c r="E232" s="724">
        <f t="shared" si="25"/>
        <v>43100</v>
      </c>
      <c r="F232" s="996" t="s">
        <v>785</v>
      </c>
      <c r="G232" s="267"/>
      <c r="H232" s="311"/>
      <c r="I232" s="405"/>
      <c r="J232" s="405"/>
      <c r="K232" s="398"/>
      <c r="L232" s="405"/>
      <c r="M232" s="728">
        <f>G228*$G231</f>
        <v>0</v>
      </c>
      <c r="N232" s="729" t="s">
        <v>280</v>
      </c>
      <c r="O232" s="729" t="s">
        <v>584</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ht="15.75" customHeight="1">
      <c r="A233" s="327" t="str">
        <f>IF(B233&lt;&gt;"",IF(AND(B233='IN-TC'!$S$4,OR(TH!N233="1111",TH!O233="1111")),TH!D233,""),"")</f>
        <v/>
      </c>
      <c r="B233" s="62">
        <f t="shared" si="26"/>
        <v>12</v>
      </c>
      <c r="C233" s="724">
        <v>43100</v>
      </c>
      <c r="D233" s="724" t="s">
        <v>573</v>
      </c>
      <c r="E233" s="724">
        <f t="shared" ref="E233:E240" si="27">C233</f>
        <v>43100</v>
      </c>
      <c r="F233" s="996" t="s">
        <v>786</v>
      </c>
      <c r="G233" s="813" t="s">
        <v>576</v>
      </c>
      <c r="H233" s="313"/>
      <c r="I233" s="403"/>
      <c r="J233" s="403"/>
      <c r="K233" s="396"/>
      <c r="L233" s="403"/>
      <c r="M233" s="728">
        <f>ROUND(G227*$G233,0)</f>
        <v>0</v>
      </c>
      <c r="N233" s="729" t="s">
        <v>583</v>
      </c>
      <c r="O233" s="729" t="s">
        <v>585</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ht="15.75" customHeight="1">
      <c r="A234" s="327" t="str">
        <f>IF(B234&lt;&gt;"",IF(AND(B234='IN-TC'!$S$4,OR(TH!N234="1111",TH!O234="1111")),TH!D234,""),"")</f>
        <v/>
      </c>
      <c r="B234" s="62">
        <f t="shared" si="26"/>
        <v>12</v>
      </c>
      <c r="C234" s="724">
        <v>43100</v>
      </c>
      <c r="D234" s="724" t="s">
        <v>573</v>
      </c>
      <c r="E234" s="724">
        <f t="shared" si="27"/>
        <v>43100</v>
      </c>
      <c r="F234" s="996" t="s">
        <v>787</v>
      </c>
      <c r="G234" s="267"/>
      <c r="H234" s="313"/>
      <c r="I234" s="403"/>
      <c r="J234" s="403"/>
      <c r="K234" s="396"/>
      <c r="L234" s="403"/>
      <c r="M234" s="728">
        <f>ROUND(G228*$G233,0)</f>
        <v>0</v>
      </c>
      <c r="N234" s="729" t="s">
        <v>583</v>
      </c>
      <c r="O234" s="729" t="s">
        <v>585</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ht="15.75" customHeight="1">
      <c r="A235" s="327" t="str">
        <f>IF(B235&lt;&gt;"",IF(AND(B235='IN-TC'!$S$4,OR(TH!N235="1111",TH!O235="1111")),TH!D235,""),"")</f>
        <v/>
      </c>
      <c r="B235" s="62">
        <f t="shared" si="26"/>
        <v>12</v>
      </c>
      <c r="C235" s="724">
        <v>43100</v>
      </c>
      <c r="D235" s="724" t="s">
        <v>573</v>
      </c>
      <c r="E235" s="724">
        <f t="shared" si="27"/>
        <v>43100</v>
      </c>
      <c r="F235" s="996" t="s">
        <v>788</v>
      </c>
      <c r="G235" s="813" t="s">
        <v>577</v>
      </c>
      <c r="H235" s="311"/>
      <c r="I235" s="405"/>
      <c r="J235" s="405"/>
      <c r="K235" s="398"/>
      <c r="L235" s="405"/>
      <c r="M235" s="728">
        <f>G227*$G235</f>
        <v>0</v>
      </c>
      <c r="N235" s="729" t="s">
        <v>582</v>
      </c>
      <c r="O235" s="729" t="s">
        <v>585</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ht="15.75" customHeight="1">
      <c r="A236" s="327" t="str">
        <f>IF(B236&lt;&gt;"",IF(AND(B236='IN-TC'!$S$4,OR(TH!N236="1111",TH!O236="1111")),TH!D236,""),"")</f>
        <v/>
      </c>
      <c r="B236" s="62">
        <f t="shared" si="26"/>
        <v>12</v>
      </c>
      <c r="C236" s="724">
        <v>43100</v>
      </c>
      <c r="D236" s="724" t="s">
        <v>573</v>
      </c>
      <c r="E236" s="724">
        <f t="shared" si="27"/>
        <v>43100</v>
      </c>
      <c r="F236" s="996" t="s">
        <v>789</v>
      </c>
      <c r="G236" s="267"/>
      <c r="H236" s="311"/>
      <c r="I236" s="405"/>
      <c r="J236" s="405"/>
      <c r="K236" s="398"/>
      <c r="L236" s="405"/>
      <c r="M236" s="728">
        <f>G228*$G235</f>
        <v>0</v>
      </c>
      <c r="N236" s="729" t="s">
        <v>280</v>
      </c>
      <c r="O236" s="729" t="s">
        <v>585</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ht="15.75" customHeight="1">
      <c r="A237" s="327" t="str">
        <f>IF(B237&lt;&gt;"",IF(AND(B237='IN-TC'!$S$4,OR(TH!N237="1111",TH!O237="1111")),TH!D237,""),"")</f>
        <v/>
      </c>
      <c r="B237" s="62">
        <f t="shared" si="26"/>
        <v>12</v>
      </c>
      <c r="C237" s="724">
        <v>43100</v>
      </c>
      <c r="D237" s="724" t="s">
        <v>573</v>
      </c>
      <c r="E237" s="724">
        <f t="shared" si="27"/>
        <v>43100</v>
      </c>
      <c r="F237" s="996" t="s">
        <v>790</v>
      </c>
      <c r="G237" s="813" t="s">
        <v>578</v>
      </c>
      <c r="H237" s="311"/>
      <c r="I237" s="405"/>
      <c r="J237" s="405"/>
      <c r="K237" s="398"/>
      <c r="L237" s="405"/>
      <c r="M237" s="728">
        <f>G227*$G237</f>
        <v>0</v>
      </c>
      <c r="N237" s="729" t="s">
        <v>583</v>
      </c>
      <c r="O237" s="729" t="s">
        <v>586</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ht="15.75" customHeight="1">
      <c r="A238" s="327" t="str">
        <f>IF(B238&lt;&gt;"",IF(AND(B238='IN-TC'!$S$4,OR(TH!N238="1111",TH!O238="1111")),TH!D238,""),"")</f>
        <v/>
      </c>
      <c r="B238" s="62">
        <f t="shared" si="26"/>
        <v>12</v>
      </c>
      <c r="C238" s="724">
        <v>43100</v>
      </c>
      <c r="D238" s="724" t="s">
        <v>573</v>
      </c>
      <c r="E238" s="724">
        <f t="shared" si="27"/>
        <v>43100</v>
      </c>
      <c r="F238" s="996" t="s">
        <v>791</v>
      </c>
      <c r="G238" s="267"/>
      <c r="H238" s="311"/>
      <c r="I238" s="405"/>
      <c r="J238" s="405"/>
      <c r="K238" s="398"/>
      <c r="L238" s="405"/>
      <c r="M238" s="728">
        <f>G228*$G237</f>
        <v>0</v>
      </c>
      <c r="N238" s="729" t="s">
        <v>583</v>
      </c>
      <c r="O238" s="729" t="s">
        <v>586</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ht="15.75" customHeight="1">
      <c r="A239" s="327" t="str">
        <f>IF(B239&lt;&gt;"",IF(AND(B239='IN-TC'!$S$4,OR(TH!N239="1111",TH!O239="1111")),TH!D239,""),"")</f>
        <v/>
      </c>
      <c r="B239" s="62">
        <f t="shared" si="26"/>
        <v>12</v>
      </c>
      <c r="C239" s="724">
        <v>43100</v>
      </c>
      <c r="D239" s="724" t="s">
        <v>573</v>
      </c>
      <c r="E239" s="724">
        <f t="shared" si="27"/>
        <v>43100</v>
      </c>
      <c r="F239" s="996" t="s">
        <v>792</v>
      </c>
      <c r="G239" s="813" t="s">
        <v>578</v>
      </c>
      <c r="H239" s="952"/>
      <c r="I239" s="406"/>
      <c r="J239" s="406"/>
      <c r="K239" s="399"/>
      <c r="L239" s="406"/>
      <c r="M239" s="728">
        <f>M237</f>
        <v>0</v>
      </c>
      <c r="N239" s="729" t="s">
        <v>582</v>
      </c>
      <c r="O239" s="729" t="s">
        <v>586</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ht="15.75" customHeight="1">
      <c r="A240" s="327" t="str">
        <f>IF(B240&lt;&gt;"",IF(AND(B240='IN-TC'!$S$4,OR(TH!N240="1111",TH!O240="1111")),TH!D240,""),"")</f>
        <v/>
      </c>
      <c r="B240" s="62">
        <f t="shared" ref="B240" si="28">IF(C240&lt;&gt;"",MONTH(C240),"")</f>
        <v>12</v>
      </c>
      <c r="C240" s="724">
        <v>43100</v>
      </c>
      <c r="D240" s="724" t="s">
        <v>573</v>
      </c>
      <c r="E240" s="724">
        <f t="shared" si="27"/>
        <v>43100</v>
      </c>
      <c r="F240" s="996" t="s">
        <v>793</v>
      </c>
      <c r="G240" s="267"/>
      <c r="H240" s="311"/>
      <c r="I240" s="405"/>
      <c r="J240" s="405"/>
      <c r="K240" s="398"/>
      <c r="L240" s="405"/>
      <c r="M240" s="728">
        <f>M238</f>
        <v>0</v>
      </c>
      <c r="N240" s="729" t="s">
        <v>280</v>
      </c>
      <c r="O240" s="729" t="s">
        <v>586</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ht="15.75" customHeight="1">
      <c r="A241" s="999" t="str">
        <f>IF(B241&lt;&gt;"",IF(AND(B241='IN-TC'!$S$4,OR(TH!N241="1111",TH!O241="1111")),TH!D241,""),"")</f>
        <v/>
      </c>
      <c r="B241" s="1019">
        <f t="shared" ref="B241:B242" si="29">IF(C241&lt;&gt;"",MONTH(C241),"")</f>
        <v>1</v>
      </c>
      <c r="C241" s="1056">
        <v>42741</v>
      </c>
      <c r="D241" s="1056" t="s">
        <v>938</v>
      </c>
      <c r="E241" s="1056">
        <f t="shared" ref="E241:E242" si="30">C241</f>
        <v>42741</v>
      </c>
      <c r="F241" s="1086" t="s">
        <v>459</v>
      </c>
      <c r="G241" s="1062" t="s">
        <v>940</v>
      </c>
      <c r="H241" s="1057" t="s">
        <v>850</v>
      </c>
      <c r="I241" s="1058">
        <v>105560</v>
      </c>
      <c r="J241" s="1059">
        <v>2.63</v>
      </c>
      <c r="K241" s="1059">
        <f>I241*J241</f>
        <v>277622.8</v>
      </c>
      <c r="L241" s="1058">
        <v>22730</v>
      </c>
      <c r="M241" s="1060">
        <f>ROUND(K241*L241,0)</f>
        <v>6310366244</v>
      </c>
      <c r="N241" s="1061" t="s">
        <v>579</v>
      </c>
      <c r="O241" s="1061" t="s">
        <v>296</v>
      </c>
      <c r="P241" s="81" t="str">
        <f>IF(AND('331-CT'!$E$7=TH!H241,OR(N241="331",O241="331")),"x","")</f>
        <v/>
      </c>
      <c r="Q241" s="81" t="str">
        <f>IF(AND(B241='111'!$L$11,OR($N241=$Q$7,$O241=$Q$7)),"x","")</f>
        <v/>
      </c>
      <c r="R241" s="81" t="str">
        <f>IF(AND($N241=$Q$7,$B241&lt;'111'!$L$11),"x","")</f>
        <v/>
      </c>
      <c r="S241" s="81" t="str">
        <f>IF(AND($O241=$Q$7,$B241&lt;'111'!$L$11),"x","")</f>
        <v/>
      </c>
      <c r="T241" s="81" t="str">
        <f>IF(ISERROR(FIND('112'!$M$9,G241,1)),"",IF((AND(FIND('112'!$M$9,G241,1)&gt;=1,B241='112'!$K$9,OR($N241='112'!$I$6,$O241='112'!$I$6))),"x",""))</f>
        <v/>
      </c>
      <c r="U241" s="81" t="str">
        <f>IF(ISERROR(FIND('112'!$M$9,G241,1)),"",IF((AND(LEFT(G241,2)=LEFT('112'!$M$9,2),B241&lt;'112'!$K$9,$N241='112'!$I$6)),"x",""))</f>
        <v/>
      </c>
      <c r="V241" s="81" t="str">
        <f>IF(ISERROR(FIND('112'!$M$9,G241,1)),"",IF((AND(RIGHT(G241,2)=RIGHT('112'!$M$9,2),B241&lt;'112'!$K$9,$O241='112'!$I$6)),"x",""))</f>
        <v/>
      </c>
      <c r="W241" s="81" t="str">
        <f>IF(AND('341-CT'!$H$9=H241,OR(LEFT(N241,3)=$W$7,LEFT(O241,3)=$W$7)),"x","")</f>
        <v/>
      </c>
      <c r="X241" s="81" t="str">
        <f>IF(OR(TH!N241=TH!$X$7,O241=TH!$X$7),"x","")</f>
        <v/>
      </c>
      <c r="Y241" s="81" t="str">
        <f>IF(AND(OR(N241="131",O241="131"),H241='131-CT'!$H$9),"x","")</f>
        <v>x</v>
      </c>
      <c r="Z241" s="81"/>
      <c r="AA241" s="81" t="str">
        <f>IF(AND(MONTH(E241)='IN-NX'!$J$5,'IN-NX'!$D$7=D241),"x","")</f>
        <v/>
      </c>
      <c r="AB241" s="81" t="str">
        <f>IF(AND(OR(LEFT(TH!N241,2)="15",LEFT(TH!O241,2)="15"),LEFT(TH!O241,3)&lt;&gt;"111",'152-CT'!$J$8=TH!F241),"x","")</f>
        <v/>
      </c>
      <c r="AC241" s="81" t="str">
        <f>IF(AND(OR(LEFT(TH!N241,2)="15",LEFT(TH!O241,2)="15"),TK!$E$7=TH!F241),"x","")</f>
        <v/>
      </c>
      <c r="AD241" s="81" t="str">
        <f>IF(AND(N241="1521",MONTH(C241)='BK-NL'!$M$11),"x","")</f>
        <v/>
      </c>
    </row>
    <row r="242" spans="1:30" ht="15.75" customHeight="1">
      <c r="A242" s="999" t="str">
        <f>IF(B242&lt;&gt;"",IF(AND(B242='IN-TC'!$S$4,OR(TH!N242="1111",TH!O242="1111")),TH!D242,""),"")</f>
        <v/>
      </c>
      <c r="B242" s="1019">
        <f t="shared" si="29"/>
        <v>1</v>
      </c>
      <c r="C242" s="1056">
        <v>42746</v>
      </c>
      <c r="D242" s="1056" t="s">
        <v>939</v>
      </c>
      <c r="E242" s="1056">
        <f t="shared" si="30"/>
        <v>42746</v>
      </c>
      <c r="F242" s="1087" t="s">
        <v>446</v>
      </c>
      <c r="G242" s="1062" t="s">
        <v>941</v>
      </c>
      <c r="H242" s="1057" t="s">
        <v>942</v>
      </c>
      <c r="I242" s="1058">
        <v>4800</v>
      </c>
      <c r="J242" s="1059">
        <v>8.8000000000000007</v>
      </c>
      <c r="K242" s="1059">
        <f>I242*J242</f>
        <v>42240</v>
      </c>
      <c r="L242" s="1058">
        <v>22595</v>
      </c>
      <c r="M242" s="1060">
        <f t="shared" ref="M242:M247" si="31">ROUND(K242*L242,0)</f>
        <v>954412800</v>
      </c>
      <c r="N242" s="1061" t="s">
        <v>579</v>
      </c>
      <c r="O242" s="1061" t="s">
        <v>296</v>
      </c>
      <c r="P242" s="81" t="str">
        <f>IF(AND('331-CT'!$E$7=TH!H242,OR(N242="331",O242="331")),"x","")</f>
        <v/>
      </c>
      <c r="Q242" s="81" t="str">
        <f>IF(AND(B242='111'!$L$11,OR($N242=$Q$7,$O242=$Q$7)),"x","")</f>
        <v/>
      </c>
      <c r="R242" s="81" t="str">
        <f>IF(AND($N242=$Q$7,$B242&lt;'111'!$L$11),"x","")</f>
        <v/>
      </c>
      <c r="S242" s="81" t="str">
        <f>IF(AND($O242=$Q$7,$B242&lt;'111'!$L$11),"x","")</f>
        <v/>
      </c>
      <c r="T242" s="81" t="str">
        <f>IF(ISERROR(FIND('112'!$M$9,G242,1)),"",IF((AND(FIND('112'!$M$9,G242,1)&gt;=1,B242='112'!$K$9,OR($N242='112'!$I$6,$O242='112'!$I$6))),"x",""))</f>
        <v/>
      </c>
      <c r="U242" s="81" t="str">
        <f>IF(ISERROR(FIND('112'!$M$9,G242,1)),"",IF((AND(LEFT(G242,2)=LEFT('112'!$M$9,2),B242&lt;'112'!$K$9,$N242='112'!$I$6)),"x",""))</f>
        <v/>
      </c>
      <c r="V242" s="81" t="str">
        <f>IF(ISERROR(FIND('112'!$M$9,G242,1)),"",IF((AND(RIGHT(G242,2)=RIGHT('112'!$M$9,2),B242&lt;'112'!$K$9,$O242='112'!$I$6)),"x",""))</f>
        <v/>
      </c>
      <c r="W242" s="81" t="str">
        <f>IF(AND('341-CT'!$H$9=H242,OR(LEFT(N242,3)=$W$7,LEFT(O242,3)=$W$7)),"x","")</f>
        <v/>
      </c>
      <c r="X242" s="81" t="str">
        <f>IF(OR(TH!N242=TH!$X$7,O242=TH!$X$7),"x","")</f>
        <v/>
      </c>
      <c r="Y242" s="81" t="str">
        <f>IF(AND(OR(N242="131",O242="131"),H242='131-CT'!$H$9),"x","")</f>
        <v/>
      </c>
      <c r="Z242" s="81"/>
      <c r="AA242" s="81" t="str">
        <f>IF(AND(MONTH(E242)='IN-NX'!$J$5,'IN-NX'!$D$7=D242),"x","")</f>
        <v/>
      </c>
      <c r="AB242" s="81" t="str">
        <f>IF(AND(OR(LEFT(TH!N242,2)="15",LEFT(TH!O242,2)="15"),LEFT(TH!O242,3)&lt;&gt;"111",'152-CT'!$J$8=TH!F242),"x","")</f>
        <v/>
      </c>
      <c r="AC242" s="81" t="str">
        <f>IF(AND(OR(LEFT(TH!N242,2)="15",LEFT(TH!O242,2)="15"),TK!$E$7=TH!F242),"x","")</f>
        <v/>
      </c>
      <c r="AD242" s="81" t="str">
        <f>IF(AND(N242="1521",MONTH(C242)='BK-NL'!$M$11),"x","")</f>
        <v/>
      </c>
    </row>
    <row r="243" spans="1:30" ht="15.75" customHeight="1">
      <c r="A243" s="999" t="str">
        <f>IF(B243&lt;&gt;"",IF(AND(B243='IN-TC'!$S$4,OR(TH!N243="1111",TH!O243="1111")),TH!D243,""),"")</f>
        <v/>
      </c>
      <c r="B243" s="1019">
        <f t="shared" ref="B243:B244" si="32">IF(C243&lt;&gt;"",MONTH(C243),"")</f>
        <v>1</v>
      </c>
      <c r="C243" s="1056">
        <v>42747</v>
      </c>
      <c r="D243" s="1056" t="s">
        <v>956</v>
      </c>
      <c r="E243" s="1056">
        <f t="shared" ref="E243:E244" si="33">C243</f>
        <v>42747</v>
      </c>
      <c r="F243" s="1087" t="s">
        <v>810</v>
      </c>
      <c r="G243" s="1062" t="s">
        <v>957</v>
      </c>
      <c r="H243" s="1074" t="s">
        <v>590</v>
      </c>
      <c r="I243" s="1058">
        <v>2240</v>
      </c>
      <c r="J243" s="1059">
        <v>8.9</v>
      </c>
      <c r="K243" s="1059">
        <f t="shared" ref="K243:K244" si="34">I243*J243</f>
        <v>19936</v>
      </c>
      <c r="L243" s="1058">
        <v>22595</v>
      </c>
      <c r="M243" s="1060">
        <f t="shared" si="31"/>
        <v>450453920</v>
      </c>
      <c r="N243" s="1061" t="s">
        <v>579</v>
      </c>
      <c r="O243" s="1061" t="s">
        <v>296</v>
      </c>
      <c r="P243" s="81" t="str">
        <f>IF(AND('331-CT'!$E$7=TH!H243,OR(N243="331",O243="331")),"x","")</f>
        <v/>
      </c>
      <c r="Q243" s="81" t="str">
        <f>IF(AND(B243='111'!$L$11,OR($N243=$Q$7,$O243=$Q$7)),"x","")</f>
        <v/>
      </c>
      <c r="R243" s="81" t="str">
        <f>IF(AND($N243=$Q$7,$B243&lt;'111'!$L$11),"x","")</f>
        <v/>
      </c>
      <c r="S243" s="81" t="str">
        <f>IF(AND($O243=$Q$7,$B243&lt;'111'!$L$11),"x","")</f>
        <v/>
      </c>
      <c r="T243" s="81" t="str">
        <f>IF(ISERROR(FIND('112'!$M$9,G243,1)),"",IF((AND(FIND('112'!$M$9,G243,1)&gt;=1,B243='112'!$K$9,OR($N243='112'!$I$6,$O243='112'!$I$6))),"x",""))</f>
        <v/>
      </c>
      <c r="U243" s="81" t="str">
        <f>IF(ISERROR(FIND('112'!$M$9,G243,1)),"",IF((AND(LEFT(G243,2)=LEFT('112'!$M$9,2),B243&lt;'112'!$K$9,$N243='112'!$I$6)),"x",""))</f>
        <v/>
      </c>
      <c r="V243" s="81" t="str">
        <f>IF(ISERROR(FIND('112'!$M$9,G243,1)),"",IF((AND(RIGHT(G243,2)=RIGHT('112'!$M$9,2),B243&lt;'112'!$K$9,$O243='112'!$I$6)),"x",""))</f>
        <v/>
      </c>
      <c r="W243" s="81" t="str">
        <f>IF(AND('341-CT'!$H$9=H243,OR(LEFT(N243,3)=$W$7,LEFT(O243,3)=$W$7)),"x","")</f>
        <v/>
      </c>
      <c r="X243" s="81" t="str">
        <f>IF(OR(TH!N243=TH!$X$7,O243=TH!$X$7),"x","")</f>
        <v/>
      </c>
      <c r="Y243" s="81" t="str">
        <f>IF(AND(OR(N243="131",O243="131"),H243='131-CT'!$H$9),"x","")</f>
        <v/>
      </c>
      <c r="Z243" s="81"/>
      <c r="AA243" s="81" t="str">
        <f>IF(AND(MONTH(E243)='IN-NX'!$J$5,'IN-NX'!$D$7=D243),"x","")</f>
        <v/>
      </c>
      <c r="AB243" s="81" t="str">
        <f>IF(AND(OR(LEFT(TH!N243,2)="15",LEFT(TH!O243,2)="15"),LEFT(TH!O243,3)&lt;&gt;"111",'152-CT'!$J$8=TH!F243),"x","")</f>
        <v/>
      </c>
      <c r="AC243" s="81" t="str">
        <f>IF(AND(OR(LEFT(TH!N243,2)="15",LEFT(TH!O243,2)="15"),TK!$E$7=TH!F243),"x","")</f>
        <v/>
      </c>
      <c r="AD243" s="81" t="str">
        <f>IF(AND(N243="1521",MONTH(C243)='BK-NL'!$M$11),"x","")</f>
        <v/>
      </c>
    </row>
    <row r="244" spans="1:30" ht="15.75" customHeight="1">
      <c r="A244" s="999" t="str">
        <f>IF(B244&lt;&gt;"",IF(AND(B244='IN-TC'!$S$4,OR(TH!N244="1111",TH!O244="1111")),TH!D244,""),"")</f>
        <v/>
      </c>
      <c r="B244" s="1019">
        <f t="shared" si="32"/>
        <v>1</v>
      </c>
      <c r="C244" s="1056">
        <v>42747</v>
      </c>
      <c r="D244" s="1056" t="s">
        <v>956</v>
      </c>
      <c r="E244" s="1056">
        <f t="shared" si="33"/>
        <v>42747</v>
      </c>
      <c r="F244" s="1087" t="s">
        <v>857</v>
      </c>
      <c r="G244" s="1062" t="s">
        <v>957</v>
      </c>
      <c r="H244" s="1074" t="s">
        <v>590</v>
      </c>
      <c r="I244" s="1058">
        <v>2470</v>
      </c>
      <c r="J244" s="1059">
        <v>9.5</v>
      </c>
      <c r="K244" s="1059">
        <f t="shared" si="34"/>
        <v>23465</v>
      </c>
      <c r="L244" s="1058">
        <v>22595</v>
      </c>
      <c r="M244" s="1060">
        <f t="shared" si="31"/>
        <v>530191675</v>
      </c>
      <c r="N244" s="1061" t="s">
        <v>579</v>
      </c>
      <c r="O244" s="1061" t="s">
        <v>296</v>
      </c>
      <c r="P244" s="81" t="str">
        <f>IF(AND('331-CT'!$E$7=TH!H244,OR(N244="331",O244="331")),"x","")</f>
        <v/>
      </c>
      <c r="Q244" s="81" t="str">
        <f>IF(AND(B244='111'!$L$11,OR($N244=$Q$7,$O244=$Q$7)),"x","")</f>
        <v/>
      </c>
      <c r="R244" s="81" t="str">
        <f>IF(AND($N244=$Q$7,$B244&lt;'111'!$L$11),"x","")</f>
        <v/>
      </c>
      <c r="S244" s="81" t="str">
        <f>IF(AND($O244=$Q$7,$B244&lt;'111'!$L$11),"x","")</f>
        <v/>
      </c>
      <c r="T244" s="81" t="str">
        <f>IF(ISERROR(FIND('112'!$M$9,G244,1)),"",IF((AND(FIND('112'!$M$9,G244,1)&gt;=1,B244='112'!$K$9,OR($N244='112'!$I$6,$O244='112'!$I$6))),"x",""))</f>
        <v/>
      </c>
      <c r="U244" s="81" t="str">
        <f>IF(ISERROR(FIND('112'!$M$9,G244,1)),"",IF((AND(LEFT(G244,2)=LEFT('112'!$M$9,2),B244&lt;'112'!$K$9,$N244='112'!$I$6)),"x",""))</f>
        <v/>
      </c>
      <c r="V244" s="81" t="str">
        <f>IF(ISERROR(FIND('112'!$M$9,G244,1)),"",IF((AND(RIGHT(G244,2)=RIGHT('112'!$M$9,2),B244&lt;'112'!$K$9,$O244='112'!$I$6)),"x",""))</f>
        <v/>
      </c>
      <c r="W244" s="81" t="str">
        <f>IF(AND('341-CT'!$H$9=H244,OR(LEFT(N244,3)=$W$7,LEFT(O244,3)=$W$7)),"x","")</f>
        <v/>
      </c>
      <c r="X244" s="81" t="str">
        <f>IF(OR(TH!N244=TH!$X$7,O244=TH!$X$7),"x","")</f>
        <v/>
      </c>
      <c r="Y244" s="81" t="str">
        <f>IF(AND(OR(N244="131",O244="131"),H244='131-CT'!$H$9),"x","")</f>
        <v/>
      </c>
      <c r="Z244" s="81"/>
      <c r="AA244" s="81" t="str">
        <f>IF(AND(MONTH(E244)='IN-NX'!$J$5,'IN-NX'!$D$7=D244),"x","")</f>
        <v/>
      </c>
      <c r="AB244" s="81" t="str">
        <f>IF(AND(OR(LEFT(TH!N244,2)="15",LEFT(TH!O244,2)="15"),LEFT(TH!O244,3)&lt;&gt;"111",'152-CT'!$J$8=TH!F244),"x","")</f>
        <v/>
      </c>
      <c r="AC244" s="81" t="str">
        <f>IF(AND(OR(LEFT(TH!N244,2)="15",LEFT(TH!O244,2)="15"),TK!$E$7=TH!F244),"x","")</f>
        <v/>
      </c>
      <c r="AD244" s="81" t="str">
        <f>IF(AND(N244="1521",MONTH(C244)='BK-NL'!$M$11),"x","")</f>
        <v/>
      </c>
    </row>
    <row r="245" spans="1:30" ht="15.75" customHeight="1">
      <c r="A245" s="999" t="str">
        <f>IF(B245&lt;&gt;"",IF(AND(B245='IN-TC'!$S$4,OR(TH!N245="1111",TH!O245="1111")),TH!D245,""),"")</f>
        <v/>
      </c>
      <c r="B245" s="1019">
        <f t="shared" ref="B245" si="35">IF(C245&lt;&gt;"",MONTH(C245),"")</f>
        <v>1</v>
      </c>
      <c r="C245" s="1056">
        <v>42749</v>
      </c>
      <c r="D245" s="1056" t="s">
        <v>958</v>
      </c>
      <c r="E245" s="1056">
        <f t="shared" ref="E245" si="36">C245</f>
        <v>42749</v>
      </c>
      <c r="F245" s="1087" t="s">
        <v>445</v>
      </c>
      <c r="G245" s="1062" t="s">
        <v>959</v>
      </c>
      <c r="H245" s="1057" t="s">
        <v>942</v>
      </c>
      <c r="I245" s="1058">
        <v>12000</v>
      </c>
      <c r="J245" s="1059">
        <v>9</v>
      </c>
      <c r="K245" s="1059">
        <f t="shared" ref="K245" si="37">I245*J245</f>
        <v>108000</v>
      </c>
      <c r="L245" s="1058">
        <v>22595</v>
      </c>
      <c r="M245" s="1060">
        <f t="shared" si="31"/>
        <v>2440260000</v>
      </c>
      <c r="N245" s="1061" t="s">
        <v>579</v>
      </c>
      <c r="O245" s="1061" t="s">
        <v>296</v>
      </c>
      <c r="P245" s="81" t="str">
        <f>IF(AND('331-CT'!$E$7=TH!H245,OR(N245="331",O245="331")),"x","")</f>
        <v/>
      </c>
      <c r="Q245" s="81" t="str">
        <f>IF(AND(B245='111'!$L$11,OR($N245=$Q$7,$O245=$Q$7)),"x","")</f>
        <v/>
      </c>
      <c r="R245" s="81" t="str">
        <f>IF(AND($N245=$Q$7,$B245&lt;'111'!$L$11),"x","")</f>
        <v/>
      </c>
      <c r="S245" s="81" t="str">
        <f>IF(AND($O245=$Q$7,$B245&lt;'111'!$L$11),"x","")</f>
        <v/>
      </c>
      <c r="T245" s="81" t="str">
        <f>IF(ISERROR(FIND('112'!$M$9,G245,1)),"",IF((AND(FIND('112'!$M$9,G245,1)&gt;=1,B245='112'!$K$9,OR($N245='112'!$I$6,$O245='112'!$I$6))),"x",""))</f>
        <v/>
      </c>
      <c r="U245" s="81" t="str">
        <f>IF(ISERROR(FIND('112'!$M$9,G245,1)),"",IF((AND(LEFT(G245,2)=LEFT('112'!$M$9,2),B245&lt;'112'!$K$9,$N245='112'!$I$6)),"x",""))</f>
        <v/>
      </c>
      <c r="V245" s="81" t="str">
        <f>IF(ISERROR(FIND('112'!$M$9,G245,1)),"",IF((AND(RIGHT(G245,2)=RIGHT('112'!$M$9,2),B245&lt;'112'!$K$9,$O245='112'!$I$6)),"x",""))</f>
        <v/>
      </c>
      <c r="W245" s="81" t="str">
        <f>IF(AND('341-CT'!$H$9=H245,OR(LEFT(N245,3)=$W$7,LEFT(O245,3)=$W$7)),"x","")</f>
        <v/>
      </c>
      <c r="X245" s="81" t="str">
        <f>IF(OR(TH!N245=TH!$X$7,O245=TH!$X$7),"x","")</f>
        <v/>
      </c>
      <c r="Y245" s="81" t="str">
        <f>IF(AND(OR(N245="131",O245="131"),H245='131-CT'!$H$9),"x","")</f>
        <v/>
      </c>
      <c r="Z245" s="81"/>
      <c r="AA245" s="81" t="str">
        <f>IF(AND(MONTH(E245)='IN-NX'!$J$5,'IN-NX'!$D$7=D245),"x","")</f>
        <v/>
      </c>
      <c r="AB245" s="81" t="str">
        <f>IF(AND(OR(LEFT(TH!N245,2)="15",LEFT(TH!O245,2)="15"),LEFT(TH!O245,3)&lt;&gt;"111",'152-CT'!$J$8=TH!F245),"x","")</f>
        <v/>
      </c>
      <c r="AC245" s="81" t="str">
        <f>IF(AND(OR(LEFT(TH!N245,2)="15",LEFT(TH!O245,2)="15"),TK!$E$7=TH!F245),"x","")</f>
        <v/>
      </c>
      <c r="AD245" s="81" t="str">
        <f>IF(AND(N245="1521",MONTH(C245)='BK-NL'!$M$11),"x","")</f>
        <v/>
      </c>
    </row>
    <row r="246" spans="1:30" ht="15.75" customHeight="1">
      <c r="A246" s="999" t="str">
        <f>IF(B246&lt;&gt;"",IF(AND(B246='IN-TC'!$S$4,OR(TH!N246="1111",TH!O246="1111")),TH!D246,""),"")</f>
        <v/>
      </c>
      <c r="B246" s="1019">
        <f t="shared" ref="B246:B247" si="38">IF(C246&lt;&gt;"",MONTH(C246),"")</f>
        <v>1</v>
      </c>
      <c r="C246" s="1056">
        <v>42752</v>
      </c>
      <c r="D246" s="1056" t="s">
        <v>983</v>
      </c>
      <c r="E246" s="1056">
        <f t="shared" ref="E246:E247" si="39">C246</f>
        <v>42752</v>
      </c>
      <c r="F246" s="1087" t="s">
        <v>446</v>
      </c>
      <c r="G246" s="1062" t="s">
        <v>985</v>
      </c>
      <c r="H246" s="1088" t="s">
        <v>796</v>
      </c>
      <c r="I246" s="1058">
        <v>4800</v>
      </c>
      <c r="J246" s="1059">
        <v>8.6999999999999993</v>
      </c>
      <c r="K246" s="1059">
        <f t="shared" ref="K246:K247" si="40">I246*J246</f>
        <v>41760</v>
      </c>
      <c r="L246" s="1058">
        <v>22530</v>
      </c>
      <c r="M246" s="1060">
        <f t="shared" si="31"/>
        <v>940852800</v>
      </c>
      <c r="N246" s="1061" t="s">
        <v>579</v>
      </c>
      <c r="O246" s="1061" t="s">
        <v>296</v>
      </c>
      <c r="P246" s="81" t="str">
        <f>IF(AND('331-CT'!$E$7=TH!H246,OR(N246="331",O246="331")),"x","")</f>
        <v/>
      </c>
      <c r="Q246" s="81" t="str">
        <f>IF(AND(B246='111'!$L$11,OR($N246=$Q$7,$O246=$Q$7)),"x","")</f>
        <v/>
      </c>
      <c r="R246" s="81" t="str">
        <f>IF(AND($N246=$Q$7,$B246&lt;'111'!$L$11),"x","")</f>
        <v/>
      </c>
      <c r="S246" s="81" t="str">
        <f>IF(AND($O246=$Q$7,$B246&lt;'111'!$L$11),"x","")</f>
        <v/>
      </c>
      <c r="T246" s="81" t="str">
        <f>IF(ISERROR(FIND('112'!$M$9,G246,1)),"",IF((AND(FIND('112'!$M$9,G246,1)&gt;=1,B246='112'!$K$9,OR($N246='112'!$I$6,$O246='112'!$I$6))),"x",""))</f>
        <v/>
      </c>
      <c r="U246" s="81" t="str">
        <f>IF(ISERROR(FIND('112'!$M$9,G246,1)),"",IF((AND(LEFT(G246,2)=LEFT('112'!$M$9,2),B246&lt;'112'!$K$9,$N246='112'!$I$6)),"x",""))</f>
        <v/>
      </c>
      <c r="V246" s="81" t="str">
        <f>IF(ISERROR(FIND('112'!$M$9,G246,1)),"",IF((AND(RIGHT(G246,2)=RIGHT('112'!$M$9,2),B246&lt;'112'!$K$9,$O246='112'!$I$6)),"x",""))</f>
        <v/>
      </c>
      <c r="W246" s="81" t="str">
        <f>IF(AND('341-CT'!$H$9=H246,OR(LEFT(N246,3)=$W$7,LEFT(O246,3)=$W$7)),"x","")</f>
        <v/>
      </c>
      <c r="X246" s="81" t="str">
        <f>IF(OR(TH!N246=TH!$X$7,O246=TH!$X$7),"x","")</f>
        <v/>
      </c>
      <c r="Y246" s="81" t="str">
        <f>IF(AND(OR(N246="131",O246="131"),H246='131-CT'!$H$9),"x","")</f>
        <v/>
      </c>
      <c r="Z246" s="81"/>
      <c r="AA246" s="81" t="str">
        <f>IF(AND(MONTH(E246)='IN-NX'!$J$5,'IN-NX'!$D$7=D246),"x","")</f>
        <v/>
      </c>
      <c r="AB246" s="81" t="str">
        <f>IF(AND(OR(LEFT(TH!N246,2)="15",LEFT(TH!O246,2)="15"),LEFT(TH!O246,3)&lt;&gt;"111",'152-CT'!$J$8=TH!F246),"x","")</f>
        <v/>
      </c>
      <c r="AC246" s="81" t="str">
        <f>IF(AND(OR(LEFT(TH!N246,2)="15",LEFT(TH!O246,2)="15"),TK!$E$7=TH!F246),"x","")</f>
        <v/>
      </c>
      <c r="AD246" s="81" t="str">
        <f>IF(AND(N246="1521",MONTH(C246)='BK-NL'!$M$11),"x","")</f>
        <v/>
      </c>
    </row>
    <row r="247" spans="1:30" ht="15.75" customHeight="1">
      <c r="A247" s="999" t="str">
        <f>IF(B247&lt;&gt;"",IF(AND(B247='IN-TC'!$S$4,OR(TH!N247="1111",TH!O247="1111")),TH!D247,""),"")</f>
        <v/>
      </c>
      <c r="B247" s="1019">
        <f t="shared" si="38"/>
        <v>1</v>
      </c>
      <c r="C247" s="1056">
        <v>42754</v>
      </c>
      <c r="D247" s="1056" t="s">
        <v>984</v>
      </c>
      <c r="E247" s="1056">
        <f t="shared" si="39"/>
        <v>42754</v>
      </c>
      <c r="F247" s="1087" t="s">
        <v>899</v>
      </c>
      <c r="G247" s="1062" t="s">
        <v>986</v>
      </c>
      <c r="H247" s="90" t="s">
        <v>812</v>
      </c>
      <c r="I247" s="1058">
        <v>10000</v>
      </c>
      <c r="J247" s="1059">
        <v>7.2</v>
      </c>
      <c r="K247" s="1059">
        <f t="shared" si="40"/>
        <v>72000</v>
      </c>
      <c r="L247" s="1058">
        <v>22530</v>
      </c>
      <c r="M247" s="1060">
        <f t="shared" si="31"/>
        <v>1622160000</v>
      </c>
      <c r="N247" s="1061" t="s">
        <v>579</v>
      </c>
      <c r="O247" s="1061" t="s">
        <v>296</v>
      </c>
      <c r="P247" s="81" t="str">
        <f>IF(AND('331-CT'!$E$7=TH!H247,OR(N247="331",O247="331")),"x","")</f>
        <v/>
      </c>
      <c r="Q247" s="81" t="str">
        <f>IF(AND(B247='111'!$L$11,OR($N247=$Q$7,$O247=$Q$7)),"x","")</f>
        <v/>
      </c>
      <c r="R247" s="81" t="str">
        <f>IF(AND($N247=$Q$7,$B247&lt;'111'!$L$11),"x","")</f>
        <v/>
      </c>
      <c r="S247" s="81" t="str">
        <f>IF(AND($O247=$Q$7,$B247&lt;'111'!$L$11),"x","")</f>
        <v/>
      </c>
      <c r="T247" s="81" t="str">
        <f>IF(ISERROR(FIND('112'!$M$9,G247,1)),"",IF((AND(FIND('112'!$M$9,G247,1)&gt;=1,B247='112'!$K$9,OR($N247='112'!$I$6,$O247='112'!$I$6))),"x",""))</f>
        <v/>
      </c>
      <c r="U247" s="81" t="str">
        <f>IF(ISERROR(FIND('112'!$M$9,G247,1)),"",IF((AND(LEFT(G247,2)=LEFT('112'!$M$9,2),B247&lt;'112'!$K$9,$N247='112'!$I$6)),"x",""))</f>
        <v/>
      </c>
      <c r="V247" s="81" t="str">
        <f>IF(ISERROR(FIND('112'!$M$9,G247,1)),"",IF((AND(RIGHT(G247,2)=RIGHT('112'!$M$9,2),B247&lt;'112'!$K$9,$O247='112'!$I$6)),"x",""))</f>
        <v/>
      </c>
      <c r="W247" s="81" t="str">
        <f>IF(AND('341-CT'!$H$9=H247,OR(LEFT(N247,3)=$W$7,LEFT(O247,3)=$W$7)),"x","")</f>
        <v/>
      </c>
      <c r="X247" s="81" t="str">
        <f>IF(OR(TH!N247=TH!$X$7,O247=TH!$X$7),"x","")</f>
        <v/>
      </c>
      <c r="Y247" s="81" t="str">
        <f>IF(AND(OR(N247="131",O247="131"),H247='131-CT'!$H$9),"x","")</f>
        <v/>
      </c>
      <c r="Z247" s="81"/>
      <c r="AA247" s="81" t="str">
        <f>IF(AND(MONTH(E247)='IN-NX'!$J$5,'IN-NX'!$D$7=D247),"x","")</f>
        <v/>
      </c>
      <c r="AB247" s="81" t="str">
        <f>IF(AND(OR(LEFT(TH!N247,2)="15",LEFT(TH!O247,2)="15"),LEFT(TH!O247,3)&lt;&gt;"111",'152-CT'!$J$8=TH!F247),"x","")</f>
        <v/>
      </c>
      <c r="AC247" s="81" t="str">
        <f>IF(AND(OR(LEFT(TH!N247,2)="15",LEFT(TH!O247,2)="15"),TK!$E$7=TH!F247),"x","")</f>
        <v/>
      </c>
      <c r="AD247" s="81" t="str">
        <f>IF(AND(N247="1521",MONTH(C247)='BK-NL'!$M$11),"x","")</f>
        <v/>
      </c>
    </row>
    <row r="248" spans="1:30" ht="15.75" customHeight="1">
      <c r="A248" s="999" t="str">
        <f>IF(B248&lt;&gt;"",IF(AND(B248='IN-TC'!$S$4,OR(TH!N248="1111",TH!O248="1111")),TH!D248,""),"")</f>
        <v/>
      </c>
      <c r="B248" s="1019">
        <f t="shared" ref="B248" si="41">IF(C248&lt;&gt;"",MONTH(C248),"")</f>
        <v>1</v>
      </c>
      <c r="C248" s="1056">
        <v>42754</v>
      </c>
      <c r="D248" s="1056" t="s">
        <v>1014</v>
      </c>
      <c r="E248" s="1056">
        <f t="shared" ref="E248" si="42">C248</f>
        <v>42754</v>
      </c>
      <c r="F248" s="1087" t="s">
        <v>910</v>
      </c>
      <c r="G248" s="1062" t="s">
        <v>1016</v>
      </c>
      <c r="H248" s="1074" t="s">
        <v>915</v>
      </c>
      <c r="I248" s="1058">
        <v>130</v>
      </c>
      <c r="J248" s="1059">
        <v>150000</v>
      </c>
      <c r="K248" s="1059"/>
      <c r="L248" s="1058"/>
      <c r="M248" s="1060">
        <f>I248*J248</f>
        <v>19500000</v>
      </c>
      <c r="N248" s="1061" t="s">
        <v>579</v>
      </c>
      <c r="O248" s="1061" t="s">
        <v>294</v>
      </c>
      <c r="P248" s="81" t="str">
        <f>IF(AND('331-CT'!$E$7=TH!H248,OR(N248="331",O248="331")),"x","")</f>
        <v/>
      </c>
      <c r="Q248" s="81" t="str">
        <f>IF(AND(B248='111'!$L$11,OR($N248=$Q$7,$O248=$Q$7)),"x","")</f>
        <v/>
      </c>
      <c r="R248" s="81" t="str">
        <f>IF(AND($N248=$Q$7,$B248&lt;'111'!$L$11),"x","")</f>
        <v/>
      </c>
      <c r="S248" s="81" t="str">
        <f>IF(AND($O248=$Q$7,$B248&lt;'111'!$L$11),"x","")</f>
        <v/>
      </c>
      <c r="T248" s="81" t="str">
        <f>IF(ISERROR(FIND('112'!$M$9,G248,1)),"",IF((AND(FIND('112'!$M$9,G248,1)&gt;=1,B248='112'!$K$9,OR($N248='112'!$I$6,$O248='112'!$I$6))),"x",""))</f>
        <v/>
      </c>
      <c r="U248" s="81" t="str">
        <f>IF(ISERROR(FIND('112'!$M$9,G248,1)),"",IF((AND(LEFT(G248,2)=LEFT('112'!$M$9,2),B248&lt;'112'!$K$9,$N248='112'!$I$6)),"x",""))</f>
        <v/>
      </c>
      <c r="V248" s="81" t="str">
        <f>IF(ISERROR(FIND('112'!$M$9,G248,1)),"",IF((AND(RIGHT(G248,2)=RIGHT('112'!$M$9,2),B248&lt;'112'!$K$9,$O248='112'!$I$6)),"x",""))</f>
        <v/>
      </c>
      <c r="W248" s="81" t="str">
        <f>IF(AND('341-CT'!$H$9=H248,OR(LEFT(N248,3)=$W$7,LEFT(O248,3)=$W$7)),"x","")</f>
        <v/>
      </c>
      <c r="X248" s="81" t="str">
        <f>IF(OR(TH!N248=TH!$X$7,O248=TH!$X$7),"x","")</f>
        <v/>
      </c>
      <c r="Y248" s="81" t="str">
        <f>IF(AND(OR(N248="131",O248="131"),H248='131-CT'!$H$9),"x","")</f>
        <v/>
      </c>
      <c r="Z248" s="81"/>
      <c r="AA248" s="81" t="str">
        <f>IF(AND(MONTH(E248)='IN-NX'!$J$5,'IN-NX'!$D$7=D248),"x","")</f>
        <v/>
      </c>
      <c r="AB248" s="81" t="str">
        <f>IF(AND(OR(LEFT(TH!N248,2)="15",LEFT(TH!O248,2)="15"),LEFT(TH!O248,3)&lt;&gt;"111",'152-CT'!$J$8=TH!F248),"x","")</f>
        <v/>
      </c>
      <c r="AC248" s="81" t="str">
        <f>IF(AND(OR(LEFT(TH!N248,2)="15",LEFT(TH!O248,2)="15"),TK!$E$7=TH!F248),"x","")</f>
        <v/>
      </c>
      <c r="AD248" s="81" t="str">
        <f>IF(AND(N248="1521",MONTH(C248)='BK-NL'!$M$11),"x","")</f>
        <v/>
      </c>
    </row>
    <row r="249" spans="1:30" ht="15.75" customHeight="1">
      <c r="A249" s="999" t="str">
        <f>IF(B249&lt;&gt;"",IF(AND(B249='IN-TC'!$S$4,OR(TH!N249="1111",TH!O249="1111")),TH!D249,""),"")</f>
        <v/>
      </c>
      <c r="B249" s="1019">
        <f t="shared" ref="B249:B253" si="43">IF(C249&lt;&gt;"",MONTH(C249),"")</f>
        <v>1</v>
      </c>
      <c r="C249" s="1056">
        <v>42754</v>
      </c>
      <c r="D249" s="1056" t="s">
        <v>1014</v>
      </c>
      <c r="E249" s="1056">
        <f t="shared" ref="E249:E255" si="44">C249</f>
        <v>42754</v>
      </c>
      <c r="F249" s="1087" t="s">
        <v>907</v>
      </c>
      <c r="G249" s="1062" t="s">
        <v>1016</v>
      </c>
      <c r="H249" s="1074" t="s">
        <v>915</v>
      </c>
      <c r="I249" s="1058">
        <v>50</v>
      </c>
      <c r="J249" s="1059">
        <v>220000</v>
      </c>
      <c r="K249" s="1059"/>
      <c r="L249" s="1058"/>
      <c r="M249" s="1060">
        <f t="shared" ref="M249:M251" si="45">I249*J249</f>
        <v>11000000</v>
      </c>
      <c r="N249" s="1061" t="s">
        <v>579</v>
      </c>
      <c r="O249" s="1061" t="s">
        <v>294</v>
      </c>
      <c r="P249" s="81" t="str">
        <f>IF(AND('331-CT'!$E$7=TH!H249,OR(N249="331",O249="331")),"x","")</f>
        <v/>
      </c>
      <c r="Q249" s="81" t="str">
        <f>IF(AND(B249='111'!$L$11,OR($N249=$Q$7,$O249=$Q$7)),"x","")</f>
        <v/>
      </c>
      <c r="R249" s="81" t="str">
        <f>IF(AND($N249=$Q$7,$B249&lt;'111'!$L$11),"x","")</f>
        <v/>
      </c>
      <c r="S249" s="81" t="str">
        <f>IF(AND($O249=$Q$7,$B249&lt;'111'!$L$11),"x","")</f>
        <v/>
      </c>
      <c r="T249" s="81" t="str">
        <f>IF(ISERROR(FIND('112'!$M$9,G249,1)),"",IF((AND(FIND('112'!$M$9,G249,1)&gt;=1,B249='112'!$K$9,OR($N249='112'!$I$6,$O249='112'!$I$6))),"x",""))</f>
        <v/>
      </c>
      <c r="U249" s="81" t="str">
        <f>IF(ISERROR(FIND('112'!$M$9,G249,1)),"",IF((AND(LEFT(G249,2)=LEFT('112'!$M$9,2),B249&lt;'112'!$K$9,$N249='112'!$I$6)),"x",""))</f>
        <v/>
      </c>
      <c r="V249" s="81" t="str">
        <f>IF(ISERROR(FIND('112'!$M$9,G249,1)),"",IF((AND(RIGHT(G249,2)=RIGHT('112'!$M$9,2),B249&lt;'112'!$K$9,$O249='112'!$I$6)),"x",""))</f>
        <v/>
      </c>
      <c r="W249" s="81" t="str">
        <f>IF(AND('341-CT'!$H$9=H249,OR(LEFT(N249,3)=$W$7,LEFT(O249,3)=$W$7)),"x","")</f>
        <v/>
      </c>
      <c r="X249" s="81" t="str">
        <f>IF(OR(TH!N249=TH!$X$7,O249=TH!$X$7),"x","")</f>
        <v/>
      </c>
      <c r="Y249" s="81" t="str">
        <f>IF(AND(OR(N249="131",O249="131"),H249='131-CT'!$H$9),"x","")</f>
        <v/>
      </c>
      <c r="Z249" s="81"/>
      <c r="AA249" s="81" t="str">
        <f>IF(AND(MONTH(E249)='IN-NX'!$J$5,'IN-NX'!$D$7=D249),"x","")</f>
        <v/>
      </c>
      <c r="AB249" s="81" t="str">
        <f>IF(AND(OR(LEFT(TH!N249,2)="15",LEFT(TH!O249,2)="15"),LEFT(TH!O249,3)&lt;&gt;"111",'152-CT'!$J$8=TH!F249),"x","")</f>
        <v/>
      </c>
      <c r="AC249" s="81" t="str">
        <f>IF(AND(OR(LEFT(TH!N249,2)="15",LEFT(TH!O249,2)="15"),TK!$E$7=TH!F249),"x","")</f>
        <v/>
      </c>
      <c r="AD249" s="81" t="str">
        <f>IF(AND(N249="1521",MONTH(C249)='BK-NL'!$M$11),"x","")</f>
        <v/>
      </c>
    </row>
    <row r="250" spans="1:30" ht="15.75" customHeight="1">
      <c r="A250" s="999" t="str">
        <f>IF(B250&lt;&gt;"",IF(AND(B250='IN-TC'!$S$4,OR(TH!N250="1111",TH!O250="1111")),TH!D250,""),"")</f>
        <v/>
      </c>
      <c r="B250" s="1019">
        <f t="shared" si="43"/>
        <v>1</v>
      </c>
      <c r="C250" s="1056">
        <v>42754</v>
      </c>
      <c r="D250" s="1056" t="s">
        <v>1014</v>
      </c>
      <c r="E250" s="1056">
        <f t="shared" si="44"/>
        <v>42754</v>
      </c>
      <c r="F250" s="1087" t="s">
        <v>909</v>
      </c>
      <c r="G250" s="1062" t="s">
        <v>1016</v>
      </c>
      <c r="H250" s="1074" t="s">
        <v>915</v>
      </c>
      <c r="I250" s="1058">
        <v>10</v>
      </c>
      <c r="J250" s="1059">
        <v>200000</v>
      </c>
      <c r="K250" s="1059"/>
      <c r="L250" s="1058"/>
      <c r="M250" s="1060">
        <f t="shared" si="45"/>
        <v>2000000</v>
      </c>
      <c r="N250" s="1061" t="s">
        <v>579</v>
      </c>
      <c r="O250" s="1061" t="s">
        <v>294</v>
      </c>
      <c r="P250" s="81" t="str">
        <f>IF(AND('331-CT'!$E$7=TH!H250,OR(N250="331",O250="331")),"x","")</f>
        <v/>
      </c>
      <c r="Q250" s="81" t="str">
        <f>IF(AND(B250='111'!$L$11,OR($N250=$Q$7,$O250=$Q$7)),"x","")</f>
        <v/>
      </c>
      <c r="R250" s="81" t="str">
        <f>IF(AND($N250=$Q$7,$B250&lt;'111'!$L$11),"x","")</f>
        <v/>
      </c>
      <c r="S250" s="81" t="str">
        <f>IF(AND($O250=$Q$7,$B250&lt;'111'!$L$11),"x","")</f>
        <v/>
      </c>
      <c r="T250" s="81" t="str">
        <f>IF(ISERROR(FIND('112'!$M$9,G250,1)),"",IF((AND(FIND('112'!$M$9,G250,1)&gt;=1,B250='112'!$K$9,OR($N250='112'!$I$6,$O250='112'!$I$6))),"x",""))</f>
        <v/>
      </c>
      <c r="U250" s="81" t="str">
        <f>IF(ISERROR(FIND('112'!$M$9,G250,1)),"",IF((AND(LEFT(G250,2)=LEFT('112'!$M$9,2),B250&lt;'112'!$K$9,$N250='112'!$I$6)),"x",""))</f>
        <v/>
      </c>
      <c r="V250" s="81" t="str">
        <f>IF(ISERROR(FIND('112'!$M$9,G250,1)),"",IF((AND(RIGHT(G250,2)=RIGHT('112'!$M$9,2),B250&lt;'112'!$K$9,$O250='112'!$I$6)),"x",""))</f>
        <v/>
      </c>
      <c r="W250" s="81" t="str">
        <f>IF(AND('341-CT'!$H$9=H250,OR(LEFT(N250,3)=$W$7,LEFT(O250,3)=$W$7)),"x","")</f>
        <v/>
      </c>
      <c r="X250" s="81" t="str">
        <f>IF(OR(TH!N250=TH!$X$7,O250=TH!$X$7),"x","")</f>
        <v/>
      </c>
      <c r="Y250" s="81" t="str">
        <f>IF(AND(OR(N250="131",O250="131"),H250='131-CT'!$H$9),"x","")</f>
        <v/>
      </c>
      <c r="Z250" s="81"/>
      <c r="AA250" s="81" t="str">
        <f>IF(AND(MONTH(E250)='IN-NX'!$J$5,'IN-NX'!$D$7=D250),"x","")</f>
        <v/>
      </c>
      <c r="AB250" s="81" t="str">
        <f>IF(AND(OR(LEFT(TH!N250,2)="15",LEFT(TH!O250,2)="15"),LEFT(TH!O250,3)&lt;&gt;"111",'152-CT'!$J$8=TH!F250),"x","")</f>
        <v/>
      </c>
      <c r="AC250" s="81" t="str">
        <f>IF(AND(OR(LEFT(TH!N250,2)="15",LEFT(TH!O250,2)="15"),TK!$E$7=TH!F250),"x","")</f>
        <v/>
      </c>
      <c r="AD250" s="81" t="str">
        <f>IF(AND(N250="1521",MONTH(C250)='BK-NL'!$M$11),"x","")</f>
        <v/>
      </c>
    </row>
    <row r="251" spans="1:30" ht="15.75" customHeight="1">
      <c r="A251" s="999" t="str">
        <f>IF(B251&lt;&gt;"",IF(AND(B251='IN-TC'!$S$4,OR(TH!N251="1111",TH!O251="1111")),TH!D251,""),"")</f>
        <v/>
      </c>
      <c r="B251" s="1019">
        <f t="shared" si="43"/>
        <v>1</v>
      </c>
      <c r="C251" s="1056">
        <v>42754</v>
      </c>
      <c r="D251" s="1056" t="s">
        <v>1014</v>
      </c>
      <c r="E251" s="1056">
        <f t="shared" si="44"/>
        <v>42754</v>
      </c>
      <c r="F251" s="1087" t="s">
        <v>914</v>
      </c>
      <c r="G251" s="1062" t="s">
        <v>1016</v>
      </c>
      <c r="H251" s="1074" t="s">
        <v>915</v>
      </c>
      <c r="I251" s="1058">
        <v>120</v>
      </c>
      <c r="J251" s="1059">
        <v>160000</v>
      </c>
      <c r="K251" s="1059"/>
      <c r="L251" s="1058"/>
      <c r="M251" s="1060">
        <f t="shared" si="45"/>
        <v>19200000</v>
      </c>
      <c r="N251" s="1061" t="s">
        <v>579</v>
      </c>
      <c r="O251" s="1061" t="s">
        <v>294</v>
      </c>
      <c r="P251" s="81" t="str">
        <f>IF(AND('331-CT'!$E$7=TH!H251,OR(N251="331",O251="331")),"x","")</f>
        <v/>
      </c>
      <c r="Q251" s="81" t="str">
        <f>IF(AND(B251='111'!$L$11,OR($N251=$Q$7,$O251=$Q$7)),"x","")</f>
        <v/>
      </c>
      <c r="R251" s="81" t="str">
        <f>IF(AND($N251=$Q$7,$B251&lt;'111'!$L$11),"x","")</f>
        <v/>
      </c>
      <c r="S251" s="81" t="str">
        <f>IF(AND($O251=$Q$7,$B251&lt;'111'!$L$11),"x","")</f>
        <v/>
      </c>
      <c r="T251" s="81" t="str">
        <f>IF(ISERROR(FIND('112'!$M$9,G251,1)),"",IF((AND(FIND('112'!$M$9,G251,1)&gt;=1,B251='112'!$K$9,OR($N251='112'!$I$6,$O251='112'!$I$6))),"x",""))</f>
        <v/>
      </c>
      <c r="U251" s="81" t="str">
        <f>IF(ISERROR(FIND('112'!$M$9,G251,1)),"",IF((AND(LEFT(G251,2)=LEFT('112'!$M$9,2),B251&lt;'112'!$K$9,$N251='112'!$I$6)),"x",""))</f>
        <v/>
      </c>
      <c r="V251" s="81" t="str">
        <f>IF(ISERROR(FIND('112'!$M$9,G251,1)),"",IF((AND(RIGHT(G251,2)=RIGHT('112'!$M$9,2),B251&lt;'112'!$K$9,$O251='112'!$I$6)),"x",""))</f>
        <v/>
      </c>
      <c r="W251" s="81" t="str">
        <f>IF(AND('341-CT'!$H$9=H251,OR(LEFT(N251,3)=$W$7,LEFT(O251,3)=$W$7)),"x","")</f>
        <v/>
      </c>
      <c r="X251" s="81" t="str">
        <f>IF(OR(TH!N251=TH!$X$7,O251=TH!$X$7),"x","")</f>
        <v/>
      </c>
      <c r="Y251" s="81" t="str">
        <f>IF(AND(OR(N251="131",O251="131"),H251='131-CT'!$H$9),"x","")</f>
        <v/>
      </c>
      <c r="Z251" s="81"/>
      <c r="AA251" s="81" t="str">
        <f>IF(AND(MONTH(E251)='IN-NX'!$J$5,'IN-NX'!$D$7=D251),"x","")</f>
        <v/>
      </c>
      <c r="AB251" s="81" t="str">
        <f>IF(AND(OR(LEFT(TH!N251,2)="15",LEFT(TH!O251,2)="15"),LEFT(TH!O251,3)&lt;&gt;"111",'152-CT'!$J$8=TH!F251),"x","")</f>
        <v/>
      </c>
      <c r="AC251" s="81" t="str">
        <f>IF(AND(OR(LEFT(TH!N251,2)="15",LEFT(TH!O251,2)="15"),TK!$E$7=TH!F251),"x","")</f>
        <v/>
      </c>
      <c r="AD251" s="81" t="str">
        <f>IF(AND(N251="1521",MONTH(C251)='BK-NL'!$M$11),"x","")</f>
        <v/>
      </c>
    </row>
    <row r="252" spans="1:30" s="1206" customFormat="1" ht="15.75" customHeight="1">
      <c r="A252" s="999" t="str">
        <f>IF(B252&lt;&gt;"",IF(AND(B252='IN-TC'!$S$4,OR(TH!N252="1111",TH!O252="1111")),TH!D252,""),"")</f>
        <v/>
      </c>
      <c r="B252" s="1019">
        <f t="shared" si="43"/>
        <v>1</v>
      </c>
      <c r="C252" s="1056">
        <v>42754</v>
      </c>
      <c r="D252" s="1056" t="s">
        <v>1014</v>
      </c>
      <c r="E252" s="1056">
        <f t="shared" si="44"/>
        <v>42754</v>
      </c>
      <c r="F252" s="1087" t="s">
        <v>1015</v>
      </c>
      <c r="G252" s="1062" t="s">
        <v>1016</v>
      </c>
      <c r="H252" s="1074" t="s">
        <v>915</v>
      </c>
      <c r="I252" s="1058"/>
      <c r="J252" s="1059"/>
      <c r="K252" s="1059"/>
      <c r="L252" s="1058"/>
      <c r="M252" s="1060">
        <f>(M248+M249+M250+M251)*0.1</f>
        <v>5170000</v>
      </c>
      <c r="N252" s="1061" t="s">
        <v>579</v>
      </c>
      <c r="O252" s="1061" t="s">
        <v>651</v>
      </c>
      <c r="P252" s="81" t="str">
        <f>IF(AND('331-CT'!$E$7=TH!H252,OR(N252="331",O252="331")),"x","")</f>
        <v/>
      </c>
      <c r="Q252" s="81" t="str">
        <f>IF(AND(B252='111'!$L$11,OR($N252=$Q$7,$O252=$Q$7)),"x","")</f>
        <v/>
      </c>
      <c r="R252" s="81" t="str">
        <f>IF(AND($N252=$Q$7,$B252&lt;'111'!$L$11),"x","")</f>
        <v/>
      </c>
      <c r="S252" s="81" t="str">
        <f>IF(AND($O252=$Q$7,$B252&lt;'111'!$L$11),"x","")</f>
        <v/>
      </c>
      <c r="T252" s="81" t="str">
        <f>IF(ISERROR(FIND('112'!$M$9,G252,1)),"",IF((AND(FIND('112'!$M$9,G252,1)&gt;=1,B252='112'!$K$9,OR($N252='112'!$I$6,$O252='112'!$I$6))),"x",""))</f>
        <v/>
      </c>
      <c r="U252" s="81" t="str">
        <f>IF(ISERROR(FIND('112'!$M$9,G252,1)),"",IF((AND(LEFT(G252,2)=LEFT('112'!$M$9,2),B252&lt;'112'!$K$9,$N252='112'!$I$6)),"x",""))</f>
        <v/>
      </c>
      <c r="V252" s="81" t="str">
        <f>IF(ISERROR(FIND('112'!$M$9,G252,1)),"",IF((AND(RIGHT(G252,2)=RIGHT('112'!$M$9,2),B252&lt;'112'!$K$9,$O252='112'!$I$6)),"x",""))</f>
        <v/>
      </c>
      <c r="W252" s="81" t="str">
        <f>IF(AND('341-CT'!$H$9=H252,OR(LEFT(N252,3)=$W$7,LEFT(O252,3)=$W$7)),"x","")</f>
        <v/>
      </c>
      <c r="X252" s="81" t="str">
        <f>IF(OR(TH!N252=TH!$X$7,O252=TH!$X$7),"x","")</f>
        <v/>
      </c>
      <c r="Y252" s="81" t="str">
        <f>IF(AND(OR(N252="131",O252="131"),H252='131-CT'!$H$9),"x","")</f>
        <v/>
      </c>
      <c r="Z252" s="81"/>
      <c r="AA252" s="81" t="str">
        <f>IF(AND(MONTH(E252)='IN-NX'!$J$5,'IN-NX'!$D$7=D252),"x","")</f>
        <v/>
      </c>
      <c r="AB252" s="81" t="str">
        <f>IF(AND(OR(LEFT(TH!N252,2)="15",LEFT(TH!O252,2)="15"),LEFT(TH!O252,3)&lt;&gt;"111",'152-CT'!$J$8=TH!F252),"x","")</f>
        <v/>
      </c>
      <c r="AC252" s="81" t="str">
        <f>IF(AND(OR(LEFT(TH!N252,2)="15",LEFT(TH!O252,2)="15"),TK!$E$7=TH!F252),"x","")</f>
        <v/>
      </c>
      <c r="AD252" s="81" t="str">
        <f>IF(AND(N252="1521",MONTH(C252)='BK-NL'!$M$11),"x","")</f>
        <v/>
      </c>
    </row>
    <row r="253" spans="1:30" ht="15.75" customHeight="1">
      <c r="A253" s="999" t="str">
        <f>IF(B253&lt;&gt;"",IF(AND(B253='IN-TC'!$S$4,OR(TH!N253="1111",TH!O253="1111")),TH!D253,""),"")</f>
        <v/>
      </c>
      <c r="B253" s="1019">
        <f t="shared" si="43"/>
        <v>3</v>
      </c>
      <c r="C253" s="1056">
        <v>42802</v>
      </c>
      <c r="D253" s="1056" t="s">
        <v>938</v>
      </c>
      <c r="E253" s="1056">
        <f t="shared" si="44"/>
        <v>42802</v>
      </c>
      <c r="F253" s="1087" t="s">
        <v>810</v>
      </c>
      <c r="G253" s="1062" t="s">
        <v>1240</v>
      </c>
      <c r="H253" s="1074" t="s">
        <v>590</v>
      </c>
      <c r="I253" s="1058">
        <v>2880</v>
      </c>
      <c r="J253" s="1059">
        <v>8.6999999999999993</v>
      </c>
      <c r="K253" s="1059">
        <f t="shared" ref="K253" si="46">I253*J253</f>
        <v>25055.999999999996</v>
      </c>
      <c r="L253" s="1058">
        <v>22795</v>
      </c>
      <c r="M253" s="1060">
        <f t="shared" ref="M253" si="47">ROUND(K253*L253,0)</f>
        <v>571151520</v>
      </c>
      <c r="N253" s="1061" t="s">
        <v>579</v>
      </c>
      <c r="O253" s="1061" t="s">
        <v>296</v>
      </c>
      <c r="P253" s="81" t="str">
        <f>IF(AND('331-CT'!$E$7=TH!H253,OR(N253="331",O253="331")),"x","")</f>
        <v/>
      </c>
      <c r="Q253" s="81" t="str">
        <f>IF(AND(B253='111'!$L$11,OR($N253=$Q$7,$O253=$Q$7)),"x","")</f>
        <v/>
      </c>
      <c r="R253" s="81" t="str">
        <f>IF(AND($N253=$Q$7,$B253&lt;'111'!$L$11),"x","")</f>
        <v/>
      </c>
      <c r="S253" s="81" t="str">
        <f>IF(AND($O253=$Q$7,$B253&lt;'111'!$L$11),"x","")</f>
        <v/>
      </c>
      <c r="T253" s="81" t="str">
        <f>IF(ISERROR(FIND('112'!$M$9,G253,1)),"",IF((AND(FIND('112'!$M$9,G253,1)&gt;=1,B253='112'!$K$9,OR($N253='112'!$I$6,$O253='112'!$I$6))),"x",""))</f>
        <v/>
      </c>
      <c r="U253" s="81" t="str">
        <f>IF(ISERROR(FIND('112'!$M$9,G253,1)),"",IF((AND(LEFT(G253,2)=LEFT('112'!$M$9,2),B253&lt;'112'!$K$9,$N253='112'!$I$6)),"x",""))</f>
        <v/>
      </c>
      <c r="V253" s="81" t="str">
        <f>IF(ISERROR(FIND('112'!$M$9,G253,1)),"",IF((AND(RIGHT(G253,2)=RIGHT('112'!$M$9,2),B253&lt;'112'!$K$9,$O253='112'!$I$6)),"x",""))</f>
        <v/>
      </c>
      <c r="W253" s="81" t="str">
        <f>IF(AND('341-CT'!$H$9=H253,OR(LEFT(N253,3)=$W$7,LEFT(O253,3)=$W$7)),"x","")</f>
        <v/>
      </c>
      <c r="X253" s="81" t="str">
        <f>IF(OR(TH!N253=TH!$X$7,O253=TH!$X$7),"x","")</f>
        <v/>
      </c>
      <c r="Y253" s="81" t="str">
        <f>IF(AND(OR(N253="131",O253="131"),H253='131-CT'!$H$9),"x","")</f>
        <v/>
      </c>
      <c r="Z253" s="81"/>
      <c r="AA253" s="81" t="str">
        <f>IF(AND(MONTH(E253)='IN-NX'!$J$5,'IN-NX'!$D$7=D253),"x","")</f>
        <v/>
      </c>
      <c r="AB253" s="81" t="str">
        <f>IF(AND(OR(LEFT(TH!N253,2)="15",LEFT(TH!O253,2)="15"),LEFT(TH!O253,3)&lt;&gt;"111",'152-CT'!$J$8=TH!F253),"x","")</f>
        <v/>
      </c>
      <c r="AC253" s="81" t="str">
        <f>IF(AND(OR(LEFT(TH!N253,2)="15",LEFT(TH!O253,2)="15"),TK!$E$7=TH!F253),"x","")</f>
        <v/>
      </c>
      <c r="AD253" s="81" t="str">
        <f>IF(AND(N253="1521",MONTH(C253)='BK-NL'!$M$11),"x","")</f>
        <v/>
      </c>
    </row>
    <row r="254" spans="1:30" s="1206" customFormat="1" ht="15.75" customHeight="1">
      <c r="A254" s="1207" t="str">
        <f>IF(B254&lt;&gt;"",IF(AND(B254='IN-TC'!$S$4,OR(TH!N254="1111",TH!O254="1111")),TH!D254,""),"")</f>
        <v/>
      </c>
      <c r="B254" s="1208">
        <f t="shared" ref="B254" si="48">IF(C254&lt;&gt;"",MONTH(C254),"")</f>
        <v>1</v>
      </c>
      <c r="C254" s="1209">
        <v>42743</v>
      </c>
      <c r="D254" s="1209" t="s">
        <v>1226</v>
      </c>
      <c r="E254" s="1209">
        <f t="shared" si="44"/>
        <v>42743</v>
      </c>
      <c r="F254" s="1210" t="s">
        <v>1154</v>
      </c>
      <c r="G254" s="1211" t="s">
        <v>1152</v>
      </c>
      <c r="H254" s="1212" t="s">
        <v>590</v>
      </c>
      <c r="I254" s="1213">
        <v>940</v>
      </c>
      <c r="J254" s="1214">
        <v>11.7</v>
      </c>
      <c r="K254" s="1214">
        <f>I254*J254</f>
        <v>10998</v>
      </c>
      <c r="L254" s="1213">
        <v>22270</v>
      </c>
      <c r="M254" s="1060">
        <f t="shared" ref="M254:M255" si="49">ROUND(K254*L254,0)</f>
        <v>244925460</v>
      </c>
      <c r="N254" s="1215" t="s">
        <v>296</v>
      </c>
      <c r="O254" s="1215" t="s">
        <v>1153</v>
      </c>
      <c r="P254" s="81" t="str">
        <f>IF(AND('331-CT'!$E$7=TH!H254,OR(N254="331",O254="331")),"x","")</f>
        <v/>
      </c>
      <c r="Q254" s="81" t="str">
        <f>IF(AND(B254='111'!$L$11,OR($N254=$Q$7,$O254=$Q$7)),"x","")</f>
        <v/>
      </c>
      <c r="R254" s="81" t="str">
        <f>IF(AND($N254=$Q$7,$B254&lt;'111'!$L$11),"x","")</f>
        <v/>
      </c>
      <c r="S254" s="81" t="str">
        <f>IF(AND($O254=$Q$7,$B254&lt;'111'!$L$11),"x","")</f>
        <v/>
      </c>
      <c r="T254" s="81" t="str">
        <f>IF(ISERROR(FIND('112'!$M$9,G254,1)),"",IF((AND(FIND('112'!$M$9,G254,1)&gt;=1,B254='112'!$K$9,OR($N254='112'!$I$6,$O254='112'!$I$6))),"x",""))</f>
        <v/>
      </c>
      <c r="U254" s="81" t="str">
        <f>IF(ISERROR(FIND('112'!$M$9,G254,1)),"",IF((AND(LEFT(G254,2)=LEFT('112'!$M$9,2),B254&lt;'112'!$K$9,$N254='112'!$I$6)),"x",""))</f>
        <v/>
      </c>
      <c r="V254" s="81" t="str">
        <f>IF(ISERROR(FIND('112'!$M$9,G254,1)),"",IF((AND(RIGHT(G254,2)=RIGHT('112'!$M$9,2),B254&lt;'112'!$K$9,$O254='112'!$I$6)),"x",""))</f>
        <v/>
      </c>
      <c r="W254" s="81" t="str">
        <f>IF(AND('341-CT'!$H$9=H254,OR(LEFT(N254,3)=$W$7,LEFT(O254,3)=$W$7)),"x","")</f>
        <v/>
      </c>
      <c r="X254" s="81" t="str">
        <f>IF(OR(TH!N254=TH!$X$7,O254=TH!$X$7),"x","")</f>
        <v/>
      </c>
      <c r="Y254" s="81" t="str">
        <f>IF(AND(OR(N254="131",O254="131"),H254='131-CT'!$H$9),"x","")</f>
        <v/>
      </c>
      <c r="Z254" s="81"/>
      <c r="AA254" s="81" t="str">
        <f>IF(AND(MONTH(E254)='IN-NX'!$J$5,'IN-NX'!$D$7=D254),"x","")</f>
        <v/>
      </c>
      <c r="AB254" s="81" t="str">
        <f>IF(AND(OR(LEFT(TH!N254,2)="15",LEFT(TH!O254,2)="15"),LEFT(TH!O254,3)&lt;&gt;"111",'152-CT'!$J$8=TH!F254),"x","")</f>
        <v/>
      </c>
      <c r="AC254" s="81" t="str">
        <f>IF(AND(OR(LEFT(TH!N254,2)="15",LEFT(TH!O254,2)="15"),TK!$E$7=TH!F254),"x","")</f>
        <v/>
      </c>
      <c r="AD254" s="81" t="str">
        <f>IF(AND(N254="1521",MONTH(C254)='BK-NL'!$M$11),"x","")</f>
        <v/>
      </c>
    </row>
    <row r="255" spans="1:30" s="1206" customFormat="1" ht="15.75" customHeight="1">
      <c r="A255" s="1207" t="str">
        <f>IF(B255&lt;&gt;"",IF(AND(B255='IN-TC'!$S$4,OR(TH!N255="1111",TH!O255="1111")),TH!D255,""),"")</f>
        <v/>
      </c>
      <c r="B255" s="1208">
        <f t="shared" ref="B255" si="50">IF(C255&lt;&gt;"",MONTH(C255),"")</f>
        <v>1</v>
      </c>
      <c r="C255" s="1209">
        <v>42743</v>
      </c>
      <c r="D255" s="1209" t="s">
        <v>1226</v>
      </c>
      <c r="E255" s="1209">
        <f t="shared" si="44"/>
        <v>42743</v>
      </c>
      <c r="F255" s="1210" t="s">
        <v>1154</v>
      </c>
      <c r="G255" s="1211" t="s">
        <v>1152</v>
      </c>
      <c r="H255" s="1212" t="s">
        <v>590</v>
      </c>
      <c r="I255" s="1213">
        <v>940</v>
      </c>
      <c r="J255" s="1214">
        <v>11.7</v>
      </c>
      <c r="K255" s="1214">
        <f>I255*J255</f>
        <v>10998</v>
      </c>
      <c r="L255" s="1213">
        <v>22270</v>
      </c>
      <c r="M255" s="1060">
        <f t="shared" si="49"/>
        <v>244925460</v>
      </c>
      <c r="N255" s="1215" t="s">
        <v>1153</v>
      </c>
      <c r="O255" s="1215" t="s">
        <v>579</v>
      </c>
      <c r="P255" s="81" t="str">
        <f>IF(AND('331-CT'!$E$7=TH!H255,OR(N255="331",O255="331")),"x","")</f>
        <v/>
      </c>
      <c r="Q255" s="81" t="str">
        <f>IF(AND(B255='111'!$L$11,OR($N255=$Q$7,$O255=$Q$7)),"x","")</f>
        <v/>
      </c>
      <c r="R255" s="81" t="str">
        <f>IF(AND($N255=$Q$7,$B255&lt;'111'!$L$11),"x","")</f>
        <v/>
      </c>
      <c r="S255" s="81" t="str">
        <f>IF(AND($O255=$Q$7,$B255&lt;'111'!$L$11),"x","")</f>
        <v/>
      </c>
      <c r="T255" s="81" t="str">
        <f>IF(ISERROR(FIND('112'!$M$9,G255,1)),"",IF((AND(FIND('112'!$M$9,G255,1)&gt;=1,B255='112'!$K$9,OR($N255='112'!$I$6,$O255='112'!$I$6))),"x",""))</f>
        <v/>
      </c>
      <c r="U255" s="81" t="str">
        <f>IF(ISERROR(FIND('112'!$M$9,G255,1)),"",IF((AND(LEFT(G255,2)=LEFT('112'!$M$9,2),B255&lt;'112'!$K$9,$N255='112'!$I$6)),"x",""))</f>
        <v/>
      </c>
      <c r="V255" s="81" t="str">
        <f>IF(ISERROR(FIND('112'!$M$9,G255,1)),"",IF((AND(RIGHT(G255,2)=RIGHT('112'!$M$9,2),B255&lt;'112'!$K$9,$O255='112'!$I$6)),"x",""))</f>
        <v/>
      </c>
      <c r="W255" s="81" t="str">
        <f>IF(AND('341-CT'!$H$9=H255,OR(LEFT(N255,3)=$W$7,LEFT(O255,3)=$W$7)),"x","")</f>
        <v/>
      </c>
      <c r="X255" s="81" t="str">
        <f>IF(OR(TH!N255=TH!$X$7,O255=TH!$X$7),"x","")</f>
        <v/>
      </c>
      <c r="Y255" s="81" t="str">
        <f>IF(AND(OR(N255="131",O255="131"),H255='131-CT'!$H$9),"x","")</f>
        <v/>
      </c>
      <c r="Z255" s="81"/>
      <c r="AA255" s="81" t="str">
        <f>IF(AND(MONTH(E255)='IN-NX'!$J$5,'IN-NX'!$D$7=D255),"x","")</f>
        <v/>
      </c>
      <c r="AB255" s="81" t="str">
        <f>IF(AND(OR(LEFT(TH!N255,2)="15",LEFT(TH!O255,2)="15"),LEFT(TH!O255,3)&lt;&gt;"111",'152-CT'!$J$8=TH!F255),"x","")</f>
        <v/>
      </c>
      <c r="AC255" s="81" t="str">
        <f>IF(AND(OR(LEFT(TH!N255,2)="15",LEFT(TH!O255,2)="15"),TK!$E$7=TH!F255),"x","")</f>
        <v/>
      </c>
      <c r="AD255" s="81" t="str">
        <f>IF(AND(N255="1521",MONTH(C255)='BK-NL'!$M$11),"x","")</f>
        <v/>
      </c>
    </row>
    <row r="256" spans="1:30" ht="15.75" customHeight="1">
      <c r="A256" s="327" t="str">
        <f>IF(B256&lt;&gt;"",IF(AND(B256='IN-TC'!$S$4,OR(TH!N256="1111",TH!O256="1111")),TH!D256,""),"")</f>
        <v/>
      </c>
      <c r="B256" s="62">
        <f t="shared" ref="B256" si="51">IF(C256&lt;&gt;"",MONTH(C256),"")</f>
        <v>1</v>
      </c>
      <c r="C256" s="234">
        <v>42738</v>
      </c>
      <c r="D256" s="234" t="s">
        <v>935</v>
      </c>
      <c r="E256" s="234">
        <f t="shared" ref="E256" si="52">C256</f>
        <v>42738</v>
      </c>
      <c r="F256" s="1089" t="s">
        <v>459</v>
      </c>
      <c r="G256" s="813" t="s">
        <v>1125</v>
      </c>
      <c r="H256" s="71" t="s">
        <v>681</v>
      </c>
      <c r="I256" s="405">
        <v>26390</v>
      </c>
      <c r="J256" s="405">
        <v>58000</v>
      </c>
      <c r="K256" s="398"/>
      <c r="L256" s="405"/>
      <c r="M256" s="1044">
        <f>I256*J256</f>
        <v>1530620000</v>
      </c>
      <c r="N256" s="1055" t="s">
        <v>282</v>
      </c>
      <c r="O256" s="1055" t="s">
        <v>8</v>
      </c>
      <c r="P256" s="81" t="str">
        <f>IF(AND('331-CT'!$E$7=TH!H256,OR(N256="331",O256="331")),"x","")</f>
        <v/>
      </c>
      <c r="Q256" s="81" t="str">
        <f>IF(AND(B256='111'!$L$11,OR($N256=$Q$7,$O256=$Q$7)),"x","")</f>
        <v/>
      </c>
      <c r="R256" s="81" t="str">
        <f>IF(AND($N256=$Q$7,$B256&lt;'111'!$L$11),"x","")</f>
        <v/>
      </c>
      <c r="S256" s="81" t="str">
        <f>IF(AND($O256=$Q$7,$B256&lt;'111'!$L$11),"x","")</f>
        <v/>
      </c>
      <c r="T256" s="81" t="str">
        <f>IF(ISERROR(FIND('112'!$M$9,G256,1)),"",IF((AND(FIND('112'!$M$9,G256,1)&gt;=1,B256='112'!$K$9,OR($N256='112'!$I$6,$O256='112'!$I$6))),"x",""))</f>
        <v/>
      </c>
      <c r="U256" s="81" t="str">
        <f>IF(ISERROR(FIND('112'!$M$9,G256,1)),"",IF((AND(LEFT(G256,2)=LEFT('112'!$M$9,2),B256&lt;'112'!$K$9,$N256='112'!$I$6)),"x",""))</f>
        <v/>
      </c>
      <c r="V256" s="81" t="str">
        <f>IF(ISERROR(FIND('112'!$M$9,G256,1)),"",IF((AND(RIGHT(G256,2)=RIGHT('112'!$M$9,2),B256&lt;'112'!$K$9,$O256='112'!$I$6)),"x",""))</f>
        <v/>
      </c>
      <c r="W256" s="81" t="str">
        <f>IF(AND('341-CT'!$H$9=H256,OR(LEFT(N256,3)=$W$7,LEFT(O256,3)=$W$7)),"x","")</f>
        <v/>
      </c>
      <c r="X256" s="81" t="str">
        <f>IF(OR(TH!N256=TH!$X$7,O256=TH!$X$7),"x","")</f>
        <v/>
      </c>
      <c r="Y256" s="81" t="str">
        <f>IF(AND(OR(N256="131",O256="131"),H256='131-CT'!$H$9),"x","")</f>
        <v/>
      </c>
      <c r="Z256" s="81"/>
      <c r="AA256" s="81" t="str">
        <f>IF(AND(MONTH(E256)='IN-NX'!$J$5,'IN-NX'!$D$7=D256),"x","")</f>
        <v/>
      </c>
      <c r="AB256" s="81" t="str">
        <f>IF(AND(OR(LEFT(TH!N256,2)="15",LEFT(TH!O256,2)="15"),LEFT(TH!O256,3)&lt;&gt;"111",'152-CT'!$J$8=TH!F256),"x","")</f>
        <v/>
      </c>
      <c r="AC256" s="81" t="str">
        <f>IF(AND(OR(LEFT(TH!N256,2)="15",LEFT(TH!O256,2)="15"),TK!$E$7=TH!F256),"x","")</f>
        <v/>
      </c>
      <c r="AD256" s="81" t="str">
        <f>IF(AND(N256="1521",MONTH(C256)='BK-NL'!$M$11),"x","")</f>
        <v/>
      </c>
    </row>
    <row r="257" spans="1:31" ht="15.75" customHeight="1">
      <c r="A257" s="327" t="str">
        <f>IF(B257&lt;&gt;"",IF(AND(B257='IN-TC'!$S$4,OR(TH!N257="1111",TH!O257="1111")),TH!D257,""),"")</f>
        <v/>
      </c>
      <c r="B257" s="62">
        <f t="shared" ref="B257" si="53">IF(C257&lt;&gt;"",MONTH(C257),"")</f>
        <v>1</v>
      </c>
      <c r="C257" s="234">
        <v>42739</v>
      </c>
      <c r="D257" s="234" t="s">
        <v>1124</v>
      </c>
      <c r="E257" s="234">
        <f t="shared" ref="E257" si="54">C257</f>
        <v>42739</v>
      </c>
      <c r="F257" s="1089" t="s">
        <v>459</v>
      </c>
      <c r="G257" s="813" t="s">
        <v>936</v>
      </c>
      <c r="H257" s="71" t="s">
        <v>894</v>
      </c>
      <c r="I257" s="405">
        <v>5824</v>
      </c>
      <c r="J257" s="405">
        <v>56500</v>
      </c>
      <c r="K257" s="398"/>
      <c r="L257" s="405"/>
      <c r="M257" s="1044">
        <f t="shared" ref="M257:M263" si="55">I257*J257</f>
        <v>329056000</v>
      </c>
      <c r="N257" s="1055" t="s">
        <v>282</v>
      </c>
      <c r="O257" s="1055" t="s">
        <v>8</v>
      </c>
      <c r="P257" s="81" t="str">
        <f>IF(AND('331-CT'!$E$7=TH!H257,OR(N257="331",O257="331")),"x","")</f>
        <v/>
      </c>
      <c r="Q257" s="81" t="str">
        <f>IF(AND(B257='111'!$L$11,OR($N257=$Q$7,$O257=$Q$7)),"x","")</f>
        <v/>
      </c>
      <c r="R257" s="81" t="str">
        <f>IF(AND($N257=$Q$7,$B257&lt;'111'!$L$11),"x","")</f>
        <v/>
      </c>
      <c r="S257" s="81" t="str">
        <f>IF(AND($O257=$Q$7,$B257&lt;'111'!$L$11),"x","")</f>
        <v/>
      </c>
      <c r="T257" s="81" t="str">
        <f>IF(ISERROR(FIND('112'!$M$9,G257,1)),"",IF((AND(FIND('112'!$M$9,G257,1)&gt;=1,B257='112'!$K$9,OR($N257='112'!$I$6,$O257='112'!$I$6))),"x",""))</f>
        <v/>
      </c>
      <c r="U257" s="81" t="str">
        <f>IF(ISERROR(FIND('112'!$M$9,G257,1)),"",IF((AND(LEFT(G257,2)=LEFT('112'!$M$9,2),B257&lt;'112'!$K$9,$N257='112'!$I$6)),"x",""))</f>
        <v/>
      </c>
      <c r="V257" s="81" t="str">
        <f>IF(ISERROR(FIND('112'!$M$9,G257,1)),"",IF((AND(RIGHT(G257,2)=RIGHT('112'!$M$9,2),B257&lt;'112'!$K$9,$O257='112'!$I$6)),"x",""))</f>
        <v/>
      </c>
      <c r="W257" s="81" t="str">
        <f>IF(AND('341-CT'!$H$9=H257,OR(LEFT(N257,3)=$W$7,LEFT(O257,3)=$W$7)),"x","")</f>
        <v/>
      </c>
      <c r="X257" s="81" t="str">
        <f>IF(OR(TH!N257=TH!$X$7,O257=TH!$X$7),"x","")</f>
        <v/>
      </c>
      <c r="Y257" s="81" t="str">
        <f>IF(AND(OR(N257="131",O257="131"),H257='131-CT'!$H$9),"x","")</f>
        <v/>
      </c>
      <c r="Z257" s="81"/>
      <c r="AA257" s="81" t="str">
        <f>IF(AND(MONTH(E257)='IN-NX'!$J$5,'IN-NX'!$D$7=D257),"x","")</f>
        <v/>
      </c>
      <c r="AB257" s="81" t="str">
        <f>IF(AND(OR(LEFT(TH!N257,2)="15",LEFT(TH!O257,2)="15"),LEFT(TH!O257,3)&lt;&gt;"111",'152-CT'!$J$8=TH!F257),"x","")</f>
        <v/>
      </c>
      <c r="AC257" s="81" t="str">
        <f>IF(AND(OR(LEFT(TH!N257,2)="15",LEFT(TH!O257,2)="15"),TK!$E$7=TH!F257),"x","")</f>
        <v/>
      </c>
      <c r="AD257" s="81" t="str">
        <f>IF(AND(N257="1521",MONTH(C257)='BK-NL'!$M$11),"x","")</f>
        <v/>
      </c>
    </row>
    <row r="258" spans="1:31" ht="15.75" customHeight="1">
      <c r="A258" s="327" t="str">
        <f>IF(B258&lt;&gt;"",IF(AND(B258='IN-TC'!$S$4,OR(TH!N258="1111",TH!O258="1111")),TH!D258,""),"")</f>
        <v/>
      </c>
      <c r="B258" s="62">
        <f t="shared" ref="B258" si="56">IF(C258&lt;&gt;"",MONTH(C258),"")</f>
        <v>1</v>
      </c>
      <c r="C258" s="234">
        <v>42739</v>
      </c>
      <c r="D258" s="234" t="s">
        <v>1126</v>
      </c>
      <c r="E258" s="234">
        <f t="shared" ref="E258" si="57">C258</f>
        <v>42739</v>
      </c>
      <c r="F258" s="1089" t="s">
        <v>459</v>
      </c>
      <c r="G258" s="813" t="s">
        <v>1127</v>
      </c>
      <c r="H258" s="71" t="s">
        <v>681</v>
      </c>
      <c r="I258" s="405">
        <v>26390</v>
      </c>
      <c r="J258" s="405">
        <v>58000</v>
      </c>
      <c r="K258" s="398"/>
      <c r="L258" s="405"/>
      <c r="M258" s="1044">
        <f t="shared" si="55"/>
        <v>1530620000</v>
      </c>
      <c r="N258" s="1055" t="s">
        <v>282</v>
      </c>
      <c r="O258" s="1055" t="s">
        <v>8</v>
      </c>
      <c r="P258" s="81" t="str">
        <f>IF(AND('331-CT'!$E$7=TH!H258,OR(N258="331",O258="331")),"x","")</f>
        <v/>
      </c>
      <c r="Q258" s="81" t="str">
        <f>IF(AND(B258='111'!$L$11,OR($N258=$Q$7,$O258=$Q$7)),"x","")</f>
        <v/>
      </c>
      <c r="R258" s="81" t="str">
        <f>IF(AND($N258=$Q$7,$B258&lt;'111'!$L$11),"x","")</f>
        <v/>
      </c>
      <c r="S258" s="81" t="str">
        <f>IF(AND($O258=$Q$7,$B258&lt;'111'!$L$11),"x","")</f>
        <v/>
      </c>
      <c r="T258" s="81" t="str">
        <f>IF(ISERROR(FIND('112'!$M$9,G258,1)),"",IF((AND(FIND('112'!$M$9,G258,1)&gt;=1,B258='112'!$K$9,OR($N258='112'!$I$6,$O258='112'!$I$6))),"x",""))</f>
        <v/>
      </c>
      <c r="U258" s="81" t="str">
        <f>IF(ISERROR(FIND('112'!$M$9,G258,1)),"",IF((AND(LEFT(G258,2)=LEFT('112'!$M$9,2),B258&lt;'112'!$K$9,$N258='112'!$I$6)),"x",""))</f>
        <v/>
      </c>
      <c r="V258" s="81" t="str">
        <f>IF(ISERROR(FIND('112'!$M$9,G258,1)),"",IF((AND(RIGHT(G258,2)=RIGHT('112'!$M$9,2),B258&lt;'112'!$K$9,$O258='112'!$I$6)),"x",""))</f>
        <v/>
      </c>
      <c r="W258" s="81" t="str">
        <f>IF(AND('341-CT'!$H$9=H258,OR(LEFT(N258,3)=$W$7,LEFT(O258,3)=$W$7)),"x","")</f>
        <v/>
      </c>
      <c r="X258" s="81" t="str">
        <f>IF(OR(TH!N258=TH!$X$7,O258=TH!$X$7),"x","")</f>
        <v/>
      </c>
      <c r="Y258" s="81" t="str">
        <f>IF(AND(OR(N258="131",O258="131"),H258='131-CT'!$H$9),"x","")</f>
        <v/>
      </c>
      <c r="Z258" s="81"/>
      <c r="AA258" s="81" t="str">
        <f>IF(AND(MONTH(E258)='IN-NX'!$J$5,'IN-NX'!$D$7=D258),"x","")</f>
        <v/>
      </c>
      <c r="AB258" s="81" t="str">
        <f>IF(AND(OR(LEFT(TH!N258,2)="15",LEFT(TH!O258,2)="15"),LEFT(TH!O258,3)&lt;&gt;"111",'152-CT'!$J$8=TH!F258),"x","")</f>
        <v/>
      </c>
      <c r="AC258" s="81" t="str">
        <f>IF(AND(OR(LEFT(TH!N258,2)="15",LEFT(TH!O258,2)="15"),TK!$E$7=TH!F258),"x","")</f>
        <v/>
      </c>
      <c r="AD258" s="81" t="str">
        <f>IF(AND(N258="1521",MONTH(C258)='BK-NL'!$M$11),"x","")</f>
        <v/>
      </c>
    </row>
    <row r="259" spans="1:31" ht="15.75" customHeight="1">
      <c r="A259" s="327" t="str">
        <f>IF(B259&lt;&gt;"",IF(AND(B259='IN-TC'!$S$4,OR(TH!N259="1111",TH!O259="1111")),TH!D259,""),"")</f>
        <v/>
      </c>
      <c r="B259" s="62">
        <f t="shared" ref="B259" si="58">IF(C259&lt;&gt;"",MONTH(C259),"")</f>
        <v>1</v>
      </c>
      <c r="C259" s="234">
        <v>42740</v>
      </c>
      <c r="D259" s="234" t="s">
        <v>1129</v>
      </c>
      <c r="E259" s="234">
        <f t="shared" ref="E259:E263" si="59">C259</f>
        <v>42740</v>
      </c>
      <c r="F259" s="1089" t="s">
        <v>459</v>
      </c>
      <c r="G259" s="813" t="s">
        <v>1128</v>
      </c>
      <c r="H259" s="71" t="s">
        <v>681</v>
      </c>
      <c r="I259" s="405">
        <v>26390</v>
      </c>
      <c r="J259" s="405">
        <v>58000</v>
      </c>
      <c r="K259" s="398"/>
      <c r="L259" s="405"/>
      <c r="M259" s="1044">
        <f t="shared" si="55"/>
        <v>1530620000</v>
      </c>
      <c r="N259" s="1055" t="s">
        <v>282</v>
      </c>
      <c r="O259" s="1055" t="s">
        <v>8</v>
      </c>
      <c r="P259" s="81" t="str">
        <f>IF(AND('331-CT'!$E$7=TH!H259,OR(N259="331",O259="331")),"x","")</f>
        <v/>
      </c>
      <c r="Q259" s="81" t="str">
        <f>IF(AND(B259='111'!$L$11,OR($N259=$Q$7,$O259=$Q$7)),"x","")</f>
        <v/>
      </c>
      <c r="R259" s="81" t="str">
        <f>IF(AND($N259=$Q$7,$B259&lt;'111'!$L$11),"x","")</f>
        <v/>
      </c>
      <c r="S259" s="81" t="str">
        <f>IF(AND($O259=$Q$7,$B259&lt;'111'!$L$11),"x","")</f>
        <v/>
      </c>
      <c r="T259" s="81" t="str">
        <f>IF(ISERROR(FIND('112'!$M$9,G259,1)),"",IF((AND(FIND('112'!$M$9,G259,1)&gt;=1,B259='112'!$K$9,OR($N259='112'!$I$6,$O259='112'!$I$6))),"x",""))</f>
        <v/>
      </c>
      <c r="U259" s="81" t="str">
        <f>IF(ISERROR(FIND('112'!$M$9,G259,1)),"",IF((AND(LEFT(G259,2)=LEFT('112'!$M$9,2),B259&lt;'112'!$K$9,$N259='112'!$I$6)),"x",""))</f>
        <v/>
      </c>
      <c r="V259" s="81" t="str">
        <f>IF(ISERROR(FIND('112'!$M$9,G259,1)),"",IF((AND(RIGHT(G259,2)=RIGHT('112'!$M$9,2),B259&lt;'112'!$K$9,$O259='112'!$I$6)),"x",""))</f>
        <v/>
      </c>
      <c r="W259" s="81" t="str">
        <f>IF(AND('341-CT'!$H$9=H259,OR(LEFT(N259,3)=$W$7,LEFT(O259,3)=$W$7)),"x","")</f>
        <v/>
      </c>
      <c r="X259" s="81" t="str">
        <f>IF(OR(TH!N259=TH!$X$7,O259=TH!$X$7),"x","")</f>
        <v/>
      </c>
      <c r="Y259" s="81" t="str">
        <f>IF(AND(OR(N259="131",O259="131"),H259='131-CT'!$H$9),"x","")</f>
        <v/>
      </c>
      <c r="Z259" s="81"/>
      <c r="AA259" s="81" t="str">
        <f>IF(AND(MONTH(E259)='IN-NX'!$J$5,'IN-NX'!$D$7=D259),"x","")</f>
        <v/>
      </c>
      <c r="AB259" s="81" t="str">
        <f>IF(AND(OR(LEFT(TH!N259,2)="15",LEFT(TH!O259,2)="15"),LEFT(TH!O259,3)&lt;&gt;"111",'152-CT'!$J$8=TH!F259),"x","")</f>
        <v/>
      </c>
      <c r="AC259" s="81" t="str">
        <f>IF(AND(OR(LEFT(TH!N259,2)="15",LEFT(TH!O259,2)="15"),TK!$E$7=TH!F259),"x","")</f>
        <v/>
      </c>
      <c r="AD259" s="81" t="str">
        <f>IF(AND(N259="1521",MONTH(C259)='BK-NL'!$M$11),"x","")</f>
        <v/>
      </c>
    </row>
    <row r="260" spans="1:31" s="1205" customFormat="1" ht="15.75" customHeight="1">
      <c r="A260" s="327" t="str">
        <f>IF(B260&lt;&gt;"",IF(AND(B260='IN-TC'!$S$4,OR(TH!N260="1111",TH!O260="1111")),TH!D260,""),"")</f>
        <v/>
      </c>
      <c r="B260" s="62">
        <f t="shared" ref="B260:B270" si="60">IF(C260&lt;&gt;"",MONTH(C260),"")</f>
        <v>2</v>
      </c>
      <c r="C260" s="234">
        <v>42775</v>
      </c>
      <c r="D260" s="234" t="s">
        <v>938</v>
      </c>
      <c r="E260" s="234">
        <f t="shared" si="59"/>
        <v>42775</v>
      </c>
      <c r="F260" s="477" t="s">
        <v>914</v>
      </c>
      <c r="G260" s="813" t="s">
        <v>1243</v>
      </c>
      <c r="H260" s="330" t="s">
        <v>1244</v>
      </c>
      <c r="I260" s="405">
        <v>10</v>
      </c>
      <c r="J260" s="398">
        <v>160000</v>
      </c>
      <c r="K260" s="398"/>
      <c r="L260" s="405"/>
      <c r="M260" s="1044">
        <f t="shared" si="55"/>
        <v>1600000</v>
      </c>
      <c r="N260" s="1055" t="s">
        <v>579</v>
      </c>
      <c r="O260" s="1055" t="s">
        <v>294</v>
      </c>
      <c r="P260" s="65" t="str">
        <f>IF(AND('331-CT'!$E$7=TH!H260,OR(N260="331",O260="331")),"x","")</f>
        <v/>
      </c>
      <c r="Q260" s="65" t="str">
        <f>IF(AND(B260='111'!$L$11,OR($N260=$Q$7,$O260=$Q$7)),"x","")</f>
        <v/>
      </c>
      <c r="R260" s="65" t="str">
        <f>IF(AND($N260=$Q$7,$B260&lt;'111'!$L$11),"x","")</f>
        <v/>
      </c>
      <c r="S260" s="65" t="str">
        <f>IF(AND($O260=$Q$7,$B260&lt;'111'!$L$11),"x","")</f>
        <v/>
      </c>
      <c r="T260" s="65" t="str">
        <f>IF(ISERROR(FIND('112'!$M$9,G260,1)),"",IF((AND(FIND('112'!$M$9,G260,1)&gt;=1,B260='112'!$K$9,OR($N260='112'!$I$6,$O260='112'!$I$6))),"x",""))</f>
        <v/>
      </c>
      <c r="U260" s="65" t="str">
        <f>IF(ISERROR(FIND('112'!$M$9,G260,1)),"",IF((AND(LEFT(G260,2)=LEFT('112'!$M$9,2),B260&lt;'112'!$K$9,$N260='112'!$I$6)),"x",""))</f>
        <v/>
      </c>
      <c r="V260" s="65" t="str">
        <f>IF(ISERROR(FIND('112'!$M$9,G260,1)),"",IF((AND(RIGHT(G260,2)=RIGHT('112'!$M$9,2),B260&lt;'112'!$K$9,$O260='112'!$I$6)),"x",""))</f>
        <v/>
      </c>
      <c r="W260" s="65" t="str">
        <f>IF(AND('341-CT'!$H$9=H260,OR(LEFT(N260,3)=$W$7,LEFT(O260,3)=$W$7)),"x","")</f>
        <v/>
      </c>
      <c r="X260" s="65" t="str">
        <f>IF(OR(TH!N260=TH!$X$7,O260=TH!$X$7),"x","")</f>
        <v/>
      </c>
      <c r="Y260" s="65" t="str">
        <f>IF(AND(OR(N260="131",O260="131"),H260='131-CT'!$H$9),"x","")</f>
        <v/>
      </c>
      <c r="Z260" s="65"/>
      <c r="AA260" s="65" t="str">
        <f>IF(AND(MONTH(E260)='IN-NX'!$J$5,'IN-NX'!$D$7=D260),"x","")</f>
        <v/>
      </c>
      <c r="AB260" s="65" t="str">
        <f>IF(AND(OR(LEFT(TH!N260,2)="15",LEFT(TH!O260,2)="15"),LEFT(TH!O260,3)&lt;&gt;"111",'152-CT'!$J$8=TH!F260),"x","")</f>
        <v/>
      </c>
      <c r="AC260" s="65" t="str">
        <f>IF(AND(OR(LEFT(TH!N260,2)="15",LEFT(TH!O260,2)="15"),TK!$E$7=TH!F260),"x","")</f>
        <v/>
      </c>
      <c r="AD260" s="65" t="str">
        <f>IF(AND(N260="1521",MONTH(C260)='BK-NL'!$M$11),"x","")</f>
        <v/>
      </c>
    </row>
    <row r="261" spans="1:31" s="1205" customFormat="1" ht="15.75" customHeight="1">
      <c r="A261" s="327" t="str">
        <f>IF(B261&lt;&gt;"",IF(AND(B261='IN-TC'!$S$4,OR(TH!N261="1111",TH!O261="1111")),TH!D261,""),"")</f>
        <v/>
      </c>
      <c r="B261" s="62">
        <f t="shared" si="60"/>
        <v>2</v>
      </c>
      <c r="C261" s="234">
        <v>42775</v>
      </c>
      <c r="D261" s="234" t="s">
        <v>938</v>
      </c>
      <c r="E261" s="234">
        <f t="shared" si="59"/>
        <v>42775</v>
      </c>
      <c r="F261" s="477" t="s">
        <v>1242</v>
      </c>
      <c r="G261" s="813" t="s">
        <v>1243</v>
      </c>
      <c r="H261" s="330" t="s">
        <v>1244</v>
      </c>
      <c r="I261" s="405"/>
      <c r="J261" s="398"/>
      <c r="K261" s="398"/>
      <c r="L261" s="405"/>
      <c r="M261" s="1044">
        <v>160000</v>
      </c>
      <c r="N261" s="1055" t="s">
        <v>579</v>
      </c>
      <c r="O261" s="1055" t="s">
        <v>651</v>
      </c>
      <c r="P261" s="65" t="str">
        <f>IF(AND('331-CT'!$E$7=TH!H261,OR(N261="331",O261="331")),"x","")</f>
        <v/>
      </c>
      <c r="Q261" s="65" t="str">
        <f>IF(AND(B261='111'!$L$11,OR($N261=$Q$7,$O261=$Q$7)),"x","")</f>
        <v/>
      </c>
      <c r="R261" s="65" t="str">
        <f>IF(AND($N261=$Q$7,$B261&lt;'111'!$L$11),"x","")</f>
        <v/>
      </c>
      <c r="S261" s="65" t="str">
        <f>IF(AND($O261=$Q$7,$B261&lt;'111'!$L$11),"x","")</f>
        <v/>
      </c>
      <c r="T261" s="65" t="str">
        <f>IF(ISERROR(FIND('112'!$M$9,G261,1)),"",IF((AND(FIND('112'!$M$9,G261,1)&gt;=1,B261='112'!$K$9,OR($N261='112'!$I$6,$O261='112'!$I$6))),"x",""))</f>
        <v/>
      </c>
      <c r="U261" s="65" t="str">
        <f>IF(ISERROR(FIND('112'!$M$9,G261,1)),"",IF((AND(LEFT(G261,2)=LEFT('112'!$M$9,2),B261&lt;'112'!$K$9,$N261='112'!$I$6)),"x",""))</f>
        <v/>
      </c>
      <c r="V261" s="65" t="str">
        <f>IF(ISERROR(FIND('112'!$M$9,G261,1)),"",IF((AND(RIGHT(G261,2)=RIGHT('112'!$M$9,2),B261&lt;'112'!$K$9,$O261='112'!$I$6)),"x",""))</f>
        <v/>
      </c>
      <c r="W261" s="65" t="str">
        <f>IF(AND('341-CT'!$H$9=H261,OR(LEFT(N261,3)=$W$7,LEFT(O261,3)=$W$7)),"x","")</f>
        <v/>
      </c>
      <c r="X261" s="65" t="str">
        <f>IF(OR(TH!N261=TH!$X$7,O261=TH!$X$7),"x","")</f>
        <v/>
      </c>
      <c r="Y261" s="65" t="str">
        <f>IF(AND(OR(N261="131",O261="131"),H261='131-CT'!$H$9),"x","")</f>
        <v/>
      </c>
      <c r="Z261" s="65"/>
      <c r="AA261" s="65" t="str">
        <f>IF(AND(MONTH(E261)='IN-NX'!$J$5,'IN-NX'!$D$7=D261),"x","")</f>
        <v/>
      </c>
      <c r="AB261" s="65" t="str">
        <f>IF(AND(OR(LEFT(TH!N261,2)="15",LEFT(TH!O261,2)="15"),LEFT(TH!O261,3)&lt;&gt;"111",'152-CT'!$J$8=TH!F261),"x","")</f>
        <v/>
      </c>
      <c r="AC261" s="65" t="str">
        <f>IF(AND(OR(LEFT(TH!N261,2)="15",LEFT(TH!O261,2)="15"),TK!$E$7=TH!F261),"x","")</f>
        <v/>
      </c>
      <c r="AD261" s="65" t="str">
        <f>IF(AND(N261="1521",MONTH(C261)='BK-NL'!$M$11),"x","")</f>
        <v/>
      </c>
    </row>
    <row r="262" spans="1:31" s="1205" customFormat="1" ht="15.75" customHeight="1">
      <c r="A262" s="327" t="str">
        <f>IF(B262&lt;&gt;"",IF(AND(B262='IN-TC'!$S$4,OR(TH!N262="1111",TH!O262="1111")),TH!D262,""),"")</f>
        <v/>
      </c>
      <c r="B262" s="62">
        <f t="shared" si="60"/>
        <v>2</v>
      </c>
      <c r="C262" s="234">
        <v>42777</v>
      </c>
      <c r="D262" s="234" t="s">
        <v>939</v>
      </c>
      <c r="E262" s="234">
        <f t="shared" si="59"/>
        <v>42777</v>
      </c>
      <c r="F262" s="474" t="s">
        <v>438</v>
      </c>
      <c r="G262" s="813" t="s">
        <v>1245</v>
      </c>
      <c r="H262" s="330" t="s">
        <v>898</v>
      </c>
      <c r="I262" s="405">
        <v>7272</v>
      </c>
      <c r="J262" s="398">
        <v>120566</v>
      </c>
      <c r="K262" s="398"/>
      <c r="L262" s="405"/>
      <c r="M262" s="1044">
        <f t="shared" si="55"/>
        <v>876755952</v>
      </c>
      <c r="N262" s="1055" t="s">
        <v>579</v>
      </c>
      <c r="O262" s="1055" t="s">
        <v>294</v>
      </c>
      <c r="P262" s="65" t="str">
        <f>IF(AND('331-CT'!$E$7=TH!H262,OR(N262="331",O262="331")),"x","")</f>
        <v/>
      </c>
      <c r="Q262" s="65" t="str">
        <f>IF(AND(B262='111'!$L$11,OR($N262=$Q$7,$O262=$Q$7)),"x","")</f>
        <v/>
      </c>
      <c r="R262" s="65" t="str">
        <f>IF(AND($N262=$Q$7,$B262&lt;'111'!$L$11),"x","")</f>
        <v/>
      </c>
      <c r="S262" s="65" t="str">
        <f>IF(AND($O262=$Q$7,$B262&lt;'111'!$L$11),"x","")</f>
        <v/>
      </c>
      <c r="T262" s="65" t="str">
        <f>IF(ISERROR(FIND('112'!$M$9,G262,1)),"",IF((AND(FIND('112'!$M$9,G262,1)&gt;=1,B262='112'!$K$9,OR($N262='112'!$I$6,$O262='112'!$I$6))),"x",""))</f>
        <v/>
      </c>
      <c r="U262" s="65" t="str">
        <f>IF(ISERROR(FIND('112'!$M$9,G262,1)),"",IF((AND(LEFT(G262,2)=LEFT('112'!$M$9,2),B262&lt;'112'!$K$9,$N262='112'!$I$6)),"x",""))</f>
        <v/>
      </c>
      <c r="V262" s="65" t="str">
        <f>IF(ISERROR(FIND('112'!$M$9,G262,1)),"",IF((AND(RIGHT(G262,2)=RIGHT('112'!$M$9,2),B262&lt;'112'!$K$9,$O262='112'!$I$6)),"x",""))</f>
        <v/>
      </c>
      <c r="W262" s="65" t="str">
        <f>IF(AND('341-CT'!$H$9=H262,OR(LEFT(N262,3)=$W$7,LEFT(O262,3)=$W$7)),"x","")</f>
        <v/>
      </c>
      <c r="X262" s="65" t="str">
        <f>IF(OR(TH!N262=TH!$X$7,O262=TH!$X$7),"x","")</f>
        <v/>
      </c>
      <c r="Y262" s="65" t="str">
        <f>IF(AND(OR(N262="131",O262="131"),H262='131-CT'!$H$9),"x","")</f>
        <v/>
      </c>
      <c r="Z262" s="65"/>
      <c r="AA262" s="65" t="str">
        <f>IF(AND(MONTH(E262)='IN-NX'!$J$5,'IN-NX'!$D$7=D262),"x","")</f>
        <v/>
      </c>
      <c r="AB262" s="65" t="str">
        <f>IF(AND(OR(LEFT(TH!N262,2)="15",LEFT(TH!O262,2)="15"),LEFT(TH!O262,3)&lt;&gt;"111",'152-CT'!$J$8=TH!F262),"x","")</f>
        <v/>
      </c>
      <c r="AC262" s="65" t="str">
        <f>IF(AND(OR(LEFT(TH!N262,2)="15",LEFT(TH!O262,2)="15"),TK!$E$7=TH!F262),"x","")</f>
        <v/>
      </c>
      <c r="AD262" s="65" t="str">
        <f>IF(AND(N262="1521",MONTH(C262)='BK-NL'!$M$11),"x","")</f>
        <v/>
      </c>
    </row>
    <row r="263" spans="1:31" s="1205" customFormat="1" ht="15.75" customHeight="1">
      <c r="A263" s="327" t="str">
        <f>IF(B263&lt;&gt;"",IF(AND(B263='IN-TC'!$S$4,OR(TH!N263="1111",TH!O263="1111")),TH!D263,""),"")</f>
        <v/>
      </c>
      <c r="B263" s="62">
        <f t="shared" si="60"/>
        <v>2</v>
      </c>
      <c r="C263" s="234">
        <v>42791</v>
      </c>
      <c r="D263" s="234" t="s">
        <v>956</v>
      </c>
      <c r="E263" s="234">
        <f t="shared" si="59"/>
        <v>42791</v>
      </c>
      <c r="F263" s="474" t="s">
        <v>438</v>
      </c>
      <c r="G263" s="813" t="s">
        <v>1246</v>
      </c>
      <c r="H263" s="330" t="s">
        <v>898</v>
      </c>
      <c r="I263" s="405">
        <v>6103</v>
      </c>
      <c r="J263" s="398">
        <v>120758</v>
      </c>
      <c r="K263" s="398"/>
      <c r="L263" s="405"/>
      <c r="M263" s="1044">
        <f t="shared" si="55"/>
        <v>736986074</v>
      </c>
      <c r="N263" s="1055" t="s">
        <v>579</v>
      </c>
      <c r="O263" s="1055" t="s">
        <v>294</v>
      </c>
      <c r="P263" s="65" t="str">
        <f>IF(AND('331-CT'!$E$7=TH!H263,OR(N263="331",O263="331")),"x","")</f>
        <v/>
      </c>
      <c r="Q263" s="65" t="str">
        <f>IF(AND(B263='111'!$L$11,OR($N263=$Q$7,$O263=$Q$7)),"x","")</f>
        <v/>
      </c>
      <c r="R263" s="65" t="str">
        <f>IF(AND($N263=$Q$7,$B263&lt;'111'!$L$11),"x","")</f>
        <v/>
      </c>
      <c r="S263" s="65" t="str">
        <f>IF(AND($O263=$Q$7,$B263&lt;'111'!$L$11),"x","")</f>
        <v/>
      </c>
      <c r="T263" s="65" t="str">
        <f>IF(ISERROR(FIND('112'!$M$9,G263,1)),"",IF((AND(FIND('112'!$M$9,G263,1)&gt;=1,B263='112'!$K$9,OR($N263='112'!$I$6,$O263='112'!$I$6))),"x",""))</f>
        <v/>
      </c>
      <c r="U263" s="65" t="str">
        <f>IF(ISERROR(FIND('112'!$M$9,G263,1)),"",IF((AND(LEFT(G263,2)=LEFT('112'!$M$9,2),B263&lt;'112'!$K$9,$N263='112'!$I$6)),"x",""))</f>
        <v/>
      </c>
      <c r="V263" s="65" t="str">
        <f>IF(ISERROR(FIND('112'!$M$9,G263,1)),"",IF((AND(RIGHT(G263,2)=RIGHT('112'!$M$9,2),B263&lt;'112'!$K$9,$O263='112'!$I$6)),"x",""))</f>
        <v/>
      </c>
      <c r="W263" s="65" t="str">
        <f>IF(AND('341-CT'!$H$9=H263,OR(LEFT(N263,3)=$W$7,LEFT(O263,3)=$W$7)),"x","")</f>
        <v/>
      </c>
      <c r="X263" s="65" t="str">
        <f>IF(OR(TH!N263=TH!$X$7,O263=TH!$X$7),"x","")</f>
        <v/>
      </c>
      <c r="Y263" s="65" t="str">
        <f>IF(AND(OR(N263="131",O263="131"),H263='131-CT'!$H$9),"x","")</f>
        <v/>
      </c>
      <c r="Z263" s="65"/>
      <c r="AA263" s="65" t="str">
        <f>IF(AND(MONTH(E263)='IN-NX'!$J$5,'IN-NX'!$D$7=D263),"x","")</f>
        <v/>
      </c>
      <c r="AB263" s="65" t="str">
        <f>IF(AND(OR(LEFT(TH!N263,2)="15",LEFT(TH!O263,2)="15"),LEFT(TH!O263,3)&lt;&gt;"111",'152-CT'!$J$8=TH!F263),"x","")</f>
        <v/>
      </c>
      <c r="AC263" s="65" t="str">
        <f>IF(AND(OR(LEFT(TH!N263,2)="15",LEFT(TH!O263,2)="15"),TK!$E$7=TH!F263),"x","")</f>
        <v/>
      </c>
      <c r="AD263" s="65" t="str">
        <f>IF(AND(N263="1521",MONTH(C263)='BK-NL'!$M$11),"x","")</f>
        <v/>
      </c>
    </row>
    <row r="264" spans="1:31" s="1205" customFormat="1" ht="15.75" customHeight="1">
      <c r="A264" s="327" t="str">
        <f>IF(B264&lt;&gt;"",IF(AND(B264='IN-TC'!$S$4,OR(TH!N264="1111",TH!O264="1111")),TH!D264,""),"")</f>
        <v/>
      </c>
      <c r="B264" s="62" t="str">
        <f t="shared" si="60"/>
        <v/>
      </c>
      <c r="C264" s="234"/>
      <c r="D264" s="234"/>
      <c r="E264" s="234"/>
      <c r="F264" s="477"/>
      <c r="G264" s="813"/>
      <c r="H264" s="330"/>
      <c r="I264" s="405"/>
      <c r="J264" s="398"/>
      <c r="K264" s="398"/>
      <c r="L264" s="405"/>
      <c r="M264" s="1044"/>
      <c r="N264" s="1055"/>
      <c r="O264" s="1055"/>
      <c r="P264" s="65" t="str">
        <f>IF(AND('331-CT'!$E$7=TH!H264,OR(N264="331",O264="331")),"x","")</f>
        <v/>
      </c>
      <c r="Q264" s="65" t="str">
        <f>IF(AND(B264='111'!$L$11,OR($N264=$Q$7,$O264=$Q$7)),"x","")</f>
        <v/>
      </c>
      <c r="R264" s="65" t="str">
        <f>IF(AND($N264=$Q$7,$B264&lt;'111'!$L$11),"x","")</f>
        <v/>
      </c>
      <c r="S264" s="65" t="str">
        <f>IF(AND($O264=$Q$7,$B264&lt;'111'!$L$11),"x","")</f>
        <v/>
      </c>
      <c r="T264" s="65" t="str">
        <f>IF(ISERROR(FIND('112'!$M$9,G264,1)),"",IF((AND(FIND('112'!$M$9,G264,1)&gt;=1,B264='112'!$K$9,OR($N264='112'!$I$6,$O264='112'!$I$6))),"x",""))</f>
        <v/>
      </c>
      <c r="U264" s="65" t="str">
        <f>IF(ISERROR(FIND('112'!$M$9,G264,1)),"",IF((AND(LEFT(G264,2)=LEFT('112'!$M$9,2),B264&lt;'112'!$K$9,$N264='112'!$I$6)),"x",""))</f>
        <v/>
      </c>
      <c r="V264" s="65" t="str">
        <f>IF(ISERROR(FIND('112'!$M$9,G264,1)),"",IF((AND(RIGHT(G264,2)=RIGHT('112'!$M$9,2),B264&lt;'112'!$K$9,$O264='112'!$I$6)),"x",""))</f>
        <v/>
      </c>
      <c r="W264" s="65" t="str">
        <f>IF(AND('341-CT'!$H$9=H264,OR(LEFT(N264,3)=$W$7,LEFT(O264,3)=$W$7)),"x","")</f>
        <v/>
      </c>
      <c r="X264" s="65" t="str">
        <f>IF(OR(TH!N264=TH!$X$7,O264=TH!$X$7),"x","")</f>
        <v/>
      </c>
      <c r="Y264" s="65" t="str">
        <f>IF(AND(OR(N264="131",O264="131"),H264='131-CT'!$H$9),"x","")</f>
        <v/>
      </c>
      <c r="Z264" s="65"/>
      <c r="AA264" s="65" t="str">
        <f>IF(AND(MONTH(E264)='IN-NX'!$J$5,'IN-NX'!$D$7=D264),"x","")</f>
        <v/>
      </c>
      <c r="AB264" s="65" t="str">
        <f>IF(AND(OR(LEFT(TH!N264,2)="15",LEFT(TH!O264,2)="15"),LEFT(TH!O264,3)&lt;&gt;"111",'152-CT'!$J$8=TH!F264),"x","")</f>
        <v/>
      </c>
      <c r="AC264" s="65" t="str">
        <f>IF(AND(OR(LEFT(TH!N264,2)="15",LEFT(TH!O264,2)="15"),TK!$E$7=TH!F264),"x","")</f>
        <v/>
      </c>
      <c r="AD264" s="65" t="str">
        <f>IF(AND(N264="1521",MONTH(C264)='BK-NL'!$M$11),"x","")</f>
        <v/>
      </c>
    </row>
    <row r="265" spans="1:31" s="1205" customFormat="1" ht="15.75" customHeight="1">
      <c r="A265" s="327" t="str">
        <f>IF(B265&lt;&gt;"",IF(AND(B265='IN-TC'!$S$4,OR(TH!N265="1111",TH!O265="1111")),TH!D265,""),"")</f>
        <v/>
      </c>
      <c r="B265" s="62" t="str">
        <f t="shared" si="60"/>
        <v/>
      </c>
      <c r="C265" s="234"/>
      <c r="D265" s="234"/>
      <c r="E265" s="234"/>
      <c r="F265" s="477"/>
      <c r="G265" s="813"/>
      <c r="H265" s="330"/>
      <c r="I265" s="405"/>
      <c r="J265" s="398"/>
      <c r="K265" s="398"/>
      <c r="L265" s="405"/>
      <c r="M265" s="1044"/>
      <c r="N265" s="1055"/>
      <c r="O265" s="1055"/>
      <c r="P265" s="65" t="str">
        <f>IF(AND('331-CT'!$E$7=TH!H265,OR(N265="331",O265="331")),"x","")</f>
        <v/>
      </c>
      <c r="Q265" s="65" t="str">
        <f>IF(AND(B265='111'!$L$11,OR($N265=$Q$7,$O265=$Q$7)),"x","")</f>
        <v/>
      </c>
      <c r="R265" s="65" t="str">
        <f>IF(AND($N265=$Q$7,$B265&lt;'111'!$L$11),"x","")</f>
        <v/>
      </c>
      <c r="S265" s="65" t="str">
        <f>IF(AND($O265=$Q$7,$B265&lt;'111'!$L$11),"x","")</f>
        <v/>
      </c>
      <c r="T265" s="65" t="str">
        <f>IF(ISERROR(FIND('112'!$M$9,G265,1)),"",IF((AND(FIND('112'!$M$9,G265,1)&gt;=1,B265='112'!$K$9,OR($N265='112'!$I$6,$O265='112'!$I$6))),"x",""))</f>
        <v/>
      </c>
      <c r="U265" s="65" t="str">
        <f>IF(ISERROR(FIND('112'!$M$9,G265,1)),"",IF((AND(LEFT(G265,2)=LEFT('112'!$M$9,2),B265&lt;'112'!$K$9,$N265='112'!$I$6)),"x",""))</f>
        <v/>
      </c>
      <c r="V265" s="65" t="str">
        <f>IF(ISERROR(FIND('112'!$M$9,G265,1)),"",IF((AND(RIGHT(G265,2)=RIGHT('112'!$M$9,2),B265&lt;'112'!$K$9,$O265='112'!$I$6)),"x",""))</f>
        <v/>
      </c>
      <c r="W265" s="65" t="str">
        <f>IF(AND('341-CT'!$H$9=H265,OR(LEFT(N265,3)=$W$7,LEFT(O265,3)=$W$7)),"x","")</f>
        <v/>
      </c>
      <c r="X265" s="65" t="str">
        <f>IF(OR(TH!N265=TH!$X$7,O265=TH!$X$7),"x","")</f>
        <v/>
      </c>
      <c r="Y265" s="65" t="str">
        <f>IF(AND(OR(N265="131",O265="131"),H265='131-CT'!$H$9),"x","")</f>
        <v/>
      </c>
      <c r="Z265" s="65"/>
      <c r="AA265" s="65" t="str">
        <f>IF(AND(MONTH(E265)='IN-NX'!$J$5,'IN-NX'!$D$7=D265),"x","")</f>
        <v/>
      </c>
      <c r="AB265" s="65" t="str">
        <f>IF(AND(OR(LEFT(TH!N265,2)="15",LEFT(TH!O265,2)="15"),LEFT(TH!O265,3)&lt;&gt;"111",'152-CT'!$J$8=TH!F265),"x","")</f>
        <v/>
      </c>
      <c r="AC265" s="65" t="str">
        <f>IF(AND(OR(LEFT(TH!N265,2)="15",LEFT(TH!O265,2)="15"),TK!$E$7=TH!F265),"x","")</f>
        <v/>
      </c>
      <c r="AD265" s="65" t="str">
        <f>IF(AND(N265="1521",MONTH(C265)='BK-NL'!$M$11),"x","")</f>
        <v/>
      </c>
    </row>
    <row r="266" spans="1:31" s="1205" customFormat="1" ht="15.75" customHeight="1">
      <c r="A266" s="327" t="str">
        <f>IF(B266&lt;&gt;"",IF(AND(B266='IN-TC'!$S$4,OR(TH!N266="1111",TH!O266="1111")),TH!D266,""),"")</f>
        <v/>
      </c>
      <c r="B266" s="62" t="str">
        <f t="shared" si="60"/>
        <v/>
      </c>
      <c r="C266" s="234"/>
      <c r="D266" s="234"/>
      <c r="E266" s="234"/>
      <c r="F266" s="477"/>
      <c r="G266" s="813"/>
      <c r="H266" s="330"/>
      <c r="I266" s="405"/>
      <c r="J266" s="398"/>
      <c r="K266" s="398"/>
      <c r="L266" s="405"/>
      <c r="M266" s="1044"/>
      <c r="N266" s="1055"/>
      <c r="O266" s="1055"/>
      <c r="P266" s="65" t="str">
        <f>IF(AND('331-CT'!$E$7=TH!H266,OR(N266="331",O266="331")),"x","")</f>
        <v/>
      </c>
      <c r="Q266" s="65" t="str">
        <f>IF(AND(B266='111'!$L$11,OR($N266=$Q$7,$O266=$Q$7)),"x","")</f>
        <v/>
      </c>
      <c r="R266" s="65" t="str">
        <f>IF(AND($N266=$Q$7,$B266&lt;'111'!$L$11),"x","")</f>
        <v/>
      </c>
      <c r="S266" s="65" t="str">
        <f>IF(AND($O266=$Q$7,$B266&lt;'111'!$L$11),"x","")</f>
        <v/>
      </c>
      <c r="T266" s="65" t="str">
        <f>IF(ISERROR(FIND('112'!$M$9,G266,1)),"",IF((AND(FIND('112'!$M$9,G266,1)&gt;=1,B266='112'!$K$9,OR($N266='112'!$I$6,$O266='112'!$I$6))),"x",""))</f>
        <v/>
      </c>
      <c r="U266" s="65" t="str">
        <f>IF(ISERROR(FIND('112'!$M$9,G266,1)),"",IF((AND(LEFT(G266,2)=LEFT('112'!$M$9,2),B266&lt;'112'!$K$9,$N266='112'!$I$6)),"x",""))</f>
        <v/>
      </c>
      <c r="V266" s="65" t="str">
        <f>IF(ISERROR(FIND('112'!$M$9,G266,1)),"",IF((AND(RIGHT(G266,2)=RIGHT('112'!$M$9,2),B266&lt;'112'!$K$9,$O266='112'!$I$6)),"x",""))</f>
        <v/>
      </c>
      <c r="W266" s="65" t="str">
        <f>IF(AND('341-CT'!$H$9=H266,OR(LEFT(N266,3)=$W$7,LEFT(O266,3)=$W$7)),"x","")</f>
        <v/>
      </c>
      <c r="X266" s="65" t="str">
        <f>IF(OR(TH!N266=TH!$X$7,O266=TH!$X$7),"x","")</f>
        <v/>
      </c>
      <c r="Y266" s="65" t="str">
        <f>IF(AND(OR(N266="131",O266="131"),H266='131-CT'!$H$9),"x","")</f>
        <v/>
      </c>
      <c r="Z266" s="65"/>
      <c r="AA266" s="65" t="str">
        <f>IF(AND(MONTH(E266)='IN-NX'!$J$5,'IN-NX'!$D$7=D266),"x","")</f>
        <v/>
      </c>
      <c r="AB266" s="65" t="str">
        <f>IF(AND(OR(LEFT(TH!N266,2)="15",LEFT(TH!O266,2)="15"),LEFT(TH!O266,3)&lt;&gt;"111",'152-CT'!$J$8=TH!F266),"x","")</f>
        <v/>
      </c>
      <c r="AC266" s="65" t="str">
        <f>IF(AND(OR(LEFT(TH!N266,2)="15",LEFT(TH!O266,2)="15"),TK!$E$7=TH!F266),"x","")</f>
        <v/>
      </c>
      <c r="AD266" s="65" t="str">
        <f>IF(AND(N266="1521",MONTH(C266)='BK-NL'!$M$11),"x","")</f>
        <v/>
      </c>
    </row>
    <row r="267" spans="1:31" s="1205" customFormat="1" ht="15.75" customHeight="1">
      <c r="A267" s="327" t="str">
        <f>IF(B267&lt;&gt;"",IF(AND(B267='IN-TC'!$S$4,OR(TH!N267="1111",TH!O267="1111")),TH!D267,""),"")</f>
        <v/>
      </c>
      <c r="B267" s="62" t="str">
        <f t="shared" si="60"/>
        <v/>
      </c>
      <c r="C267" s="234"/>
      <c r="D267" s="234"/>
      <c r="E267" s="234"/>
      <c r="F267" s="477"/>
      <c r="G267" s="813"/>
      <c r="H267" s="330"/>
      <c r="I267" s="405"/>
      <c r="J267" s="398"/>
      <c r="K267" s="398"/>
      <c r="L267" s="405"/>
      <c r="M267" s="1044"/>
      <c r="N267" s="1055"/>
      <c r="O267" s="1055"/>
      <c r="P267" s="65" t="str">
        <f>IF(AND('331-CT'!$E$7=TH!H267,OR(N267="331",O267="331")),"x","")</f>
        <v/>
      </c>
      <c r="Q267" s="65" t="str">
        <f>IF(AND(B267='111'!$L$11,OR($N267=$Q$7,$O267=$Q$7)),"x","")</f>
        <v/>
      </c>
      <c r="R267" s="65" t="str">
        <f>IF(AND($N267=$Q$7,$B267&lt;'111'!$L$11),"x","")</f>
        <v/>
      </c>
      <c r="S267" s="65" t="str">
        <f>IF(AND($O267=$Q$7,$B267&lt;'111'!$L$11),"x","")</f>
        <v/>
      </c>
      <c r="T267" s="65" t="str">
        <f>IF(ISERROR(FIND('112'!$M$9,G267,1)),"",IF((AND(FIND('112'!$M$9,G267,1)&gt;=1,B267='112'!$K$9,OR($N267='112'!$I$6,$O267='112'!$I$6))),"x",""))</f>
        <v/>
      </c>
      <c r="U267" s="65" t="str">
        <f>IF(ISERROR(FIND('112'!$M$9,G267,1)),"",IF((AND(LEFT(G267,2)=LEFT('112'!$M$9,2),B267&lt;'112'!$K$9,$N267='112'!$I$6)),"x",""))</f>
        <v/>
      </c>
      <c r="V267" s="65" t="str">
        <f>IF(ISERROR(FIND('112'!$M$9,G267,1)),"",IF((AND(RIGHT(G267,2)=RIGHT('112'!$M$9,2),B267&lt;'112'!$K$9,$O267='112'!$I$6)),"x",""))</f>
        <v/>
      </c>
      <c r="W267" s="65" t="str">
        <f>IF(AND('341-CT'!$H$9=H267,OR(LEFT(N267,3)=$W$7,LEFT(O267,3)=$W$7)),"x","")</f>
        <v/>
      </c>
      <c r="X267" s="65" t="str">
        <f>IF(OR(TH!N267=TH!$X$7,O267=TH!$X$7),"x","")</f>
        <v/>
      </c>
      <c r="Y267" s="65" t="str">
        <f>IF(AND(OR(N267="131",O267="131"),H267='131-CT'!$H$9),"x","")</f>
        <v/>
      </c>
      <c r="Z267" s="65"/>
      <c r="AA267" s="65" t="str">
        <f>IF(AND(MONTH(E267)='IN-NX'!$J$5,'IN-NX'!$D$7=D267),"x","")</f>
        <v/>
      </c>
      <c r="AB267" s="65" t="str">
        <f>IF(AND(OR(LEFT(TH!N267,2)="15",LEFT(TH!O267,2)="15"),LEFT(TH!O267,3)&lt;&gt;"111",'152-CT'!$J$8=TH!F267),"x","")</f>
        <v/>
      </c>
      <c r="AC267" s="65" t="str">
        <f>IF(AND(OR(LEFT(TH!N267,2)="15",LEFT(TH!O267,2)="15"),TK!$E$7=TH!F267),"x","")</f>
        <v/>
      </c>
      <c r="AD267" s="65" t="str">
        <f>IF(AND(N267="1521",MONTH(C267)='BK-NL'!$M$11),"x","")</f>
        <v/>
      </c>
    </row>
    <row r="268" spans="1:31" s="1205" customFormat="1" ht="15.75" customHeight="1">
      <c r="A268" s="327" t="str">
        <f>IF(B268&lt;&gt;"",IF(AND(B268='IN-TC'!$S$4,OR(TH!N268="1111",TH!O268="1111")),TH!D268,""),"")</f>
        <v/>
      </c>
      <c r="B268" s="62" t="str">
        <f t="shared" si="60"/>
        <v/>
      </c>
      <c r="C268" s="234"/>
      <c r="D268" s="234"/>
      <c r="E268" s="234"/>
      <c r="F268" s="477"/>
      <c r="G268" s="813"/>
      <c r="H268" s="330"/>
      <c r="I268" s="405"/>
      <c r="J268" s="398"/>
      <c r="K268" s="398"/>
      <c r="L268" s="405"/>
      <c r="M268" s="1044"/>
      <c r="N268" s="1055"/>
      <c r="O268" s="1055"/>
      <c r="P268" s="65" t="str">
        <f>IF(AND('331-CT'!$E$7=TH!H268,OR(N268="331",O268="331")),"x","")</f>
        <v/>
      </c>
      <c r="Q268" s="65" t="str">
        <f>IF(AND(B268='111'!$L$11,OR($N268=$Q$7,$O268=$Q$7)),"x","")</f>
        <v/>
      </c>
      <c r="R268" s="65" t="str">
        <f>IF(AND($N268=$Q$7,$B268&lt;'111'!$L$11),"x","")</f>
        <v/>
      </c>
      <c r="S268" s="65" t="str">
        <f>IF(AND($O268=$Q$7,$B268&lt;'111'!$L$11),"x","")</f>
        <v/>
      </c>
      <c r="T268" s="65" t="str">
        <f>IF(ISERROR(FIND('112'!$M$9,G268,1)),"",IF((AND(FIND('112'!$M$9,G268,1)&gt;=1,B268='112'!$K$9,OR($N268='112'!$I$6,$O268='112'!$I$6))),"x",""))</f>
        <v/>
      </c>
      <c r="U268" s="65" t="str">
        <f>IF(ISERROR(FIND('112'!$M$9,G268,1)),"",IF((AND(LEFT(G268,2)=LEFT('112'!$M$9,2),B268&lt;'112'!$K$9,$N268='112'!$I$6)),"x",""))</f>
        <v/>
      </c>
      <c r="V268" s="65" t="str">
        <f>IF(ISERROR(FIND('112'!$M$9,G268,1)),"",IF((AND(RIGHT(G268,2)=RIGHT('112'!$M$9,2),B268&lt;'112'!$K$9,$O268='112'!$I$6)),"x",""))</f>
        <v/>
      </c>
      <c r="W268" s="65" t="str">
        <f>IF(AND('341-CT'!$H$9=H268,OR(LEFT(N268,3)=$W$7,LEFT(O268,3)=$W$7)),"x","")</f>
        <v/>
      </c>
      <c r="X268" s="65" t="str">
        <f>IF(OR(TH!N268=TH!$X$7,O268=TH!$X$7),"x","")</f>
        <v/>
      </c>
      <c r="Y268" s="65" t="str">
        <f>IF(AND(OR(N268="131",O268="131"),H268='131-CT'!$H$9),"x","")</f>
        <v/>
      </c>
      <c r="Z268" s="65"/>
      <c r="AA268" s="65" t="str">
        <f>IF(AND(MONTH(E268)='IN-NX'!$J$5,'IN-NX'!$D$7=D268),"x","")</f>
        <v/>
      </c>
      <c r="AB268" s="65" t="str">
        <f>IF(AND(OR(LEFT(TH!N268,2)="15",LEFT(TH!O268,2)="15"),LEFT(TH!O268,3)&lt;&gt;"111",'152-CT'!$J$8=TH!F268),"x","")</f>
        <v/>
      </c>
      <c r="AC268" s="65" t="str">
        <f>IF(AND(OR(LEFT(TH!N268,2)="15",LEFT(TH!O268,2)="15"),TK!$E$7=TH!F268),"x","")</f>
        <v/>
      </c>
      <c r="AD268" s="65" t="str">
        <f>IF(AND(N268="1521",MONTH(C268)='BK-NL'!$M$11),"x","")</f>
        <v/>
      </c>
    </row>
    <row r="269" spans="1:31" s="1205" customFormat="1" ht="15.75" customHeight="1">
      <c r="A269" s="327" t="str">
        <f>IF(B269&lt;&gt;"",IF(AND(B269='IN-TC'!$S$4,OR(TH!N269="1111",TH!O269="1111")),TH!D269,""),"")</f>
        <v/>
      </c>
      <c r="B269" s="62" t="str">
        <f t="shared" si="60"/>
        <v/>
      </c>
      <c r="C269" s="234"/>
      <c r="D269" s="234"/>
      <c r="E269" s="234"/>
      <c r="F269" s="477"/>
      <c r="G269" s="813"/>
      <c r="H269" s="330"/>
      <c r="I269" s="405"/>
      <c r="J269" s="398"/>
      <c r="K269" s="398"/>
      <c r="L269" s="405"/>
      <c r="M269" s="1044"/>
      <c r="N269" s="1055"/>
      <c r="O269" s="1055"/>
      <c r="P269" s="65" t="str">
        <f>IF(AND('331-CT'!$E$7=TH!H269,OR(N269="331",O269="331")),"x","")</f>
        <v/>
      </c>
      <c r="Q269" s="65" t="str">
        <f>IF(AND(B269='111'!$L$11,OR($N269=$Q$7,$O269=$Q$7)),"x","")</f>
        <v/>
      </c>
      <c r="R269" s="65" t="str">
        <f>IF(AND($N269=$Q$7,$B269&lt;'111'!$L$11),"x","")</f>
        <v/>
      </c>
      <c r="S269" s="65" t="str">
        <f>IF(AND($O269=$Q$7,$B269&lt;'111'!$L$11),"x","")</f>
        <v/>
      </c>
      <c r="T269" s="65" t="str">
        <f>IF(ISERROR(FIND('112'!$M$9,G269,1)),"",IF((AND(FIND('112'!$M$9,G269,1)&gt;=1,B269='112'!$K$9,OR($N269='112'!$I$6,$O269='112'!$I$6))),"x",""))</f>
        <v/>
      </c>
      <c r="U269" s="65" t="str">
        <f>IF(ISERROR(FIND('112'!$M$9,G269,1)),"",IF((AND(LEFT(G269,2)=LEFT('112'!$M$9,2),B269&lt;'112'!$K$9,$N269='112'!$I$6)),"x",""))</f>
        <v/>
      </c>
      <c r="V269" s="65" t="str">
        <f>IF(ISERROR(FIND('112'!$M$9,G269,1)),"",IF((AND(RIGHT(G269,2)=RIGHT('112'!$M$9,2),B269&lt;'112'!$K$9,$O269='112'!$I$6)),"x",""))</f>
        <v/>
      </c>
      <c r="W269" s="65" t="str">
        <f>IF(AND('341-CT'!$H$9=H269,OR(LEFT(N269,3)=$W$7,LEFT(O269,3)=$W$7)),"x","")</f>
        <v/>
      </c>
      <c r="X269" s="65" t="str">
        <f>IF(OR(TH!N269=TH!$X$7,O269=TH!$X$7),"x","")</f>
        <v/>
      </c>
      <c r="Y269" s="65" t="str">
        <f>IF(AND(OR(N269="131",O269="131"),H269='131-CT'!$H$9),"x","")</f>
        <v/>
      </c>
      <c r="Z269" s="65"/>
      <c r="AA269" s="65" t="str">
        <f>IF(AND(MONTH(E269)='IN-NX'!$J$5,'IN-NX'!$D$7=D269),"x","")</f>
        <v/>
      </c>
      <c r="AB269" s="65" t="str">
        <f>IF(AND(OR(LEFT(TH!N269,2)="15",LEFT(TH!O269,2)="15"),LEFT(TH!O269,3)&lt;&gt;"111",'152-CT'!$J$8=TH!F269),"x","")</f>
        <v/>
      </c>
      <c r="AC269" s="65" t="str">
        <f>IF(AND(OR(LEFT(TH!N269,2)="15",LEFT(TH!O269,2)="15"),TK!$E$7=TH!F269),"x","")</f>
        <v/>
      </c>
      <c r="AD269" s="65" t="str">
        <f>IF(AND(N269="1521",MONTH(C269)='BK-NL'!$M$11),"x","")</f>
        <v/>
      </c>
    </row>
    <row r="270" spans="1:31" s="1205" customFormat="1" ht="15.75" customHeight="1">
      <c r="A270" s="327" t="str">
        <f>IF(B270&lt;&gt;"",IF(AND(B270='IN-TC'!$S$4,OR(TH!N270="1111",TH!O270="1111")),TH!D270,""),"")</f>
        <v/>
      </c>
      <c r="B270" s="62" t="str">
        <f t="shared" si="60"/>
        <v/>
      </c>
      <c r="C270" s="234"/>
      <c r="D270" s="234"/>
      <c r="E270" s="234"/>
      <c r="F270" s="477"/>
      <c r="G270" s="813"/>
      <c r="H270" s="330"/>
      <c r="I270" s="405"/>
      <c r="J270" s="398"/>
      <c r="K270" s="398"/>
      <c r="L270" s="405"/>
      <c r="M270" s="1044"/>
      <c r="N270" s="1055"/>
      <c r="O270" s="1055"/>
      <c r="P270" s="65" t="str">
        <f>IF(AND('331-CT'!$E$7=TH!H270,OR(N270="331",O270="331")),"x","")</f>
        <v/>
      </c>
      <c r="Q270" s="65" t="str">
        <f>IF(AND(B270='111'!$L$11,OR($N270=$Q$7,$O270=$Q$7)),"x","")</f>
        <v/>
      </c>
      <c r="R270" s="65" t="str">
        <f>IF(AND($N270=$Q$7,$B270&lt;'111'!$L$11),"x","")</f>
        <v/>
      </c>
      <c r="S270" s="65" t="str">
        <f>IF(AND($O270=$Q$7,$B270&lt;'111'!$L$11),"x","")</f>
        <v/>
      </c>
      <c r="T270" s="65" t="str">
        <f>IF(ISERROR(FIND('112'!$M$9,G270,1)),"",IF((AND(FIND('112'!$M$9,G270,1)&gt;=1,B270='112'!$K$9,OR($N270='112'!$I$6,$O270='112'!$I$6))),"x",""))</f>
        <v/>
      </c>
      <c r="U270" s="65" t="str">
        <f>IF(ISERROR(FIND('112'!$M$9,G270,1)),"",IF((AND(LEFT(G270,2)=LEFT('112'!$M$9,2),B270&lt;'112'!$K$9,$N270='112'!$I$6)),"x",""))</f>
        <v/>
      </c>
      <c r="V270" s="65" t="str">
        <f>IF(ISERROR(FIND('112'!$M$9,G270,1)),"",IF((AND(RIGHT(G270,2)=RIGHT('112'!$M$9,2),B270&lt;'112'!$K$9,$O270='112'!$I$6)),"x",""))</f>
        <v/>
      </c>
      <c r="W270" s="65" t="str">
        <f>IF(AND('341-CT'!$H$9=H270,OR(LEFT(N270,3)=$W$7,LEFT(O270,3)=$W$7)),"x","")</f>
        <v/>
      </c>
      <c r="X270" s="65" t="str">
        <f>IF(OR(TH!N270=TH!$X$7,O270=TH!$X$7),"x","")</f>
        <v/>
      </c>
      <c r="Y270" s="65" t="str">
        <f>IF(AND(OR(N270="131",O270="131"),H270='131-CT'!$H$9),"x","")</f>
        <v/>
      </c>
      <c r="Z270" s="65"/>
      <c r="AA270" s="65" t="str">
        <f>IF(AND(MONTH(E270)='IN-NX'!$J$5,'IN-NX'!$D$7=D270),"x","")</f>
        <v/>
      </c>
      <c r="AB270" s="65" t="str">
        <f>IF(AND(OR(LEFT(TH!N270,2)="15",LEFT(TH!O270,2)="15"),LEFT(TH!O270,3)&lt;&gt;"111",'152-CT'!$J$8=TH!F270),"x","")</f>
        <v/>
      </c>
      <c r="AC270" s="65" t="str">
        <f>IF(AND(OR(LEFT(TH!N270,2)="15",LEFT(TH!O270,2)="15"),TK!$E$7=TH!F270),"x","")</f>
        <v/>
      </c>
      <c r="AD270" s="65" t="str">
        <f>IF(AND(N270="1521",MONTH(C270)='BK-NL'!$M$11),"x","")</f>
        <v/>
      </c>
    </row>
    <row r="271" spans="1:31" ht="15.75" customHeight="1">
      <c r="A271" s="998" t="str">
        <f>IF(B271&lt;&gt;"",IF(AND(B271='IN-TC'!$S$4,OR(TH!N271="1111",TH!O271="1111")),TH!D271,""),"")</f>
        <v/>
      </c>
      <c r="B271" s="831">
        <f t="shared" si="26"/>
        <v>1</v>
      </c>
      <c r="C271" s="1049">
        <v>42766</v>
      </c>
      <c r="D271" s="1049" t="s">
        <v>573</v>
      </c>
      <c r="E271" s="1049">
        <v>42734</v>
      </c>
      <c r="F271" s="1050" t="s">
        <v>928</v>
      </c>
      <c r="G271" s="1051" t="s">
        <v>995</v>
      </c>
      <c r="H271" s="313" t="s">
        <v>679</v>
      </c>
      <c r="I271" s="403"/>
      <c r="J271" s="1052"/>
      <c r="K271" s="396"/>
      <c r="L271" s="403"/>
      <c r="M271" s="1053">
        <v>68460000</v>
      </c>
      <c r="N271" s="1054" t="s">
        <v>582</v>
      </c>
      <c r="O271" s="1054" t="s">
        <v>8</v>
      </c>
      <c r="P271" s="81" t="str">
        <f>IF(AND('331-CT'!$E$7=TH!H271,OR(N271="331",O271="331")),"x","")</f>
        <v/>
      </c>
      <c r="Q271" s="81" t="str">
        <f>IF(AND(B271='111'!$L$11,OR($N271=$Q$7,$O271=$Q$7)),"x","")</f>
        <v/>
      </c>
      <c r="R271" s="81" t="str">
        <f>IF(AND($N271=$Q$7,$B271&lt;'111'!$L$11),"x","")</f>
        <v/>
      </c>
      <c r="S271" s="81" t="str">
        <f>IF(AND($O271=$Q$7,$B271&lt;'111'!$L$11),"x","")</f>
        <v/>
      </c>
      <c r="T271" s="81" t="str">
        <f>IF(ISERROR(FIND('112'!$M$9,G271,1)),"",IF((AND(FIND('112'!$M$9,G271,1)&gt;=1,B271='112'!$K$9,OR($N271='112'!$I$6,$O271='112'!$I$6))),"x",""))</f>
        <v/>
      </c>
      <c r="U271" s="81" t="str">
        <f>IF(ISERROR(FIND('112'!$M$9,G271,1)),"",IF((AND(LEFT(G271,2)=LEFT('112'!$M$9,2),B271&lt;'112'!$K$9,$N271='112'!$I$6)),"x",""))</f>
        <v/>
      </c>
      <c r="V271" s="81" t="str">
        <f>IF(ISERROR(FIND('112'!$M$9,G271,1)),"",IF((AND(RIGHT(G271,2)=RIGHT('112'!$M$9,2),B271&lt;'112'!$K$9,$O271='112'!$I$6)),"x",""))</f>
        <v/>
      </c>
      <c r="W271" s="81" t="str">
        <f>IF(AND('341-CT'!$H$9=H271,OR(LEFT(N271,3)=$W$7,LEFT(O271,3)=$W$7)),"x","")</f>
        <v/>
      </c>
      <c r="X271" s="81" t="str">
        <f>IF(OR(TH!N271=TH!$X$7,O271=TH!$X$7),"x","")</f>
        <v/>
      </c>
      <c r="Y271" s="81" t="str">
        <f>IF(AND(OR(N271="131",O271="131"),H271='131-CT'!$H$9),"x","")</f>
        <v/>
      </c>
      <c r="Z271" s="81"/>
      <c r="AA271" s="81" t="str">
        <f>IF(AND(MONTH(E271)='IN-NX'!$J$5,'IN-NX'!$D$7=D271),"x","")</f>
        <v/>
      </c>
      <c r="AB271" s="81" t="str">
        <f>IF(AND(OR(LEFT(TH!N271,2)="15",LEFT(TH!O271,2)="15"),LEFT(TH!O271,3)&lt;&gt;"111",'152-CT'!$J$8=TH!F271),"x","")</f>
        <v/>
      </c>
      <c r="AC271" s="81" t="str">
        <f>IF(AND(OR(LEFT(TH!N271,2)="15",LEFT(TH!O271,2)="15"),TK!$E$7=TH!F271),"x","")</f>
        <v/>
      </c>
      <c r="AD271" s="81" t="str">
        <f>IF(AND(N271="1521",MONTH(C271)='BK-NL'!$M$11),"x","")</f>
        <v/>
      </c>
    </row>
    <row r="272" spans="1:31" ht="15.75" customHeight="1">
      <c r="A272" s="998" t="str">
        <f>IF(B272&lt;&gt;"",IF(AND(B272='IN-TC'!$S$4,OR(TH!N272="1111",TH!O272="1111")),TH!D272,""),"")</f>
        <v/>
      </c>
      <c r="B272" s="831">
        <f t="shared" ref="B272:B277" si="61">IF(C272&lt;&gt;"",MONTH(C272),"")</f>
        <v>1</v>
      </c>
      <c r="C272" s="1049">
        <v>42766</v>
      </c>
      <c r="D272" s="1049" t="s">
        <v>573</v>
      </c>
      <c r="E272" s="1049">
        <v>42734</v>
      </c>
      <c r="F272" s="1050" t="s">
        <v>930</v>
      </c>
      <c r="G272" s="1051" t="s">
        <v>996</v>
      </c>
      <c r="H272" s="313" t="s">
        <v>679</v>
      </c>
      <c r="I272" s="403"/>
      <c r="J272" s="1052"/>
      <c r="K272" s="396"/>
      <c r="L272" s="403"/>
      <c r="M272" s="1053">
        <v>30419060</v>
      </c>
      <c r="N272" s="1054" t="s">
        <v>582</v>
      </c>
      <c r="O272" s="1054" t="s">
        <v>8</v>
      </c>
      <c r="P272" s="81" t="str">
        <f>IF(AND('331-CT'!$E$7=TH!H272,OR(N272="331",O272="331")),"x","")</f>
        <v/>
      </c>
      <c r="Q272" s="81" t="str">
        <f>IF(AND(B272='111'!$L$11,OR($N272=$Q$7,$O272=$Q$7)),"x","")</f>
        <v/>
      </c>
      <c r="R272" s="81" t="str">
        <f>IF(AND($N272=$Q$7,$B272&lt;'111'!$L$11),"x","")</f>
        <v/>
      </c>
      <c r="S272" s="81" t="str">
        <f>IF(AND($O272=$Q$7,$B272&lt;'111'!$L$11),"x","")</f>
        <v/>
      </c>
      <c r="T272" s="81" t="str">
        <f>IF(ISERROR(FIND('112'!$M$9,G272,1)),"",IF((AND(FIND('112'!$M$9,G272,1)&gt;=1,B272='112'!$K$9,OR($N272='112'!$I$6,$O272='112'!$I$6))),"x",""))</f>
        <v/>
      </c>
      <c r="U272" s="81" t="str">
        <f>IF(ISERROR(FIND('112'!$M$9,G272,1)),"",IF((AND(LEFT(G272,2)=LEFT('112'!$M$9,2),B272&lt;'112'!$K$9,$N272='112'!$I$6)),"x",""))</f>
        <v/>
      </c>
      <c r="V272" s="81" t="str">
        <f>IF(ISERROR(FIND('112'!$M$9,G272,1)),"",IF((AND(RIGHT(G272,2)=RIGHT('112'!$M$9,2),B272&lt;'112'!$K$9,$O272='112'!$I$6)),"x",""))</f>
        <v/>
      </c>
      <c r="W272" s="81" t="str">
        <f>IF(AND('341-CT'!$H$9=H272,OR(LEFT(N272,3)=$W$7,LEFT(O272,3)=$W$7)),"x","")</f>
        <v/>
      </c>
      <c r="X272" s="81" t="str">
        <f>IF(OR(TH!N272=TH!$X$7,O272=TH!$X$7),"x","")</f>
        <v/>
      </c>
      <c r="Y272" s="81" t="str">
        <f>IF(AND(OR(N272="131",O272="131"),H272='131-CT'!$H$9),"x","")</f>
        <v/>
      </c>
      <c r="Z272" s="81"/>
      <c r="AA272" s="81" t="str">
        <f>IF(AND(MONTH(E272)='IN-NX'!$J$5,'IN-NX'!$D$7=D272),"x","")</f>
        <v/>
      </c>
      <c r="AB272" s="81" t="str">
        <f>IF(AND(OR(LEFT(TH!N272,2)="15",LEFT(TH!O272,2)="15"),LEFT(TH!O272,3)&lt;&gt;"111",'152-CT'!$J$8=TH!F272),"x","")</f>
        <v/>
      </c>
      <c r="AC272" s="81" t="str">
        <f>IF(AND(OR(LEFT(TH!N272,2)="15",LEFT(TH!O272,2)="15"),TK!$E$7=TH!F272),"x","")</f>
        <v/>
      </c>
      <c r="AD272" s="81" t="str">
        <f>IF(AND(N272="1521",MONTH(C272)='BK-NL'!$M$11),"x","")</f>
        <v/>
      </c>
      <c r="AE272">
        <v>1</v>
      </c>
    </row>
    <row r="273" spans="1:31" ht="15.75" customHeight="1">
      <c r="A273" s="998" t="str">
        <f>IF(B273&lt;&gt;"",IF(AND(B273='IN-TC'!$S$4,OR(TH!N273="1111",TH!O273="1111")),TH!D273,""),"")</f>
        <v/>
      </c>
      <c r="B273" s="831">
        <f t="shared" si="61"/>
        <v>1</v>
      </c>
      <c r="C273" s="1049">
        <v>42766</v>
      </c>
      <c r="D273" s="1049" t="s">
        <v>573</v>
      </c>
      <c r="E273" s="1049">
        <v>42734</v>
      </c>
      <c r="F273" s="1050" t="s">
        <v>931</v>
      </c>
      <c r="G273" s="1051" t="s">
        <v>996</v>
      </c>
      <c r="H273" s="313" t="s">
        <v>679</v>
      </c>
      <c r="I273" s="403"/>
      <c r="J273" s="1052"/>
      <c r="K273" s="396"/>
      <c r="L273" s="403"/>
      <c r="M273" s="1053">
        <v>3041906</v>
      </c>
      <c r="N273" s="1054" t="s">
        <v>9</v>
      </c>
      <c r="O273" s="1054" t="s">
        <v>8</v>
      </c>
      <c r="P273" s="81" t="str">
        <f>IF(AND('331-CT'!$E$7=TH!H273,OR(N273="331",O273="331")),"x","")</f>
        <v/>
      </c>
      <c r="Q273" s="81" t="str">
        <f>IF(AND(B273='111'!$L$11,OR($N273=$Q$7,$O273=$Q$7)),"x","")</f>
        <v/>
      </c>
      <c r="R273" s="81" t="str">
        <f>IF(AND($N273=$Q$7,$B273&lt;'111'!$L$11),"x","")</f>
        <v/>
      </c>
      <c r="S273" s="81" t="str">
        <f>IF(AND($O273=$Q$7,$B273&lt;'111'!$L$11),"x","")</f>
        <v/>
      </c>
      <c r="T273" s="81" t="str">
        <f>IF(ISERROR(FIND('112'!$M$9,G273,1)),"",IF((AND(FIND('112'!$M$9,G273,1)&gt;=1,B273='112'!$K$9,OR($N273='112'!$I$6,$O273='112'!$I$6))),"x",""))</f>
        <v/>
      </c>
      <c r="U273" s="81" t="str">
        <f>IF(ISERROR(FIND('112'!$M$9,G273,1)),"",IF((AND(LEFT(G273,2)=LEFT('112'!$M$9,2),B273&lt;'112'!$K$9,$N273='112'!$I$6)),"x",""))</f>
        <v/>
      </c>
      <c r="V273" s="81" t="str">
        <f>IF(ISERROR(FIND('112'!$M$9,G273,1)),"",IF((AND(RIGHT(G273,2)=RIGHT('112'!$M$9,2),B273&lt;'112'!$K$9,$O273='112'!$I$6)),"x",""))</f>
        <v/>
      </c>
      <c r="W273" s="81" t="str">
        <f>IF(AND('341-CT'!$H$9=H273,OR(LEFT(N273,3)=$W$7,LEFT(O273,3)=$W$7)),"x","")</f>
        <v/>
      </c>
      <c r="X273" s="81" t="str">
        <f>IF(OR(TH!N273=TH!$X$7,O273=TH!$X$7),"x","")</f>
        <v/>
      </c>
      <c r="Y273" s="81" t="str">
        <f>IF(AND(OR(N273="131",O273="131"),H273='131-CT'!$H$9),"x","")</f>
        <v/>
      </c>
      <c r="Z273" s="81"/>
      <c r="AA273" s="81" t="str">
        <f>IF(AND(MONTH(E273)='IN-NX'!$J$5,'IN-NX'!$D$7=D273),"x","")</f>
        <v/>
      </c>
      <c r="AB273" s="81" t="str">
        <f>IF(AND(OR(LEFT(TH!N273,2)="15",LEFT(TH!O273,2)="15"),LEFT(TH!O273,3)&lt;&gt;"111",'152-CT'!$J$8=TH!F273),"x","")</f>
        <v/>
      </c>
      <c r="AC273" s="81" t="str">
        <f>IF(AND(OR(LEFT(TH!N273,2)="15",LEFT(TH!O273,2)="15"),TK!$E$7=TH!F273),"x","")</f>
        <v/>
      </c>
      <c r="AD273" s="81" t="str">
        <f>IF(AND(N273="1521",MONTH(C273)='BK-NL'!$M$11),"x","")</f>
        <v/>
      </c>
      <c r="AE273">
        <v>1</v>
      </c>
    </row>
    <row r="274" spans="1:31" ht="15.75" customHeight="1">
      <c r="A274" s="998" t="str">
        <f>IF(B274&lt;&gt;"",IF(AND(B274='IN-TC'!$S$4,OR(TH!N274="1111",TH!O274="1111")),TH!D274,""),"")</f>
        <v/>
      </c>
      <c r="B274" s="831">
        <f t="shared" si="61"/>
        <v>1</v>
      </c>
      <c r="C274" s="1049">
        <v>42766</v>
      </c>
      <c r="D274" s="1049" t="s">
        <v>573</v>
      </c>
      <c r="E274" s="1049">
        <f>C274</f>
        <v>42766</v>
      </c>
      <c r="F274" s="1050" t="s">
        <v>928</v>
      </c>
      <c r="G274" s="1051" t="s">
        <v>929</v>
      </c>
      <c r="H274" s="313" t="s">
        <v>679</v>
      </c>
      <c r="I274" s="403"/>
      <c r="J274" s="1052"/>
      <c r="K274" s="396"/>
      <c r="L274" s="403"/>
      <c r="M274" s="1053">
        <v>22810000</v>
      </c>
      <c r="N274" s="1054" t="s">
        <v>582</v>
      </c>
      <c r="O274" s="1054" t="s">
        <v>8</v>
      </c>
      <c r="P274" s="81" t="str">
        <f>IF(AND('331-CT'!$E$7=TH!H274,OR(N274="331",O274="331")),"x","")</f>
        <v/>
      </c>
      <c r="Q274" s="81" t="str">
        <f>IF(AND(B274='111'!$L$11,OR($N274=$Q$7,$O274=$Q$7)),"x","")</f>
        <v/>
      </c>
      <c r="R274" s="81" t="str">
        <f>IF(AND($N274=$Q$7,$B274&lt;'111'!$L$11),"x","")</f>
        <v/>
      </c>
      <c r="S274" s="81" t="str">
        <f>IF(AND($O274=$Q$7,$B274&lt;'111'!$L$11),"x","")</f>
        <v/>
      </c>
      <c r="T274" s="81" t="str">
        <f>IF(ISERROR(FIND('112'!$M$9,G274,1)),"",IF((AND(FIND('112'!$M$9,G274,1)&gt;=1,B274='112'!$K$9,OR($N274='112'!$I$6,$O274='112'!$I$6))),"x",""))</f>
        <v/>
      </c>
      <c r="U274" s="81" t="str">
        <f>IF(ISERROR(FIND('112'!$M$9,G274,1)),"",IF((AND(LEFT(G274,2)=LEFT('112'!$M$9,2),B274&lt;'112'!$K$9,$N274='112'!$I$6)),"x",""))</f>
        <v/>
      </c>
      <c r="V274" s="81" t="str">
        <f>IF(ISERROR(FIND('112'!$M$9,G274,1)),"",IF((AND(RIGHT(G274,2)=RIGHT('112'!$M$9,2),B274&lt;'112'!$K$9,$O274='112'!$I$6)),"x",""))</f>
        <v/>
      </c>
      <c r="W274" s="81" t="str">
        <f>IF(AND('341-CT'!$H$9=H274,OR(LEFT(N274,3)=$W$7,LEFT(O274,3)=$W$7)),"x","")</f>
        <v/>
      </c>
      <c r="X274" s="81" t="str">
        <f>IF(OR(TH!N274=TH!$X$7,O274=TH!$X$7),"x","")</f>
        <v/>
      </c>
      <c r="Y274" s="81" t="str">
        <f>IF(AND(OR(N274="131",O274="131"),H274='131-CT'!$H$9),"x","")</f>
        <v/>
      </c>
      <c r="Z274" s="81"/>
      <c r="AA274" s="81" t="str">
        <f>IF(AND(MONTH(E274)='IN-NX'!$J$5,'IN-NX'!$D$7=D274),"x","")</f>
        <v/>
      </c>
      <c r="AB274" s="81" t="str">
        <f>IF(AND(OR(LEFT(TH!N274,2)="15",LEFT(TH!O274,2)="15"),LEFT(TH!O274,3)&lt;&gt;"111",'152-CT'!$J$8=TH!F274),"x","")</f>
        <v/>
      </c>
      <c r="AC274" s="81" t="str">
        <f>IF(AND(OR(LEFT(TH!N274,2)="15",LEFT(TH!O274,2)="15"),TK!$E$7=TH!F274),"x","")</f>
        <v/>
      </c>
      <c r="AD274" s="81" t="str">
        <f>IF(AND(N274="1521",MONTH(C274)='BK-NL'!$M$11),"x","")</f>
        <v/>
      </c>
    </row>
    <row r="275" spans="1:31" ht="15.75" customHeight="1">
      <c r="A275" s="998" t="str">
        <f>IF(B275&lt;&gt;"",IF(AND(B275='IN-TC'!$S$4,OR(TH!N275="1111",TH!O275="1111")),TH!D275,""),"")</f>
        <v/>
      </c>
      <c r="B275" s="831">
        <f t="shared" ref="B275:B276" si="62">IF(C275&lt;&gt;"",MONTH(C275),"")</f>
        <v>1</v>
      </c>
      <c r="C275" s="1049">
        <v>42766</v>
      </c>
      <c r="D275" s="1049" t="s">
        <v>573</v>
      </c>
      <c r="E275" s="1049">
        <f t="shared" ref="E275:E276" si="63">C275</f>
        <v>42766</v>
      </c>
      <c r="F275" s="1050" t="s">
        <v>930</v>
      </c>
      <c r="G275" s="1051" t="s">
        <v>932</v>
      </c>
      <c r="H275" s="313" t="s">
        <v>679</v>
      </c>
      <c r="I275" s="403"/>
      <c r="J275" s="1052"/>
      <c r="K275" s="396"/>
      <c r="L275" s="403"/>
      <c r="M275" s="1053">
        <v>10971610</v>
      </c>
      <c r="N275" s="1054" t="s">
        <v>582</v>
      </c>
      <c r="O275" s="1054" t="s">
        <v>8</v>
      </c>
      <c r="P275" s="81" t="str">
        <f>IF(AND('331-CT'!$E$7=TH!H275,OR(N275="331",O275="331")),"x","")</f>
        <v/>
      </c>
      <c r="Q275" s="81" t="str">
        <f>IF(AND(B275='111'!$L$11,OR($N275=$Q$7,$O275=$Q$7)),"x","")</f>
        <v/>
      </c>
      <c r="R275" s="81" t="str">
        <f>IF(AND($N275=$Q$7,$B275&lt;'111'!$L$11),"x","")</f>
        <v/>
      </c>
      <c r="S275" s="81" t="str">
        <f>IF(AND($O275=$Q$7,$B275&lt;'111'!$L$11),"x","")</f>
        <v/>
      </c>
      <c r="T275" s="81" t="str">
        <f>IF(ISERROR(FIND('112'!$M$9,G275,1)),"",IF((AND(FIND('112'!$M$9,G275,1)&gt;=1,B275='112'!$K$9,OR($N275='112'!$I$6,$O275='112'!$I$6))),"x",""))</f>
        <v/>
      </c>
      <c r="U275" s="81" t="str">
        <f>IF(ISERROR(FIND('112'!$M$9,G275,1)),"",IF((AND(LEFT(G275,2)=LEFT('112'!$M$9,2),B275&lt;'112'!$K$9,$N275='112'!$I$6)),"x",""))</f>
        <v/>
      </c>
      <c r="V275" s="81" t="str">
        <f>IF(ISERROR(FIND('112'!$M$9,G275,1)),"",IF((AND(RIGHT(G275,2)=RIGHT('112'!$M$9,2),B275&lt;'112'!$K$9,$O275='112'!$I$6)),"x",""))</f>
        <v/>
      </c>
      <c r="W275" s="81" t="str">
        <f>IF(AND('341-CT'!$H$9=H275,OR(LEFT(N275,3)=$W$7,LEFT(O275,3)=$W$7)),"x","")</f>
        <v/>
      </c>
      <c r="X275" s="81" t="str">
        <f>IF(OR(TH!N275=TH!$X$7,O275=TH!$X$7),"x","")</f>
        <v/>
      </c>
      <c r="Y275" s="81" t="str">
        <f>IF(AND(OR(N275="131",O275="131"),H275='131-CT'!$H$9),"x","")</f>
        <v/>
      </c>
      <c r="Z275" s="81"/>
      <c r="AA275" s="81" t="str">
        <f>IF(AND(MONTH(E275)='IN-NX'!$J$5,'IN-NX'!$D$7=D275),"x","")</f>
        <v/>
      </c>
      <c r="AB275" s="81" t="str">
        <f>IF(AND(OR(LEFT(TH!N275,2)="15",LEFT(TH!O275,2)="15"),LEFT(TH!O275,3)&lt;&gt;"111",'152-CT'!$J$8=TH!F275),"x","")</f>
        <v/>
      </c>
      <c r="AC275" s="81" t="str">
        <f>IF(AND(OR(LEFT(TH!N275,2)="15",LEFT(TH!O275,2)="15"),TK!$E$7=TH!F275),"x","")</f>
        <v/>
      </c>
      <c r="AD275" s="81" t="str">
        <f>IF(AND(N275="1521",MONTH(C275)='BK-NL'!$M$11),"x","")</f>
        <v/>
      </c>
      <c r="AE275">
        <v>1</v>
      </c>
    </row>
    <row r="276" spans="1:31" ht="15.75" customHeight="1">
      <c r="A276" s="998" t="str">
        <f>IF(B276&lt;&gt;"",IF(AND(B276='IN-TC'!$S$4,OR(TH!N276="1111",TH!O276="1111")),TH!D276,""),"")</f>
        <v/>
      </c>
      <c r="B276" s="831">
        <f t="shared" si="62"/>
        <v>1</v>
      </c>
      <c r="C276" s="1049">
        <v>42766</v>
      </c>
      <c r="D276" s="1049" t="s">
        <v>573</v>
      </c>
      <c r="E276" s="1049">
        <f t="shared" si="63"/>
        <v>42766</v>
      </c>
      <c r="F276" s="1050" t="s">
        <v>931</v>
      </c>
      <c r="G276" s="1051" t="s">
        <v>932</v>
      </c>
      <c r="H276" s="313" t="s">
        <v>679</v>
      </c>
      <c r="I276" s="403"/>
      <c r="J276" s="1052"/>
      <c r="K276" s="396"/>
      <c r="L276" s="403"/>
      <c r="M276" s="1053">
        <v>1097161</v>
      </c>
      <c r="N276" s="1054" t="s">
        <v>9</v>
      </c>
      <c r="O276" s="1054" t="s">
        <v>8</v>
      </c>
      <c r="P276" s="81" t="str">
        <f>IF(AND('331-CT'!$E$7=TH!H276,OR(N276="331",O276="331")),"x","")</f>
        <v/>
      </c>
      <c r="Q276" s="81" t="str">
        <f>IF(AND(B276='111'!$L$11,OR($N276=$Q$7,$O276=$Q$7)),"x","")</f>
        <v/>
      </c>
      <c r="R276" s="81" t="str">
        <f>IF(AND($N276=$Q$7,$B276&lt;'111'!$L$11),"x","")</f>
        <v/>
      </c>
      <c r="S276" s="81" t="str">
        <f>IF(AND($O276=$Q$7,$B276&lt;'111'!$L$11),"x","")</f>
        <v/>
      </c>
      <c r="T276" s="81" t="str">
        <f>IF(ISERROR(FIND('112'!$M$9,G276,1)),"",IF((AND(FIND('112'!$M$9,G276,1)&gt;=1,B276='112'!$K$9,OR($N276='112'!$I$6,$O276='112'!$I$6))),"x",""))</f>
        <v/>
      </c>
      <c r="U276" s="81" t="str">
        <f>IF(ISERROR(FIND('112'!$M$9,G276,1)),"",IF((AND(LEFT(G276,2)=LEFT('112'!$M$9,2),B276&lt;'112'!$K$9,$N276='112'!$I$6)),"x",""))</f>
        <v/>
      </c>
      <c r="V276" s="81" t="str">
        <f>IF(ISERROR(FIND('112'!$M$9,G276,1)),"",IF((AND(RIGHT(G276,2)=RIGHT('112'!$M$9,2),B276&lt;'112'!$K$9,$O276='112'!$I$6)),"x",""))</f>
        <v/>
      </c>
      <c r="W276" s="81" t="str">
        <f>IF(AND('341-CT'!$H$9=H276,OR(LEFT(N276,3)=$W$7,LEFT(O276,3)=$W$7)),"x","")</f>
        <v/>
      </c>
      <c r="X276" s="81" t="str">
        <f>IF(OR(TH!N276=TH!$X$7,O276=TH!$X$7),"x","")</f>
        <v/>
      </c>
      <c r="Y276" s="81" t="str">
        <f>IF(AND(OR(N276="131",O276="131"),H276='131-CT'!$H$9),"x","")</f>
        <v/>
      </c>
      <c r="Z276" s="81"/>
      <c r="AA276" s="81" t="str">
        <f>IF(AND(MONTH(E276)='IN-NX'!$J$5,'IN-NX'!$D$7=D276),"x","")</f>
        <v/>
      </c>
      <c r="AB276" s="81" t="str">
        <f>IF(AND(OR(LEFT(TH!N276,2)="15",LEFT(TH!O276,2)="15"),LEFT(TH!O276,3)&lt;&gt;"111",'152-CT'!$J$8=TH!F276),"x","")</f>
        <v/>
      </c>
      <c r="AC276" s="81" t="str">
        <f>IF(AND(OR(LEFT(TH!N276,2)="15",LEFT(TH!O276,2)="15"),TK!$E$7=TH!F276),"x","")</f>
        <v/>
      </c>
      <c r="AD276" s="81" t="str">
        <f>IF(AND(N276="1521",MONTH(C276)='BK-NL'!$M$11),"x","")</f>
        <v/>
      </c>
      <c r="AE276">
        <v>1</v>
      </c>
    </row>
    <row r="277" spans="1:31" ht="15.75" customHeight="1">
      <c r="A277" s="998" t="str">
        <f>IF(B277&lt;&gt;"",IF(AND(B277='IN-TC'!$S$4,OR(TH!N277="1111",TH!O277="1111")),TH!D277,""),"")</f>
        <v/>
      </c>
      <c r="B277" s="831">
        <f t="shared" si="61"/>
        <v>1</v>
      </c>
      <c r="C277" s="1049">
        <v>42766</v>
      </c>
      <c r="D277" s="1049" t="s">
        <v>573</v>
      </c>
      <c r="E277" s="1049">
        <f>C277</f>
        <v>42766</v>
      </c>
      <c r="F277" s="1050" t="s">
        <v>928</v>
      </c>
      <c r="G277" s="1051" t="s">
        <v>933</v>
      </c>
      <c r="H277" s="313" t="s">
        <v>679</v>
      </c>
      <c r="I277" s="403"/>
      <c r="J277" s="1052"/>
      <c r="K277" s="396"/>
      <c r="L277" s="403"/>
      <c r="M277" s="1053">
        <v>45400000</v>
      </c>
      <c r="N277" s="1054" t="s">
        <v>582</v>
      </c>
      <c r="O277" s="1054" t="s">
        <v>8</v>
      </c>
      <c r="P277" s="81" t="str">
        <f>IF(AND('331-CT'!$E$7=TH!H277,OR(N277="331",O277="331")),"x","")</f>
        <v/>
      </c>
      <c r="Q277" s="81" t="str">
        <f>IF(AND(B277='111'!$L$11,OR($N277=$Q$7,$O277=$Q$7)),"x","")</f>
        <v/>
      </c>
      <c r="R277" s="81" t="str">
        <f>IF(AND($N277=$Q$7,$B277&lt;'111'!$L$11),"x","")</f>
        <v/>
      </c>
      <c r="S277" s="81" t="str">
        <f>IF(AND($O277=$Q$7,$B277&lt;'111'!$L$11),"x","")</f>
        <v/>
      </c>
      <c r="T277" s="81" t="str">
        <f>IF(ISERROR(FIND('112'!$M$9,G277,1)),"",IF((AND(FIND('112'!$M$9,G277,1)&gt;=1,B277='112'!$K$9,OR($N277='112'!$I$6,$O277='112'!$I$6))),"x",""))</f>
        <v/>
      </c>
      <c r="U277" s="81" t="str">
        <f>IF(ISERROR(FIND('112'!$M$9,G277,1)),"",IF((AND(LEFT(G277,2)=LEFT('112'!$M$9,2),B277&lt;'112'!$K$9,$N277='112'!$I$6)),"x",""))</f>
        <v/>
      </c>
      <c r="V277" s="81" t="str">
        <f>IF(ISERROR(FIND('112'!$M$9,G277,1)),"",IF((AND(RIGHT(G277,2)=RIGHT('112'!$M$9,2),B277&lt;'112'!$K$9,$O277='112'!$I$6)),"x",""))</f>
        <v/>
      </c>
      <c r="W277" s="81" t="str">
        <f>IF(AND('341-CT'!$H$9=H277,OR(LEFT(N277,3)=$W$7,LEFT(O277,3)=$W$7)),"x","")</f>
        <v/>
      </c>
      <c r="X277" s="81" t="str">
        <f>IF(OR(TH!N277=TH!$X$7,O277=TH!$X$7),"x","")</f>
        <v/>
      </c>
      <c r="Y277" s="81" t="str">
        <f>IF(AND(OR(N277="131",O277="131"),H277='131-CT'!$H$9),"x","")</f>
        <v/>
      </c>
      <c r="Z277" s="81"/>
      <c r="AA277" s="81" t="str">
        <f>IF(AND(MONTH(E277)='IN-NX'!$J$5,'IN-NX'!$D$7=D277),"x","")</f>
        <v/>
      </c>
      <c r="AB277" s="81" t="str">
        <f>IF(AND(OR(LEFT(TH!N277,2)="15",LEFT(TH!O277,2)="15"),LEFT(TH!O277,3)&lt;&gt;"111",'152-CT'!$J$8=TH!F277),"x","")</f>
        <v/>
      </c>
      <c r="AC277" s="81" t="str">
        <f>IF(AND(OR(LEFT(TH!N277,2)="15",LEFT(TH!O277,2)="15"),TK!$E$7=TH!F277),"x","")</f>
        <v/>
      </c>
      <c r="AD277" s="81" t="str">
        <f>IF(AND(N277="1521",MONTH(C277)='BK-NL'!$M$11),"x","")</f>
        <v/>
      </c>
    </row>
    <row r="278" spans="1:31" ht="15.75" customHeight="1">
      <c r="A278" s="998" t="str">
        <f>IF(B278&lt;&gt;"",IF(AND(B278='IN-TC'!$S$4,OR(TH!N278="1111",TH!O278="1111")),TH!D278,""),"")</f>
        <v/>
      </c>
      <c r="B278" s="831">
        <f t="shared" ref="B278:B279" si="64">IF(C278&lt;&gt;"",MONTH(C278),"")</f>
        <v>1</v>
      </c>
      <c r="C278" s="1049">
        <v>42766</v>
      </c>
      <c r="D278" s="1049" t="s">
        <v>573</v>
      </c>
      <c r="E278" s="1049">
        <f t="shared" ref="E278:E279" si="65">C278</f>
        <v>42766</v>
      </c>
      <c r="F278" s="1050" t="s">
        <v>930</v>
      </c>
      <c r="G278" s="1051" t="s">
        <v>934</v>
      </c>
      <c r="H278" s="313" t="s">
        <v>679</v>
      </c>
      <c r="I278" s="403"/>
      <c r="J278" s="1052"/>
      <c r="K278" s="396"/>
      <c r="L278" s="403"/>
      <c r="M278" s="1053">
        <v>20588900</v>
      </c>
      <c r="N278" s="1054" t="s">
        <v>582</v>
      </c>
      <c r="O278" s="1054" t="s">
        <v>8</v>
      </c>
      <c r="P278" s="81" t="str">
        <f>IF(AND('331-CT'!$E$7=TH!H278,OR(N278="331",O278="331")),"x","")</f>
        <v/>
      </c>
      <c r="Q278" s="81" t="str">
        <f>IF(AND(B278='111'!$L$11,OR($N278=$Q$7,$O278=$Q$7)),"x","")</f>
        <v/>
      </c>
      <c r="R278" s="81" t="str">
        <f>IF(AND($N278=$Q$7,$B278&lt;'111'!$L$11),"x","")</f>
        <v/>
      </c>
      <c r="S278" s="81" t="str">
        <f>IF(AND($O278=$Q$7,$B278&lt;'111'!$L$11),"x","")</f>
        <v/>
      </c>
      <c r="T278" s="81" t="str">
        <f>IF(ISERROR(FIND('112'!$M$9,G278,1)),"",IF((AND(FIND('112'!$M$9,G278,1)&gt;=1,B278='112'!$K$9,OR($N278='112'!$I$6,$O278='112'!$I$6))),"x",""))</f>
        <v/>
      </c>
      <c r="U278" s="81" t="str">
        <f>IF(ISERROR(FIND('112'!$M$9,G278,1)),"",IF((AND(LEFT(G278,2)=LEFT('112'!$M$9,2),B278&lt;'112'!$K$9,$N278='112'!$I$6)),"x",""))</f>
        <v/>
      </c>
      <c r="V278" s="81" t="str">
        <f>IF(ISERROR(FIND('112'!$M$9,G278,1)),"",IF((AND(RIGHT(G278,2)=RIGHT('112'!$M$9,2),B278&lt;'112'!$K$9,$O278='112'!$I$6)),"x",""))</f>
        <v/>
      </c>
      <c r="W278" s="81" t="str">
        <f>IF(AND('341-CT'!$H$9=H278,OR(LEFT(N278,3)=$W$7,LEFT(O278,3)=$W$7)),"x","")</f>
        <v/>
      </c>
      <c r="X278" s="81" t="str">
        <f>IF(OR(TH!N278=TH!$X$7,O278=TH!$X$7),"x","")</f>
        <v/>
      </c>
      <c r="Y278" s="81" t="str">
        <f>IF(AND(OR(N278="131",O278="131"),H278='131-CT'!$H$9),"x","")</f>
        <v/>
      </c>
      <c r="Z278" s="81"/>
      <c r="AA278" s="81" t="str">
        <f>IF(AND(MONTH(E278)='IN-NX'!$J$5,'IN-NX'!$D$7=D278),"x","")</f>
        <v/>
      </c>
      <c r="AB278" s="81" t="str">
        <f>IF(AND(OR(LEFT(TH!N278,2)="15",LEFT(TH!O278,2)="15"),LEFT(TH!O278,3)&lt;&gt;"111",'152-CT'!$J$8=TH!F278),"x","")</f>
        <v/>
      </c>
      <c r="AC278" s="81" t="str">
        <f>IF(AND(OR(LEFT(TH!N278,2)="15",LEFT(TH!O278,2)="15"),TK!$E$7=TH!F278),"x","")</f>
        <v/>
      </c>
      <c r="AD278" s="81" t="str">
        <f>IF(AND(N278="1521",MONTH(C278)='BK-NL'!$M$11),"x","")</f>
        <v/>
      </c>
      <c r="AE278">
        <v>1</v>
      </c>
    </row>
    <row r="279" spans="1:31" ht="15.75" customHeight="1">
      <c r="A279" s="998" t="str">
        <f>IF(B279&lt;&gt;"",IF(AND(B279='IN-TC'!$S$4,OR(TH!N279="1111",TH!O279="1111")),TH!D279,""),"")</f>
        <v/>
      </c>
      <c r="B279" s="831">
        <f t="shared" si="64"/>
        <v>1</v>
      </c>
      <c r="C279" s="1049">
        <v>42766</v>
      </c>
      <c r="D279" s="1049" t="s">
        <v>573</v>
      </c>
      <c r="E279" s="1049">
        <f t="shared" si="65"/>
        <v>42766</v>
      </c>
      <c r="F279" s="1050" t="s">
        <v>931</v>
      </c>
      <c r="G279" s="1051" t="s">
        <v>934</v>
      </c>
      <c r="H279" s="313" t="s">
        <v>679</v>
      </c>
      <c r="I279" s="403"/>
      <c r="J279" s="1052"/>
      <c r="K279" s="396"/>
      <c r="L279" s="403"/>
      <c r="M279" s="1053">
        <v>2058890</v>
      </c>
      <c r="N279" s="1054" t="s">
        <v>9</v>
      </c>
      <c r="O279" s="1054" t="s">
        <v>8</v>
      </c>
      <c r="P279" s="81" t="str">
        <f>IF(AND('331-CT'!$E$7=TH!H279,OR(N279="331",O279="331")),"x","")</f>
        <v/>
      </c>
      <c r="Q279" s="81" t="str">
        <f>IF(AND(B279='111'!$L$11,OR($N279=$Q$7,$O279=$Q$7)),"x","")</f>
        <v/>
      </c>
      <c r="R279" s="81" t="str">
        <f>IF(AND($N279=$Q$7,$B279&lt;'111'!$L$11),"x","")</f>
        <v/>
      </c>
      <c r="S279" s="81" t="str">
        <f>IF(AND($O279=$Q$7,$B279&lt;'111'!$L$11),"x","")</f>
        <v/>
      </c>
      <c r="T279" s="81" t="str">
        <f>IF(ISERROR(FIND('112'!$M$9,G279,1)),"",IF((AND(FIND('112'!$M$9,G279,1)&gt;=1,B279='112'!$K$9,OR($N279='112'!$I$6,$O279='112'!$I$6))),"x",""))</f>
        <v/>
      </c>
      <c r="U279" s="81" t="str">
        <f>IF(ISERROR(FIND('112'!$M$9,G279,1)),"",IF((AND(LEFT(G279,2)=LEFT('112'!$M$9,2),B279&lt;'112'!$K$9,$N279='112'!$I$6)),"x",""))</f>
        <v/>
      </c>
      <c r="V279" s="81" t="str">
        <f>IF(ISERROR(FIND('112'!$M$9,G279,1)),"",IF((AND(RIGHT(G279,2)=RIGHT('112'!$M$9,2),B279&lt;'112'!$K$9,$O279='112'!$I$6)),"x",""))</f>
        <v/>
      </c>
      <c r="W279" s="81" t="str">
        <f>IF(AND('341-CT'!$H$9=H279,OR(LEFT(N279,3)=$W$7,LEFT(O279,3)=$W$7)),"x","")</f>
        <v/>
      </c>
      <c r="X279" s="81" t="str">
        <f>IF(OR(TH!N279=TH!$X$7,O279=TH!$X$7),"x","")</f>
        <v/>
      </c>
      <c r="Y279" s="81" t="str">
        <f>IF(AND(OR(N279="131",O279="131"),H279='131-CT'!$H$9),"x","")</f>
        <v/>
      </c>
      <c r="Z279" s="81"/>
      <c r="AA279" s="81" t="str">
        <f>IF(AND(MONTH(E279)='IN-NX'!$J$5,'IN-NX'!$D$7=D279),"x","")</f>
        <v/>
      </c>
      <c r="AB279" s="81" t="str">
        <f>IF(AND(OR(LEFT(TH!N279,2)="15",LEFT(TH!O279,2)="15"),LEFT(TH!O279,3)&lt;&gt;"111",'152-CT'!$J$8=TH!F279),"x","")</f>
        <v/>
      </c>
      <c r="AC279" s="81" t="str">
        <f>IF(AND(OR(LEFT(TH!N279,2)="15",LEFT(TH!O279,2)="15"),TK!$E$7=TH!F279),"x","")</f>
        <v/>
      </c>
      <c r="AD279" s="81" t="str">
        <f>IF(AND(N279="1521",MONTH(C279)='BK-NL'!$M$11),"x","")</f>
        <v/>
      </c>
      <c r="AE279">
        <v>1</v>
      </c>
    </row>
    <row r="280" spans="1:31" ht="15.75" customHeight="1">
      <c r="A280" s="998" t="str">
        <f>IF(B280&lt;&gt;"",IF(AND(B280='IN-TC'!$S$4,OR(TH!N280="1111",TH!O280="1111")),TH!D280,""),"")</f>
        <v/>
      </c>
      <c r="B280" s="831">
        <f t="shared" si="26"/>
        <v>1</v>
      </c>
      <c r="C280" s="1049">
        <v>42766</v>
      </c>
      <c r="D280" s="1049" t="s">
        <v>573</v>
      </c>
      <c r="E280" s="1049">
        <f t="shared" ref="E280:E282" si="66">C280</f>
        <v>42766</v>
      </c>
      <c r="F280" s="1050" t="s">
        <v>928</v>
      </c>
      <c r="G280" s="1051" t="s">
        <v>945</v>
      </c>
      <c r="H280" s="79" t="s">
        <v>844</v>
      </c>
      <c r="I280" s="403"/>
      <c r="J280" s="1052"/>
      <c r="K280" s="396"/>
      <c r="L280" s="403"/>
      <c r="M280" s="1053">
        <v>7685700</v>
      </c>
      <c r="N280" s="1054" t="s">
        <v>582</v>
      </c>
      <c r="O280" s="1054" t="s">
        <v>8</v>
      </c>
      <c r="P280" s="81" t="str">
        <f>IF(AND('331-CT'!$E$7=TH!H280,OR(N280="331",O280="331")),"x","")</f>
        <v/>
      </c>
      <c r="Q280" s="81" t="str">
        <f>IF(AND(B280='111'!$L$11,OR($N280=$Q$7,$O280=$Q$7)),"x","")</f>
        <v/>
      </c>
      <c r="R280" s="81" t="str">
        <f>IF(AND($N280=$Q$7,$B280&lt;'111'!$L$11),"x","")</f>
        <v/>
      </c>
      <c r="S280" s="81" t="str">
        <f>IF(AND($O280=$Q$7,$B280&lt;'111'!$L$11),"x","")</f>
        <v/>
      </c>
      <c r="T280" s="81" t="str">
        <f>IF(ISERROR(FIND('112'!$M$9,G280,1)),"",IF((AND(FIND('112'!$M$9,G280,1)&gt;=1,B280='112'!$K$9,OR($N280='112'!$I$6,$O280='112'!$I$6))),"x",""))</f>
        <v/>
      </c>
      <c r="U280" s="81" t="str">
        <f>IF(ISERROR(FIND('112'!$M$9,G280,1)),"",IF((AND(LEFT(G280,2)=LEFT('112'!$M$9,2),B280&lt;'112'!$K$9,$N280='112'!$I$6)),"x",""))</f>
        <v/>
      </c>
      <c r="V280" s="81" t="str">
        <f>IF(ISERROR(FIND('112'!$M$9,G280,1)),"",IF((AND(RIGHT(G280,2)=RIGHT('112'!$M$9,2),B280&lt;'112'!$K$9,$O280='112'!$I$6)),"x",""))</f>
        <v/>
      </c>
      <c r="W280" s="81" t="str">
        <f>IF(AND('341-CT'!$H$9=H280,OR(LEFT(N280,3)=$W$7,LEFT(O280,3)=$W$7)),"x","")</f>
        <v/>
      </c>
      <c r="X280" s="81" t="str">
        <f>IF(OR(TH!N280=TH!$X$7,O280=TH!$X$7),"x","")</f>
        <v/>
      </c>
      <c r="Y280" s="81" t="str">
        <f>IF(AND(OR(N280="131",O280="131"),H280='131-CT'!$H$9),"x","")</f>
        <v/>
      </c>
      <c r="Z280" s="81"/>
      <c r="AA280" s="81" t="str">
        <f>IF(AND(MONTH(E280)='IN-NX'!$J$5,'IN-NX'!$D$7=D280),"x","")</f>
        <v/>
      </c>
      <c r="AB280" s="81" t="str">
        <f>IF(AND(OR(LEFT(TH!N280,2)="15",LEFT(TH!O280,2)="15"),LEFT(TH!O280,3)&lt;&gt;"111",'152-CT'!$J$8=TH!F280),"x","")</f>
        <v/>
      </c>
      <c r="AC280" s="81" t="str">
        <f>IF(AND(OR(LEFT(TH!N280,2)="15",LEFT(TH!O280,2)="15"),TK!$E$7=TH!F280),"x","")</f>
        <v/>
      </c>
      <c r="AD280" s="81" t="str">
        <f>IF(AND(N280="1521",MONTH(C280)='BK-NL'!$M$11),"x","")</f>
        <v/>
      </c>
    </row>
    <row r="281" spans="1:31" ht="15.75" customHeight="1">
      <c r="A281" s="998" t="str">
        <f>IF(B281&lt;&gt;"",IF(AND(B281='IN-TC'!$S$4,OR(TH!N281="1111",TH!O281="1111")),TH!D281,""),"")</f>
        <v/>
      </c>
      <c r="B281" s="831">
        <f t="shared" si="26"/>
        <v>1</v>
      </c>
      <c r="C281" s="1049">
        <v>42766</v>
      </c>
      <c r="D281" s="1049" t="s">
        <v>573</v>
      </c>
      <c r="E281" s="1049">
        <f t="shared" si="66"/>
        <v>42766</v>
      </c>
      <c r="F281" s="1050" t="s">
        <v>943</v>
      </c>
      <c r="G281" s="1051" t="s">
        <v>946</v>
      </c>
      <c r="H281" s="79" t="s">
        <v>844</v>
      </c>
      <c r="I281" s="403"/>
      <c r="J281" s="1052"/>
      <c r="K281" s="396"/>
      <c r="L281" s="403"/>
      <c r="M281" s="1053">
        <v>3819490</v>
      </c>
      <c r="N281" s="1054" t="s">
        <v>582</v>
      </c>
      <c r="O281" s="1054" t="s">
        <v>8</v>
      </c>
      <c r="P281" s="81" t="str">
        <f>IF(AND('331-CT'!$E$7=TH!H281,OR(N281="331",O281="331")),"x","")</f>
        <v/>
      </c>
      <c r="Q281" s="81" t="str">
        <f>IF(AND(B281='111'!$L$11,OR($N281=$Q$7,$O281=$Q$7)),"x","")</f>
        <v/>
      </c>
      <c r="R281" s="81" t="str">
        <f>IF(AND($N281=$Q$7,$B281&lt;'111'!$L$11),"x","")</f>
        <v/>
      </c>
      <c r="S281" s="81" t="str">
        <f>IF(AND($O281=$Q$7,$B281&lt;'111'!$L$11),"x","")</f>
        <v/>
      </c>
      <c r="T281" s="81" t="str">
        <f>IF(ISERROR(FIND('112'!$M$9,G281,1)),"",IF((AND(FIND('112'!$M$9,G281,1)&gt;=1,B281='112'!$K$9,OR($N281='112'!$I$6,$O281='112'!$I$6))),"x",""))</f>
        <v/>
      </c>
      <c r="U281" s="81" t="str">
        <f>IF(ISERROR(FIND('112'!$M$9,G281,1)),"",IF((AND(LEFT(G281,2)=LEFT('112'!$M$9,2),B281&lt;'112'!$K$9,$N281='112'!$I$6)),"x",""))</f>
        <v/>
      </c>
      <c r="V281" s="81" t="str">
        <f>IF(ISERROR(FIND('112'!$M$9,G281,1)),"",IF((AND(RIGHT(G281,2)=RIGHT('112'!$M$9,2),B281&lt;'112'!$K$9,$O281='112'!$I$6)),"x",""))</f>
        <v/>
      </c>
      <c r="W281" s="81" t="str">
        <f>IF(AND('341-CT'!$H$9=H281,OR(LEFT(N281,3)=$W$7,LEFT(O281,3)=$W$7)),"x","")</f>
        <v/>
      </c>
      <c r="X281" s="81" t="str">
        <f>IF(OR(TH!N281=TH!$X$7,O281=TH!$X$7),"x","")</f>
        <v/>
      </c>
      <c r="Y281" s="81" t="str">
        <f>IF(AND(OR(N281="131",O281="131"),H281='131-CT'!$H$9),"x","")</f>
        <v/>
      </c>
      <c r="Z281" s="81"/>
      <c r="AA281" s="81" t="str">
        <f>IF(AND(MONTH(E281)='IN-NX'!$J$5,'IN-NX'!$D$7=D281),"x","")</f>
        <v/>
      </c>
      <c r="AB281" s="81" t="str">
        <f>IF(AND(OR(LEFT(TH!N281,2)="15",LEFT(TH!O281,2)="15"),LEFT(TH!O281,3)&lt;&gt;"111",'152-CT'!$J$8=TH!F281),"x","")</f>
        <v/>
      </c>
      <c r="AC281" s="81" t="str">
        <f>IF(AND(OR(LEFT(TH!N281,2)="15",LEFT(TH!O281,2)="15"),TK!$E$7=TH!F281),"x","")</f>
        <v/>
      </c>
      <c r="AD281" s="81" t="str">
        <f>IF(AND(N281="1521",MONTH(C281)='BK-NL'!$M$11),"x","")</f>
        <v/>
      </c>
      <c r="AE281">
        <v>1</v>
      </c>
    </row>
    <row r="282" spans="1:31" ht="15.75" customHeight="1">
      <c r="A282" s="998" t="str">
        <f>IF(B282&lt;&gt;"",IF(AND(B282='IN-TC'!$S$4,OR(TH!N282="1111",TH!O282="1111")),TH!D282,""),"")</f>
        <v/>
      </c>
      <c r="B282" s="831">
        <f t="shared" si="26"/>
        <v>1</v>
      </c>
      <c r="C282" s="1049">
        <v>42766</v>
      </c>
      <c r="D282" s="1049" t="s">
        <v>573</v>
      </c>
      <c r="E282" s="1049">
        <f t="shared" si="66"/>
        <v>42766</v>
      </c>
      <c r="F282" s="1050" t="s">
        <v>944</v>
      </c>
      <c r="G282" s="1051" t="s">
        <v>946</v>
      </c>
      <c r="H282" s="79" t="s">
        <v>844</v>
      </c>
      <c r="I282" s="403"/>
      <c r="J282" s="1052"/>
      <c r="K282" s="396"/>
      <c r="L282" s="403"/>
      <c r="M282" s="1053">
        <v>381949</v>
      </c>
      <c r="N282" s="1054" t="s">
        <v>9</v>
      </c>
      <c r="O282" s="1054" t="s">
        <v>8</v>
      </c>
      <c r="P282" s="81" t="str">
        <f>IF(AND('331-CT'!$E$7=TH!H282,OR(N282="331",O282="331")),"x","")</f>
        <v/>
      </c>
      <c r="Q282" s="81" t="str">
        <f>IF(AND(B282='111'!$L$11,OR($N282=$Q$7,$O282=$Q$7)),"x","")</f>
        <v/>
      </c>
      <c r="R282" s="81" t="str">
        <f>IF(AND($N282=$Q$7,$B282&lt;'111'!$L$11),"x","")</f>
        <v/>
      </c>
      <c r="S282" s="81" t="str">
        <f>IF(AND($O282=$Q$7,$B282&lt;'111'!$L$11),"x","")</f>
        <v/>
      </c>
      <c r="T282" s="81" t="str">
        <f>IF(ISERROR(FIND('112'!$M$9,G282,1)),"",IF((AND(FIND('112'!$M$9,G282,1)&gt;=1,B282='112'!$K$9,OR($N282='112'!$I$6,$O282='112'!$I$6))),"x",""))</f>
        <v/>
      </c>
      <c r="U282" s="81" t="str">
        <f>IF(ISERROR(FIND('112'!$M$9,G282,1)),"",IF((AND(LEFT(G282,2)=LEFT('112'!$M$9,2),B282&lt;'112'!$K$9,$N282='112'!$I$6)),"x",""))</f>
        <v/>
      </c>
      <c r="V282" s="81" t="str">
        <f>IF(ISERROR(FIND('112'!$M$9,G282,1)),"",IF((AND(RIGHT(G282,2)=RIGHT('112'!$M$9,2),B282&lt;'112'!$K$9,$O282='112'!$I$6)),"x",""))</f>
        <v/>
      </c>
      <c r="W282" s="81" t="str">
        <f>IF(AND('341-CT'!$H$9=H282,OR(LEFT(N282,3)=$W$7,LEFT(O282,3)=$W$7)),"x","")</f>
        <v/>
      </c>
      <c r="X282" s="81" t="str">
        <f>IF(OR(TH!N282=TH!$X$7,O282=TH!$X$7),"x","")</f>
        <v/>
      </c>
      <c r="Y282" s="81" t="str">
        <f>IF(AND(OR(N282="131",O282="131"),H282='131-CT'!$H$9),"x","")</f>
        <v/>
      </c>
      <c r="Z282" s="81"/>
      <c r="AA282" s="81" t="str">
        <f>IF(AND(MONTH(E282)='IN-NX'!$J$5,'IN-NX'!$D$7=D282),"x","")</f>
        <v/>
      </c>
      <c r="AB282" s="81" t="str">
        <f>IF(AND(OR(LEFT(TH!N282,2)="15",LEFT(TH!O282,2)="15"),LEFT(TH!O282,3)&lt;&gt;"111",'152-CT'!$J$8=TH!F282),"x","")</f>
        <v/>
      </c>
      <c r="AC282" s="81" t="str">
        <f>IF(AND(OR(LEFT(TH!N282,2)="15",LEFT(TH!O282,2)="15"),TK!$E$7=TH!F282),"x","")</f>
        <v/>
      </c>
      <c r="AD282" s="81" t="str">
        <f>IF(AND(N282="1521",MONTH(C282)='BK-NL'!$M$11),"x","")</f>
        <v/>
      </c>
      <c r="AE282">
        <v>1</v>
      </c>
    </row>
    <row r="283" spans="1:31" ht="15.75" customHeight="1">
      <c r="A283" s="998" t="str">
        <f>IF(B283&lt;&gt;"",IF(AND(B283='IN-TC'!$S$4,OR(TH!N283="1111",TH!O283="1111")),TH!D283,""),"")</f>
        <v/>
      </c>
      <c r="B283" s="831">
        <f t="shared" ref="B283:B285" si="67">IF(C283&lt;&gt;"",MONTH(C283),"")</f>
        <v>1</v>
      </c>
      <c r="C283" s="1049">
        <v>42766</v>
      </c>
      <c r="D283" s="1049" t="s">
        <v>573</v>
      </c>
      <c r="E283" s="1049">
        <f t="shared" ref="E283:E323" si="68">C283</f>
        <v>42766</v>
      </c>
      <c r="F283" s="1050" t="s">
        <v>928</v>
      </c>
      <c r="G283" s="1051" t="s">
        <v>947</v>
      </c>
      <c r="H283" s="79" t="s">
        <v>844</v>
      </c>
      <c r="I283" s="403"/>
      <c r="J283" s="1052"/>
      <c r="K283" s="396"/>
      <c r="L283" s="403"/>
      <c r="M283" s="1053">
        <v>7685700</v>
      </c>
      <c r="N283" s="1054" t="s">
        <v>582</v>
      </c>
      <c r="O283" s="1054" t="s">
        <v>8</v>
      </c>
      <c r="P283" s="81" t="str">
        <f>IF(AND('331-CT'!$E$7=TH!H283,OR(N283="331",O283="331")),"x","")</f>
        <v/>
      </c>
      <c r="Q283" s="81" t="str">
        <f>IF(AND(B283='111'!$L$11,OR($N283=$Q$7,$O283=$Q$7)),"x","")</f>
        <v/>
      </c>
      <c r="R283" s="81" t="str">
        <f>IF(AND($N283=$Q$7,$B283&lt;'111'!$L$11),"x","")</f>
        <v/>
      </c>
      <c r="S283" s="81" t="str">
        <f>IF(AND($O283=$Q$7,$B283&lt;'111'!$L$11),"x","")</f>
        <v/>
      </c>
      <c r="T283" s="81" t="str">
        <f>IF(ISERROR(FIND('112'!$M$9,G283,1)),"",IF((AND(FIND('112'!$M$9,G283,1)&gt;=1,B283='112'!$K$9,OR($N283='112'!$I$6,$O283='112'!$I$6))),"x",""))</f>
        <v/>
      </c>
      <c r="U283" s="81" t="str">
        <f>IF(ISERROR(FIND('112'!$M$9,G283,1)),"",IF((AND(LEFT(G283,2)=LEFT('112'!$M$9,2),B283&lt;'112'!$K$9,$N283='112'!$I$6)),"x",""))</f>
        <v/>
      </c>
      <c r="V283" s="81" t="str">
        <f>IF(ISERROR(FIND('112'!$M$9,G283,1)),"",IF((AND(RIGHT(G283,2)=RIGHT('112'!$M$9,2),B283&lt;'112'!$K$9,$O283='112'!$I$6)),"x",""))</f>
        <v/>
      </c>
      <c r="W283" s="81" t="str">
        <f>IF(AND('341-CT'!$H$9=H283,OR(LEFT(N283,3)=$W$7,LEFT(O283,3)=$W$7)),"x","")</f>
        <v/>
      </c>
      <c r="X283" s="81" t="str">
        <f>IF(OR(TH!N283=TH!$X$7,O283=TH!$X$7),"x","")</f>
        <v/>
      </c>
      <c r="Y283" s="81" t="str">
        <f>IF(AND(OR(N283="131",O283="131"),H283='131-CT'!$H$9),"x","")</f>
        <v/>
      </c>
      <c r="Z283" s="81"/>
      <c r="AA283" s="81" t="str">
        <f>IF(AND(MONTH(E283)='IN-NX'!$J$5,'IN-NX'!$D$7=D283),"x","")</f>
        <v/>
      </c>
      <c r="AB283" s="81" t="str">
        <f>IF(AND(OR(LEFT(TH!N283,2)="15",LEFT(TH!O283,2)="15"),LEFT(TH!O283,3)&lt;&gt;"111",'152-CT'!$J$8=TH!F283),"x","")</f>
        <v/>
      </c>
      <c r="AC283" s="81" t="str">
        <f>IF(AND(OR(LEFT(TH!N283,2)="15",LEFT(TH!O283,2)="15"),TK!$E$7=TH!F283),"x","")</f>
        <v/>
      </c>
      <c r="AD283" s="81" t="str">
        <f>IF(AND(N283="1521",MONTH(C283)='BK-NL'!$M$11),"x","")</f>
        <v/>
      </c>
    </row>
    <row r="284" spans="1:31" ht="15.75" customHeight="1">
      <c r="A284" s="998" t="str">
        <f>IF(B284&lt;&gt;"",IF(AND(B284='IN-TC'!$S$4,OR(TH!N284="1111",TH!O284="1111")),TH!D284,""),"")</f>
        <v/>
      </c>
      <c r="B284" s="831">
        <f t="shared" si="67"/>
        <v>1</v>
      </c>
      <c r="C284" s="1049">
        <v>42766</v>
      </c>
      <c r="D284" s="1049" t="s">
        <v>573</v>
      </c>
      <c r="E284" s="1049">
        <f t="shared" si="68"/>
        <v>42766</v>
      </c>
      <c r="F284" s="1050" t="s">
        <v>943</v>
      </c>
      <c r="G284" s="1051" t="s">
        <v>948</v>
      </c>
      <c r="H284" s="79" t="s">
        <v>844</v>
      </c>
      <c r="I284" s="403"/>
      <c r="J284" s="1052"/>
      <c r="K284" s="396"/>
      <c r="L284" s="403"/>
      <c r="M284" s="1053">
        <v>3819490</v>
      </c>
      <c r="N284" s="1054" t="s">
        <v>582</v>
      </c>
      <c r="O284" s="1054" t="s">
        <v>8</v>
      </c>
      <c r="P284" s="81" t="str">
        <f>IF(AND('331-CT'!$E$7=TH!H284,OR(N284="331",O284="331")),"x","")</f>
        <v/>
      </c>
      <c r="Q284" s="81" t="str">
        <f>IF(AND(B284='111'!$L$11,OR($N284=$Q$7,$O284=$Q$7)),"x","")</f>
        <v/>
      </c>
      <c r="R284" s="81" t="str">
        <f>IF(AND($N284=$Q$7,$B284&lt;'111'!$L$11),"x","")</f>
        <v/>
      </c>
      <c r="S284" s="81" t="str">
        <f>IF(AND($O284=$Q$7,$B284&lt;'111'!$L$11),"x","")</f>
        <v/>
      </c>
      <c r="T284" s="81" t="str">
        <f>IF(ISERROR(FIND('112'!$M$9,G284,1)),"",IF((AND(FIND('112'!$M$9,G284,1)&gt;=1,B284='112'!$K$9,OR($N284='112'!$I$6,$O284='112'!$I$6))),"x",""))</f>
        <v/>
      </c>
      <c r="U284" s="81" t="str">
        <f>IF(ISERROR(FIND('112'!$M$9,G284,1)),"",IF((AND(LEFT(G284,2)=LEFT('112'!$M$9,2),B284&lt;'112'!$K$9,$N284='112'!$I$6)),"x",""))</f>
        <v/>
      </c>
      <c r="V284" s="81" t="str">
        <f>IF(ISERROR(FIND('112'!$M$9,G284,1)),"",IF((AND(RIGHT(G284,2)=RIGHT('112'!$M$9,2),B284&lt;'112'!$K$9,$O284='112'!$I$6)),"x",""))</f>
        <v/>
      </c>
      <c r="W284" s="81" t="str">
        <f>IF(AND('341-CT'!$H$9=H284,OR(LEFT(N284,3)=$W$7,LEFT(O284,3)=$W$7)),"x","")</f>
        <v/>
      </c>
      <c r="X284" s="81" t="str">
        <f>IF(OR(TH!N284=TH!$X$7,O284=TH!$X$7),"x","")</f>
        <v/>
      </c>
      <c r="Y284" s="81" t="str">
        <f>IF(AND(OR(N284="131",O284="131"),H284='131-CT'!$H$9),"x","")</f>
        <v/>
      </c>
      <c r="Z284" s="81"/>
      <c r="AA284" s="81" t="str">
        <f>IF(AND(MONTH(E284)='IN-NX'!$J$5,'IN-NX'!$D$7=D284),"x","")</f>
        <v/>
      </c>
      <c r="AB284" s="81" t="str">
        <f>IF(AND(OR(LEFT(TH!N284,2)="15",LEFT(TH!O284,2)="15"),LEFT(TH!O284,3)&lt;&gt;"111",'152-CT'!$J$8=TH!F284),"x","")</f>
        <v/>
      </c>
      <c r="AC284" s="81" t="str">
        <f>IF(AND(OR(LEFT(TH!N284,2)="15",LEFT(TH!O284,2)="15"),TK!$E$7=TH!F284),"x","")</f>
        <v/>
      </c>
      <c r="AD284" s="81" t="str">
        <f>IF(AND(N284="1521",MONTH(C284)='BK-NL'!$M$11),"x","")</f>
        <v/>
      </c>
      <c r="AE284">
        <v>1</v>
      </c>
    </row>
    <row r="285" spans="1:31" ht="15.75" customHeight="1">
      <c r="A285" s="998" t="str">
        <f>IF(B285&lt;&gt;"",IF(AND(B285='IN-TC'!$S$4,OR(TH!N285="1111",TH!O285="1111")),TH!D285,""),"")</f>
        <v/>
      </c>
      <c r="B285" s="831">
        <f t="shared" si="67"/>
        <v>1</v>
      </c>
      <c r="C285" s="1049">
        <v>42766</v>
      </c>
      <c r="D285" s="1049" t="s">
        <v>573</v>
      </c>
      <c r="E285" s="1049">
        <f t="shared" si="68"/>
        <v>42766</v>
      </c>
      <c r="F285" s="1050" t="s">
        <v>944</v>
      </c>
      <c r="G285" s="1051" t="s">
        <v>948</v>
      </c>
      <c r="H285" s="79" t="s">
        <v>844</v>
      </c>
      <c r="I285" s="403"/>
      <c r="J285" s="1052"/>
      <c r="K285" s="396"/>
      <c r="L285" s="403"/>
      <c r="M285" s="1053">
        <v>381949</v>
      </c>
      <c r="N285" s="1054" t="s">
        <v>9</v>
      </c>
      <c r="O285" s="1054" t="s">
        <v>8</v>
      </c>
      <c r="P285" s="81" t="str">
        <f>IF(AND('331-CT'!$E$7=TH!H285,OR(N285="331",O285="331")),"x","")</f>
        <v/>
      </c>
      <c r="Q285" s="81" t="str">
        <f>IF(AND(B285='111'!$L$11,OR($N285=$Q$7,$O285=$Q$7)),"x","")</f>
        <v/>
      </c>
      <c r="R285" s="81" t="str">
        <f>IF(AND($N285=$Q$7,$B285&lt;'111'!$L$11),"x","")</f>
        <v/>
      </c>
      <c r="S285" s="81" t="str">
        <f>IF(AND($O285=$Q$7,$B285&lt;'111'!$L$11),"x","")</f>
        <v/>
      </c>
      <c r="T285" s="81" t="str">
        <f>IF(ISERROR(FIND('112'!$M$9,G285,1)),"",IF((AND(FIND('112'!$M$9,G285,1)&gt;=1,B285='112'!$K$9,OR($N285='112'!$I$6,$O285='112'!$I$6))),"x",""))</f>
        <v/>
      </c>
      <c r="U285" s="81" t="str">
        <f>IF(ISERROR(FIND('112'!$M$9,G285,1)),"",IF((AND(LEFT(G285,2)=LEFT('112'!$M$9,2),B285&lt;'112'!$K$9,$N285='112'!$I$6)),"x",""))</f>
        <v/>
      </c>
      <c r="V285" s="81" t="str">
        <f>IF(ISERROR(FIND('112'!$M$9,G285,1)),"",IF((AND(RIGHT(G285,2)=RIGHT('112'!$M$9,2),B285&lt;'112'!$K$9,$O285='112'!$I$6)),"x",""))</f>
        <v/>
      </c>
      <c r="W285" s="81" t="str">
        <f>IF(AND('341-CT'!$H$9=H285,OR(LEFT(N285,3)=$W$7,LEFT(O285,3)=$W$7)),"x","")</f>
        <v/>
      </c>
      <c r="X285" s="81" t="str">
        <f>IF(OR(TH!N285=TH!$X$7,O285=TH!$X$7),"x","")</f>
        <v/>
      </c>
      <c r="Y285" s="81" t="str">
        <f>IF(AND(OR(N285="131",O285="131"),H285='131-CT'!$H$9),"x","")</f>
        <v/>
      </c>
      <c r="Z285" s="81"/>
      <c r="AA285" s="81" t="str">
        <f>IF(AND(MONTH(E285)='IN-NX'!$J$5,'IN-NX'!$D$7=D285),"x","")</f>
        <v/>
      </c>
      <c r="AB285" s="81" t="str">
        <f>IF(AND(OR(LEFT(TH!N285,2)="15",LEFT(TH!O285,2)="15"),LEFT(TH!O285,3)&lt;&gt;"111",'152-CT'!$J$8=TH!F285),"x","")</f>
        <v/>
      </c>
      <c r="AC285" s="81" t="str">
        <f>IF(AND(OR(LEFT(TH!N285,2)="15",LEFT(TH!O285,2)="15"),TK!$E$7=TH!F285),"x","")</f>
        <v/>
      </c>
      <c r="AD285" s="81" t="str">
        <f>IF(AND(N285="1521",MONTH(C285)='BK-NL'!$M$11),"x","")</f>
        <v/>
      </c>
      <c r="AE285">
        <v>1</v>
      </c>
    </row>
    <row r="286" spans="1:31" ht="15.75" customHeight="1">
      <c r="A286" s="998" t="str">
        <f>IF(B286&lt;&gt;"",IF(AND(B286='IN-TC'!$S$4,OR(TH!N286="1111",TH!O286="1111")),TH!D286,""),"")</f>
        <v/>
      </c>
      <c r="B286" s="831">
        <f t="shared" ref="B286:B288" si="69">IF(C286&lt;&gt;"",MONTH(C286),"")</f>
        <v>1</v>
      </c>
      <c r="C286" s="1049">
        <v>42766</v>
      </c>
      <c r="D286" s="1049" t="s">
        <v>573</v>
      </c>
      <c r="E286" s="1049">
        <f t="shared" ref="E286:E288" si="70">C286</f>
        <v>42766</v>
      </c>
      <c r="F286" s="1050" t="s">
        <v>928</v>
      </c>
      <c r="G286" s="1051" t="s">
        <v>971</v>
      </c>
      <c r="H286" s="79" t="s">
        <v>844</v>
      </c>
      <c r="I286" s="403"/>
      <c r="J286" s="1052"/>
      <c r="K286" s="396"/>
      <c r="L286" s="403"/>
      <c r="M286" s="1053">
        <v>7685700</v>
      </c>
      <c r="N286" s="1054" t="s">
        <v>582</v>
      </c>
      <c r="O286" s="1054" t="s">
        <v>8</v>
      </c>
      <c r="P286" s="81" t="str">
        <f>IF(AND('331-CT'!$E$7=TH!H286,OR(N286="331",O286="331")),"x","")</f>
        <v/>
      </c>
      <c r="Q286" s="81" t="str">
        <f>IF(AND(B286='111'!$L$11,OR($N286=$Q$7,$O286=$Q$7)),"x","")</f>
        <v/>
      </c>
      <c r="R286" s="81" t="str">
        <f>IF(AND($N286=$Q$7,$B286&lt;'111'!$L$11),"x","")</f>
        <v/>
      </c>
      <c r="S286" s="81" t="str">
        <f>IF(AND($O286=$Q$7,$B286&lt;'111'!$L$11),"x","")</f>
        <v/>
      </c>
      <c r="T286" s="81" t="str">
        <f>IF(ISERROR(FIND('112'!$M$9,G286,1)),"",IF((AND(FIND('112'!$M$9,G286,1)&gt;=1,B286='112'!$K$9,OR($N286='112'!$I$6,$O286='112'!$I$6))),"x",""))</f>
        <v/>
      </c>
      <c r="U286" s="81" t="str">
        <f>IF(ISERROR(FIND('112'!$M$9,G286,1)),"",IF((AND(LEFT(G286,2)=LEFT('112'!$M$9,2),B286&lt;'112'!$K$9,$N286='112'!$I$6)),"x",""))</f>
        <v/>
      </c>
      <c r="V286" s="81" t="str">
        <f>IF(ISERROR(FIND('112'!$M$9,G286,1)),"",IF((AND(RIGHT(G286,2)=RIGHT('112'!$M$9,2),B286&lt;'112'!$K$9,$O286='112'!$I$6)),"x",""))</f>
        <v/>
      </c>
      <c r="W286" s="81" t="str">
        <f>IF(AND('341-CT'!$H$9=H286,OR(LEFT(N286,3)=$W$7,LEFT(O286,3)=$W$7)),"x","")</f>
        <v/>
      </c>
      <c r="X286" s="81" t="str">
        <f>IF(OR(TH!N286=TH!$X$7,O286=TH!$X$7),"x","")</f>
        <v/>
      </c>
      <c r="Y286" s="81" t="str">
        <f>IF(AND(OR(N286="131",O286="131"),H286='131-CT'!$H$9),"x","")</f>
        <v/>
      </c>
      <c r="Z286" s="81"/>
      <c r="AA286" s="81" t="str">
        <f>IF(AND(MONTH(E286)='IN-NX'!$J$5,'IN-NX'!$D$7=D286),"x","")</f>
        <v/>
      </c>
      <c r="AB286" s="81" t="str">
        <f>IF(AND(OR(LEFT(TH!N286,2)="15",LEFT(TH!O286,2)="15"),LEFT(TH!O286,3)&lt;&gt;"111",'152-CT'!$J$8=TH!F286),"x","")</f>
        <v/>
      </c>
      <c r="AC286" s="81" t="str">
        <f>IF(AND(OR(LEFT(TH!N286,2)="15",LEFT(TH!O286,2)="15"),TK!$E$7=TH!F286),"x","")</f>
        <v/>
      </c>
      <c r="AD286" s="81" t="str">
        <f>IF(AND(N286="1521",MONTH(C286)='BK-NL'!$M$11),"x","")</f>
        <v/>
      </c>
    </row>
    <row r="287" spans="1:31" ht="15.75" customHeight="1">
      <c r="A287" s="998" t="str">
        <f>IF(B287&lt;&gt;"",IF(AND(B287='IN-TC'!$S$4,OR(TH!N287="1111",TH!O287="1111")),TH!D287,""),"")</f>
        <v/>
      </c>
      <c r="B287" s="831">
        <f t="shared" si="69"/>
        <v>1</v>
      </c>
      <c r="C287" s="1049">
        <v>42766</v>
      </c>
      <c r="D287" s="1049" t="s">
        <v>573</v>
      </c>
      <c r="E287" s="1049">
        <f t="shared" si="70"/>
        <v>42766</v>
      </c>
      <c r="F287" s="1050" t="s">
        <v>943</v>
      </c>
      <c r="G287" s="1051" t="s">
        <v>972</v>
      </c>
      <c r="H287" s="79" t="s">
        <v>844</v>
      </c>
      <c r="I287" s="403"/>
      <c r="J287" s="1052"/>
      <c r="K287" s="396"/>
      <c r="L287" s="403"/>
      <c r="M287" s="1053">
        <v>3819490</v>
      </c>
      <c r="N287" s="1054" t="s">
        <v>582</v>
      </c>
      <c r="O287" s="1054" t="s">
        <v>8</v>
      </c>
      <c r="P287" s="81" t="str">
        <f>IF(AND('331-CT'!$E$7=TH!H287,OR(N287="331",O287="331")),"x","")</f>
        <v/>
      </c>
      <c r="Q287" s="81" t="str">
        <f>IF(AND(B287='111'!$L$11,OR($N287=$Q$7,$O287=$Q$7)),"x","")</f>
        <v/>
      </c>
      <c r="R287" s="81" t="str">
        <f>IF(AND($N287=$Q$7,$B287&lt;'111'!$L$11),"x","")</f>
        <v/>
      </c>
      <c r="S287" s="81" t="str">
        <f>IF(AND($O287=$Q$7,$B287&lt;'111'!$L$11),"x","")</f>
        <v/>
      </c>
      <c r="T287" s="81" t="str">
        <f>IF(ISERROR(FIND('112'!$M$9,G287,1)),"",IF((AND(FIND('112'!$M$9,G287,1)&gt;=1,B287='112'!$K$9,OR($N287='112'!$I$6,$O287='112'!$I$6))),"x",""))</f>
        <v/>
      </c>
      <c r="U287" s="81" t="str">
        <f>IF(ISERROR(FIND('112'!$M$9,G287,1)),"",IF((AND(LEFT(G287,2)=LEFT('112'!$M$9,2),B287&lt;'112'!$K$9,$N287='112'!$I$6)),"x",""))</f>
        <v/>
      </c>
      <c r="V287" s="81" t="str">
        <f>IF(ISERROR(FIND('112'!$M$9,G287,1)),"",IF((AND(RIGHT(G287,2)=RIGHT('112'!$M$9,2),B287&lt;'112'!$K$9,$O287='112'!$I$6)),"x",""))</f>
        <v/>
      </c>
      <c r="W287" s="81" t="str">
        <f>IF(AND('341-CT'!$H$9=H287,OR(LEFT(N287,3)=$W$7,LEFT(O287,3)=$W$7)),"x","")</f>
        <v/>
      </c>
      <c r="X287" s="81" t="str">
        <f>IF(OR(TH!N287=TH!$X$7,O287=TH!$X$7),"x","")</f>
        <v/>
      </c>
      <c r="Y287" s="81" t="str">
        <f>IF(AND(OR(N287="131",O287="131"),H287='131-CT'!$H$9),"x","")</f>
        <v/>
      </c>
      <c r="Z287" s="81"/>
      <c r="AA287" s="81" t="str">
        <f>IF(AND(MONTH(E287)='IN-NX'!$J$5,'IN-NX'!$D$7=D287),"x","")</f>
        <v/>
      </c>
      <c r="AB287" s="81" t="str">
        <f>IF(AND(OR(LEFT(TH!N287,2)="15",LEFT(TH!O287,2)="15"),LEFT(TH!O287,3)&lt;&gt;"111",'152-CT'!$J$8=TH!F287),"x","")</f>
        <v/>
      </c>
      <c r="AC287" s="81" t="str">
        <f>IF(AND(OR(LEFT(TH!N287,2)="15",LEFT(TH!O287,2)="15"),TK!$E$7=TH!F287),"x","")</f>
        <v/>
      </c>
      <c r="AD287" s="81" t="str">
        <f>IF(AND(N287="1521",MONTH(C287)='BK-NL'!$M$11),"x","")</f>
        <v/>
      </c>
      <c r="AE287">
        <v>1</v>
      </c>
    </row>
    <row r="288" spans="1:31" ht="15.75" customHeight="1">
      <c r="A288" s="998" t="str">
        <f>IF(B288&lt;&gt;"",IF(AND(B288='IN-TC'!$S$4,OR(TH!N288="1111",TH!O288="1111")),TH!D288,""),"")</f>
        <v/>
      </c>
      <c r="B288" s="831">
        <f t="shared" si="69"/>
        <v>1</v>
      </c>
      <c r="C288" s="1049">
        <v>42766</v>
      </c>
      <c r="D288" s="1049" t="s">
        <v>573</v>
      </c>
      <c r="E288" s="1049">
        <f t="shared" si="70"/>
        <v>42766</v>
      </c>
      <c r="F288" s="1050" t="s">
        <v>944</v>
      </c>
      <c r="G288" s="1051" t="s">
        <v>972</v>
      </c>
      <c r="H288" s="79" t="s">
        <v>844</v>
      </c>
      <c r="I288" s="403"/>
      <c r="J288" s="1052"/>
      <c r="K288" s="396"/>
      <c r="L288" s="403"/>
      <c r="M288" s="1053">
        <v>381949</v>
      </c>
      <c r="N288" s="1054" t="s">
        <v>9</v>
      </c>
      <c r="O288" s="1054" t="s">
        <v>8</v>
      </c>
      <c r="P288" s="81" t="str">
        <f>IF(AND('331-CT'!$E$7=TH!H288,OR(N288="331",O288="331")),"x","")</f>
        <v/>
      </c>
      <c r="Q288" s="81" t="str">
        <f>IF(AND(B288='111'!$L$11,OR($N288=$Q$7,$O288=$Q$7)),"x","")</f>
        <v/>
      </c>
      <c r="R288" s="81" t="str">
        <f>IF(AND($N288=$Q$7,$B288&lt;'111'!$L$11),"x","")</f>
        <v/>
      </c>
      <c r="S288" s="81" t="str">
        <f>IF(AND($O288=$Q$7,$B288&lt;'111'!$L$11),"x","")</f>
        <v/>
      </c>
      <c r="T288" s="81" t="str">
        <f>IF(ISERROR(FIND('112'!$M$9,G288,1)),"",IF((AND(FIND('112'!$M$9,G288,1)&gt;=1,B288='112'!$K$9,OR($N288='112'!$I$6,$O288='112'!$I$6))),"x",""))</f>
        <v/>
      </c>
      <c r="U288" s="81" t="str">
        <f>IF(ISERROR(FIND('112'!$M$9,G288,1)),"",IF((AND(LEFT(G288,2)=LEFT('112'!$M$9,2),B288&lt;'112'!$K$9,$N288='112'!$I$6)),"x",""))</f>
        <v/>
      </c>
      <c r="V288" s="81" t="str">
        <f>IF(ISERROR(FIND('112'!$M$9,G288,1)),"",IF((AND(RIGHT(G288,2)=RIGHT('112'!$M$9,2),B288&lt;'112'!$K$9,$O288='112'!$I$6)),"x",""))</f>
        <v/>
      </c>
      <c r="W288" s="81" t="str">
        <f>IF(AND('341-CT'!$H$9=H288,OR(LEFT(N288,3)=$W$7,LEFT(O288,3)=$W$7)),"x","")</f>
        <v/>
      </c>
      <c r="X288" s="81" t="str">
        <f>IF(OR(TH!N288=TH!$X$7,O288=TH!$X$7),"x","")</f>
        <v/>
      </c>
      <c r="Y288" s="81" t="str">
        <f>IF(AND(OR(N288="131",O288="131"),H288='131-CT'!$H$9),"x","")</f>
        <v/>
      </c>
      <c r="Z288" s="81"/>
      <c r="AA288" s="81" t="str">
        <f>IF(AND(MONTH(E288)='IN-NX'!$J$5,'IN-NX'!$D$7=D288),"x","")</f>
        <v/>
      </c>
      <c r="AB288" s="81" t="str">
        <f>IF(AND(OR(LEFT(TH!N288,2)="15",LEFT(TH!O288,2)="15"),LEFT(TH!O288,3)&lt;&gt;"111",'152-CT'!$J$8=TH!F288),"x","")</f>
        <v/>
      </c>
      <c r="AC288" s="81" t="str">
        <f>IF(AND(OR(LEFT(TH!N288,2)="15",LEFT(TH!O288,2)="15"),TK!$E$7=TH!F288),"x","")</f>
        <v/>
      </c>
      <c r="AD288" s="81" t="str">
        <f>IF(AND(N288="1521",MONTH(C288)='BK-NL'!$M$11),"x","")</f>
        <v/>
      </c>
      <c r="AE288">
        <v>1</v>
      </c>
    </row>
    <row r="289" spans="1:31" ht="15.75" customHeight="1">
      <c r="A289" s="998" t="str">
        <f>IF(B289&lt;&gt;"",IF(AND(B289='IN-TC'!$S$4,OR(TH!N289="1111",TH!O289="1111")),TH!D289,""),"")</f>
        <v/>
      </c>
      <c r="B289" s="831">
        <f t="shared" ref="B289:B293" si="71">IF(C289&lt;&gt;"",MONTH(C289),"")</f>
        <v>1</v>
      </c>
      <c r="C289" s="1049">
        <v>42766</v>
      </c>
      <c r="D289" s="1049" t="s">
        <v>573</v>
      </c>
      <c r="E289" s="1049">
        <f t="shared" ref="E289:E293" si="72">C289</f>
        <v>42766</v>
      </c>
      <c r="F289" s="1050" t="s">
        <v>928</v>
      </c>
      <c r="G289" s="1051" t="s">
        <v>979</v>
      </c>
      <c r="H289" s="313" t="s">
        <v>803</v>
      </c>
      <c r="I289" s="403"/>
      <c r="J289" s="1052"/>
      <c r="K289" s="396"/>
      <c r="L289" s="403"/>
      <c r="M289" s="1053">
        <v>29510000</v>
      </c>
      <c r="N289" s="1054" t="s">
        <v>582</v>
      </c>
      <c r="O289" s="1054" t="s">
        <v>8</v>
      </c>
      <c r="P289" s="81" t="str">
        <f>IF(AND('331-CT'!$E$7=TH!H289,OR(N289="331",O289="331")),"x","")</f>
        <v/>
      </c>
      <c r="Q289" s="81" t="str">
        <f>IF(AND(B289='111'!$L$11,OR($N289=$Q$7,$O289=$Q$7)),"x","")</f>
        <v/>
      </c>
      <c r="R289" s="81" t="str">
        <f>IF(AND($N289=$Q$7,$B289&lt;'111'!$L$11),"x","")</f>
        <v/>
      </c>
      <c r="S289" s="81" t="str">
        <f>IF(AND($O289=$Q$7,$B289&lt;'111'!$L$11),"x","")</f>
        <v/>
      </c>
      <c r="T289" s="81" t="str">
        <f>IF(ISERROR(FIND('112'!$M$9,G289,1)),"",IF((AND(FIND('112'!$M$9,G289,1)&gt;=1,B289='112'!$K$9,OR($N289='112'!$I$6,$O289='112'!$I$6))),"x",""))</f>
        <v/>
      </c>
      <c r="U289" s="81" t="str">
        <f>IF(ISERROR(FIND('112'!$M$9,G289,1)),"",IF((AND(LEFT(G289,2)=LEFT('112'!$M$9,2),B289&lt;'112'!$K$9,$N289='112'!$I$6)),"x",""))</f>
        <v/>
      </c>
      <c r="V289" s="81" t="str">
        <f>IF(ISERROR(FIND('112'!$M$9,G289,1)),"",IF((AND(RIGHT(G289,2)=RIGHT('112'!$M$9,2),B289&lt;'112'!$K$9,$O289='112'!$I$6)),"x",""))</f>
        <v/>
      </c>
      <c r="W289" s="81" t="str">
        <f>IF(AND('341-CT'!$H$9=H289,OR(LEFT(N289,3)=$W$7,LEFT(O289,3)=$W$7)),"x","")</f>
        <v/>
      </c>
      <c r="X289" s="81" t="str">
        <f>IF(OR(TH!N289=TH!$X$7,O289=TH!$X$7),"x","")</f>
        <v/>
      </c>
      <c r="Y289" s="81" t="str">
        <f>IF(AND(OR(N289="131",O289="131"),H289='131-CT'!$H$9),"x","")</f>
        <v/>
      </c>
      <c r="Z289" s="81"/>
      <c r="AA289" s="81" t="str">
        <f>IF(AND(MONTH(E289)='IN-NX'!$J$5,'IN-NX'!$D$7=D289),"x","")</f>
        <v/>
      </c>
      <c r="AB289" s="81" t="str">
        <f>IF(AND(OR(LEFT(TH!N289,2)="15",LEFT(TH!O289,2)="15"),LEFT(TH!O289,3)&lt;&gt;"111",'152-CT'!$J$8=TH!F289),"x","")</f>
        <v/>
      </c>
      <c r="AC289" s="81" t="str">
        <f>IF(AND(OR(LEFT(TH!N289,2)="15",LEFT(TH!O289,2)="15"),TK!$E$7=TH!F289),"x","")</f>
        <v/>
      </c>
      <c r="AD289" s="81" t="str">
        <f>IF(AND(N289="1521",MONTH(C289)='BK-NL'!$M$11),"x","")</f>
        <v/>
      </c>
    </row>
    <row r="290" spans="1:31" ht="15.75" customHeight="1">
      <c r="A290" s="998" t="str">
        <f>IF(B290&lt;&gt;"",IF(AND(B290='IN-TC'!$S$4,OR(TH!N290="1111",TH!O290="1111")),TH!D290,""),"")</f>
        <v/>
      </c>
      <c r="B290" s="831">
        <f t="shared" si="71"/>
        <v>1</v>
      </c>
      <c r="C290" s="1049">
        <v>42766</v>
      </c>
      <c r="D290" s="1049" t="s">
        <v>573</v>
      </c>
      <c r="E290" s="1049">
        <f t="shared" si="72"/>
        <v>42766</v>
      </c>
      <c r="F290" s="1050" t="s">
        <v>977</v>
      </c>
      <c r="G290" s="1051" t="s">
        <v>980</v>
      </c>
      <c r="H290" s="313" t="s">
        <v>803</v>
      </c>
      <c r="I290" s="403"/>
      <c r="J290" s="1052"/>
      <c r="K290" s="396"/>
      <c r="L290" s="403"/>
      <c r="M290" s="1053">
        <v>9057300</v>
      </c>
      <c r="N290" s="1054" t="s">
        <v>582</v>
      </c>
      <c r="O290" s="1054" t="s">
        <v>8</v>
      </c>
      <c r="P290" s="81" t="str">
        <f>IF(AND('331-CT'!$E$7=TH!H290,OR(N290="331",O290="331")),"x","")</f>
        <v/>
      </c>
      <c r="Q290" s="81" t="str">
        <f>IF(AND(B290='111'!$L$11,OR($N290=$Q$7,$O290=$Q$7)),"x","")</f>
        <v/>
      </c>
      <c r="R290" s="81" t="str">
        <f>IF(AND($N290=$Q$7,$B290&lt;'111'!$L$11),"x","")</f>
        <v/>
      </c>
      <c r="S290" s="81" t="str">
        <f>IF(AND($O290=$Q$7,$B290&lt;'111'!$L$11),"x","")</f>
        <v/>
      </c>
      <c r="T290" s="81" t="str">
        <f>IF(ISERROR(FIND('112'!$M$9,G290,1)),"",IF((AND(FIND('112'!$M$9,G290,1)&gt;=1,B290='112'!$K$9,OR($N290='112'!$I$6,$O290='112'!$I$6))),"x",""))</f>
        <v/>
      </c>
      <c r="U290" s="81" t="str">
        <f>IF(ISERROR(FIND('112'!$M$9,G290,1)),"",IF((AND(LEFT(G290,2)=LEFT('112'!$M$9,2),B290&lt;'112'!$K$9,$N290='112'!$I$6)),"x",""))</f>
        <v/>
      </c>
      <c r="V290" s="81" t="str">
        <f>IF(ISERROR(FIND('112'!$M$9,G290,1)),"",IF((AND(RIGHT(G290,2)=RIGHT('112'!$M$9,2),B290&lt;'112'!$K$9,$O290='112'!$I$6)),"x",""))</f>
        <v/>
      </c>
      <c r="W290" s="81" t="str">
        <f>IF(AND('341-CT'!$H$9=H290,OR(LEFT(N290,3)=$W$7,LEFT(O290,3)=$W$7)),"x","")</f>
        <v/>
      </c>
      <c r="X290" s="81" t="str">
        <f>IF(OR(TH!N290=TH!$X$7,O290=TH!$X$7),"x","")</f>
        <v/>
      </c>
      <c r="Y290" s="81" t="str">
        <f>IF(AND(OR(N290="131",O290="131"),H290='131-CT'!$H$9),"x","")</f>
        <v/>
      </c>
      <c r="Z290" s="81"/>
      <c r="AA290" s="81" t="str">
        <f>IF(AND(MONTH(E290)='IN-NX'!$J$5,'IN-NX'!$D$7=D290),"x","")</f>
        <v/>
      </c>
      <c r="AB290" s="81" t="str">
        <f>IF(AND(OR(LEFT(TH!N290,2)="15",LEFT(TH!O290,2)="15"),LEFT(TH!O290,3)&lt;&gt;"111",'152-CT'!$J$8=TH!F290),"x","")</f>
        <v/>
      </c>
      <c r="AC290" s="81" t="str">
        <f>IF(AND(OR(LEFT(TH!N290,2)="15",LEFT(TH!O290,2)="15"),TK!$E$7=TH!F290),"x","")</f>
        <v/>
      </c>
      <c r="AD290" s="81" t="str">
        <f>IF(AND(N290="1521",MONTH(C290)='BK-NL'!$M$11),"x","")</f>
        <v/>
      </c>
      <c r="AE290">
        <v>1</v>
      </c>
    </row>
    <row r="291" spans="1:31" ht="15.75" customHeight="1">
      <c r="A291" s="998" t="str">
        <f>IF(B291&lt;&gt;"",IF(AND(B291='IN-TC'!$S$4,OR(TH!N291="1111",TH!O291="1111")),TH!D291,""),"")</f>
        <v/>
      </c>
      <c r="B291" s="831">
        <f t="shared" ref="B291" si="73">IF(C291&lt;&gt;"",MONTH(C291),"")</f>
        <v>1</v>
      </c>
      <c r="C291" s="1049">
        <v>42766</v>
      </c>
      <c r="D291" s="1049" t="s">
        <v>573</v>
      </c>
      <c r="E291" s="1049">
        <f t="shared" ref="E291" si="74">C291</f>
        <v>42766</v>
      </c>
      <c r="F291" s="1050" t="s">
        <v>978</v>
      </c>
      <c r="G291" s="1051" t="s">
        <v>980</v>
      </c>
      <c r="H291" s="313" t="s">
        <v>803</v>
      </c>
      <c r="I291" s="403"/>
      <c r="J291" s="1052"/>
      <c r="K291" s="396"/>
      <c r="L291" s="403"/>
      <c r="M291" s="1053">
        <v>905730</v>
      </c>
      <c r="N291" s="1054" t="s">
        <v>9</v>
      </c>
      <c r="O291" s="1054" t="s">
        <v>8</v>
      </c>
      <c r="P291" s="81" t="str">
        <f>IF(AND('331-CT'!$E$7=TH!H291,OR(N291="331",O291="331")),"x","")</f>
        <v/>
      </c>
      <c r="Q291" s="81" t="str">
        <f>IF(AND(B291='111'!$L$11,OR($N291=$Q$7,$O291=$Q$7)),"x","")</f>
        <v/>
      </c>
      <c r="R291" s="81" t="str">
        <f>IF(AND($N291=$Q$7,$B291&lt;'111'!$L$11),"x","")</f>
        <v/>
      </c>
      <c r="S291" s="81" t="str">
        <f>IF(AND($O291=$Q$7,$B291&lt;'111'!$L$11),"x","")</f>
        <v/>
      </c>
      <c r="T291" s="81" t="str">
        <f>IF(ISERROR(FIND('112'!$M$9,G291,1)),"",IF((AND(FIND('112'!$M$9,G291,1)&gt;=1,B291='112'!$K$9,OR($N291='112'!$I$6,$O291='112'!$I$6))),"x",""))</f>
        <v/>
      </c>
      <c r="U291" s="81" t="str">
        <f>IF(ISERROR(FIND('112'!$M$9,G291,1)),"",IF((AND(LEFT(G291,2)=LEFT('112'!$M$9,2),B291&lt;'112'!$K$9,$N291='112'!$I$6)),"x",""))</f>
        <v/>
      </c>
      <c r="V291" s="81" t="str">
        <f>IF(ISERROR(FIND('112'!$M$9,G291,1)),"",IF((AND(RIGHT(G291,2)=RIGHT('112'!$M$9,2),B291&lt;'112'!$K$9,$O291='112'!$I$6)),"x",""))</f>
        <v/>
      </c>
      <c r="W291" s="81" t="str">
        <f>IF(AND('341-CT'!$H$9=H291,OR(LEFT(N291,3)=$W$7,LEFT(O291,3)=$W$7)),"x","")</f>
        <v/>
      </c>
      <c r="X291" s="81" t="str">
        <f>IF(OR(TH!N291=TH!$X$7,O291=TH!$X$7),"x","")</f>
        <v/>
      </c>
      <c r="Y291" s="81" t="str">
        <f>IF(AND(OR(N291="131",O291="131"),H291='131-CT'!$H$9),"x","")</f>
        <v/>
      </c>
      <c r="Z291" s="81"/>
      <c r="AA291" s="81" t="str">
        <f>IF(AND(MONTH(E291)='IN-NX'!$J$5,'IN-NX'!$D$7=D291),"x","")</f>
        <v/>
      </c>
      <c r="AB291" s="81" t="str">
        <f>IF(AND(OR(LEFT(TH!N291,2)="15",LEFT(TH!O291,2)="15"),LEFT(TH!O291,3)&lt;&gt;"111",'152-CT'!$J$8=TH!F291),"x","")</f>
        <v/>
      </c>
      <c r="AC291" s="81" t="str">
        <f>IF(AND(OR(LEFT(TH!N291,2)="15",LEFT(TH!O291,2)="15"),TK!$E$7=TH!F291),"x","")</f>
        <v/>
      </c>
      <c r="AD291" s="81" t="str">
        <f>IF(AND(N291="1521",MONTH(C291)='BK-NL'!$M$11),"x","")</f>
        <v/>
      </c>
      <c r="AE291">
        <v>1</v>
      </c>
    </row>
    <row r="292" spans="1:31" ht="15.75" customHeight="1">
      <c r="A292" s="998" t="str">
        <f>IF(B292&lt;&gt;"",IF(AND(B292='IN-TC'!$S$4,OR(TH!N292="1111",TH!O292="1111")),TH!D292,""),"")</f>
        <v/>
      </c>
      <c r="B292" s="831">
        <f t="shared" si="71"/>
        <v>1</v>
      </c>
      <c r="C292" s="1049">
        <v>42766</v>
      </c>
      <c r="D292" s="1049" t="s">
        <v>573</v>
      </c>
      <c r="E292" s="1049">
        <f t="shared" si="72"/>
        <v>42766</v>
      </c>
      <c r="F292" s="1050" t="s">
        <v>928</v>
      </c>
      <c r="G292" s="1051" t="s">
        <v>981</v>
      </c>
      <c r="H292" s="313" t="s">
        <v>803</v>
      </c>
      <c r="I292" s="403"/>
      <c r="J292" s="1052"/>
      <c r="K292" s="396"/>
      <c r="L292" s="403"/>
      <c r="M292" s="1053">
        <v>21474750</v>
      </c>
      <c r="N292" s="1054" t="s">
        <v>582</v>
      </c>
      <c r="O292" s="1054" t="s">
        <v>8</v>
      </c>
      <c r="P292" s="81" t="str">
        <f>IF(AND('331-CT'!$E$7=TH!H292,OR(N292="331",O292="331")),"x","")</f>
        <v/>
      </c>
      <c r="Q292" s="81" t="str">
        <f>IF(AND(B292='111'!$L$11,OR($N292=$Q$7,$O292=$Q$7)),"x","")</f>
        <v/>
      </c>
      <c r="R292" s="81" t="str">
        <f>IF(AND($N292=$Q$7,$B292&lt;'111'!$L$11),"x","")</f>
        <v/>
      </c>
      <c r="S292" s="81" t="str">
        <f>IF(AND($O292=$Q$7,$B292&lt;'111'!$L$11),"x","")</f>
        <v/>
      </c>
      <c r="T292" s="81" t="str">
        <f>IF(ISERROR(FIND('112'!$M$9,G292,1)),"",IF((AND(FIND('112'!$M$9,G292,1)&gt;=1,B292='112'!$K$9,OR($N292='112'!$I$6,$O292='112'!$I$6))),"x",""))</f>
        <v/>
      </c>
      <c r="U292" s="81" t="str">
        <f>IF(ISERROR(FIND('112'!$M$9,G292,1)),"",IF((AND(LEFT(G292,2)=LEFT('112'!$M$9,2),B292&lt;'112'!$K$9,$N292='112'!$I$6)),"x",""))</f>
        <v/>
      </c>
      <c r="V292" s="81" t="str">
        <f>IF(ISERROR(FIND('112'!$M$9,G292,1)),"",IF((AND(RIGHT(G292,2)=RIGHT('112'!$M$9,2),B292&lt;'112'!$K$9,$O292='112'!$I$6)),"x",""))</f>
        <v/>
      </c>
      <c r="W292" s="81" t="str">
        <f>IF(AND('341-CT'!$H$9=H292,OR(LEFT(N292,3)=$W$7,LEFT(O292,3)=$W$7)),"x","")</f>
        <v/>
      </c>
      <c r="X292" s="81" t="str">
        <f>IF(OR(TH!N292=TH!$X$7,O292=TH!$X$7),"x","")</f>
        <v/>
      </c>
      <c r="Y292" s="81" t="str">
        <f>IF(AND(OR(N292="131",O292="131"),H292='131-CT'!$H$9),"x","")</f>
        <v/>
      </c>
      <c r="Z292" s="81"/>
      <c r="AA292" s="81" t="str">
        <f>IF(AND(MONTH(E292)='IN-NX'!$J$5,'IN-NX'!$D$7=D292),"x","")</f>
        <v/>
      </c>
      <c r="AB292" s="81" t="str">
        <f>IF(AND(OR(LEFT(TH!N292,2)="15",LEFT(TH!O292,2)="15"),LEFT(TH!O292,3)&lt;&gt;"111",'152-CT'!$J$8=TH!F292),"x","")</f>
        <v/>
      </c>
      <c r="AC292" s="81" t="str">
        <f>IF(AND(OR(LEFT(TH!N292,2)="15",LEFT(TH!O292,2)="15"),TK!$E$7=TH!F292),"x","")</f>
        <v/>
      </c>
      <c r="AD292" s="81" t="str">
        <f>IF(AND(N292="1521",MONTH(C292)='BK-NL'!$M$11),"x","")</f>
        <v/>
      </c>
    </row>
    <row r="293" spans="1:31" ht="15.75" customHeight="1">
      <c r="A293" s="998" t="str">
        <f>IF(B293&lt;&gt;"",IF(AND(B293='IN-TC'!$S$4,OR(TH!N293="1111",TH!O293="1111")),TH!D293,""),"")</f>
        <v/>
      </c>
      <c r="B293" s="831">
        <f t="shared" si="71"/>
        <v>1</v>
      </c>
      <c r="C293" s="1049">
        <v>42766</v>
      </c>
      <c r="D293" s="1049" t="s">
        <v>573</v>
      </c>
      <c r="E293" s="1049">
        <f t="shared" si="72"/>
        <v>42766</v>
      </c>
      <c r="F293" s="1050" t="s">
        <v>975</v>
      </c>
      <c r="G293" s="1051" t="s">
        <v>982</v>
      </c>
      <c r="H293" s="313" t="s">
        <v>803</v>
      </c>
      <c r="I293" s="403"/>
      <c r="J293" s="1052"/>
      <c r="K293" s="396"/>
      <c r="L293" s="403"/>
      <c r="M293" s="1053">
        <v>9064605</v>
      </c>
      <c r="N293" s="1054" t="s">
        <v>582</v>
      </c>
      <c r="O293" s="1054" t="s">
        <v>8</v>
      </c>
      <c r="P293" s="81" t="str">
        <f>IF(AND('331-CT'!$E$7=TH!H293,OR(N293="331",O293="331")),"x","")</f>
        <v/>
      </c>
      <c r="Q293" s="81" t="str">
        <f>IF(AND(B293='111'!$L$11,OR($N293=$Q$7,$O293=$Q$7)),"x","")</f>
        <v/>
      </c>
      <c r="R293" s="81" t="str">
        <f>IF(AND($N293=$Q$7,$B293&lt;'111'!$L$11),"x","")</f>
        <v/>
      </c>
      <c r="S293" s="81" t="str">
        <f>IF(AND($O293=$Q$7,$B293&lt;'111'!$L$11),"x","")</f>
        <v/>
      </c>
      <c r="T293" s="81" t="str">
        <f>IF(ISERROR(FIND('112'!$M$9,G293,1)),"",IF((AND(FIND('112'!$M$9,G293,1)&gt;=1,B293='112'!$K$9,OR($N293='112'!$I$6,$O293='112'!$I$6))),"x",""))</f>
        <v/>
      </c>
      <c r="U293" s="81" t="str">
        <f>IF(ISERROR(FIND('112'!$M$9,G293,1)),"",IF((AND(LEFT(G293,2)=LEFT('112'!$M$9,2),B293&lt;'112'!$K$9,$N293='112'!$I$6)),"x",""))</f>
        <v/>
      </c>
      <c r="V293" s="81" t="str">
        <f>IF(ISERROR(FIND('112'!$M$9,G293,1)),"",IF((AND(RIGHT(G293,2)=RIGHT('112'!$M$9,2),B293&lt;'112'!$K$9,$O293='112'!$I$6)),"x",""))</f>
        <v/>
      </c>
      <c r="W293" s="81" t="str">
        <f>IF(AND('341-CT'!$H$9=H293,OR(LEFT(N293,3)=$W$7,LEFT(O293,3)=$W$7)),"x","")</f>
        <v/>
      </c>
      <c r="X293" s="81" t="str">
        <f>IF(OR(TH!N293=TH!$X$7,O293=TH!$X$7),"x","")</f>
        <v/>
      </c>
      <c r="Y293" s="81" t="str">
        <f>IF(AND(OR(N293="131",O293="131"),H293='131-CT'!$H$9),"x","")</f>
        <v/>
      </c>
      <c r="Z293" s="81"/>
      <c r="AA293" s="81" t="str">
        <f>IF(AND(MONTH(E293)='IN-NX'!$J$5,'IN-NX'!$D$7=D293),"x","")</f>
        <v/>
      </c>
      <c r="AB293" s="81" t="str">
        <f>IF(AND(OR(LEFT(TH!N293,2)="15",LEFT(TH!O293,2)="15"),LEFT(TH!O293,3)&lt;&gt;"111",'152-CT'!$J$8=TH!F293),"x","")</f>
        <v/>
      </c>
      <c r="AC293" s="81" t="str">
        <f>IF(AND(OR(LEFT(TH!N293,2)="15",LEFT(TH!O293,2)="15"),TK!$E$7=TH!F293),"x","")</f>
        <v/>
      </c>
      <c r="AD293" s="81" t="str">
        <f>IF(AND(N293="1521",MONTH(C293)='BK-NL'!$M$11),"x","")</f>
        <v/>
      </c>
      <c r="AE293">
        <v>1</v>
      </c>
    </row>
    <row r="294" spans="1:31" ht="15.75" customHeight="1">
      <c r="A294" s="998" t="str">
        <f>IF(B294&lt;&gt;"",IF(AND(B294='IN-TC'!$S$4,OR(TH!N294="1111",TH!O294="1111")),TH!D294,""),"")</f>
        <v/>
      </c>
      <c r="B294" s="831">
        <f t="shared" ref="B294" si="75">IF(C294&lt;&gt;"",MONTH(C294),"")</f>
        <v>1</v>
      </c>
      <c r="C294" s="1049">
        <v>42766</v>
      </c>
      <c r="D294" s="1049" t="s">
        <v>573</v>
      </c>
      <c r="E294" s="1049">
        <f t="shared" ref="E294" si="76">C294</f>
        <v>42766</v>
      </c>
      <c r="F294" s="1050" t="s">
        <v>976</v>
      </c>
      <c r="G294" s="1051" t="s">
        <v>982</v>
      </c>
      <c r="H294" s="313" t="s">
        <v>803</v>
      </c>
      <c r="I294" s="403"/>
      <c r="J294" s="1052"/>
      <c r="K294" s="396"/>
      <c r="L294" s="403"/>
      <c r="M294" s="1053">
        <v>906461</v>
      </c>
      <c r="N294" s="1054" t="s">
        <v>9</v>
      </c>
      <c r="O294" s="1054" t="s">
        <v>8</v>
      </c>
      <c r="P294" s="81" t="str">
        <f>IF(AND('331-CT'!$E$7=TH!H294,OR(N294="331",O294="331")),"x","")</f>
        <v/>
      </c>
      <c r="Q294" s="81" t="str">
        <f>IF(AND(B294='111'!$L$11,OR($N294=$Q$7,$O294=$Q$7)),"x","")</f>
        <v/>
      </c>
      <c r="R294" s="81" t="str">
        <f>IF(AND($N294=$Q$7,$B294&lt;'111'!$L$11),"x","")</f>
        <v/>
      </c>
      <c r="S294" s="81" t="str">
        <f>IF(AND($O294=$Q$7,$B294&lt;'111'!$L$11),"x","")</f>
        <v/>
      </c>
      <c r="T294" s="81" t="str">
        <f>IF(ISERROR(FIND('112'!$M$9,G294,1)),"",IF((AND(FIND('112'!$M$9,G294,1)&gt;=1,B294='112'!$K$9,OR($N294='112'!$I$6,$O294='112'!$I$6))),"x",""))</f>
        <v/>
      </c>
      <c r="U294" s="81" t="str">
        <f>IF(ISERROR(FIND('112'!$M$9,G294,1)),"",IF((AND(LEFT(G294,2)=LEFT('112'!$M$9,2),B294&lt;'112'!$K$9,$N294='112'!$I$6)),"x",""))</f>
        <v/>
      </c>
      <c r="V294" s="81" t="str">
        <f>IF(ISERROR(FIND('112'!$M$9,G294,1)),"",IF((AND(RIGHT(G294,2)=RIGHT('112'!$M$9,2),B294&lt;'112'!$K$9,$O294='112'!$I$6)),"x",""))</f>
        <v/>
      </c>
      <c r="W294" s="81" t="str">
        <f>IF(AND('341-CT'!$H$9=H294,OR(LEFT(N294,3)=$W$7,LEFT(O294,3)=$W$7)),"x","")</f>
        <v/>
      </c>
      <c r="X294" s="81" t="str">
        <f>IF(OR(TH!N294=TH!$X$7,O294=TH!$X$7),"x","")</f>
        <v/>
      </c>
      <c r="Y294" s="81" t="str">
        <f>IF(AND(OR(N294="131",O294="131"),H294='131-CT'!$H$9),"x","")</f>
        <v/>
      </c>
      <c r="Z294" s="81"/>
      <c r="AA294" s="81" t="str">
        <f>IF(AND(MONTH(E294)='IN-NX'!$J$5,'IN-NX'!$D$7=D294),"x","")</f>
        <v/>
      </c>
      <c r="AB294" s="81" t="str">
        <f>IF(AND(OR(LEFT(TH!N294,2)="15",LEFT(TH!O294,2)="15"),LEFT(TH!O294,3)&lt;&gt;"111",'152-CT'!$J$8=TH!F294),"x","")</f>
        <v/>
      </c>
      <c r="AC294" s="81" t="str">
        <f>IF(AND(OR(LEFT(TH!N294,2)="15",LEFT(TH!O294,2)="15"),TK!$E$7=TH!F294),"x","")</f>
        <v/>
      </c>
      <c r="AD294" s="81" t="str">
        <f>IF(AND(N294="1521",MONTH(C294)='BK-NL'!$M$11),"x","")</f>
        <v/>
      </c>
      <c r="AE294">
        <v>1</v>
      </c>
    </row>
    <row r="295" spans="1:31" ht="15.75" customHeight="1">
      <c r="A295" s="998" t="str">
        <f>IF(B295&lt;&gt;"",IF(AND(B295='IN-TC'!$S$4,OR(TH!N295="1111",TH!O295="1111")),TH!D295,""),"")</f>
        <v/>
      </c>
      <c r="B295" s="831">
        <f>IF(C295&lt;&gt;"",MONTH(C295),"")</f>
        <v>1</v>
      </c>
      <c r="C295" s="1049">
        <v>42766</v>
      </c>
      <c r="D295" s="1049" t="s">
        <v>573</v>
      </c>
      <c r="E295" s="1049">
        <v>42734</v>
      </c>
      <c r="F295" s="1050" t="s">
        <v>990</v>
      </c>
      <c r="G295" s="1051" t="s">
        <v>993</v>
      </c>
      <c r="H295" s="313" t="s">
        <v>610</v>
      </c>
      <c r="I295" s="403"/>
      <c r="J295" s="1052"/>
      <c r="K295" s="396"/>
      <c r="L295" s="403"/>
      <c r="M295" s="1053">
        <v>12985000</v>
      </c>
      <c r="N295" s="1054" t="s">
        <v>582</v>
      </c>
      <c r="O295" s="1054" t="s">
        <v>8</v>
      </c>
      <c r="P295" s="81" t="str">
        <f>IF(AND('331-CT'!$E$7=TH!H295,OR(N295="331",O295="331")),"x","")</f>
        <v/>
      </c>
      <c r="Q295" s="81" t="str">
        <f>IF(AND(B295='111'!$L$11,OR($N295=$Q$7,$O295=$Q$7)),"x","")</f>
        <v/>
      </c>
      <c r="R295" s="81" t="str">
        <f>IF(AND($N295=$Q$7,$B295&lt;'111'!$L$11),"x","")</f>
        <v/>
      </c>
      <c r="S295" s="81" t="str">
        <f>IF(AND($O295=$Q$7,$B295&lt;'111'!$L$11),"x","")</f>
        <v/>
      </c>
      <c r="T295" s="81" t="str">
        <f>IF(ISERROR(FIND('112'!$M$9,G295,1)),"",IF((AND(FIND('112'!$M$9,G295,1)&gt;=1,B295='112'!$K$9,OR($N295='112'!$I$6,$O295='112'!$I$6))),"x",""))</f>
        <v/>
      </c>
      <c r="U295" s="81" t="str">
        <f>IF(ISERROR(FIND('112'!$M$9,G295,1)),"",IF((AND(LEFT(G295,2)=LEFT('112'!$M$9,2),B295&lt;'112'!$K$9,$N295='112'!$I$6)),"x",""))</f>
        <v/>
      </c>
      <c r="V295" s="81" t="str">
        <f>IF(ISERROR(FIND('112'!$M$9,G295,1)),"",IF((AND(RIGHT(G295,2)=RIGHT('112'!$M$9,2),B295&lt;'112'!$K$9,$O295='112'!$I$6)),"x",""))</f>
        <v/>
      </c>
      <c r="W295" s="81" t="str">
        <f>IF(AND('341-CT'!$H$9=H295,OR(LEFT(N295,3)=$W$7,LEFT(O295,3)=$W$7)),"x","")</f>
        <v/>
      </c>
      <c r="X295" s="81" t="str">
        <f>IF(OR(TH!N295=TH!$X$7,O295=TH!$X$7),"x","")</f>
        <v/>
      </c>
      <c r="Y295" s="81" t="str">
        <f>IF(AND(OR(N295="131",O295="131"),H295='131-CT'!$H$9),"x","")</f>
        <v/>
      </c>
      <c r="Z295" s="81"/>
      <c r="AA295" s="81" t="str">
        <f>IF(AND(MONTH(E295)='IN-NX'!$J$5,'IN-NX'!$D$7=D295),"x","")</f>
        <v/>
      </c>
      <c r="AB295" s="81" t="str">
        <f>IF(AND(OR(LEFT(TH!N295,2)="15",LEFT(TH!O295,2)="15"),LEFT(TH!O295,3)&lt;&gt;"111",'152-CT'!$J$8=TH!F295),"x","")</f>
        <v/>
      </c>
      <c r="AC295" s="81" t="str">
        <f>IF(AND(OR(LEFT(TH!N295,2)="15",LEFT(TH!O295,2)="15"),TK!$E$7=TH!F295),"x","")</f>
        <v/>
      </c>
      <c r="AD295" s="81" t="str">
        <f>IF(AND(N295="1521",MONTH(C295)='BK-NL'!$M$11),"x","")</f>
        <v/>
      </c>
    </row>
    <row r="296" spans="1:31" ht="15.75" customHeight="1">
      <c r="A296" s="998" t="str">
        <f>IF(B296&lt;&gt;"",IF(AND(B296='IN-TC'!$S$4,OR(TH!N296="1111",TH!O296="1111")),TH!D296,""),"")</f>
        <v/>
      </c>
      <c r="B296" s="831">
        <f t="shared" ref="B296:B298" si="77">IF(C296&lt;&gt;"",MONTH(C296),"")</f>
        <v>1</v>
      </c>
      <c r="C296" s="1049">
        <v>42766</v>
      </c>
      <c r="D296" s="1049" t="s">
        <v>573</v>
      </c>
      <c r="E296" s="1049">
        <v>42734</v>
      </c>
      <c r="F296" s="1050" t="s">
        <v>989</v>
      </c>
      <c r="G296" s="1051" t="s">
        <v>991</v>
      </c>
      <c r="H296" s="313" t="s">
        <v>610</v>
      </c>
      <c r="I296" s="403"/>
      <c r="J296" s="1052"/>
      <c r="K296" s="396"/>
      <c r="L296" s="403"/>
      <c r="M296" s="1053">
        <v>1560000</v>
      </c>
      <c r="N296" s="1054" t="s">
        <v>582</v>
      </c>
      <c r="O296" s="1054" t="s">
        <v>8</v>
      </c>
      <c r="P296" s="81" t="str">
        <f>IF(AND('331-CT'!$E$7=TH!H296,OR(N296="331",O296="331")),"x","")</f>
        <v/>
      </c>
      <c r="Q296" s="81" t="str">
        <f>IF(AND(B296='111'!$L$11,OR($N296=$Q$7,$O296=$Q$7)),"x","")</f>
        <v/>
      </c>
      <c r="R296" s="81" t="str">
        <f>IF(AND($N296=$Q$7,$B296&lt;'111'!$L$11),"x","")</f>
        <v/>
      </c>
      <c r="S296" s="81" t="str">
        <f>IF(AND($O296=$Q$7,$B296&lt;'111'!$L$11),"x","")</f>
        <v/>
      </c>
      <c r="T296" s="81" t="str">
        <f>IF(ISERROR(FIND('112'!$M$9,G296,1)),"",IF((AND(FIND('112'!$M$9,G296,1)&gt;=1,B296='112'!$K$9,OR($N296='112'!$I$6,$O296='112'!$I$6))),"x",""))</f>
        <v/>
      </c>
      <c r="U296" s="81" t="str">
        <f>IF(ISERROR(FIND('112'!$M$9,G296,1)),"",IF((AND(LEFT(G296,2)=LEFT('112'!$M$9,2),B296&lt;'112'!$K$9,$N296='112'!$I$6)),"x",""))</f>
        <v/>
      </c>
      <c r="V296" s="81" t="str">
        <f>IF(ISERROR(FIND('112'!$M$9,G296,1)),"",IF((AND(RIGHT(G296,2)=RIGHT('112'!$M$9,2),B296&lt;'112'!$K$9,$O296='112'!$I$6)),"x",""))</f>
        <v/>
      </c>
      <c r="W296" s="81" t="str">
        <f>IF(AND('341-CT'!$H$9=H296,OR(LEFT(N296,3)=$W$7,LEFT(O296,3)=$W$7)),"x","")</f>
        <v/>
      </c>
      <c r="X296" s="81" t="str">
        <f>IF(OR(TH!N296=TH!$X$7,O296=TH!$X$7),"x","")</f>
        <v/>
      </c>
      <c r="Y296" s="81" t="str">
        <f>IF(AND(OR(N296="131",O296="131"),H296='131-CT'!$H$9),"x","")</f>
        <v/>
      </c>
      <c r="Z296" s="81"/>
      <c r="AA296" s="81" t="str">
        <f>IF(AND(MONTH(E296)='IN-NX'!$J$5,'IN-NX'!$D$7=D296),"x","")</f>
        <v/>
      </c>
      <c r="AB296" s="81" t="str">
        <f>IF(AND(OR(LEFT(TH!N296,2)="15",LEFT(TH!O296,2)="15"),LEFT(TH!O296,3)&lt;&gt;"111",'152-CT'!$J$8=TH!F296),"x","")</f>
        <v/>
      </c>
      <c r="AC296" s="81" t="str">
        <f>IF(AND(OR(LEFT(TH!N296,2)="15",LEFT(TH!O296,2)="15"),TK!$E$7=TH!F296),"x","")</f>
        <v/>
      </c>
      <c r="AD296" s="81" t="str">
        <f>IF(AND(N296="1521",MONTH(C296)='BK-NL'!$M$11),"x","")</f>
        <v/>
      </c>
    </row>
    <row r="297" spans="1:31" ht="15.75" customHeight="1">
      <c r="A297" s="998" t="str">
        <f>IF(B297&lt;&gt;"",IF(AND(B297='IN-TC'!$S$4,OR(TH!N297="1111",TH!O297="1111")),TH!D297,""),"")</f>
        <v/>
      </c>
      <c r="B297" s="831">
        <f>IF(C297&lt;&gt;"",MONTH(C297),"")</f>
        <v>1</v>
      </c>
      <c r="C297" s="1049">
        <v>42766</v>
      </c>
      <c r="D297" s="1049" t="s">
        <v>573</v>
      </c>
      <c r="E297" s="1049">
        <v>42734</v>
      </c>
      <c r="F297" s="1050" t="s">
        <v>990</v>
      </c>
      <c r="G297" s="1051" t="s">
        <v>994</v>
      </c>
      <c r="H297" s="313" t="s">
        <v>610</v>
      </c>
      <c r="I297" s="403"/>
      <c r="J297" s="1052"/>
      <c r="K297" s="396"/>
      <c r="L297" s="403"/>
      <c r="M297" s="1053">
        <v>7825000</v>
      </c>
      <c r="N297" s="1054" t="s">
        <v>582</v>
      </c>
      <c r="O297" s="1054" t="s">
        <v>8</v>
      </c>
      <c r="P297" s="81" t="str">
        <f>IF(AND('331-CT'!$E$7=TH!H297,OR(N297="331",O297="331")),"x","")</f>
        <v/>
      </c>
      <c r="Q297" s="81" t="str">
        <f>IF(AND(B297='111'!$L$11,OR($N297=$Q$7,$O297=$Q$7)),"x","")</f>
        <v/>
      </c>
      <c r="R297" s="81" t="str">
        <f>IF(AND($N297=$Q$7,$B297&lt;'111'!$L$11),"x","")</f>
        <v/>
      </c>
      <c r="S297" s="81" t="str">
        <f>IF(AND($O297=$Q$7,$B297&lt;'111'!$L$11),"x","")</f>
        <v/>
      </c>
      <c r="T297" s="81" t="str">
        <f>IF(ISERROR(FIND('112'!$M$9,G297,1)),"",IF((AND(FIND('112'!$M$9,G297,1)&gt;=1,B297='112'!$K$9,OR($N297='112'!$I$6,$O297='112'!$I$6))),"x",""))</f>
        <v/>
      </c>
      <c r="U297" s="81" t="str">
        <f>IF(ISERROR(FIND('112'!$M$9,G297,1)),"",IF((AND(LEFT(G297,2)=LEFT('112'!$M$9,2),B297&lt;'112'!$K$9,$N297='112'!$I$6)),"x",""))</f>
        <v/>
      </c>
      <c r="V297" s="81" t="str">
        <f>IF(ISERROR(FIND('112'!$M$9,G297,1)),"",IF((AND(RIGHT(G297,2)=RIGHT('112'!$M$9,2),B297&lt;'112'!$K$9,$O297='112'!$I$6)),"x",""))</f>
        <v/>
      </c>
      <c r="W297" s="81" t="str">
        <f>IF(AND('341-CT'!$H$9=H297,OR(LEFT(N297,3)=$W$7,LEFT(O297,3)=$W$7)),"x","")</f>
        <v/>
      </c>
      <c r="X297" s="81" t="str">
        <f>IF(OR(TH!N297=TH!$X$7,O297=TH!$X$7),"x","")</f>
        <v/>
      </c>
      <c r="Y297" s="81" t="str">
        <f>IF(AND(OR(N297="131",O297="131"),H297='131-CT'!$H$9),"x","")</f>
        <v/>
      </c>
      <c r="Z297" s="81"/>
      <c r="AA297" s="81" t="str">
        <f>IF(AND(MONTH(E297)='IN-NX'!$J$5,'IN-NX'!$D$7=D297),"x","")</f>
        <v/>
      </c>
      <c r="AB297" s="81" t="str">
        <f>IF(AND(OR(LEFT(TH!N297,2)="15",LEFT(TH!O297,2)="15"),LEFT(TH!O297,3)&lt;&gt;"111",'152-CT'!$J$8=TH!F297),"x","")</f>
        <v/>
      </c>
      <c r="AC297" s="81" t="str">
        <f>IF(AND(OR(LEFT(TH!N297,2)="15",LEFT(TH!O297,2)="15"),TK!$E$7=TH!F297),"x","")</f>
        <v/>
      </c>
      <c r="AD297" s="81" t="str">
        <f>IF(AND(N297="1521",MONTH(C297)='BK-NL'!$M$11),"x","")</f>
        <v/>
      </c>
    </row>
    <row r="298" spans="1:31" ht="15.75" customHeight="1">
      <c r="A298" s="998" t="str">
        <f>IF(B298&lt;&gt;"",IF(AND(B298='IN-TC'!$S$4,OR(TH!N298="1111",TH!O298="1111")),TH!D298,""),"")</f>
        <v/>
      </c>
      <c r="B298" s="831">
        <f t="shared" si="77"/>
        <v>1</v>
      </c>
      <c r="C298" s="1049">
        <v>42766</v>
      </c>
      <c r="D298" s="1049" t="s">
        <v>573</v>
      </c>
      <c r="E298" s="1049">
        <v>42734</v>
      </c>
      <c r="F298" s="1050" t="s">
        <v>989</v>
      </c>
      <c r="G298" s="1051" t="s">
        <v>992</v>
      </c>
      <c r="H298" s="313" t="s">
        <v>610</v>
      </c>
      <c r="I298" s="403"/>
      <c r="J298" s="1052"/>
      <c r="K298" s="396"/>
      <c r="L298" s="403"/>
      <c r="M298" s="1053">
        <v>1170000</v>
      </c>
      <c r="N298" s="1054" t="s">
        <v>582</v>
      </c>
      <c r="O298" s="1054" t="s">
        <v>8</v>
      </c>
      <c r="P298" s="81" t="str">
        <f>IF(AND('331-CT'!$E$7=TH!H298,OR(N298="331",O298="331")),"x","")</f>
        <v/>
      </c>
      <c r="Q298" s="81" t="str">
        <f>IF(AND(B298='111'!$L$11,OR($N298=$Q$7,$O298=$Q$7)),"x","")</f>
        <v/>
      </c>
      <c r="R298" s="81" t="str">
        <f>IF(AND($N298=$Q$7,$B298&lt;'111'!$L$11),"x","")</f>
        <v/>
      </c>
      <c r="S298" s="81" t="str">
        <f>IF(AND($O298=$Q$7,$B298&lt;'111'!$L$11),"x","")</f>
        <v/>
      </c>
      <c r="T298" s="81" t="str">
        <f>IF(ISERROR(FIND('112'!$M$9,G298,1)),"",IF((AND(FIND('112'!$M$9,G298,1)&gt;=1,B298='112'!$K$9,OR($N298='112'!$I$6,$O298='112'!$I$6))),"x",""))</f>
        <v/>
      </c>
      <c r="U298" s="81" t="str">
        <f>IF(ISERROR(FIND('112'!$M$9,G298,1)),"",IF((AND(LEFT(G298,2)=LEFT('112'!$M$9,2),B298&lt;'112'!$K$9,$N298='112'!$I$6)),"x",""))</f>
        <v/>
      </c>
      <c r="V298" s="81" t="str">
        <f>IF(ISERROR(FIND('112'!$M$9,G298,1)),"",IF((AND(RIGHT(G298,2)=RIGHT('112'!$M$9,2),B298&lt;'112'!$K$9,$O298='112'!$I$6)),"x",""))</f>
        <v/>
      </c>
      <c r="W298" s="81" t="str">
        <f>IF(AND('341-CT'!$H$9=H298,OR(LEFT(N298,3)=$W$7,LEFT(O298,3)=$W$7)),"x","")</f>
        <v/>
      </c>
      <c r="X298" s="81" t="str">
        <f>IF(OR(TH!N298=TH!$X$7,O298=TH!$X$7),"x","")</f>
        <v/>
      </c>
      <c r="Y298" s="81" t="str">
        <f>IF(AND(OR(N298="131",O298="131"),H298='131-CT'!$H$9),"x","")</f>
        <v/>
      </c>
      <c r="Z298" s="81"/>
      <c r="AA298" s="81" t="str">
        <f>IF(AND(MONTH(E298)='IN-NX'!$J$5,'IN-NX'!$D$7=D298),"x","")</f>
        <v/>
      </c>
      <c r="AB298" s="81" t="str">
        <f>IF(AND(OR(LEFT(TH!N298,2)="15",LEFT(TH!O298,2)="15"),LEFT(TH!O298,3)&lt;&gt;"111",'152-CT'!$J$8=TH!F298),"x","")</f>
        <v/>
      </c>
      <c r="AC298" s="81" t="str">
        <f>IF(AND(OR(LEFT(TH!N298,2)="15",LEFT(TH!O298,2)="15"),TK!$E$7=TH!F298),"x","")</f>
        <v/>
      </c>
      <c r="AD298" s="81" t="str">
        <f>IF(AND(N298="1521",MONTH(C298)='BK-NL'!$M$11),"x","")</f>
        <v/>
      </c>
    </row>
    <row r="299" spans="1:31" ht="15.75" customHeight="1">
      <c r="A299" s="998" t="str">
        <f>IF(B299&lt;&gt;"",IF(AND(B299='IN-TC'!$S$4,OR(TH!N299="1111",TH!O299="1111")),TH!D299,""),"")</f>
        <v/>
      </c>
      <c r="B299" s="831">
        <f t="shared" ref="B299:B322" si="78">IF(C299&lt;&gt;"",MONTH(C299),"")</f>
        <v>1</v>
      </c>
      <c r="C299" s="1049">
        <v>42766</v>
      </c>
      <c r="D299" s="1049" t="s">
        <v>573</v>
      </c>
      <c r="E299" s="1049">
        <f>C299</f>
        <v>42766</v>
      </c>
      <c r="F299" s="1050" t="s">
        <v>1109</v>
      </c>
      <c r="G299" s="1051" t="s">
        <v>1115</v>
      </c>
      <c r="H299" s="809" t="s">
        <v>613</v>
      </c>
      <c r="I299" s="403"/>
      <c r="J299" s="1052"/>
      <c r="K299" s="396"/>
      <c r="L299" s="403"/>
      <c r="M299" s="1053">
        <v>33920800</v>
      </c>
      <c r="N299" s="1054" t="s">
        <v>280</v>
      </c>
      <c r="O299" s="1054" t="s">
        <v>8</v>
      </c>
      <c r="P299" s="81" t="str">
        <f>IF(AND('331-CT'!$E$7=TH!H299,OR(N299="331",O299="331")),"x","")</f>
        <v/>
      </c>
      <c r="Q299" s="81" t="str">
        <f>IF(AND(B299='111'!$L$11,OR($N299=$Q$7,$O299=$Q$7)),"x","")</f>
        <v/>
      </c>
      <c r="R299" s="81" t="str">
        <f>IF(AND($N299=$Q$7,$B299&lt;'111'!$L$11),"x","")</f>
        <v/>
      </c>
      <c r="S299" s="81" t="str">
        <f>IF(AND($O299=$Q$7,$B299&lt;'111'!$L$11),"x","")</f>
        <v/>
      </c>
      <c r="T299" s="81" t="str">
        <f>IF(ISERROR(FIND('112'!$M$9,G299,1)),"",IF((AND(FIND('112'!$M$9,G299,1)&gt;=1,B299='112'!$K$9,OR($N299='112'!$I$6,$O299='112'!$I$6))),"x",""))</f>
        <v/>
      </c>
      <c r="U299" s="81" t="str">
        <f>IF(ISERROR(FIND('112'!$M$9,G299,1)),"",IF((AND(LEFT(G299,2)=LEFT('112'!$M$9,2),B299&lt;'112'!$K$9,$N299='112'!$I$6)),"x",""))</f>
        <v/>
      </c>
      <c r="V299" s="81" t="str">
        <f>IF(ISERROR(FIND('112'!$M$9,G299,1)),"",IF((AND(RIGHT(G299,2)=RIGHT('112'!$M$9,2),B299&lt;'112'!$K$9,$O299='112'!$I$6)),"x",""))</f>
        <v/>
      </c>
      <c r="W299" s="81" t="str">
        <f>IF(AND('341-CT'!$H$9=H299,OR(LEFT(N299,3)=$W$7,LEFT(O299,3)=$W$7)),"x","")</f>
        <v/>
      </c>
      <c r="X299" s="81" t="str">
        <f>IF(OR(TH!N299=TH!$X$7,O299=TH!$X$7),"x","")</f>
        <v/>
      </c>
      <c r="Y299" s="81" t="str">
        <f>IF(AND(OR(N299="131",O299="131"),H299='131-CT'!$H$9),"x","")</f>
        <v/>
      </c>
      <c r="Z299" s="81"/>
      <c r="AA299" s="81" t="str">
        <f>IF(AND(MONTH(E299)='IN-NX'!$J$5,'IN-NX'!$D$7=D299),"x","")</f>
        <v/>
      </c>
      <c r="AB299" s="81" t="str">
        <f>IF(AND(OR(LEFT(TH!N299,2)="15",LEFT(TH!O299,2)="15"),LEFT(TH!O299,3)&lt;&gt;"111",'152-CT'!$J$8=TH!F299),"x","")</f>
        <v/>
      </c>
      <c r="AC299" s="81" t="str">
        <f>IF(AND(OR(LEFT(TH!N299,2)="15",LEFT(TH!O299,2)="15"),TK!$E$7=TH!F299),"x","")</f>
        <v/>
      </c>
      <c r="AD299" s="81" t="str">
        <f>IF(AND(N299="1521",MONTH(C299)='BK-NL'!$M$11),"x","")</f>
        <v/>
      </c>
      <c r="AE299">
        <v>1</v>
      </c>
    </row>
    <row r="300" spans="1:31" ht="15.75" customHeight="1">
      <c r="A300" s="998" t="str">
        <f>IF(B300&lt;&gt;"",IF(AND(B300='IN-TC'!$S$4,OR(TH!N300="1111",TH!O300="1111")),TH!D300,""),"")</f>
        <v/>
      </c>
      <c r="B300" s="831">
        <f t="shared" si="78"/>
        <v>1</v>
      </c>
      <c r="C300" s="1049">
        <v>42766</v>
      </c>
      <c r="D300" s="1049" t="s">
        <v>573</v>
      </c>
      <c r="E300" s="1049">
        <f t="shared" ref="E300:E303" si="79">C300</f>
        <v>42766</v>
      </c>
      <c r="F300" s="1050" t="s">
        <v>1110</v>
      </c>
      <c r="G300" s="1051" t="s">
        <v>1115</v>
      </c>
      <c r="H300" s="809" t="s">
        <v>613</v>
      </c>
      <c r="I300" s="403"/>
      <c r="J300" s="1052"/>
      <c r="K300" s="396"/>
      <c r="L300" s="403"/>
      <c r="M300" s="1053">
        <v>3392080</v>
      </c>
      <c r="N300" s="1054" t="s">
        <v>9</v>
      </c>
      <c r="O300" s="1054" t="s">
        <v>8</v>
      </c>
      <c r="P300" s="81" t="str">
        <f>IF(AND('331-CT'!$E$7=TH!H300,OR(N300="331",O300="331")),"x","")</f>
        <v/>
      </c>
      <c r="Q300" s="81" t="str">
        <f>IF(AND(B300='111'!$L$11,OR($N300=$Q$7,$O300=$Q$7)),"x","")</f>
        <v/>
      </c>
      <c r="R300" s="81" t="str">
        <f>IF(AND($N300=$Q$7,$B300&lt;'111'!$L$11),"x","")</f>
        <v/>
      </c>
      <c r="S300" s="81" t="str">
        <f>IF(AND($O300=$Q$7,$B300&lt;'111'!$L$11),"x","")</f>
        <v/>
      </c>
      <c r="T300" s="81" t="str">
        <f>IF(ISERROR(FIND('112'!$M$9,G300,1)),"",IF((AND(FIND('112'!$M$9,G300,1)&gt;=1,B300='112'!$K$9,OR($N300='112'!$I$6,$O300='112'!$I$6))),"x",""))</f>
        <v/>
      </c>
      <c r="U300" s="81" t="str">
        <f>IF(ISERROR(FIND('112'!$M$9,G300,1)),"",IF((AND(LEFT(G300,2)=LEFT('112'!$M$9,2),B300&lt;'112'!$K$9,$N300='112'!$I$6)),"x",""))</f>
        <v/>
      </c>
      <c r="V300" s="81" t="str">
        <f>IF(ISERROR(FIND('112'!$M$9,G300,1)),"",IF((AND(RIGHT(G300,2)=RIGHT('112'!$M$9,2),B300&lt;'112'!$K$9,$O300='112'!$I$6)),"x",""))</f>
        <v/>
      </c>
      <c r="W300" s="81" t="str">
        <f>IF(AND('341-CT'!$H$9=H300,OR(LEFT(N300,3)=$W$7,LEFT(O300,3)=$W$7)),"x","")</f>
        <v/>
      </c>
      <c r="X300" s="81" t="str">
        <f>IF(OR(TH!N300=TH!$X$7,O300=TH!$X$7),"x","")</f>
        <v/>
      </c>
      <c r="Y300" s="81" t="str">
        <f>IF(AND(OR(N300="131",O300="131"),H300='131-CT'!$H$9),"x","")</f>
        <v/>
      </c>
      <c r="Z300" s="81"/>
      <c r="AA300" s="81" t="str">
        <f>IF(AND(MONTH(E300)='IN-NX'!$J$5,'IN-NX'!$D$7=D300),"x","")</f>
        <v/>
      </c>
      <c r="AB300" s="81" t="str">
        <f>IF(AND(OR(LEFT(TH!N300,2)="15",LEFT(TH!O300,2)="15"),LEFT(TH!O300,3)&lt;&gt;"111",'152-CT'!$J$8=TH!F300),"x","")</f>
        <v/>
      </c>
      <c r="AC300" s="81" t="str">
        <f>IF(AND(OR(LEFT(TH!N300,2)="15",LEFT(TH!O300,2)="15"),TK!$E$7=TH!F300),"x","")</f>
        <v/>
      </c>
      <c r="AD300" s="81" t="str">
        <f>IF(AND(N300="1521",MONTH(C300)='BK-NL'!$M$11),"x","")</f>
        <v/>
      </c>
      <c r="AE300">
        <v>1</v>
      </c>
    </row>
    <row r="301" spans="1:31" ht="15.75" customHeight="1">
      <c r="A301" s="998" t="str">
        <f>IF(B301&lt;&gt;"",IF(AND(B301='IN-TC'!$S$4,OR(TH!N301="1111",TH!O301="1111")),TH!D301,""),"")</f>
        <v/>
      </c>
      <c r="B301" s="831">
        <f t="shared" si="78"/>
        <v>1</v>
      </c>
      <c r="C301" s="1049">
        <v>42766</v>
      </c>
      <c r="D301" s="1049" t="s">
        <v>573</v>
      </c>
      <c r="E301" s="1049">
        <f t="shared" si="79"/>
        <v>42766</v>
      </c>
      <c r="F301" s="1050" t="s">
        <v>1111</v>
      </c>
      <c r="G301" s="1051" t="s">
        <v>1116</v>
      </c>
      <c r="H301" s="809" t="s">
        <v>613</v>
      </c>
      <c r="I301" s="403"/>
      <c r="J301" s="1052"/>
      <c r="K301" s="396"/>
      <c r="L301" s="403"/>
      <c r="M301" s="1053">
        <v>26208400</v>
      </c>
      <c r="N301" s="1054" t="s">
        <v>280</v>
      </c>
      <c r="O301" s="1054" t="s">
        <v>8</v>
      </c>
      <c r="P301" s="81" t="str">
        <f>IF(AND('331-CT'!$E$7=TH!H301,OR(N301="331",O301="331")),"x","")</f>
        <v/>
      </c>
      <c r="Q301" s="81" t="str">
        <f>IF(AND(B301='111'!$L$11,OR($N301=$Q$7,$O301=$Q$7)),"x","")</f>
        <v/>
      </c>
      <c r="R301" s="81" t="str">
        <f>IF(AND($N301=$Q$7,$B301&lt;'111'!$L$11),"x","")</f>
        <v/>
      </c>
      <c r="S301" s="81" t="str">
        <f>IF(AND($O301=$Q$7,$B301&lt;'111'!$L$11),"x","")</f>
        <v/>
      </c>
      <c r="T301" s="81" t="str">
        <f>IF(ISERROR(FIND('112'!$M$9,G301,1)),"",IF((AND(FIND('112'!$M$9,G301,1)&gt;=1,B301='112'!$K$9,OR($N301='112'!$I$6,$O301='112'!$I$6))),"x",""))</f>
        <v/>
      </c>
      <c r="U301" s="81" t="str">
        <f>IF(ISERROR(FIND('112'!$M$9,G301,1)),"",IF((AND(LEFT(G301,2)=LEFT('112'!$M$9,2),B301&lt;'112'!$K$9,$N301='112'!$I$6)),"x",""))</f>
        <v/>
      </c>
      <c r="V301" s="81" t="str">
        <f>IF(ISERROR(FIND('112'!$M$9,G301,1)),"",IF((AND(RIGHT(G301,2)=RIGHT('112'!$M$9,2),B301&lt;'112'!$K$9,$O301='112'!$I$6)),"x",""))</f>
        <v/>
      </c>
      <c r="W301" s="81" t="str">
        <f>IF(AND('341-CT'!$H$9=H301,OR(LEFT(N301,3)=$W$7,LEFT(O301,3)=$W$7)),"x","")</f>
        <v/>
      </c>
      <c r="X301" s="81" t="str">
        <f>IF(OR(TH!N301=TH!$X$7,O301=TH!$X$7),"x","")</f>
        <v/>
      </c>
      <c r="Y301" s="81" t="str">
        <f>IF(AND(OR(N301="131",O301="131"),H301='131-CT'!$H$9),"x","")</f>
        <v/>
      </c>
      <c r="Z301" s="81"/>
      <c r="AA301" s="81" t="str">
        <f>IF(AND(MONTH(E301)='IN-NX'!$J$5,'IN-NX'!$D$7=D301),"x","")</f>
        <v/>
      </c>
      <c r="AB301" s="81" t="str">
        <f>IF(AND(OR(LEFT(TH!N301,2)="15",LEFT(TH!O301,2)="15"),LEFT(TH!O301,3)&lt;&gt;"111",'152-CT'!$J$8=TH!F301),"x","")</f>
        <v/>
      </c>
      <c r="AC301" s="81" t="str">
        <f>IF(AND(OR(LEFT(TH!N301,2)="15",LEFT(TH!O301,2)="15"),TK!$E$7=TH!F301),"x","")</f>
        <v/>
      </c>
      <c r="AD301" s="81" t="str">
        <f>IF(AND(N301="1521",MONTH(C301)='BK-NL'!$M$11),"x","")</f>
        <v/>
      </c>
      <c r="AE301">
        <v>1</v>
      </c>
    </row>
    <row r="302" spans="1:31" ht="15.75" customHeight="1">
      <c r="A302" s="998" t="str">
        <f>IF(B302&lt;&gt;"",IF(AND(B302='IN-TC'!$S$4,OR(TH!N302="1111",TH!O302="1111")),TH!D302,""),"")</f>
        <v/>
      </c>
      <c r="B302" s="831">
        <f t="shared" si="78"/>
        <v>1</v>
      </c>
      <c r="C302" s="1049">
        <v>42766</v>
      </c>
      <c r="D302" s="1049" t="s">
        <v>573</v>
      </c>
      <c r="E302" s="1049">
        <f t="shared" si="79"/>
        <v>42766</v>
      </c>
      <c r="F302" s="1050" t="s">
        <v>1112</v>
      </c>
      <c r="G302" s="1051" t="s">
        <v>1116</v>
      </c>
      <c r="H302" s="809" t="s">
        <v>613</v>
      </c>
      <c r="I302" s="403"/>
      <c r="J302" s="1052"/>
      <c r="K302" s="396"/>
      <c r="L302" s="403"/>
      <c r="M302" s="1053">
        <v>2620840</v>
      </c>
      <c r="N302" s="1054" t="s">
        <v>9</v>
      </c>
      <c r="O302" s="1054" t="s">
        <v>8</v>
      </c>
      <c r="P302" s="81" t="str">
        <f>IF(AND('331-CT'!$E$7=TH!H302,OR(N302="331",O302="331")),"x","")</f>
        <v/>
      </c>
      <c r="Q302" s="81" t="str">
        <f>IF(AND(B302='111'!$L$11,OR($N302=$Q$7,$O302=$Q$7)),"x","")</f>
        <v/>
      </c>
      <c r="R302" s="81" t="str">
        <f>IF(AND($N302=$Q$7,$B302&lt;'111'!$L$11),"x","")</f>
        <v/>
      </c>
      <c r="S302" s="81" t="str">
        <f>IF(AND($O302=$Q$7,$B302&lt;'111'!$L$11),"x","")</f>
        <v/>
      </c>
      <c r="T302" s="81" t="str">
        <f>IF(ISERROR(FIND('112'!$M$9,G302,1)),"",IF((AND(FIND('112'!$M$9,G302,1)&gt;=1,B302='112'!$K$9,OR($N302='112'!$I$6,$O302='112'!$I$6))),"x",""))</f>
        <v/>
      </c>
      <c r="U302" s="81" t="str">
        <f>IF(ISERROR(FIND('112'!$M$9,G302,1)),"",IF((AND(LEFT(G302,2)=LEFT('112'!$M$9,2),B302&lt;'112'!$K$9,$N302='112'!$I$6)),"x",""))</f>
        <v/>
      </c>
      <c r="V302" s="81" t="str">
        <f>IF(ISERROR(FIND('112'!$M$9,G302,1)),"",IF((AND(RIGHT(G302,2)=RIGHT('112'!$M$9,2),B302&lt;'112'!$K$9,$O302='112'!$I$6)),"x",""))</f>
        <v/>
      </c>
      <c r="W302" s="81" t="str">
        <f>IF(AND('341-CT'!$H$9=H302,OR(LEFT(N302,3)=$W$7,LEFT(O302,3)=$W$7)),"x","")</f>
        <v/>
      </c>
      <c r="X302" s="81" t="str">
        <f>IF(OR(TH!N302=TH!$X$7,O302=TH!$X$7),"x","")</f>
        <v/>
      </c>
      <c r="Y302" s="81" t="str">
        <f>IF(AND(OR(N302="131",O302="131"),H302='131-CT'!$H$9),"x","")</f>
        <v/>
      </c>
      <c r="Z302" s="81"/>
      <c r="AA302" s="81" t="str">
        <f>IF(AND(MONTH(E302)='IN-NX'!$J$5,'IN-NX'!$D$7=D302),"x","")</f>
        <v/>
      </c>
      <c r="AB302" s="81" t="str">
        <f>IF(AND(OR(LEFT(TH!N302,2)="15",LEFT(TH!O302,2)="15"),LEFT(TH!O302,3)&lt;&gt;"111",'152-CT'!$J$8=TH!F302),"x","")</f>
        <v/>
      </c>
      <c r="AC302" s="81" t="str">
        <f>IF(AND(OR(LEFT(TH!N302,2)="15",LEFT(TH!O302,2)="15"),TK!$E$7=TH!F302),"x","")</f>
        <v/>
      </c>
      <c r="AD302" s="81" t="str">
        <f>IF(AND(N302="1521",MONTH(C302)='BK-NL'!$M$11),"x","")</f>
        <v/>
      </c>
      <c r="AE302">
        <v>1</v>
      </c>
    </row>
    <row r="303" spans="1:31" ht="15.75" customHeight="1">
      <c r="A303" s="998" t="str">
        <f>IF(B303&lt;&gt;"",IF(AND(B303='IN-TC'!$S$4,OR(TH!N303="1111",TH!O303="1111")),TH!D303,""),"")</f>
        <v/>
      </c>
      <c r="B303" s="831">
        <f t="shared" si="78"/>
        <v>1</v>
      </c>
      <c r="C303" s="1049">
        <v>42766</v>
      </c>
      <c r="D303" s="1049" t="s">
        <v>573</v>
      </c>
      <c r="E303" s="1049">
        <f t="shared" si="79"/>
        <v>42766</v>
      </c>
      <c r="F303" s="1050" t="s">
        <v>1113</v>
      </c>
      <c r="G303" s="1051" t="s">
        <v>1199</v>
      </c>
      <c r="H303" s="809" t="s">
        <v>613</v>
      </c>
      <c r="I303" s="403"/>
      <c r="J303" s="1052"/>
      <c r="K303" s="396"/>
      <c r="L303" s="403"/>
      <c r="M303" s="1053">
        <v>18238900</v>
      </c>
      <c r="N303" s="1054" t="s">
        <v>280</v>
      </c>
      <c r="O303" s="1054" t="s">
        <v>8</v>
      </c>
      <c r="P303" s="81" t="str">
        <f>IF(AND('331-CT'!$E$7=TH!H303,OR(N303="331",O303="331")),"x","")</f>
        <v/>
      </c>
      <c r="Q303" s="81" t="str">
        <f>IF(AND(B303='111'!$L$11,OR($N303=$Q$7,$O303=$Q$7)),"x","")</f>
        <v/>
      </c>
      <c r="R303" s="81" t="str">
        <f>IF(AND($N303=$Q$7,$B303&lt;'111'!$L$11),"x","")</f>
        <v/>
      </c>
      <c r="S303" s="81" t="str">
        <f>IF(AND($O303=$Q$7,$B303&lt;'111'!$L$11),"x","")</f>
        <v/>
      </c>
      <c r="T303" s="81" t="str">
        <f>IF(ISERROR(FIND('112'!$M$9,G303,1)),"",IF((AND(FIND('112'!$M$9,G303,1)&gt;=1,B303='112'!$K$9,OR($N303='112'!$I$6,$O303='112'!$I$6))),"x",""))</f>
        <v/>
      </c>
      <c r="U303" s="81" t="str">
        <f>IF(ISERROR(FIND('112'!$M$9,G303,1)),"",IF((AND(LEFT(G303,2)=LEFT('112'!$M$9,2),B303&lt;'112'!$K$9,$N303='112'!$I$6)),"x",""))</f>
        <v/>
      </c>
      <c r="V303" s="81" t="str">
        <f>IF(ISERROR(FIND('112'!$M$9,G303,1)),"",IF((AND(RIGHT(G303,2)=RIGHT('112'!$M$9,2),B303&lt;'112'!$K$9,$O303='112'!$I$6)),"x",""))</f>
        <v/>
      </c>
      <c r="W303" s="81" t="str">
        <f>IF(AND('341-CT'!$H$9=H303,OR(LEFT(N303,3)=$W$7,LEFT(O303,3)=$W$7)),"x","")</f>
        <v/>
      </c>
      <c r="X303" s="81" t="str">
        <f>IF(OR(TH!N303=TH!$X$7,O303=TH!$X$7),"x","")</f>
        <v/>
      </c>
      <c r="Y303" s="81" t="str">
        <f>IF(AND(OR(N303="131",O303="131"),H303='131-CT'!$H$9),"x","")</f>
        <v/>
      </c>
      <c r="Z303" s="81"/>
      <c r="AA303" s="81" t="str">
        <f>IF(AND(MONTH(E303)='IN-NX'!$J$5,'IN-NX'!$D$7=D303),"x","")</f>
        <v/>
      </c>
      <c r="AB303" s="81" t="str">
        <f>IF(AND(OR(LEFT(TH!N303,2)="15",LEFT(TH!O303,2)="15"),LEFT(TH!O303,3)&lt;&gt;"111",'152-CT'!$J$8=TH!F303),"x","")</f>
        <v/>
      </c>
      <c r="AC303" s="81" t="str">
        <f>IF(AND(OR(LEFT(TH!N303,2)="15",LEFT(TH!O303,2)="15"),TK!$E$7=TH!F303),"x","")</f>
        <v/>
      </c>
      <c r="AD303" s="81" t="str">
        <f>IF(AND(N303="1521",MONTH(C303)='BK-NL'!$M$11),"x","")</f>
        <v/>
      </c>
      <c r="AE303">
        <v>1</v>
      </c>
    </row>
    <row r="304" spans="1:31" ht="15.75" customHeight="1">
      <c r="A304" s="998" t="str">
        <f>IF(B304&lt;&gt;"",IF(AND(B304='IN-TC'!$S$4,OR(TH!N304="1111",TH!O304="1111")),TH!D304,""),"")</f>
        <v/>
      </c>
      <c r="B304" s="831">
        <f t="shared" si="78"/>
        <v>1</v>
      </c>
      <c r="C304" s="1049">
        <v>42766</v>
      </c>
      <c r="D304" s="1049" t="s">
        <v>573</v>
      </c>
      <c r="E304" s="1049">
        <f>C304</f>
        <v>42766</v>
      </c>
      <c r="F304" s="1050" t="s">
        <v>1114</v>
      </c>
      <c r="G304" s="1051" t="s">
        <v>1199</v>
      </c>
      <c r="H304" s="809" t="s">
        <v>613</v>
      </c>
      <c r="I304" s="403"/>
      <c r="J304" s="1052"/>
      <c r="K304" s="396"/>
      <c r="L304" s="403"/>
      <c r="M304" s="1053">
        <v>1823890</v>
      </c>
      <c r="N304" s="1054" t="s">
        <v>9</v>
      </c>
      <c r="O304" s="1054" t="s">
        <v>8</v>
      </c>
      <c r="P304" s="81" t="str">
        <f>IF(AND('331-CT'!$E$7=TH!H304,OR(N304="331",O304="331")),"x","")</f>
        <v/>
      </c>
      <c r="Q304" s="81" t="str">
        <f>IF(AND(B304='111'!$L$11,OR($N304=$Q$7,$O304=$Q$7)),"x","")</f>
        <v/>
      </c>
      <c r="R304" s="81" t="str">
        <f>IF(AND($N304=$Q$7,$B304&lt;'111'!$L$11),"x","")</f>
        <v/>
      </c>
      <c r="S304" s="81" t="str">
        <f>IF(AND($O304=$Q$7,$B304&lt;'111'!$L$11),"x","")</f>
        <v/>
      </c>
      <c r="T304" s="81" t="str">
        <f>IF(ISERROR(FIND('112'!$M$9,G304,1)),"",IF((AND(FIND('112'!$M$9,G304,1)&gt;=1,B304='112'!$K$9,OR($N304='112'!$I$6,$O304='112'!$I$6))),"x",""))</f>
        <v/>
      </c>
      <c r="U304" s="81" t="str">
        <f>IF(ISERROR(FIND('112'!$M$9,G304,1)),"",IF((AND(LEFT(G304,2)=LEFT('112'!$M$9,2),B304&lt;'112'!$K$9,$N304='112'!$I$6)),"x",""))</f>
        <v/>
      </c>
      <c r="V304" s="81" t="str">
        <f>IF(ISERROR(FIND('112'!$M$9,G304,1)),"",IF((AND(RIGHT(G304,2)=RIGHT('112'!$M$9,2),B304&lt;'112'!$K$9,$O304='112'!$I$6)),"x",""))</f>
        <v/>
      </c>
      <c r="W304" s="81" t="str">
        <f>IF(AND('341-CT'!$H$9=H304,OR(LEFT(N304,3)=$W$7,LEFT(O304,3)=$W$7)),"x","")</f>
        <v/>
      </c>
      <c r="X304" s="81" t="str">
        <f>IF(OR(TH!N304=TH!$X$7,O304=TH!$X$7),"x","")</f>
        <v/>
      </c>
      <c r="Y304" s="81" t="str">
        <f>IF(AND(OR(N304="131",O304="131"),H304='131-CT'!$H$9),"x","")</f>
        <v/>
      </c>
      <c r="Z304" s="81"/>
      <c r="AA304" s="81" t="str">
        <f>IF(AND(MONTH(E304)='IN-NX'!$J$5,'IN-NX'!$D$7=D304),"x","")</f>
        <v/>
      </c>
      <c r="AB304" s="81" t="str">
        <f>IF(AND(OR(LEFT(TH!N304,2)="15",LEFT(TH!O304,2)="15"),LEFT(TH!O304,3)&lt;&gt;"111",'152-CT'!$J$8=TH!F304),"x","")</f>
        <v/>
      </c>
      <c r="AC304" s="81" t="str">
        <f>IF(AND(OR(LEFT(TH!N304,2)="15",LEFT(TH!O304,2)="15"),TK!$E$7=TH!F304),"x","")</f>
        <v/>
      </c>
      <c r="AD304" s="81" t="str">
        <f>IF(AND(N304="1521",MONTH(C304)='BK-NL'!$M$11),"x","")</f>
        <v/>
      </c>
      <c r="AE304">
        <v>1</v>
      </c>
    </row>
    <row r="305" spans="1:31" ht="15.75" customHeight="1">
      <c r="A305" s="999" t="str">
        <f>IF(B305&lt;&gt;"",IF(AND(B305='IN-TC'!$S$4,OR(TH!N305="1111",TH!O305="1111")),TH!D305,""),"")</f>
        <v/>
      </c>
      <c r="B305" s="831">
        <f t="shared" si="78"/>
        <v>1</v>
      </c>
      <c r="C305" s="1049">
        <v>42766</v>
      </c>
      <c r="D305" s="1075" t="s">
        <v>573</v>
      </c>
      <c r="E305" s="1075">
        <f t="shared" ref="E305" si="80">C305</f>
        <v>42766</v>
      </c>
      <c r="F305" s="1076" t="s">
        <v>1119</v>
      </c>
      <c r="G305" s="1080"/>
      <c r="H305" s="1074" t="s">
        <v>1118</v>
      </c>
      <c r="I305" s="1058"/>
      <c r="J305" s="1077"/>
      <c r="K305" s="1059"/>
      <c r="L305" s="1058"/>
      <c r="M305" s="1060">
        <v>518470991</v>
      </c>
      <c r="N305" s="1078" t="s">
        <v>72</v>
      </c>
      <c r="O305" s="1078" t="s">
        <v>9</v>
      </c>
      <c r="P305" s="81" t="str">
        <f>IF(AND('331-CT'!$E$7=TH!H305,OR(N305="331",O305="331")),"x","")</f>
        <v/>
      </c>
      <c r="Q305" s="81" t="str">
        <f>IF(AND(B305='111'!$L$11,OR($N305=$Q$7,$O305=$Q$7)),"x","")</f>
        <v/>
      </c>
      <c r="R305" s="81" t="str">
        <f>IF(AND($N305=$Q$7,$B305&lt;'111'!$L$11),"x","")</f>
        <v/>
      </c>
      <c r="S305" s="81" t="str">
        <f>IF(AND($O305=$Q$7,$B305&lt;'111'!$L$11),"x","")</f>
        <v/>
      </c>
      <c r="T305" s="81" t="str">
        <f>IF(ISERROR(FIND('112'!$M$9,G305,1)),"",IF((AND(FIND('112'!$M$9,G305,1)&gt;=1,B305='112'!$K$9,OR($N305='112'!$I$6,$O305='112'!$I$6))),"x",""))</f>
        <v/>
      </c>
      <c r="U305" s="81" t="str">
        <f>IF(ISERROR(FIND('112'!$M$9,G305,1)),"",IF((AND(LEFT(G305,2)=LEFT('112'!$M$9,2),B305&lt;'112'!$K$9,$N305='112'!$I$6)),"x",""))</f>
        <v/>
      </c>
      <c r="V305" s="81" t="str">
        <f>IF(ISERROR(FIND('112'!$M$9,G305,1)),"",IF((AND(RIGHT(G305,2)=RIGHT('112'!$M$9,2),B305&lt;'112'!$K$9,$O305='112'!$I$6)),"x",""))</f>
        <v/>
      </c>
      <c r="W305" s="81" t="str">
        <f>IF(AND('341-CT'!$H$9=H305,OR(LEFT(N305,3)=$W$7,LEFT(O305,3)=$W$7)),"x","")</f>
        <v/>
      </c>
      <c r="X305" s="81" t="str">
        <f>IF(OR(TH!N305=TH!$X$7,O305=TH!$X$7),"x","")</f>
        <v>x</v>
      </c>
      <c r="Y305" s="81" t="str">
        <f>IF(AND(OR(N305="131",O305="131"),H305='131-CT'!$H$9),"x","")</f>
        <v/>
      </c>
      <c r="Z305" s="81"/>
      <c r="AA305" s="81" t="str">
        <f>IF(AND(MONTH(E305)='IN-NX'!$J$5,'IN-NX'!$D$7=D305),"x","")</f>
        <v/>
      </c>
      <c r="AB305" s="81" t="str">
        <f>IF(AND(OR(LEFT(TH!N305,2)="15",LEFT(TH!O305,2)="15"),LEFT(TH!O305,3)&lt;&gt;"111",'152-CT'!$J$8=TH!F305),"x","")</f>
        <v/>
      </c>
      <c r="AC305" s="81" t="str">
        <f>IF(AND(OR(LEFT(TH!N305,2)="15",LEFT(TH!O305,2)="15"),TK!$E$7=TH!F305),"x","")</f>
        <v/>
      </c>
      <c r="AD305" s="81" t="str">
        <f>IF(AND(N305="1521",MONTH(C305)='BK-NL'!$M$11),"x","")</f>
        <v/>
      </c>
    </row>
    <row r="306" spans="1:31" ht="15.75" customHeight="1">
      <c r="A306" s="998" t="str">
        <f>IF(B306&lt;&gt;"",IF(AND(B306='IN-TC'!$S$4,OR(TH!N306="1111",TH!O306="1111")),TH!D306,""),"")</f>
        <v/>
      </c>
      <c r="B306" s="831">
        <f t="shared" si="78"/>
        <v>2</v>
      </c>
      <c r="C306" s="1049">
        <v>42794</v>
      </c>
      <c r="D306" s="1049" t="s">
        <v>573</v>
      </c>
      <c r="E306" s="1049">
        <v>42738</v>
      </c>
      <c r="F306" s="1050" t="s">
        <v>1121</v>
      </c>
      <c r="G306" s="1051" t="s">
        <v>1123</v>
      </c>
      <c r="H306" s="79" t="s">
        <v>681</v>
      </c>
      <c r="I306" s="403"/>
      <c r="J306" s="1052"/>
      <c r="K306" s="396"/>
      <c r="L306" s="403"/>
      <c r="M306" s="1053">
        <v>263900000</v>
      </c>
      <c r="N306" s="1054" t="s">
        <v>280</v>
      </c>
      <c r="O306" s="1054" t="s">
        <v>8</v>
      </c>
      <c r="P306" s="81" t="str">
        <f>IF(AND('331-CT'!$E$7=TH!H306,OR(N306="331",O306="331")),"x","")</f>
        <v/>
      </c>
      <c r="Q306" s="81" t="str">
        <f>IF(AND(B306='111'!$L$11,OR($N306=$Q$7,$O306=$Q$7)),"x","")</f>
        <v/>
      </c>
      <c r="R306" s="81" t="str">
        <f>IF(AND($N306=$Q$7,$B306&lt;'111'!$L$11),"x","")</f>
        <v/>
      </c>
      <c r="S306" s="81" t="str">
        <f>IF(AND($O306=$Q$7,$B306&lt;'111'!$L$11),"x","")</f>
        <v/>
      </c>
      <c r="T306" s="81" t="str">
        <f>IF(ISERROR(FIND('112'!$M$9,G306,1)),"",IF((AND(FIND('112'!$M$9,G306,1)&gt;=1,B306='112'!$K$9,OR($N306='112'!$I$6,$O306='112'!$I$6))),"x",""))</f>
        <v/>
      </c>
      <c r="U306" s="81" t="str">
        <f>IF(ISERROR(FIND('112'!$M$9,G306,1)),"",IF((AND(LEFT(G306,2)=LEFT('112'!$M$9,2),B306&lt;'112'!$K$9,$N306='112'!$I$6)),"x",""))</f>
        <v/>
      </c>
      <c r="V306" s="81" t="str">
        <f>IF(ISERROR(FIND('112'!$M$9,G306,1)),"",IF((AND(RIGHT(G306,2)=RIGHT('112'!$M$9,2),B306&lt;'112'!$K$9,$O306='112'!$I$6)),"x",""))</f>
        <v/>
      </c>
      <c r="W306" s="81" t="str">
        <f>IF(AND('341-CT'!$H$9=H306,OR(LEFT(N306,3)=$W$7,LEFT(O306,3)=$W$7)),"x","")</f>
        <v/>
      </c>
      <c r="X306" s="81" t="str">
        <f>IF(OR(TH!N306=TH!$X$7,O306=TH!$X$7),"x","")</f>
        <v/>
      </c>
      <c r="Y306" s="81" t="str">
        <f>IF(AND(OR(N306="131",O306="131"),H306='131-CT'!$H$9),"x","")</f>
        <v/>
      </c>
      <c r="Z306" s="81"/>
      <c r="AA306" s="81" t="str">
        <f>IF(AND(MONTH(E306)='IN-NX'!$J$5,'IN-NX'!$D$7=D306),"x","")</f>
        <v/>
      </c>
      <c r="AB306" s="81" t="str">
        <f>IF(AND(OR(LEFT(TH!N306,2)="15",LEFT(TH!O306,2)="15"),LEFT(TH!O306,3)&lt;&gt;"111",'152-CT'!$J$8=TH!F306),"x","")</f>
        <v/>
      </c>
      <c r="AC306" s="81" t="str">
        <f>IF(AND(OR(LEFT(TH!N306,2)="15",LEFT(TH!O306,2)="15"),TK!$E$7=TH!F306),"x","")</f>
        <v/>
      </c>
      <c r="AD306" s="81" t="str">
        <f>IF(AND(N306="1521",MONTH(C306)='BK-NL'!$M$11),"x","")</f>
        <v/>
      </c>
      <c r="AE306">
        <v>2</v>
      </c>
    </row>
    <row r="307" spans="1:31" ht="15.75" customHeight="1">
      <c r="A307" s="998" t="str">
        <f>IF(B307&lt;&gt;"",IF(AND(B307='IN-TC'!$S$4,OR(TH!N307="1111",TH!O307="1111")),TH!D307,""),"")</f>
        <v/>
      </c>
      <c r="B307" s="831">
        <f t="shared" si="78"/>
        <v>2</v>
      </c>
      <c r="C307" s="1049">
        <v>42794</v>
      </c>
      <c r="D307" s="1049" t="s">
        <v>573</v>
      </c>
      <c r="E307" s="1049">
        <v>42738</v>
      </c>
      <c r="F307" s="1050" t="s">
        <v>1122</v>
      </c>
      <c r="G307" s="1051" t="s">
        <v>1123</v>
      </c>
      <c r="H307" s="79" t="s">
        <v>681</v>
      </c>
      <c r="I307" s="403"/>
      <c r="J307" s="1052"/>
      <c r="K307" s="396"/>
      <c r="L307" s="403"/>
      <c r="M307" s="1053">
        <v>26390000</v>
      </c>
      <c r="N307" s="1054" t="s">
        <v>9</v>
      </c>
      <c r="O307" s="1054" t="s">
        <v>8</v>
      </c>
      <c r="P307" s="81" t="str">
        <f>IF(AND('331-CT'!$E$7=TH!H307,OR(N307="331",O307="331")),"x","")</f>
        <v/>
      </c>
      <c r="Q307" s="81" t="str">
        <f>IF(AND(B307='111'!$L$11,OR($N307=$Q$7,$O307=$Q$7)),"x","")</f>
        <v/>
      </c>
      <c r="R307" s="81" t="str">
        <f>IF(AND($N307=$Q$7,$B307&lt;'111'!$L$11),"x","")</f>
        <v/>
      </c>
      <c r="S307" s="81" t="str">
        <f>IF(AND($O307=$Q$7,$B307&lt;'111'!$L$11),"x","")</f>
        <v/>
      </c>
      <c r="T307" s="81" t="str">
        <f>IF(ISERROR(FIND('112'!$M$9,G307,1)),"",IF((AND(FIND('112'!$M$9,G307,1)&gt;=1,B307='112'!$K$9,OR($N307='112'!$I$6,$O307='112'!$I$6))),"x",""))</f>
        <v/>
      </c>
      <c r="U307" s="81" t="str">
        <f>IF(ISERROR(FIND('112'!$M$9,G307,1)),"",IF((AND(LEFT(G307,2)=LEFT('112'!$M$9,2),B307&lt;'112'!$K$9,$N307='112'!$I$6)),"x",""))</f>
        <v/>
      </c>
      <c r="V307" s="81" t="str">
        <f>IF(ISERROR(FIND('112'!$M$9,G307,1)),"",IF((AND(RIGHT(G307,2)=RIGHT('112'!$M$9,2),B307&lt;'112'!$K$9,$O307='112'!$I$6)),"x",""))</f>
        <v/>
      </c>
      <c r="W307" s="81" t="str">
        <f>IF(AND('341-CT'!$H$9=H307,OR(LEFT(N307,3)=$W$7,LEFT(O307,3)=$W$7)),"x","")</f>
        <v/>
      </c>
      <c r="X307" s="81" t="str">
        <f>IF(OR(TH!N307=TH!$X$7,O307=TH!$X$7),"x","")</f>
        <v/>
      </c>
      <c r="Y307" s="81" t="str">
        <f>IF(AND(OR(N307="131",O307="131"),H307='131-CT'!$H$9),"x","")</f>
        <v/>
      </c>
      <c r="Z307" s="81"/>
      <c r="AA307" s="81" t="str">
        <f>IF(AND(MONTH(E307)='IN-NX'!$J$5,'IN-NX'!$D$7=D307),"x","")</f>
        <v/>
      </c>
      <c r="AB307" s="81" t="str">
        <f>IF(AND(OR(LEFT(TH!N307,2)="15",LEFT(TH!O307,2)="15"),LEFT(TH!O307,3)&lt;&gt;"111",'152-CT'!$J$8=TH!F307),"x","")</f>
        <v/>
      </c>
      <c r="AC307" s="81" t="str">
        <f>IF(AND(OR(LEFT(TH!N307,2)="15",LEFT(TH!O307,2)="15"),TK!$E$7=TH!F307),"x","")</f>
        <v/>
      </c>
      <c r="AD307" s="81" t="str">
        <f>IF(AND(N307="1521",MONTH(C307)='BK-NL'!$M$11),"x","")</f>
        <v/>
      </c>
      <c r="AE307">
        <v>2</v>
      </c>
    </row>
    <row r="308" spans="1:31" ht="15.75" customHeight="1">
      <c r="A308" s="998"/>
      <c r="B308" s="831">
        <f t="shared" si="78"/>
        <v>2</v>
      </c>
      <c r="C308" s="1049">
        <v>42794</v>
      </c>
      <c r="D308" s="1049" t="s">
        <v>573</v>
      </c>
      <c r="E308" s="1049">
        <v>42774</v>
      </c>
      <c r="F308" s="313" t="s">
        <v>1148</v>
      </c>
      <c r="G308" s="1051" t="s">
        <v>1150</v>
      </c>
      <c r="H308" s="313" t="s">
        <v>831</v>
      </c>
      <c r="I308" s="403"/>
      <c r="J308" s="1052"/>
      <c r="K308" s="396"/>
      <c r="L308" s="403"/>
      <c r="M308" s="1053">
        <v>32045455</v>
      </c>
      <c r="N308" s="1054" t="s">
        <v>582</v>
      </c>
      <c r="O308" s="1054" t="s">
        <v>8</v>
      </c>
      <c r="P308" s="81" t="str">
        <f>IF(AND('331-CT'!$E$7=TH!H308,OR(N308="331",O308="331")),"x","")</f>
        <v/>
      </c>
      <c r="Q308" s="81" t="str">
        <f>IF(AND(B308='111'!$L$11,OR($N308=$Q$7,$O308=$Q$7)),"x","")</f>
        <v/>
      </c>
      <c r="R308" s="81" t="str">
        <f>IF(AND($N308=$Q$7,$B308&lt;'111'!$L$11),"x","")</f>
        <v/>
      </c>
      <c r="S308" s="81" t="str">
        <f>IF(AND($O308=$Q$7,$B308&lt;'111'!$L$11),"x","")</f>
        <v/>
      </c>
      <c r="T308" s="81" t="str">
        <f>IF(ISERROR(FIND('112'!$M$9,G308,1)),"",IF((AND(FIND('112'!$M$9,G308,1)&gt;=1,B308='112'!$K$9,OR($N308='112'!$I$6,$O308='112'!$I$6))),"x",""))</f>
        <v/>
      </c>
      <c r="U308" s="81" t="str">
        <f>IF(ISERROR(FIND('112'!$M$9,G308,1)),"",IF((AND(LEFT(G308,2)=LEFT('112'!$M$9,2),B308&lt;'112'!$K$9,$N308='112'!$I$6)),"x",""))</f>
        <v/>
      </c>
      <c r="V308" s="81" t="str">
        <f>IF(ISERROR(FIND('112'!$M$9,G308,1)),"",IF((AND(RIGHT(G308,2)=RIGHT('112'!$M$9,2),B308&lt;'112'!$K$9,$O308='112'!$I$6)),"x",""))</f>
        <v/>
      </c>
      <c r="W308" s="81" t="str">
        <f>IF(AND('341-CT'!$H$9=H308,OR(LEFT(N308,3)=$W$7,LEFT(O308,3)=$W$7)),"x","")</f>
        <v/>
      </c>
      <c r="X308" s="81" t="str">
        <f>IF(OR(TH!N308=TH!$X$7,O308=TH!$X$7),"x","")</f>
        <v/>
      </c>
      <c r="Y308" s="81" t="str">
        <f>IF(AND(OR(N308="131",O308="131"),H308='131-CT'!$H$9),"x","")</f>
        <v/>
      </c>
      <c r="Z308" s="81"/>
      <c r="AA308" s="81" t="str">
        <f>IF(AND(MONTH(E308)='IN-NX'!$J$5,'IN-NX'!$D$7=D308),"x","")</f>
        <v/>
      </c>
      <c r="AB308" s="81" t="str">
        <f>IF(AND(OR(LEFT(TH!N308,2)="15",LEFT(TH!O308,2)="15"),LEFT(TH!O308,3)&lt;&gt;"111",'152-CT'!$J$8=TH!F308),"x","")</f>
        <v/>
      </c>
      <c r="AC308" s="81" t="str">
        <f>IF(AND(OR(LEFT(TH!N308,2)="15",LEFT(TH!O308,2)="15"),TK!$E$7=TH!F308),"x","")</f>
        <v/>
      </c>
      <c r="AD308" s="81" t="str">
        <f>IF(AND(N308="1521",MONTH(C308)='BK-NL'!$M$11),"x","")</f>
        <v/>
      </c>
      <c r="AE308">
        <v>2</v>
      </c>
    </row>
    <row r="309" spans="1:31" ht="15.75" customHeight="1">
      <c r="A309" s="998"/>
      <c r="B309" s="831">
        <f t="shared" si="78"/>
        <v>2</v>
      </c>
      <c r="C309" s="1049">
        <v>42794</v>
      </c>
      <c r="D309" s="1049" t="s">
        <v>573</v>
      </c>
      <c r="E309" s="1049">
        <v>42774</v>
      </c>
      <c r="F309" s="313" t="s">
        <v>1149</v>
      </c>
      <c r="G309" s="1051" t="s">
        <v>1150</v>
      </c>
      <c r="H309" s="313" t="s">
        <v>831</v>
      </c>
      <c r="I309" s="403"/>
      <c r="J309" s="1052"/>
      <c r="K309" s="396"/>
      <c r="L309" s="403"/>
      <c r="M309" s="1053">
        <v>3204545</v>
      </c>
      <c r="N309" s="1054" t="s">
        <v>9</v>
      </c>
      <c r="O309" s="1054" t="s">
        <v>8</v>
      </c>
      <c r="P309" s="81" t="str">
        <f>IF(AND('331-CT'!$E$7=TH!H309,OR(N309="331",O309="331")),"x","")</f>
        <v/>
      </c>
      <c r="Q309" s="81" t="str">
        <f>IF(AND(B309='111'!$L$11,OR($N309=$Q$7,$O309=$Q$7)),"x","")</f>
        <v/>
      </c>
      <c r="R309" s="81" t="str">
        <f>IF(AND($N309=$Q$7,$B309&lt;'111'!$L$11),"x","")</f>
        <v/>
      </c>
      <c r="S309" s="81" t="str">
        <f>IF(AND($O309=$Q$7,$B309&lt;'111'!$L$11),"x","")</f>
        <v/>
      </c>
      <c r="T309" s="81" t="str">
        <f>IF(ISERROR(FIND('112'!$M$9,G309,1)),"",IF((AND(FIND('112'!$M$9,G309,1)&gt;=1,B309='112'!$K$9,OR($N309='112'!$I$6,$O309='112'!$I$6))),"x",""))</f>
        <v/>
      </c>
      <c r="U309" s="81" t="str">
        <f>IF(ISERROR(FIND('112'!$M$9,G309,1)),"",IF((AND(LEFT(G309,2)=LEFT('112'!$M$9,2),B309&lt;'112'!$K$9,$N309='112'!$I$6)),"x",""))</f>
        <v/>
      </c>
      <c r="V309" s="81" t="str">
        <f>IF(ISERROR(FIND('112'!$M$9,G309,1)),"",IF((AND(RIGHT(G309,2)=RIGHT('112'!$M$9,2),B309&lt;'112'!$K$9,$O309='112'!$I$6)),"x",""))</f>
        <v/>
      </c>
      <c r="W309" s="81" t="str">
        <f>IF(AND('341-CT'!$H$9=H309,OR(LEFT(N309,3)=$W$7,LEFT(O309,3)=$W$7)),"x","")</f>
        <v/>
      </c>
      <c r="X309" s="81" t="str">
        <f>IF(OR(TH!N309=TH!$X$7,O309=TH!$X$7),"x","")</f>
        <v/>
      </c>
      <c r="Y309" s="81" t="str">
        <f>IF(AND(OR(N309="131",O309="131"),H309='131-CT'!$H$9),"x","")</f>
        <v/>
      </c>
      <c r="Z309" s="81"/>
      <c r="AA309" s="81" t="str">
        <f>IF(AND(MONTH(E309)='IN-NX'!$J$5,'IN-NX'!$D$7=D309),"x","")</f>
        <v/>
      </c>
      <c r="AB309" s="81" t="str">
        <f>IF(AND(OR(LEFT(TH!N309,2)="15",LEFT(TH!O309,2)="15"),LEFT(TH!O309,3)&lt;&gt;"111",'152-CT'!$J$8=TH!F309),"x","")</f>
        <v/>
      </c>
      <c r="AC309" s="81" t="str">
        <f>IF(AND(OR(LEFT(TH!N309,2)="15",LEFT(TH!O309,2)="15"),TK!$E$7=TH!F309),"x","")</f>
        <v/>
      </c>
      <c r="AD309" s="81" t="str">
        <f>IF(AND(N309="1521",MONTH(C309)='BK-NL'!$M$11),"x","")</f>
        <v/>
      </c>
      <c r="AE309">
        <v>2</v>
      </c>
    </row>
    <row r="310" spans="1:31" ht="15.75" customHeight="1">
      <c r="A310" s="998"/>
      <c r="B310" s="831">
        <f t="shared" si="78"/>
        <v>2</v>
      </c>
      <c r="C310" s="1049">
        <v>42794</v>
      </c>
      <c r="D310" s="1049" t="s">
        <v>573</v>
      </c>
      <c r="E310" s="1049">
        <v>42751</v>
      </c>
      <c r="F310" s="313" t="s">
        <v>1075</v>
      </c>
      <c r="G310" s="1051" t="s">
        <v>1151</v>
      </c>
      <c r="H310" s="79" t="s">
        <v>621</v>
      </c>
      <c r="I310" s="403"/>
      <c r="J310" s="1052"/>
      <c r="K310" s="396"/>
      <c r="L310" s="403"/>
      <c r="M310" s="1053">
        <v>16100000</v>
      </c>
      <c r="N310" s="1054" t="s">
        <v>582</v>
      </c>
      <c r="O310" s="1054" t="s">
        <v>8</v>
      </c>
      <c r="P310" s="81" t="str">
        <f>IF(AND('331-CT'!$E$7=TH!H310,OR(N310="331",O310="331")),"x","")</f>
        <v/>
      </c>
      <c r="Q310" s="81" t="str">
        <f>IF(AND(B310='111'!$L$11,OR($N310=$Q$7,$O310=$Q$7)),"x","")</f>
        <v/>
      </c>
      <c r="R310" s="81" t="str">
        <f>IF(AND($N310=$Q$7,$B310&lt;'111'!$L$11),"x","")</f>
        <v/>
      </c>
      <c r="S310" s="81" t="str">
        <f>IF(AND($O310=$Q$7,$B310&lt;'111'!$L$11),"x","")</f>
        <v/>
      </c>
      <c r="T310" s="81" t="str">
        <f>IF(ISERROR(FIND('112'!$M$9,G310,1)),"",IF((AND(FIND('112'!$M$9,G310,1)&gt;=1,B310='112'!$K$9,OR($N310='112'!$I$6,$O310='112'!$I$6))),"x",""))</f>
        <v/>
      </c>
      <c r="U310" s="81" t="str">
        <f>IF(ISERROR(FIND('112'!$M$9,G310,1)),"",IF((AND(LEFT(G310,2)=LEFT('112'!$M$9,2),B310&lt;'112'!$K$9,$N310='112'!$I$6)),"x",""))</f>
        <v/>
      </c>
      <c r="V310" s="81" t="str">
        <f>IF(ISERROR(FIND('112'!$M$9,G310,1)),"",IF((AND(RIGHT(G310,2)=RIGHT('112'!$M$9,2),B310&lt;'112'!$K$9,$O310='112'!$I$6)),"x",""))</f>
        <v/>
      </c>
      <c r="W310" s="81" t="str">
        <f>IF(AND('341-CT'!$H$9=H310,OR(LEFT(N310,3)=$W$7,LEFT(O310,3)=$W$7)),"x","")</f>
        <v/>
      </c>
      <c r="X310" s="81" t="str">
        <f>IF(OR(TH!N310=TH!$X$7,O310=TH!$X$7),"x","")</f>
        <v/>
      </c>
      <c r="Y310" s="81" t="str">
        <f>IF(AND(OR(N310="131",O310="131"),H310='131-CT'!$H$9),"x","")</f>
        <v/>
      </c>
      <c r="Z310" s="81"/>
      <c r="AA310" s="81" t="str">
        <f>IF(AND(MONTH(E310)='IN-NX'!$J$5,'IN-NX'!$D$7=D310),"x","")</f>
        <v/>
      </c>
      <c r="AB310" s="81" t="str">
        <f>IF(AND(OR(LEFT(TH!N310,2)="15",LEFT(TH!O310,2)="15"),LEFT(TH!O310,3)&lt;&gt;"111",'152-CT'!$J$8=TH!F310),"x","")</f>
        <v/>
      </c>
      <c r="AC310" s="81" t="str">
        <f>IF(AND(OR(LEFT(TH!N310,2)="15",LEFT(TH!O310,2)="15"),TK!$E$7=TH!F310),"x","")</f>
        <v/>
      </c>
      <c r="AD310" s="81" t="str">
        <f>IF(AND(N310="1521",MONTH(C310)='BK-NL'!$M$11),"x","")</f>
        <v/>
      </c>
      <c r="AE310">
        <v>2</v>
      </c>
    </row>
    <row r="311" spans="1:31" ht="15.75" customHeight="1">
      <c r="A311" s="998"/>
      <c r="B311" s="831">
        <f t="shared" si="78"/>
        <v>2</v>
      </c>
      <c r="C311" s="1049">
        <v>42794</v>
      </c>
      <c r="D311" s="1049" t="s">
        <v>573</v>
      </c>
      <c r="E311" s="1049">
        <v>42751</v>
      </c>
      <c r="F311" s="313" t="s">
        <v>1076</v>
      </c>
      <c r="G311" s="1051" t="s">
        <v>1151</v>
      </c>
      <c r="H311" s="79" t="s">
        <v>621</v>
      </c>
      <c r="I311" s="403"/>
      <c r="J311" s="1052"/>
      <c r="K311" s="396"/>
      <c r="L311" s="403"/>
      <c r="M311" s="1053">
        <v>1610000</v>
      </c>
      <c r="N311" s="1054" t="s">
        <v>9</v>
      </c>
      <c r="O311" s="1054" t="s">
        <v>8</v>
      </c>
      <c r="P311" s="81" t="str">
        <f>IF(AND('331-CT'!$E$7=TH!H311,OR(N311="331",O311="331")),"x","")</f>
        <v/>
      </c>
      <c r="Q311" s="81" t="str">
        <f>IF(AND(B311='111'!$L$11,OR($N311=$Q$7,$O311=$Q$7)),"x","")</f>
        <v/>
      </c>
      <c r="R311" s="81" t="str">
        <f>IF(AND($N311=$Q$7,$B311&lt;'111'!$L$11),"x","")</f>
        <v/>
      </c>
      <c r="S311" s="81" t="str">
        <f>IF(AND($O311=$Q$7,$B311&lt;'111'!$L$11),"x","")</f>
        <v/>
      </c>
      <c r="T311" s="81" t="str">
        <f>IF(ISERROR(FIND('112'!$M$9,G311,1)),"",IF((AND(FIND('112'!$M$9,G311,1)&gt;=1,B311='112'!$K$9,OR($N311='112'!$I$6,$O311='112'!$I$6))),"x",""))</f>
        <v/>
      </c>
      <c r="U311" s="81" t="str">
        <f>IF(ISERROR(FIND('112'!$M$9,G311,1)),"",IF((AND(LEFT(G311,2)=LEFT('112'!$M$9,2),B311&lt;'112'!$K$9,$N311='112'!$I$6)),"x",""))</f>
        <v/>
      </c>
      <c r="V311" s="81" t="str">
        <f>IF(ISERROR(FIND('112'!$M$9,G311,1)),"",IF((AND(RIGHT(G311,2)=RIGHT('112'!$M$9,2),B311&lt;'112'!$K$9,$O311='112'!$I$6)),"x",""))</f>
        <v/>
      </c>
      <c r="W311" s="81" t="str">
        <f>IF(AND('341-CT'!$H$9=H311,OR(LEFT(N311,3)=$W$7,LEFT(O311,3)=$W$7)),"x","")</f>
        <v/>
      </c>
      <c r="X311" s="81" t="str">
        <f>IF(OR(TH!N311=TH!$X$7,O311=TH!$X$7),"x","")</f>
        <v/>
      </c>
      <c r="Y311" s="81" t="str">
        <f>IF(AND(OR(N311="131",O311="131"),H311='131-CT'!$H$9),"x","")</f>
        <v/>
      </c>
      <c r="Z311" s="81"/>
      <c r="AA311" s="81" t="str">
        <f>IF(AND(MONTH(E311)='IN-NX'!$J$5,'IN-NX'!$D$7=D311),"x","")</f>
        <v/>
      </c>
      <c r="AB311" s="81" t="str">
        <f>IF(AND(OR(LEFT(TH!N311,2)="15",LEFT(TH!O311,2)="15"),LEFT(TH!O311,3)&lt;&gt;"111",'152-CT'!$J$8=TH!F311),"x","")</f>
        <v/>
      </c>
      <c r="AC311" s="81" t="str">
        <f>IF(AND(OR(LEFT(TH!N311,2)="15",LEFT(TH!O311,2)="15"),TK!$E$7=TH!F311),"x","")</f>
        <v/>
      </c>
      <c r="AD311" s="81" t="str">
        <f>IF(AND(N311="1521",MONTH(C311)='BK-NL'!$M$11),"x","")</f>
        <v/>
      </c>
      <c r="AE311">
        <v>2</v>
      </c>
    </row>
    <row r="312" spans="1:31" ht="15.75" customHeight="1">
      <c r="A312" s="998"/>
      <c r="B312" s="831">
        <f t="shared" si="78"/>
        <v>2</v>
      </c>
      <c r="C312" s="1049">
        <v>42794</v>
      </c>
      <c r="D312" s="1049" t="s">
        <v>573</v>
      </c>
      <c r="E312" s="1049">
        <v>42736</v>
      </c>
      <c r="F312" s="313" t="s">
        <v>1075</v>
      </c>
      <c r="G312" s="1051" t="s">
        <v>1194</v>
      </c>
      <c r="H312" s="79" t="s">
        <v>621</v>
      </c>
      <c r="I312" s="403"/>
      <c r="J312" s="1052"/>
      <c r="K312" s="396"/>
      <c r="L312" s="403"/>
      <c r="M312" s="1053">
        <v>49000000</v>
      </c>
      <c r="N312" s="1054" t="s">
        <v>582</v>
      </c>
      <c r="O312" s="1054" t="s">
        <v>8</v>
      </c>
      <c r="P312" s="81" t="str">
        <f>IF(AND('331-CT'!$E$7=TH!H312,OR(N312="331",O312="331")),"x","")</f>
        <v/>
      </c>
      <c r="Q312" s="81" t="str">
        <f>IF(AND(B312='111'!$L$11,OR($N312=$Q$7,$O312=$Q$7)),"x","")</f>
        <v/>
      </c>
      <c r="R312" s="81" t="str">
        <f>IF(AND($N312=$Q$7,$B312&lt;'111'!$L$11),"x","")</f>
        <v/>
      </c>
      <c r="S312" s="81" t="str">
        <f>IF(AND($O312=$Q$7,$B312&lt;'111'!$L$11),"x","")</f>
        <v/>
      </c>
      <c r="T312" s="81" t="str">
        <f>IF(ISERROR(FIND('112'!$M$9,G312,1)),"",IF((AND(FIND('112'!$M$9,G312,1)&gt;=1,B312='112'!$K$9,OR($N312='112'!$I$6,$O312='112'!$I$6))),"x",""))</f>
        <v/>
      </c>
      <c r="U312" s="81" t="str">
        <f>IF(ISERROR(FIND('112'!$M$9,G312,1)),"",IF((AND(LEFT(G312,2)=LEFT('112'!$M$9,2),B312&lt;'112'!$K$9,$N312='112'!$I$6)),"x",""))</f>
        <v/>
      </c>
      <c r="V312" s="81" t="str">
        <f>IF(ISERROR(FIND('112'!$M$9,G312,1)),"",IF((AND(RIGHT(G312,2)=RIGHT('112'!$M$9,2),B312&lt;'112'!$K$9,$O312='112'!$I$6)),"x",""))</f>
        <v/>
      </c>
      <c r="W312" s="81" t="str">
        <f>IF(AND('341-CT'!$H$9=H312,OR(LEFT(N312,3)=$W$7,LEFT(O312,3)=$W$7)),"x","")</f>
        <v/>
      </c>
      <c r="X312" s="81" t="str">
        <f>IF(OR(TH!N312=TH!$X$7,O312=TH!$X$7),"x","")</f>
        <v/>
      </c>
      <c r="Y312" s="81" t="str">
        <f>IF(AND(OR(N312="131",O312="131"),H312='131-CT'!$H$9),"x","")</f>
        <v/>
      </c>
      <c r="Z312" s="81"/>
      <c r="AA312" s="81" t="str">
        <f>IF(AND(MONTH(E312)='IN-NX'!$J$5,'IN-NX'!$D$7=D312),"x","")</f>
        <v/>
      </c>
      <c r="AB312" s="81" t="str">
        <f>IF(AND(OR(LEFT(TH!N312,2)="15",LEFT(TH!O312,2)="15"),LEFT(TH!O312,3)&lt;&gt;"111",'152-CT'!$J$8=TH!F312),"x","")</f>
        <v/>
      </c>
      <c r="AC312" s="81" t="str">
        <f>IF(AND(OR(LEFT(TH!N312,2)="15",LEFT(TH!O312,2)="15"),TK!$E$7=TH!F312),"x","")</f>
        <v/>
      </c>
      <c r="AD312" s="81" t="str">
        <f>IF(AND(N312="1521",MONTH(C312)='BK-NL'!$M$11),"x","")</f>
        <v/>
      </c>
      <c r="AE312">
        <v>2</v>
      </c>
    </row>
    <row r="313" spans="1:31" ht="15.75" customHeight="1">
      <c r="A313" s="998"/>
      <c r="B313" s="831">
        <f t="shared" si="78"/>
        <v>2</v>
      </c>
      <c r="C313" s="1049">
        <v>42794</v>
      </c>
      <c r="D313" s="1049" t="s">
        <v>573</v>
      </c>
      <c r="E313" s="1049">
        <v>42736</v>
      </c>
      <c r="F313" s="313" t="s">
        <v>1076</v>
      </c>
      <c r="G313" s="1051" t="s">
        <v>1194</v>
      </c>
      <c r="H313" s="79" t="s">
        <v>621</v>
      </c>
      <c r="I313" s="403"/>
      <c r="J313" s="1052"/>
      <c r="K313" s="396"/>
      <c r="L313" s="403"/>
      <c r="M313" s="1053">
        <v>4900000</v>
      </c>
      <c r="N313" s="1054" t="s">
        <v>9</v>
      </c>
      <c r="O313" s="1054" t="s">
        <v>8</v>
      </c>
      <c r="P313" s="81" t="str">
        <f>IF(AND('331-CT'!$E$7=TH!H313,OR(N313="331",O313="331")),"x","")</f>
        <v/>
      </c>
      <c r="Q313" s="81" t="str">
        <f>IF(AND(B313='111'!$L$11,OR($N313=$Q$7,$O313=$Q$7)),"x","")</f>
        <v/>
      </c>
      <c r="R313" s="81" t="str">
        <f>IF(AND($N313=$Q$7,$B313&lt;'111'!$L$11),"x","")</f>
        <v/>
      </c>
      <c r="S313" s="81" t="str">
        <f>IF(AND($O313=$Q$7,$B313&lt;'111'!$L$11),"x","")</f>
        <v/>
      </c>
      <c r="T313" s="81" t="str">
        <f>IF(ISERROR(FIND('112'!$M$9,G313,1)),"",IF((AND(FIND('112'!$M$9,G313,1)&gt;=1,B313='112'!$K$9,OR($N313='112'!$I$6,$O313='112'!$I$6))),"x",""))</f>
        <v/>
      </c>
      <c r="U313" s="81" t="str">
        <f>IF(ISERROR(FIND('112'!$M$9,G313,1)),"",IF((AND(LEFT(G313,2)=LEFT('112'!$M$9,2),B313&lt;'112'!$K$9,$N313='112'!$I$6)),"x",""))</f>
        <v/>
      </c>
      <c r="V313" s="81" t="str">
        <f>IF(ISERROR(FIND('112'!$M$9,G313,1)),"",IF((AND(RIGHT(G313,2)=RIGHT('112'!$M$9,2),B313&lt;'112'!$K$9,$O313='112'!$I$6)),"x",""))</f>
        <v/>
      </c>
      <c r="W313" s="81" t="str">
        <f>IF(AND('341-CT'!$H$9=H313,OR(LEFT(N313,3)=$W$7,LEFT(O313,3)=$W$7)),"x","")</f>
        <v/>
      </c>
      <c r="X313" s="81" t="str">
        <f>IF(OR(TH!N313=TH!$X$7,O313=TH!$X$7),"x","")</f>
        <v/>
      </c>
      <c r="Y313" s="81" t="str">
        <f>IF(AND(OR(N313="131",O313="131"),H313='131-CT'!$H$9),"x","")</f>
        <v/>
      </c>
      <c r="Z313" s="81"/>
      <c r="AA313" s="81" t="str">
        <f>IF(AND(MONTH(E313)='IN-NX'!$J$5,'IN-NX'!$D$7=D313),"x","")</f>
        <v/>
      </c>
      <c r="AB313" s="81" t="str">
        <f>IF(AND(OR(LEFT(TH!N313,2)="15",LEFT(TH!O313,2)="15"),LEFT(TH!O313,3)&lt;&gt;"111",'152-CT'!$J$8=TH!F313),"x","")</f>
        <v/>
      </c>
      <c r="AC313" s="81" t="str">
        <f>IF(AND(OR(LEFT(TH!N313,2)="15",LEFT(TH!O313,2)="15"),TK!$E$7=TH!F313),"x","")</f>
        <v/>
      </c>
      <c r="AD313" s="81" t="str">
        <f>IF(AND(N313="1521",MONTH(C313)='BK-NL'!$M$11),"x","")</f>
        <v/>
      </c>
      <c r="AE313">
        <v>2</v>
      </c>
    </row>
    <row r="314" spans="1:31" ht="15.75" customHeight="1">
      <c r="A314" s="998" t="str">
        <f>IF(B314&lt;&gt;"",IF(AND(B314='IN-TC'!$S$4,OR(TH!N314="1111",TH!O314="1111")),TH!D314,""),"")</f>
        <v/>
      </c>
      <c r="B314" s="831">
        <f t="shared" si="78"/>
        <v>2</v>
      </c>
      <c r="C314" s="1049">
        <v>42794</v>
      </c>
      <c r="D314" s="1049" t="s">
        <v>573</v>
      </c>
      <c r="E314" s="1049">
        <v>42772</v>
      </c>
      <c r="F314" s="1050" t="s">
        <v>1201</v>
      </c>
      <c r="G314" s="1051" t="s">
        <v>1206</v>
      </c>
      <c r="H314" s="809" t="s">
        <v>613</v>
      </c>
      <c r="I314" s="403"/>
      <c r="J314" s="1052"/>
      <c r="K314" s="396"/>
      <c r="L314" s="403"/>
      <c r="M314" s="1053">
        <v>9543500</v>
      </c>
      <c r="N314" s="1054" t="s">
        <v>280</v>
      </c>
      <c r="O314" s="1054" t="s">
        <v>8</v>
      </c>
      <c r="P314" s="81" t="str">
        <f>IF(AND('331-CT'!$E$7=TH!H314,OR(N314="331",O314="331")),"x","")</f>
        <v/>
      </c>
      <c r="Q314" s="81" t="str">
        <f>IF(AND(B314='111'!$L$11,OR($N314=$Q$7,$O314=$Q$7)),"x","")</f>
        <v/>
      </c>
      <c r="R314" s="81" t="str">
        <f>IF(AND($N314=$Q$7,$B314&lt;'111'!$L$11),"x","")</f>
        <v/>
      </c>
      <c r="S314" s="81" t="str">
        <f>IF(AND($O314=$Q$7,$B314&lt;'111'!$L$11),"x","")</f>
        <v/>
      </c>
      <c r="T314" s="81" t="str">
        <f>IF(ISERROR(FIND('112'!$M$9,G314,1)),"",IF((AND(FIND('112'!$M$9,G314,1)&gt;=1,B314='112'!$K$9,OR($N314='112'!$I$6,$O314='112'!$I$6))),"x",""))</f>
        <v/>
      </c>
      <c r="U314" s="81" t="str">
        <f>IF(ISERROR(FIND('112'!$M$9,G314,1)),"",IF((AND(LEFT(G314,2)=LEFT('112'!$M$9,2),B314&lt;'112'!$K$9,$N314='112'!$I$6)),"x",""))</f>
        <v/>
      </c>
      <c r="V314" s="81" t="str">
        <f>IF(ISERROR(FIND('112'!$M$9,G314,1)),"",IF((AND(RIGHT(G314,2)=RIGHT('112'!$M$9,2),B314&lt;'112'!$K$9,$O314='112'!$I$6)),"x",""))</f>
        <v/>
      </c>
      <c r="W314" s="81" t="str">
        <f>IF(AND('341-CT'!$H$9=H314,OR(LEFT(N314,3)=$W$7,LEFT(O314,3)=$W$7)),"x","")</f>
        <v/>
      </c>
      <c r="X314" s="81" t="str">
        <f>IF(OR(TH!N314=TH!$X$7,O314=TH!$X$7),"x","")</f>
        <v/>
      </c>
      <c r="Y314" s="81" t="str">
        <f>IF(AND(OR(N314="131",O314="131"),H314='131-CT'!$H$9),"x","")</f>
        <v/>
      </c>
      <c r="Z314" s="81"/>
      <c r="AA314" s="81" t="str">
        <f>IF(AND(MONTH(E314)='IN-NX'!$J$5,'IN-NX'!$D$7=D314),"x","")</f>
        <v/>
      </c>
      <c r="AB314" s="81" t="str">
        <f>IF(AND(OR(LEFT(TH!N314,2)="15",LEFT(TH!O314,2)="15"),LEFT(TH!O314,3)&lt;&gt;"111",'152-CT'!$J$8=TH!F314),"x","")</f>
        <v/>
      </c>
      <c r="AC314" s="81" t="str">
        <f>IF(AND(OR(LEFT(TH!N314,2)="15",LEFT(TH!O314,2)="15"),TK!$E$7=TH!F314),"x","")</f>
        <v/>
      </c>
      <c r="AD314" s="81" t="str">
        <f>IF(AND(N314="1521",MONTH(C314)='BK-NL'!$M$11),"x","")</f>
        <v/>
      </c>
      <c r="AE314">
        <v>2</v>
      </c>
    </row>
    <row r="315" spans="1:31" ht="15.75" customHeight="1">
      <c r="A315" s="998" t="str">
        <f>IF(B315&lt;&gt;"",IF(AND(B315='IN-TC'!$S$4,OR(TH!N315="1111",TH!O315="1111")),TH!D315,""),"")</f>
        <v/>
      </c>
      <c r="B315" s="831">
        <f t="shared" si="78"/>
        <v>2</v>
      </c>
      <c r="C315" s="1049">
        <v>42794</v>
      </c>
      <c r="D315" s="1049" t="s">
        <v>573</v>
      </c>
      <c r="E315" s="1049">
        <v>42772</v>
      </c>
      <c r="F315" s="1050" t="s">
        <v>1200</v>
      </c>
      <c r="G315" s="1051" t="s">
        <v>1206</v>
      </c>
      <c r="H315" s="809" t="s">
        <v>613</v>
      </c>
      <c r="I315" s="403"/>
      <c r="J315" s="1052"/>
      <c r="K315" s="396"/>
      <c r="L315" s="403"/>
      <c r="M315" s="1053">
        <v>954350</v>
      </c>
      <c r="N315" s="1054" t="s">
        <v>9</v>
      </c>
      <c r="O315" s="1054" t="s">
        <v>8</v>
      </c>
      <c r="P315" s="81" t="str">
        <f>IF(AND('331-CT'!$E$7=TH!H315,OR(N315="331",O315="331")),"x","")</f>
        <v/>
      </c>
      <c r="Q315" s="81" t="str">
        <f>IF(AND(B315='111'!$L$11,OR($N315=$Q$7,$O315=$Q$7)),"x","")</f>
        <v/>
      </c>
      <c r="R315" s="81" t="str">
        <f>IF(AND($N315=$Q$7,$B315&lt;'111'!$L$11),"x","")</f>
        <v/>
      </c>
      <c r="S315" s="81" t="str">
        <f>IF(AND($O315=$Q$7,$B315&lt;'111'!$L$11),"x","")</f>
        <v/>
      </c>
      <c r="T315" s="81" t="str">
        <f>IF(ISERROR(FIND('112'!$M$9,G315,1)),"",IF((AND(FIND('112'!$M$9,G315,1)&gt;=1,B315='112'!$K$9,OR($N315='112'!$I$6,$O315='112'!$I$6))),"x",""))</f>
        <v/>
      </c>
      <c r="U315" s="81" t="str">
        <f>IF(ISERROR(FIND('112'!$M$9,G315,1)),"",IF((AND(LEFT(G315,2)=LEFT('112'!$M$9,2),B315&lt;'112'!$K$9,$N315='112'!$I$6)),"x",""))</f>
        <v/>
      </c>
      <c r="V315" s="81" t="str">
        <f>IF(ISERROR(FIND('112'!$M$9,G315,1)),"",IF((AND(RIGHT(G315,2)=RIGHT('112'!$M$9,2),B315&lt;'112'!$K$9,$O315='112'!$I$6)),"x",""))</f>
        <v/>
      </c>
      <c r="W315" s="81" t="str">
        <f>IF(AND('341-CT'!$H$9=H315,OR(LEFT(N315,3)=$W$7,LEFT(O315,3)=$W$7)),"x","")</f>
        <v/>
      </c>
      <c r="X315" s="81" t="str">
        <f>IF(OR(TH!N315=TH!$X$7,O315=TH!$X$7),"x","")</f>
        <v/>
      </c>
      <c r="Y315" s="81" t="str">
        <f>IF(AND(OR(N315="131",O315="131"),H315='131-CT'!$H$9),"x","")</f>
        <v/>
      </c>
      <c r="Z315" s="81"/>
      <c r="AA315" s="81" t="str">
        <f>IF(AND(MONTH(E315)='IN-NX'!$J$5,'IN-NX'!$D$7=D315),"x","")</f>
        <v/>
      </c>
      <c r="AB315" s="81" t="str">
        <f>IF(AND(OR(LEFT(TH!N315,2)="15",LEFT(TH!O315,2)="15"),LEFT(TH!O315,3)&lt;&gt;"111",'152-CT'!$J$8=TH!F315),"x","")</f>
        <v/>
      </c>
      <c r="AC315" s="81" t="str">
        <f>IF(AND(OR(LEFT(TH!N315,2)="15",LEFT(TH!O315,2)="15"),TK!$E$7=TH!F315),"x","")</f>
        <v/>
      </c>
      <c r="AD315" s="81" t="str">
        <f>IF(AND(N315="1521",MONTH(C315)='BK-NL'!$M$11),"x","")</f>
        <v/>
      </c>
      <c r="AE315">
        <v>2</v>
      </c>
    </row>
    <row r="316" spans="1:31" ht="15.75" customHeight="1">
      <c r="A316" s="998" t="str">
        <f>IF(B316&lt;&gt;"",IF(AND(B316='IN-TC'!$S$4,OR(TH!N316="1111",TH!O316="1111")),TH!D316,""),"")</f>
        <v/>
      </c>
      <c r="B316" s="831">
        <f t="shared" si="78"/>
        <v>2</v>
      </c>
      <c r="C316" s="1049">
        <v>42794</v>
      </c>
      <c r="D316" s="1049" t="s">
        <v>573</v>
      </c>
      <c r="E316" s="1049">
        <v>42782</v>
      </c>
      <c r="F316" s="1050" t="s">
        <v>1202</v>
      </c>
      <c r="G316" s="1051" t="s">
        <v>1207</v>
      </c>
      <c r="H316" s="809" t="s">
        <v>613</v>
      </c>
      <c r="I316" s="403"/>
      <c r="J316" s="1052"/>
      <c r="K316" s="396"/>
      <c r="L316" s="403"/>
      <c r="M316" s="1053">
        <v>13570300</v>
      </c>
      <c r="N316" s="1054" t="s">
        <v>280</v>
      </c>
      <c r="O316" s="1054" t="s">
        <v>8</v>
      </c>
      <c r="P316" s="81" t="str">
        <f>IF(AND('331-CT'!$E$7=TH!H316,OR(N316="331",O316="331")),"x","")</f>
        <v/>
      </c>
      <c r="Q316" s="81" t="str">
        <f>IF(AND(B316='111'!$L$11,OR($N316=$Q$7,$O316=$Q$7)),"x","")</f>
        <v/>
      </c>
      <c r="R316" s="81" t="str">
        <f>IF(AND($N316=$Q$7,$B316&lt;'111'!$L$11),"x","")</f>
        <v/>
      </c>
      <c r="S316" s="81" t="str">
        <f>IF(AND($O316=$Q$7,$B316&lt;'111'!$L$11),"x","")</f>
        <v/>
      </c>
      <c r="T316" s="81" t="str">
        <f>IF(ISERROR(FIND('112'!$M$9,G316,1)),"",IF((AND(FIND('112'!$M$9,G316,1)&gt;=1,B316='112'!$K$9,OR($N316='112'!$I$6,$O316='112'!$I$6))),"x",""))</f>
        <v/>
      </c>
      <c r="U316" s="81" t="str">
        <f>IF(ISERROR(FIND('112'!$M$9,G316,1)),"",IF((AND(LEFT(G316,2)=LEFT('112'!$M$9,2),B316&lt;'112'!$K$9,$N316='112'!$I$6)),"x",""))</f>
        <v/>
      </c>
      <c r="V316" s="81" t="str">
        <f>IF(ISERROR(FIND('112'!$M$9,G316,1)),"",IF((AND(RIGHT(G316,2)=RIGHT('112'!$M$9,2),B316&lt;'112'!$K$9,$O316='112'!$I$6)),"x",""))</f>
        <v/>
      </c>
      <c r="W316" s="81" t="str">
        <f>IF(AND('341-CT'!$H$9=H316,OR(LEFT(N316,3)=$W$7,LEFT(O316,3)=$W$7)),"x","")</f>
        <v/>
      </c>
      <c r="X316" s="81" t="str">
        <f>IF(OR(TH!N316=TH!$X$7,O316=TH!$X$7),"x","")</f>
        <v/>
      </c>
      <c r="Y316" s="81" t="str">
        <f>IF(AND(OR(N316="131",O316="131"),H316='131-CT'!$H$9),"x","")</f>
        <v/>
      </c>
      <c r="Z316" s="81"/>
      <c r="AA316" s="81" t="str">
        <f>IF(AND(MONTH(E316)='IN-NX'!$J$5,'IN-NX'!$D$7=D316),"x","")</f>
        <v/>
      </c>
      <c r="AB316" s="81" t="str">
        <f>IF(AND(OR(LEFT(TH!N316,2)="15",LEFT(TH!O316,2)="15"),LEFT(TH!O316,3)&lt;&gt;"111",'152-CT'!$J$8=TH!F316),"x","")</f>
        <v/>
      </c>
      <c r="AC316" s="81" t="str">
        <f>IF(AND(OR(LEFT(TH!N316,2)="15",LEFT(TH!O316,2)="15"),TK!$E$7=TH!F316),"x","")</f>
        <v/>
      </c>
      <c r="AD316" s="81" t="str">
        <f>IF(AND(N316="1521",MONTH(C316)='BK-NL'!$M$11),"x","")</f>
        <v/>
      </c>
      <c r="AE316">
        <v>2</v>
      </c>
    </row>
    <row r="317" spans="1:31" ht="15.75" customHeight="1">
      <c r="A317" s="998" t="str">
        <f>IF(B317&lt;&gt;"",IF(AND(B317='IN-TC'!$S$4,OR(TH!N317="1111",TH!O317="1111")),TH!D317,""),"")</f>
        <v/>
      </c>
      <c r="B317" s="831">
        <f t="shared" si="78"/>
        <v>2</v>
      </c>
      <c r="C317" s="1049">
        <v>42794</v>
      </c>
      <c r="D317" s="1049" t="s">
        <v>573</v>
      </c>
      <c r="E317" s="1049">
        <v>42782</v>
      </c>
      <c r="F317" s="1050" t="s">
        <v>1203</v>
      </c>
      <c r="G317" s="1051" t="s">
        <v>1207</v>
      </c>
      <c r="H317" s="809" t="s">
        <v>613</v>
      </c>
      <c r="I317" s="403"/>
      <c r="J317" s="1052"/>
      <c r="K317" s="396"/>
      <c r="L317" s="403"/>
      <c r="M317" s="1053">
        <v>1357030</v>
      </c>
      <c r="N317" s="1054" t="s">
        <v>9</v>
      </c>
      <c r="O317" s="1054" t="s">
        <v>8</v>
      </c>
      <c r="P317" s="81" t="str">
        <f>IF(AND('331-CT'!$E$7=TH!H317,OR(N317="331",O317="331")),"x","")</f>
        <v/>
      </c>
      <c r="Q317" s="81" t="str">
        <f>IF(AND(B317='111'!$L$11,OR($N317=$Q$7,$O317=$Q$7)),"x","")</f>
        <v/>
      </c>
      <c r="R317" s="81" t="str">
        <f>IF(AND($N317=$Q$7,$B317&lt;'111'!$L$11),"x","")</f>
        <v/>
      </c>
      <c r="S317" s="81" t="str">
        <f>IF(AND($O317=$Q$7,$B317&lt;'111'!$L$11),"x","")</f>
        <v/>
      </c>
      <c r="T317" s="81" t="str">
        <f>IF(ISERROR(FIND('112'!$M$9,G317,1)),"",IF((AND(FIND('112'!$M$9,G317,1)&gt;=1,B317='112'!$K$9,OR($N317='112'!$I$6,$O317='112'!$I$6))),"x",""))</f>
        <v/>
      </c>
      <c r="U317" s="81" t="str">
        <f>IF(ISERROR(FIND('112'!$M$9,G317,1)),"",IF((AND(LEFT(G317,2)=LEFT('112'!$M$9,2),B317&lt;'112'!$K$9,$N317='112'!$I$6)),"x",""))</f>
        <v/>
      </c>
      <c r="V317" s="81" t="str">
        <f>IF(ISERROR(FIND('112'!$M$9,G317,1)),"",IF((AND(RIGHT(G317,2)=RIGHT('112'!$M$9,2),B317&lt;'112'!$K$9,$O317='112'!$I$6)),"x",""))</f>
        <v/>
      </c>
      <c r="W317" s="81" t="str">
        <f>IF(AND('341-CT'!$H$9=H317,OR(LEFT(N317,3)=$W$7,LEFT(O317,3)=$W$7)),"x","")</f>
        <v/>
      </c>
      <c r="X317" s="81" t="str">
        <f>IF(OR(TH!N317=TH!$X$7,O317=TH!$X$7),"x","")</f>
        <v/>
      </c>
      <c r="Y317" s="81" t="str">
        <f>IF(AND(OR(N317="131",O317="131"),H317='131-CT'!$H$9),"x","")</f>
        <v/>
      </c>
      <c r="Z317" s="81"/>
      <c r="AA317" s="81" t="str">
        <f>IF(AND(MONTH(E317)='IN-NX'!$J$5,'IN-NX'!$D$7=D317),"x","")</f>
        <v/>
      </c>
      <c r="AB317" s="81" t="str">
        <f>IF(AND(OR(LEFT(TH!N317,2)="15",LEFT(TH!O317,2)="15"),LEFT(TH!O317,3)&lt;&gt;"111",'152-CT'!$J$8=TH!F317),"x","")</f>
        <v/>
      </c>
      <c r="AC317" s="81" t="str">
        <f>IF(AND(OR(LEFT(TH!N317,2)="15",LEFT(TH!O317,2)="15"),TK!$E$7=TH!F317),"x","")</f>
        <v/>
      </c>
      <c r="AD317" s="81" t="str">
        <f>IF(AND(N317="1521",MONTH(C317)='BK-NL'!$M$11),"x","")</f>
        <v/>
      </c>
      <c r="AE317">
        <v>2</v>
      </c>
    </row>
    <row r="318" spans="1:31" ht="15.75" customHeight="1">
      <c r="A318" s="998" t="str">
        <f>IF(B318&lt;&gt;"",IF(AND(B318='IN-TC'!$S$4,OR(TH!N318="1111",TH!O318="1111")),TH!D318,""),"")</f>
        <v/>
      </c>
      <c r="B318" s="831">
        <f t="shared" si="78"/>
        <v>2</v>
      </c>
      <c r="C318" s="1049">
        <v>42794</v>
      </c>
      <c r="D318" s="1049" t="s">
        <v>573</v>
      </c>
      <c r="E318" s="1049">
        <v>42792</v>
      </c>
      <c r="F318" s="1050" t="s">
        <v>1204</v>
      </c>
      <c r="G318" s="1108"/>
      <c r="H318" s="809" t="s">
        <v>613</v>
      </c>
      <c r="I318" s="403"/>
      <c r="J318" s="1052"/>
      <c r="K318" s="396"/>
      <c r="L318" s="403"/>
      <c r="M318" s="1053">
        <v>12737700</v>
      </c>
      <c r="N318" s="1054" t="s">
        <v>280</v>
      </c>
      <c r="O318" s="1054" t="s">
        <v>8</v>
      </c>
      <c r="P318" s="81" t="str">
        <f>IF(AND('331-CT'!$E$7=TH!H318,OR(N318="331",O318="331")),"x","")</f>
        <v/>
      </c>
      <c r="Q318" s="81" t="str">
        <f>IF(AND(B318='111'!$L$11,OR($N318=$Q$7,$O318=$Q$7)),"x","")</f>
        <v/>
      </c>
      <c r="R318" s="81" t="str">
        <f>IF(AND($N318=$Q$7,$B318&lt;'111'!$L$11),"x","")</f>
        <v/>
      </c>
      <c r="S318" s="81" t="str">
        <f>IF(AND($O318=$Q$7,$B318&lt;'111'!$L$11),"x","")</f>
        <v/>
      </c>
      <c r="T318" s="81" t="str">
        <f>IF(ISERROR(FIND('112'!$M$9,G318,1)),"",IF((AND(FIND('112'!$M$9,G318,1)&gt;=1,B318='112'!$K$9,OR($N318='112'!$I$6,$O318='112'!$I$6))),"x",""))</f>
        <v/>
      </c>
      <c r="U318" s="81" t="str">
        <f>IF(ISERROR(FIND('112'!$M$9,G318,1)),"",IF((AND(LEFT(G318,2)=LEFT('112'!$M$9,2),B318&lt;'112'!$K$9,$N318='112'!$I$6)),"x",""))</f>
        <v/>
      </c>
      <c r="V318" s="81" t="str">
        <f>IF(ISERROR(FIND('112'!$M$9,G318,1)),"",IF((AND(RIGHT(G318,2)=RIGHT('112'!$M$9,2),B318&lt;'112'!$K$9,$O318='112'!$I$6)),"x",""))</f>
        <v/>
      </c>
      <c r="W318" s="81" t="str">
        <f>IF(AND('341-CT'!$H$9=H318,OR(LEFT(N318,3)=$W$7,LEFT(O318,3)=$W$7)),"x","")</f>
        <v/>
      </c>
      <c r="X318" s="81" t="str">
        <f>IF(OR(TH!N318=TH!$X$7,O318=TH!$X$7),"x","")</f>
        <v/>
      </c>
      <c r="Y318" s="81" t="str">
        <f>IF(AND(OR(N318="131",O318="131"),H318='131-CT'!$H$9),"x","")</f>
        <v/>
      </c>
      <c r="Z318" s="81"/>
      <c r="AA318" s="81" t="str">
        <f>IF(AND(MONTH(E318)='IN-NX'!$J$5,'IN-NX'!$D$7=D318),"x","")</f>
        <v/>
      </c>
      <c r="AB318" s="81" t="str">
        <f>IF(AND(OR(LEFT(TH!N318,2)="15",LEFT(TH!O318,2)="15"),LEFT(TH!O318,3)&lt;&gt;"111",'152-CT'!$J$8=TH!F318),"x","")</f>
        <v/>
      </c>
      <c r="AC318" s="81" t="str">
        <f>IF(AND(OR(LEFT(TH!N318,2)="15",LEFT(TH!O318,2)="15"),TK!$E$7=TH!F318),"x","")</f>
        <v/>
      </c>
      <c r="AD318" s="81" t="str">
        <f>IF(AND(N318="1521",MONTH(C318)='BK-NL'!$M$11),"x","")</f>
        <v/>
      </c>
      <c r="AE318">
        <v>2</v>
      </c>
    </row>
    <row r="319" spans="1:31" ht="15.75" customHeight="1">
      <c r="A319" s="998" t="str">
        <f>IF(B319&lt;&gt;"",IF(AND(B319='IN-TC'!$S$4,OR(TH!N319="1111",TH!O319="1111")),TH!D319,""),"")</f>
        <v/>
      </c>
      <c r="B319" s="831">
        <f t="shared" si="78"/>
        <v>2</v>
      </c>
      <c r="C319" s="1049">
        <v>42794</v>
      </c>
      <c r="D319" s="1049" t="s">
        <v>573</v>
      </c>
      <c r="E319" s="1049">
        <v>42792</v>
      </c>
      <c r="F319" s="1050" t="s">
        <v>1205</v>
      </c>
      <c r="G319" s="1108"/>
      <c r="H319" s="809" t="s">
        <v>613</v>
      </c>
      <c r="I319" s="403"/>
      <c r="J319" s="1052"/>
      <c r="K319" s="396"/>
      <c r="L319" s="403"/>
      <c r="M319" s="1053">
        <v>1273770</v>
      </c>
      <c r="N319" s="1054" t="s">
        <v>9</v>
      </c>
      <c r="O319" s="1054" t="s">
        <v>8</v>
      </c>
      <c r="P319" s="81" t="str">
        <f>IF(AND('331-CT'!$E$7=TH!H319,OR(N319="331",O319="331")),"x","")</f>
        <v/>
      </c>
      <c r="Q319" s="81" t="str">
        <f>IF(AND(B319='111'!$L$11,OR($N319=$Q$7,$O319=$Q$7)),"x","")</f>
        <v/>
      </c>
      <c r="R319" s="81" t="str">
        <f>IF(AND($N319=$Q$7,$B319&lt;'111'!$L$11),"x","")</f>
        <v/>
      </c>
      <c r="S319" s="81" t="str">
        <f>IF(AND($O319=$Q$7,$B319&lt;'111'!$L$11),"x","")</f>
        <v/>
      </c>
      <c r="T319" s="81" t="str">
        <f>IF(ISERROR(FIND('112'!$M$9,G319,1)),"",IF((AND(FIND('112'!$M$9,G319,1)&gt;=1,B319='112'!$K$9,OR($N319='112'!$I$6,$O319='112'!$I$6))),"x",""))</f>
        <v/>
      </c>
      <c r="U319" s="81" t="str">
        <f>IF(ISERROR(FIND('112'!$M$9,G319,1)),"",IF((AND(LEFT(G319,2)=LEFT('112'!$M$9,2),B319&lt;'112'!$K$9,$N319='112'!$I$6)),"x",""))</f>
        <v/>
      </c>
      <c r="V319" s="81" t="str">
        <f>IF(ISERROR(FIND('112'!$M$9,G319,1)),"",IF((AND(RIGHT(G319,2)=RIGHT('112'!$M$9,2),B319&lt;'112'!$K$9,$O319='112'!$I$6)),"x",""))</f>
        <v/>
      </c>
      <c r="W319" s="81" t="str">
        <f>IF(AND('341-CT'!$H$9=H319,OR(LEFT(N319,3)=$W$7,LEFT(O319,3)=$W$7)),"x","")</f>
        <v/>
      </c>
      <c r="X319" s="81" t="str">
        <f>IF(OR(TH!N319=TH!$X$7,O319=TH!$X$7),"x","")</f>
        <v/>
      </c>
      <c r="Y319" s="81" t="str">
        <f>IF(AND(OR(N319="131",O319="131"),H319='131-CT'!$H$9),"x","")</f>
        <v/>
      </c>
      <c r="Z319" s="81"/>
      <c r="AA319" s="81" t="str">
        <f>IF(AND(MONTH(E319)='IN-NX'!$J$5,'IN-NX'!$D$7=D319),"x","")</f>
        <v/>
      </c>
      <c r="AB319" s="81" t="str">
        <f>IF(AND(OR(LEFT(TH!N319,2)="15",LEFT(TH!O319,2)="15"),LEFT(TH!O319,3)&lt;&gt;"111",'152-CT'!$J$8=TH!F319),"x","")</f>
        <v/>
      </c>
      <c r="AC319" s="81" t="str">
        <f>IF(AND(OR(LEFT(TH!N319,2)="15",LEFT(TH!O319,2)="15"),TK!$E$7=TH!F319),"x","")</f>
        <v/>
      </c>
      <c r="AD319" s="81" t="str">
        <f>IF(AND(N319="1521",MONTH(C319)='BK-NL'!$M$11),"x","")</f>
        <v/>
      </c>
      <c r="AE319">
        <v>2</v>
      </c>
    </row>
    <row r="320" spans="1:31" ht="15.75" customHeight="1">
      <c r="A320" s="998" t="str">
        <f>IF(B320&lt;&gt;"",IF(AND(B320='IN-TC'!$S$4,OR(TH!N320="1111",TH!O320="1111")),TH!D320,""),"")</f>
        <v/>
      </c>
      <c r="B320" s="831">
        <f t="shared" ref="B320:B321" si="81">IF(C320&lt;&gt;"",MONTH(C320),"")</f>
        <v>3</v>
      </c>
      <c r="C320" s="1049">
        <v>42809</v>
      </c>
      <c r="D320" s="1049" t="s">
        <v>573</v>
      </c>
      <c r="E320" s="1049">
        <f>C320</f>
        <v>42809</v>
      </c>
      <c r="F320" s="1050" t="s">
        <v>1255</v>
      </c>
      <c r="G320" s="1051" t="s">
        <v>1257</v>
      </c>
      <c r="H320" s="806" t="s">
        <v>611</v>
      </c>
      <c r="I320" s="403"/>
      <c r="J320" s="1052"/>
      <c r="K320" s="396"/>
      <c r="L320" s="403"/>
      <c r="M320" s="1053">
        <v>3000000</v>
      </c>
      <c r="N320" s="1054" t="s">
        <v>582</v>
      </c>
      <c r="O320" s="1054" t="s">
        <v>8</v>
      </c>
      <c r="P320" s="81" t="str">
        <f>IF(AND('331-CT'!$E$7=TH!H320,OR(N320="331",O320="331")),"x","")</f>
        <v/>
      </c>
      <c r="Q320" s="81" t="str">
        <f>IF(AND(B320='111'!$L$11,OR($N320=$Q$7,$O320=$Q$7)),"x","")</f>
        <v/>
      </c>
      <c r="R320" s="81" t="str">
        <f>IF(AND($N320=$Q$7,$B320&lt;'111'!$L$11),"x","")</f>
        <v/>
      </c>
      <c r="S320" s="81" t="str">
        <f>IF(AND($O320=$Q$7,$B320&lt;'111'!$L$11),"x","")</f>
        <v/>
      </c>
      <c r="T320" s="81" t="str">
        <f>IF(ISERROR(FIND('112'!$M$9,G320,1)),"",IF((AND(FIND('112'!$M$9,G320,1)&gt;=1,B320='112'!$K$9,OR($N320='112'!$I$6,$O320='112'!$I$6))),"x",""))</f>
        <v/>
      </c>
      <c r="U320" s="81" t="str">
        <f>IF(ISERROR(FIND('112'!$M$9,G320,1)),"",IF((AND(LEFT(G320,2)=LEFT('112'!$M$9,2),B320&lt;'112'!$K$9,$N320='112'!$I$6)),"x",""))</f>
        <v/>
      </c>
      <c r="V320" s="81" t="str">
        <f>IF(ISERROR(FIND('112'!$M$9,G320,1)),"",IF((AND(RIGHT(G320,2)=RIGHT('112'!$M$9,2),B320&lt;'112'!$K$9,$O320='112'!$I$6)),"x",""))</f>
        <v/>
      </c>
      <c r="W320" s="81" t="str">
        <f>IF(AND('341-CT'!$H$9=H320,OR(LEFT(N320,3)=$W$7,LEFT(O320,3)=$W$7)),"x","")</f>
        <v/>
      </c>
      <c r="X320" s="81" t="str">
        <f>IF(OR(TH!N320=TH!$X$7,O320=TH!$X$7),"x","")</f>
        <v/>
      </c>
      <c r="Y320" s="81" t="str">
        <f>IF(AND(OR(N320="131",O320="131"),H320='131-CT'!$H$9),"x","")</f>
        <v/>
      </c>
      <c r="Z320" s="81"/>
      <c r="AA320" s="81" t="str">
        <f>IF(AND(MONTH(E320)='IN-NX'!$J$5,'IN-NX'!$D$7=D320),"x","")</f>
        <v/>
      </c>
      <c r="AB320" s="81" t="str">
        <f>IF(AND(OR(LEFT(TH!N320,2)="15",LEFT(TH!O320,2)="15"),LEFT(TH!O320,3)&lt;&gt;"111",'152-CT'!$J$8=TH!F320),"x","")</f>
        <v/>
      </c>
      <c r="AC320" s="81" t="str">
        <f>IF(AND(OR(LEFT(TH!N320,2)="15",LEFT(TH!O320,2)="15"),TK!$E$7=TH!F320),"x","")</f>
        <v/>
      </c>
      <c r="AD320" s="81" t="str">
        <f>IF(AND(N320="1521",MONTH(C320)='BK-NL'!$M$11),"x","")</f>
        <v/>
      </c>
      <c r="AE320">
        <v>2</v>
      </c>
    </row>
    <row r="321" spans="1:31" ht="15.75" customHeight="1">
      <c r="A321" s="998" t="str">
        <f>IF(B321&lt;&gt;"",IF(AND(B321='IN-TC'!$S$4,OR(TH!N321="1111",TH!O321="1111")),TH!D321,""),"")</f>
        <v/>
      </c>
      <c r="B321" s="831">
        <f t="shared" si="81"/>
        <v>3</v>
      </c>
      <c r="C321" s="1049">
        <v>42809</v>
      </c>
      <c r="D321" s="1049" t="s">
        <v>573</v>
      </c>
      <c r="E321" s="1049">
        <f>C321</f>
        <v>42809</v>
      </c>
      <c r="F321" s="1050" t="s">
        <v>1256</v>
      </c>
      <c r="G321" s="1051" t="s">
        <v>1257</v>
      </c>
      <c r="H321" s="806" t="s">
        <v>611</v>
      </c>
      <c r="I321" s="403"/>
      <c r="J321" s="1052"/>
      <c r="K321" s="396"/>
      <c r="L321" s="403"/>
      <c r="M321" s="1053">
        <v>300000</v>
      </c>
      <c r="N321" s="1054" t="s">
        <v>9</v>
      </c>
      <c r="O321" s="1054" t="s">
        <v>8</v>
      </c>
      <c r="P321" s="81" t="str">
        <f>IF(AND('331-CT'!$E$7=TH!H321,OR(N321="331",O321="331")),"x","")</f>
        <v/>
      </c>
      <c r="Q321" s="81" t="str">
        <f>IF(AND(B321='111'!$L$11,OR($N321=$Q$7,$O321=$Q$7)),"x","")</f>
        <v/>
      </c>
      <c r="R321" s="81" t="str">
        <f>IF(AND($N321=$Q$7,$B321&lt;'111'!$L$11),"x","")</f>
        <v/>
      </c>
      <c r="S321" s="81" t="str">
        <f>IF(AND($O321=$Q$7,$B321&lt;'111'!$L$11),"x","")</f>
        <v/>
      </c>
      <c r="T321" s="81" t="str">
        <f>IF(ISERROR(FIND('112'!$M$9,G321,1)),"",IF((AND(FIND('112'!$M$9,G321,1)&gt;=1,B321='112'!$K$9,OR($N321='112'!$I$6,$O321='112'!$I$6))),"x",""))</f>
        <v/>
      </c>
      <c r="U321" s="81" t="str">
        <f>IF(ISERROR(FIND('112'!$M$9,G321,1)),"",IF((AND(LEFT(G321,2)=LEFT('112'!$M$9,2),B321&lt;'112'!$K$9,$N321='112'!$I$6)),"x",""))</f>
        <v/>
      </c>
      <c r="V321" s="81" t="str">
        <f>IF(ISERROR(FIND('112'!$M$9,G321,1)),"",IF((AND(RIGHT(G321,2)=RIGHT('112'!$M$9,2),B321&lt;'112'!$K$9,$O321='112'!$I$6)),"x",""))</f>
        <v/>
      </c>
      <c r="W321" s="81" t="str">
        <f>IF(AND('341-CT'!$H$9=H321,OR(LEFT(N321,3)=$W$7,LEFT(O321,3)=$W$7)),"x","")</f>
        <v/>
      </c>
      <c r="X321" s="81" t="str">
        <f>IF(OR(TH!N321=TH!$X$7,O321=TH!$X$7),"x","")</f>
        <v/>
      </c>
      <c r="Y321" s="81" t="str">
        <f>IF(AND(OR(N321="131",O321="131"),H321='131-CT'!$H$9),"x","")</f>
        <v/>
      </c>
      <c r="Z321" s="81"/>
      <c r="AA321" s="81" t="str">
        <f>IF(AND(MONTH(E321)='IN-NX'!$J$5,'IN-NX'!$D$7=D321),"x","")</f>
        <v/>
      </c>
      <c r="AB321" s="81" t="str">
        <f>IF(AND(OR(LEFT(TH!N321,2)="15",LEFT(TH!O321,2)="15"),LEFT(TH!O321,3)&lt;&gt;"111",'152-CT'!$J$8=TH!F321),"x","")</f>
        <v/>
      </c>
      <c r="AC321" s="81" t="str">
        <f>IF(AND(OR(LEFT(TH!N321,2)="15",LEFT(TH!O321,2)="15"),TK!$E$7=TH!F321),"x","")</f>
        <v/>
      </c>
      <c r="AD321" s="81" t="str">
        <f>IF(AND(N321="1521",MONTH(C321)='BK-NL'!$M$11),"x","")</f>
        <v/>
      </c>
      <c r="AE321">
        <v>2</v>
      </c>
    </row>
    <row r="322" spans="1:31" ht="15.75" customHeight="1">
      <c r="A322" s="998"/>
      <c r="B322" s="831" t="str">
        <f t="shared" si="78"/>
        <v/>
      </c>
      <c r="C322" s="1049"/>
      <c r="D322" s="1049"/>
      <c r="E322" s="1049"/>
      <c r="F322" s="1050"/>
      <c r="G322" s="1051"/>
      <c r="H322" s="71"/>
      <c r="I322" s="403"/>
      <c r="J322" s="1052"/>
      <c r="K322" s="396"/>
      <c r="L322" s="403"/>
      <c r="M322" s="1053"/>
      <c r="N322" s="1054"/>
      <c r="O322" s="1054"/>
      <c r="P322" s="81" t="str">
        <f>IF(AND('331-CT'!$E$7=TH!H322,OR(N322="331",O322="331")),"x","")</f>
        <v/>
      </c>
      <c r="Q322" s="81" t="str">
        <f>IF(AND(B322='111'!$L$11,OR($N322=$Q$7,$O322=$Q$7)),"x","")</f>
        <v/>
      </c>
      <c r="R322" s="81" t="str">
        <f>IF(AND($N322=$Q$7,$B322&lt;'111'!$L$11),"x","")</f>
        <v/>
      </c>
      <c r="S322" s="81" t="str">
        <f>IF(AND($O322=$Q$7,$B322&lt;'111'!$L$11),"x","")</f>
        <v/>
      </c>
      <c r="T322" s="81" t="str">
        <f>IF(ISERROR(FIND('112'!$M$9,G322,1)),"",IF((AND(FIND('112'!$M$9,G322,1)&gt;=1,B322='112'!$K$9,OR($N322='112'!$I$6,$O322='112'!$I$6))),"x",""))</f>
        <v/>
      </c>
      <c r="U322" s="81" t="str">
        <f>IF(ISERROR(FIND('112'!$M$9,G322,1)),"",IF((AND(LEFT(G322,2)=LEFT('112'!$M$9,2),B322&lt;'112'!$K$9,$N322='112'!$I$6)),"x",""))</f>
        <v/>
      </c>
      <c r="V322" s="81" t="str">
        <f>IF(ISERROR(FIND('112'!$M$9,G322,1)),"",IF((AND(RIGHT(G322,2)=RIGHT('112'!$M$9,2),B322&lt;'112'!$K$9,$O322='112'!$I$6)),"x",""))</f>
        <v/>
      </c>
      <c r="W322" s="81" t="str">
        <f>IF(AND('341-CT'!$H$9=H322,OR(LEFT(N322,3)=$W$7,LEFT(O322,3)=$W$7)),"x","")</f>
        <v/>
      </c>
      <c r="X322" s="81" t="str">
        <f>IF(OR(TH!N322=TH!$X$7,O322=TH!$X$7),"x","")</f>
        <v/>
      </c>
      <c r="Y322" s="81" t="str">
        <f>IF(AND(OR(N322="131",O322="131"),H322='131-CT'!$H$9),"x","")</f>
        <v/>
      </c>
      <c r="Z322" s="81"/>
      <c r="AA322" s="81" t="str">
        <f>IF(AND(MONTH(E322)='IN-NX'!$J$5,'IN-NX'!$D$7=D322),"x","")</f>
        <v/>
      </c>
      <c r="AB322" s="81" t="str">
        <f>IF(AND(OR(LEFT(TH!N322,2)="15",LEFT(TH!O322,2)="15"),LEFT(TH!O322,3)&lt;&gt;"111",'152-CT'!$J$8=TH!F322),"x","")</f>
        <v/>
      </c>
      <c r="AC322" s="81" t="str">
        <f>IF(AND(OR(LEFT(TH!N322,2)="15",LEFT(TH!O322,2)="15"),TK!$E$7=TH!F322),"x","")</f>
        <v/>
      </c>
      <c r="AD322" s="81" t="str">
        <f>IF(AND(N322="1521",MONTH(C322)='BK-NL'!$M$11),"x","")</f>
        <v/>
      </c>
    </row>
    <row r="323" spans="1:31" ht="15.75" customHeight="1">
      <c r="A323" s="1064" t="str">
        <f>IF(B323&lt;&gt;"",IF(AND(B323='IN-TC'!$S$4,OR(TH!N323="1111",TH!O323="1111")),TH!D323,""),"")</f>
        <v/>
      </c>
      <c r="B323" s="1065">
        <f t="shared" si="26"/>
        <v>1</v>
      </c>
      <c r="C323" s="1066">
        <v>42742</v>
      </c>
      <c r="D323" s="1066" t="s">
        <v>949</v>
      </c>
      <c r="E323" s="1066">
        <f t="shared" si="68"/>
        <v>42742</v>
      </c>
      <c r="F323" s="1067" t="s">
        <v>397</v>
      </c>
      <c r="G323" s="1068" t="s">
        <v>951</v>
      </c>
      <c r="H323" s="1090" t="s">
        <v>604</v>
      </c>
      <c r="I323" s="1069">
        <v>1311</v>
      </c>
      <c r="J323" s="1070">
        <v>18200</v>
      </c>
      <c r="K323" s="1071"/>
      <c r="L323" s="1069"/>
      <c r="M323" s="1072">
        <f>I323*J323</f>
        <v>23860200</v>
      </c>
      <c r="N323" s="1073" t="s">
        <v>274</v>
      </c>
      <c r="O323" s="1073" t="s">
        <v>8</v>
      </c>
      <c r="P323" s="81" t="str">
        <f>IF(AND('331-CT'!$E$7=TH!H323,OR(N323="331",O323="331")),"x","")</f>
        <v/>
      </c>
      <c r="Q323" s="81" t="str">
        <f>IF(AND(B323='111'!$L$11,OR($N323=$Q$7,$O323=$Q$7)),"x","")</f>
        <v/>
      </c>
      <c r="R323" s="81" t="str">
        <f>IF(AND($N323=$Q$7,$B323&lt;'111'!$L$11),"x","")</f>
        <v/>
      </c>
      <c r="S323" s="81" t="str">
        <f>IF(AND($O323=$Q$7,$B323&lt;'111'!$L$11),"x","")</f>
        <v/>
      </c>
      <c r="T323" s="81" t="str">
        <f>IF(ISERROR(FIND('112'!$M$9,G323,1)),"",IF((AND(FIND('112'!$M$9,G323,1)&gt;=1,B323='112'!$K$9,OR($N323='112'!$I$6,$O323='112'!$I$6))),"x",""))</f>
        <v/>
      </c>
      <c r="U323" s="81" t="str">
        <f>IF(ISERROR(FIND('112'!$M$9,G323,1)),"",IF((AND(LEFT(G323,2)=LEFT('112'!$M$9,2),B323&lt;'112'!$K$9,$N323='112'!$I$6)),"x",""))</f>
        <v/>
      </c>
      <c r="V323" s="81" t="str">
        <f>IF(ISERROR(FIND('112'!$M$9,G323,1)),"",IF((AND(RIGHT(G323,2)=RIGHT('112'!$M$9,2),B323&lt;'112'!$K$9,$O323='112'!$I$6)),"x",""))</f>
        <v/>
      </c>
      <c r="W323" s="81" t="str">
        <f>IF(AND('341-CT'!$H$9=H323,OR(LEFT(N323,3)=$W$7,LEFT(O323,3)=$W$7)),"x","")</f>
        <v/>
      </c>
      <c r="X323" s="81" t="str">
        <f>IF(OR(TH!N323=TH!$X$7,O323=TH!$X$7),"x","")</f>
        <v/>
      </c>
      <c r="Y323" s="81" t="str">
        <f>IF(AND(OR(N323="131",O323="131"),H323='131-CT'!$H$9),"x","")</f>
        <v/>
      </c>
      <c r="Z323" s="81"/>
      <c r="AA323" s="81" t="str">
        <f>IF(AND(MONTH(E323)='IN-NX'!$J$5,'IN-NX'!$D$7=D323),"x","")</f>
        <v>x</v>
      </c>
      <c r="AB323" s="81" t="str">
        <f>IF(AND(OR(LEFT(TH!N323,2)="15",LEFT(TH!O323,2)="15"),LEFT(TH!O323,3)&lt;&gt;"111",'152-CT'!$J$8=TH!F323),"x","")</f>
        <v/>
      </c>
      <c r="AC323" s="81" t="str">
        <f>IF(AND(OR(LEFT(TH!N323,2)="15",LEFT(TH!O323,2)="15"),TK!$E$7=TH!F323),"x","")</f>
        <v/>
      </c>
      <c r="AD323" s="81" t="str">
        <f>IF(AND(N323="1521",MONTH(C323)='BK-NL'!$M$11),"x","")</f>
        <v/>
      </c>
      <c r="AE323">
        <v>1</v>
      </c>
    </row>
    <row r="324" spans="1:31" ht="15.75" customHeight="1">
      <c r="A324" s="1064" t="str">
        <f>IF(B324&lt;&gt;"",IF(AND(B324='IN-TC'!$S$4,OR(TH!N324="1111",TH!O324="1111")),TH!D324,""),"")</f>
        <v/>
      </c>
      <c r="B324" s="1065">
        <f t="shared" si="26"/>
        <v>1</v>
      </c>
      <c r="C324" s="1066">
        <v>42742</v>
      </c>
      <c r="D324" s="1066" t="s">
        <v>949</v>
      </c>
      <c r="E324" s="1066">
        <f t="shared" ref="E324:E326" si="82">C324</f>
        <v>42742</v>
      </c>
      <c r="F324" s="1067" t="s">
        <v>391</v>
      </c>
      <c r="G324" s="1068" t="s">
        <v>951</v>
      </c>
      <c r="H324" s="1090" t="s">
        <v>604</v>
      </c>
      <c r="I324" s="1069">
        <v>424</v>
      </c>
      <c r="J324" s="1070">
        <v>18000</v>
      </c>
      <c r="K324" s="1071"/>
      <c r="L324" s="1069"/>
      <c r="M324" s="1072">
        <f t="shared" ref="M324:M326" si="83">I324*J324</f>
        <v>7632000</v>
      </c>
      <c r="N324" s="1073" t="s">
        <v>274</v>
      </c>
      <c r="O324" s="1073" t="s">
        <v>8</v>
      </c>
      <c r="P324" s="81" t="str">
        <f>IF(AND('331-CT'!$E$7=TH!H324,OR(N324="331",O324="331")),"x","")</f>
        <v/>
      </c>
      <c r="Q324" s="81" t="str">
        <f>IF(AND(B324='111'!$L$11,OR($N324=$Q$7,$O324=$Q$7)),"x","")</f>
        <v/>
      </c>
      <c r="R324" s="81" t="str">
        <f>IF(AND($N324=$Q$7,$B324&lt;'111'!$L$11),"x","")</f>
        <v/>
      </c>
      <c r="S324" s="81" t="str">
        <f>IF(AND($O324=$Q$7,$B324&lt;'111'!$L$11),"x","")</f>
        <v/>
      </c>
      <c r="T324" s="81" t="str">
        <f>IF(ISERROR(FIND('112'!$M$9,G324,1)),"",IF((AND(FIND('112'!$M$9,G324,1)&gt;=1,B324='112'!$K$9,OR($N324='112'!$I$6,$O324='112'!$I$6))),"x",""))</f>
        <v/>
      </c>
      <c r="U324" s="81" t="str">
        <f>IF(ISERROR(FIND('112'!$M$9,G324,1)),"",IF((AND(LEFT(G324,2)=LEFT('112'!$M$9,2),B324&lt;'112'!$K$9,$N324='112'!$I$6)),"x",""))</f>
        <v/>
      </c>
      <c r="V324" s="81" t="str">
        <f>IF(ISERROR(FIND('112'!$M$9,G324,1)),"",IF((AND(RIGHT(G324,2)=RIGHT('112'!$M$9,2),B324&lt;'112'!$K$9,$O324='112'!$I$6)),"x",""))</f>
        <v/>
      </c>
      <c r="W324" s="81" t="str">
        <f>IF(AND('341-CT'!$H$9=H324,OR(LEFT(N324,3)=$W$7,LEFT(O324,3)=$W$7)),"x","")</f>
        <v/>
      </c>
      <c r="X324" s="81" t="str">
        <f>IF(OR(TH!N324=TH!$X$7,O324=TH!$X$7),"x","")</f>
        <v/>
      </c>
      <c r="Y324" s="81" t="str">
        <f>IF(AND(OR(N324="131",O324="131"),H324='131-CT'!$H$9),"x","")</f>
        <v/>
      </c>
      <c r="Z324" s="81"/>
      <c r="AA324" s="81" t="str">
        <f>IF(AND(MONTH(E324)='IN-NX'!$J$5,'IN-NX'!$D$7=D324),"x","")</f>
        <v>x</v>
      </c>
      <c r="AB324" s="81" t="str">
        <f>IF(AND(OR(LEFT(TH!N324,2)="15",LEFT(TH!O324,2)="15"),LEFT(TH!O324,3)&lt;&gt;"111",'152-CT'!$J$8=TH!F324),"x","")</f>
        <v/>
      </c>
      <c r="AC324" s="81" t="str">
        <f>IF(AND(OR(LEFT(TH!N324,2)="15",LEFT(TH!O324,2)="15"),TK!$E$7=TH!F324),"x","")</f>
        <v/>
      </c>
      <c r="AD324" s="81" t="str">
        <f>IF(AND(N324="1521",MONTH(C324)='BK-NL'!$M$11),"x","")</f>
        <v/>
      </c>
      <c r="AE324">
        <v>1</v>
      </c>
    </row>
    <row r="325" spans="1:31" ht="15.75" customHeight="1">
      <c r="A325" s="1064" t="str">
        <f>IF(B325&lt;&gt;"",IF(AND(B325='IN-TC'!$S$4,OR(TH!N325="1111",TH!O325="1111")),TH!D325,""),"")</f>
        <v/>
      </c>
      <c r="B325" s="1065">
        <f t="shared" si="26"/>
        <v>1</v>
      </c>
      <c r="C325" s="1066">
        <v>42742</v>
      </c>
      <c r="D325" s="1066" t="s">
        <v>949</v>
      </c>
      <c r="E325" s="1066">
        <f t="shared" si="82"/>
        <v>42742</v>
      </c>
      <c r="F325" s="1067" t="s">
        <v>384</v>
      </c>
      <c r="G325" s="1068" t="s">
        <v>951</v>
      </c>
      <c r="H325" s="1090" t="s">
        <v>604</v>
      </c>
      <c r="I325" s="1069">
        <v>140</v>
      </c>
      <c r="J325" s="1070">
        <v>6000</v>
      </c>
      <c r="K325" s="1071"/>
      <c r="L325" s="1069"/>
      <c r="M325" s="1072">
        <f t="shared" si="83"/>
        <v>840000</v>
      </c>
      <c r="N325" s="1073" t="s">
        <v>274</v>
      </c>
      <c r="O325" s="1073" t="s">
        <v>8</v>
      </c>
      <c r="P325" s="81" t="str">
        <f>IF(AND('331-CT'!$E$7=TH!H325,OR(N325="331",O325="331")),"x","")</f>
        <v/>
      </c>
      <c r="Q325" s="81" t="str">
        <f>IF(AND(B325='111'!$L$11,OR($N325=$Q$7,$O325=$Q$7)),"x","")</f>
        <v/>
      </c>
      <c r="R325" s="81" t="str">
        <f>IF(AND($N325=$Q$7,$B325&lt;'111'!$L$11),"x","")</f>
        <v/>
      </c>
      <c r="S325" s="81" t="str">
        <f>IF(AND($O325=$Q$7,$B325&lt;'111'!$L$11),"x","")</f>
        <v/>
      </c>
      <c r="T325" s="81" t="str">
        <f>IF(ISERROR(FIND('112'!$M$9,G325,1)),"",IF((AND(FIND('112'!$M$9,G325,1)&gt;=1,B325='112'!$K$9,OR($N325='112'!$I$6,$O325='112'!$I$6))),"x",""))</f>
        <v/>
      </c>
      <c r="U325" s="81" t="str">
        <f>IF(ISERROR(FIND('112'!$M$9,G325,1)),"",IF((AND(LEFT(G325,2)=LEFT('112'!$M$9,2),B325&lt;'112'!$K$9,$N325='112'!$I$6)),"x",""))</f>
        <v/>
      </c>
      <c r="V325" s="81" t="str">
        <f>IF(ISERROR(FIND('112'!$M$9,G325,1)),"",IF((AND(RIGHT(G325,2)=RIGHT('112'!$M$9,2),B325&lt;'112'!$K$9,$O325='112'!$I$6)),"x",""))</f>
        <v/>
      </c>
      <c r="W325" s="81" t="str">
        <f>IF(AND('341-CT'!$H$9=H325,OR(LEFT(N325,3)=$W$7,LEFT(O325,3)=$W$7)),"x","")</f>
        <v/>
      </c>
      <c r="X325" s="81" t="str">
        <f>IF(OR(TH!N325=TH!$X$7,O325=TH!$X$7),"x","")</f>
        <v/>
      </c>
      <c r="Y325" s="81" t="str">
        <f>IF(AND(OR(N325="131",O325="131"),H325='131-CT'!$H$9),"x","")</f>
        <v/>
      </c>
      <c r="Z325" s="81"/>
      <c r="AA325" s="81" t="str">
        <f>IF(AND(MONTH(E325)='IN-NX'!$J$5,'IN-NX'!$D$7=D325),"x","")</f>
        <v>x</v>
      </c>
      <c r="AB325" s="81" t="str">
        <f>IF(AND(OR(LEFT(TH!N325,2)="15",LEFT(TH!O325,2)="15"),LEFT(TH!O325,3)&lt;&gt;"111",'152-CT'!$J$8=TH!F325),"x","")</f>
        <v/>
      </c>
      <c r="AC325" s="81" t="str">
        <f>IF(AND(OR(LEFT(TH!N325,2)="15",LEFT(TH!O325,2)="15"),TK!$E$7=TH!F325),"x","")</f>
        <v/>
      </c>
      <c r="AD325" s="81" t="str">
        <f>IF(AND(N325="1521",MONTH(C325)='BK-NL'!$M$11),"x","")</f>
        <v/>
      </c>
      <c r="AE325">
        <v>1</v>
      </c>
    </row>
    <row r="326" spans="1:31" ht="15.75" customHeight="1">
      <c r="A326" s="1064" t="str">
        <f>IF(B326&lt;&gt;"",IF(AND(B326='IN-TC'!$S$4,OR(TH!N326="1111",TH!O326="1111")),TH!D326,""),"")</f>
        <v/>
      </c>
      <c r="B326" s="1065">
        <f t="shared" si="26"/>
        <v>1</v>
      </c>
      <c r="C326" s="1066">
        <v>42742</v>
      </c>
      <c r="D326" s="1066" t="s">
        <v>949</v>
      </c>
      <c r="E326" s="1066">
        <f t="shared" si="82"/>
        <v>42742</v>
      </c>
      <c r="F326" s="972" t="s">
        <v>950</v>
      </c>
      <c r="G326" s="1068" t="s">
        <v>951</v>
      </c>
      <c r="H326" s="1090" t="s">
        <v>604</v>
      </c>
      <c r="I326" s="1069">
        <v>450</v>
      </c>
      <c r="J326" s="1070">
        <v>2400</v>
      </c>
      <c r="K326" s="1071"/>
      <c r="L326" s="1069"/>
      <c r="M326" s="1072">
        <f t="shared" si="83"/>
        <v>1080000</v>
      </c>
      <c r="N326" s="1073" t="s">
        <v>274</v>
      </c>
      <c r="O326" s="1073" t="s">
        <v>8</v>
      </c>
      <c r="P326" s="81" t="str">
        <f>IF(AND('331-CT'!$E$7=TH!H326,OR(N326="331",O326="331")),"x","")</f>
        <v/>
      </c>
      <c r="Q326" s="81" t="str">
        <f>IF(AND(B326='111'!$L$11,OR($N326=$Q$7,$O326=$Q$7)),"x","")</f>
        <v/>
      </c>
      <c r="R326" s="81" t="str">
        <f>IF(AND($N326=$Q$7,$B326&lt;'111'!$L$11),"x","")</f>
        <v/>
      </c>
      <c r="S326" s="81" t="str">
        <f>IF(AND($O326=$Q$7,$B326&lt;'111'!$L$11),"x","")</f>
        <v/>
      </c>
      <c r="T326" s="81" t="str">
        <f>IF(ISERROR(FIND('112'!$M$9,G326,1)),"",IF((AND(FIND('112'!$M$9,G326,1)&gt;=1,B326='112'!$K$9,OR($N326='112'!$I$6,$O326='112'!$I$6))),"x",""))</f>
        <v/>
      </c>
      <c r="U326" s="81" t="str">
        <f>IF(ISERROR(FIND('112'!$M$9,G326,1)),"",IF((AND(LEFT(G326,2)=LEFT('112'!$M$9,2),B326&lt;'112'!$K$9,$N326='112'!$I$6)),"x",""))</f>
        <v/>
      </c>
      <c r="V326" s="81" t="str">
        <f>IF(ISERROR(FIND('112'!$M$9,G326,1)),"",IF((AND(RIGHT(G326,2)=RIGHT('112'!$M$9,2),B326&lt;'112'!$K$9,$O326='112'!$I$6)),"x",""))</f>
        <v/>
      </c>
      <c r="W326" s="81" t="str">
        <f>IF(AND('341-CT'!$H$9=H326,OR(LEFT(N326,3)=$W$7,LEFT(O326,3)=$W$7)),"x","")</f>
        <v/>
      </c>
      <c r="X326" s="81" t="str">
        <f>IF(OR(TH!N326=TH!$X$7,O326=TH!$X$7),"x","")</f>
        <v/>
      </c>
      <c r="Y326" s="81" t="str">
        <f>IF(AND(OR(N326="131",O326="131"),H326='131-CT'!$H$9),"x","")</f>
        <v/>
      </c>
      <c r="Z326" s="81"/>
      <c r="AA326" s="81" t="str">
        <f>IF(AND(MONTH(E326)='IN-NX'!$J$5,'IN-NX'!$D$7=D326),"x","")</f>
        <v>x</v>
      </c>
      <c r="AB326" s="81" t="str">
        <f>IF(AND(OR(LEFT(TH!N326,2)="15",LEFT(TH!O326,2)="15"),LEFT(TH!O326,3)&lt;&gt;"111",'152-CT'!$J$8=TH!F326),"x","")</f>
        <v/>
      </c>
      <c r="AC326" s="81" t="str">
        <f>IF(AND(OR(LEFT(TH!N326,2)="15",LEFT(TH!O326,2)="15"),TK!$E$7=TH!F326),"x","")</f>
        <v/>
      </c>
      <c r="AD326" s="81" t="str">
        <f>IF(AND(N326="1521",MONTH(C326)='BK-NL'!$M$11),"x","")</f>
        <v/>
      </c>
      <c r="AE326">
        <v>1</v>
      </c>
    </row>
    <row r="327" spans="1:31" ht="15.75" customHeight="1">
      <c r="A327" s="1064" t="str">
        <f>IF(B327&lt;&gt;"",IF(AND(B327='IN-TC'!$S$4,OR(TH!N327="1111",TH!O327="1111")),TH!D327,""),"")</f>
        <v/>
      </c>
      <c r="B327" s="1065">
        <f t="shared" ref="B327:B328" si="84">IF(C327&lt;&gt;"",MONTH(C327),"")</f>
        <v>1</v>
      </c>
      <c r="C327" s="1066">
        <v>42742</v>
      </c>
      <c r="D327" s="1066" t="s">
        <v>949</v>
      </c>
      <c r="E327" s="1066">
        <f t="shared" ref="E327:E328" si="85">C327</f>
        <v>42742</v>
      </c>
      <c r="F327" s="972" t="s">
        <v>952</v>
      </c>
      <c r="G327" s="1068" t="s">
        <v>951</v>
      </c>
      <c r="H327" s="1090" t="s">
        <v>604</v>
      </c>
      <c r="I327" s="1069"/>
      <c r="J327" s="1070"/>
      <c r="K327" s="1071"/>
      <c r="L327" s="1069"/>
      <c r="M327" s="1072">
        <v>3341220</v>
      </c>
      <c r="N327" s="1073" t="s">
        <v>9</v>
      </c>
      <c r="O327" s="1073" t="s">
        <v>8</v>
      </c>
      <c r="P327" s="81" t="str">
        <f>IF(AND('331-CT'!$E$7=TH!H327,OR(N327="331",O327="331")),"x","")</f>
        <v/>
      </c>
      <c r="Q327" s="81" t="str">
        <f>IF(AND(B327='111'!$L$11,OR($N327=$Q$7,$O327=$Q$7)),"x","")</f>
        <v/>
      </c>
      <c r="R327" s="81" t="str">
        <f>IF(AND($N327=$Q$7,$B327&lt;'111'!$L$11),"x","")</f>
        <v/>
      </c>
      <c r="S327" s="81" t="str">
        <f>IF(AND($O327=$Q$7,$B327&lt;'111'!$L$11),"x","")</f>
        <v/>
      </c>
      <c r="T327" s="81" t="str">
        <f>IF(ISERROR(FIND('112'!$M$9,G327,1)),"",IF((AND(FIND('112'!$M$9,G327,1)&gt;=1,B327='112'!$K$9,OR($N327='112'!$I$6,$O327='112'!$I$6))),"x",""))</f>
        <v/>
      </c>
      <c r="U327" s="81" t="str">
        <f>IF(ISERROR(FIND('112'!$M$9,G327,1)),"",IF((AND(LEFT(G327,2)=LEFT('112'!$M$9,2),B327&lt;'112'!$K$9,$N327='112'!$I$6)),"x",""))</f>
        <v/>
      </c>
      <c r="V327" s="81" t="str">
        <f>IF(ISERROR(FIND('112'!$M$9,G327,1)),"",IF((AND(RIGHT(G327,2)=RIGHT('112'!$M$9,2),B327&lt;'112'!$K$9,$O327='112'!$I$6)),"x",""))</f>
        <v/>
      </c>
      <c r="W327" s="81" t="str">
        <f>IF(AND('341-CT'!$H$9=H327,OR(LEFT(N327,3)=$W$7,LEFT(O327,3)=$W$7)),"x","")</f>
        <v/>
      </c>
      <c r="X327" s="81" t="str">
        <f>IF(OR(TH!N327=TH!$X$7,O327=TH!$X$7),"x","")</f>
        <v/>
      </c>
      <c r="Y327" s="81" t="str">
        <f>IF(AND(OR(N327="131",O327="131"),H327='131-CT'!$H$9),"x","")</f>
        <v/>
      </c>
      <c r="Z327" s="81"/>
      <c r="AA327" s="81" t="str">
        <f>IF(AND(MONTH(E327)='IN-NX'!$J$5,'IN-NX'!$D$7=D327),"x","")</f>
        <v>x</v>
      </c>
      <c r="AB327" s="81" t="str">
        <f>IF(AND(OR(LEFT(TH!N327,2)="15",LEFT(TH!O327,2)="15"),LEFT(TH!O327,3)&lt;&gt;"111",'152-CT'!$J$8=TH!F327),"x","")</f>
        <v/>
      </c>
      <c r="AC327" s="81" t="str">
        <f>IF(AND(OR(LEFT(TH!N327,2)="15",LEFT(TH!O327,2)="15"),TK!$E$7=TH!F327),"x","")</f>
        <v/>
      </c>
      <c r="AD327" s="81" t="str">
        <f>IF(AND(N327="1521",MONTH(C327)='BK-NL'!$M$11),"x","")</f>
        <v/>
      </c>
      <c r="AE327">
        <v>1</v>
      </c>
    </row>
    <row r="328" spans="1:31" ht="15.75" customHeight="1">
      <c r="A328" s="1064" t="str">
        <f>IF(B328&lt;&gt;"",IF(AND(B328='IN-TC'!$S$4,OR(TH!N328="1111",TH!O328="1111")),TH!D328,""),"")</f>
        <v/>
      </c>
      <c r="B328" s="1065">
        <f t="shared" si="84"/>
        <v>1</v>
      </c>
      <c r="C328" s="1066">
        <v>42746</v>
      </c>
      <c r="D328" s="1066" t="s">
        <v>960</v>
      </c>
      <c r="E328" s="1066">
        <f t="shared" si="85"/>
        <v>42746</v>
      </c>
      <c r="F328" s="1067" t="s">
        <v>356</v>
      </c>
      <c r="G328" s="1068" t="s">
        <v>962</v>
      </c>
      <c r="H328" s="1090" t="s">
        <v>601</v>
      </c>
      <c r="I328" s="1069">
        <v>600</v>
      </c>
      <c r="J328" s="1070">
        <v>8700</v>
      </c>
      <c r="K328" s="1071"/>
      <c r="L328" s="1069"/>
      <c r="M328" s="1072">
        <f>I328*J328</f>
        <v>5220000</v>
      </c>
      <c r="N328" s="1073" t="s">
        <v>274</v>
      </c>
      <c r="O328" s="1073" t="s">
        <v>8</v>
      </c>
      <c r="P328" s="81" t="str">
        <f>IF(AND('331-CT'!$E$7=TH!H328,OR(N328="331",O328="331")),"x","")</f>
        <v/>
      </c>
      <c r="Q328" s="81" t="str">
        <f>IF(AND(B328='111'!$L$11,OR($N328=$Q$7,$O328=$Q$7)),"x","")</f>
        <v/>
      </c>
      <c r="R328" s="81" t="str">
        <f>IF(AND($N328=$Q$7,$B328&lt;'111'!$L$11),"x","")</f>
        <v/>
      </c>
      <c r="S328" s="81" t="str">
        <f>IF(AND($O328=$Q$7,$B328&lt;'111'!$L$11),"x","")</f>
        <v/>
      </c>
      <c r="T328" s="81" t="str">
        <f>IF(ISERROR(FIND('112'!$M$9,G328,1)),"",IF((AND(FIND('112'!$M$9,G328,1)&gt;=1,B328='112'!$K$9,OR($N328='112'!$I$6,$O328='112'!$I$6))),"x",""))</f>
        <v/>
      </c>
      <c r="U328" s="81" t="str">
        <f>IF(ISERROR(FIND('112'!$M$9,G328,1)),"",IF((AND(LEFT(G328,2)=LEFT('112'!$M$9,2),B328&lt;'112'!$K$9,$N328='112'!$I$6)),"x",""))</f>
        <v/>
      </c>
      <c r="V328" s="81" t="str">
        <f>IF(ISERROR(FIND('112'!$M$9,G328,1)),"",IF((AND(RIGHT(G328,2)=RIGHT('112'!$M$9,2),B328&lt;'112'!$K$9,$O328='112'!$I$6)),"x",""))</f>
        <v/>
      </c>
      <c r="W328" s="81" t="str">
        <f>IF(AND('341-CT'!$H$9=H328,OR(LEFT(N328,3)=$W$7,LEFT(O328,3)=$W$7)),"x","")</f>
        <v/>
      </c>
      <c r="X328" s="81" t="str">
        <f>IF(OR(TH!N328=TH!$X$7,O328=TH!$X$7),"x","")</f>
        <v/>
      </c>
      <c r="Y328" s="81" t="str">
        <f>IF(AND(OR(N328="131",O328="131"),H328='131-CT'!$H$9),"x","")</f>
        <v/>
      </c>
      <c r="Z328" s="81"/>
      <c r="AA328" s="81" t="str">
        <f>IF(AND(MONTH(E328)='IN-NX'!$J$5,'IN-NX'!$D$7=D328),"x","")</f>
        <v/>
      </c>
      <c r="AB328" s="81" t="str">
        <f>IF(AND(OR(LEFT(TH!N328,2)="15",LEFT(TH!O328,2)="15"),LEFT(TH!O328,3)&lt;&gt;"111",'152-CT'!$J$8=TH!F328),"x","")</f>
        <v/>
      </c>
      <c r="AC328" s="81" t="str">
        <f>IF(AND(OR(LEFT(TH!N328,2)="15",LEFT(TH!O328,2)="15"),TK!$E$7=TH!F328),"x","")</f>
        <v/>
      </c>
      <c r="AD328" s="81" t="str">
        <f>IF(AND(N328="1521",MONTH(C328)='BK-NL'!$M$11),"x","")</f>
        <v/>
      </c>
      <c r="AE328">
        <v>1</v>
      </c>
    </row>
    <row r="329" spans="1:31" ht="15.75" customHeight="1">
      <c r="A329" s="1064" t="str">
        <f>IF(B329&lt;&gt;"",IF(AND(B329='IN-TC'!$S$4,OR(TH!N329="1111",TH!O329="1111")),TH!D329,""),"")</f>
        <v/>
      </c>
      <c r="B329" s="1065">
        <f t="shared" ref="B329" si="86">IF(C329&lt;&gt;"",MONTH(C329),"")</f>
        <v>1</v>
      </c>
      <c r="C329" s="1066">
        <v>42746</v>
      </c>
      <c r="D329" s="1066" t="s">
        <v>960</v>
      </c>
      <c r="E329" s="1066">
        <f t="shared" ref="E329" si="87">C329</f>
        <v>42746</v>
      </c>
      <c r="F329" s="1067" t="s">
        <v>961</v>
      </c>
      <c r="G329" s="1068" t="s">
        <v>962</v>
      </c>
      <c r="H329" s="1090" t="s">
        <v>601</v>
      </c>
      <c r="I329" s="1069"/>
      <c r="J329" s="1070"/>
      <c r="K329" s="1071"/>
      <c r="L329" s="1069"/>
      <c r="M329" s="1072">
        <v>522000</v>
      </c>
      <c r="N329" s="1073" t="s">
        <v>9</v>
      </c>
      <c r="O329" s="1073" t="s">
        <v>8</v>
      </c>
      <c r="P329" s="81" t="str">
        <f>IF(AND('331-CT'!$E$7=TH!H329,OR(N329="331",O329="331")),"x","")</f>
        <v/>
      </c>
      <c r="Q329" s="81" t="str">
        <f>IF(AND(B329='111'!$L$11,OR($N329=$Q$7,$O329=$Q$7)),"x","")</f>
        <v/>
      </c>
      <c r="R329" s="81" t="str">
        <f>IF(AND($N329=$Q$7,$B329&lt;'111'!$L$11),"x","")</f>
        <v/>
      </c>
      <c r="S329" s="81" t="str">
        <f>IF(AND($O329=$Q$7,$B329&lt;'111'!$L$11),"x","")</f>
        <v/>
      </c>
      <c r="T329" s="81" t="str">
        <f>IF(ISERROR(FIND('112'!$M$9,G329,1)),"",IF((AND(FIND('112'!$M$9,G329,1)&gt;=1,B329='112'!$K$9,OR($N329='112'!$I$6,$O329='112'!$I$6))),"x",""))</f>
        <v/>
      </c>
      <c r="U329" s="81" t="str">
        <f>IF(ISERROR(FIND('112'!$M$9,G329,1)),"",IF((AND(LEFT(G329,2)=LEFT('112'!$M$9,2),B329&lt;'112'!$K$9,$N329='112'!$I$6)),"x",""))</f>
        <v/>
      </c>
      <c r="V329" s="81" t="str">
        <f>IF(ISERROR(FIND('112'!$M$9,G329,1)),"",IF((AND(RIGHT(G329,2)=RIGHT('112'!$M$9,2),B329&lt;'112'!$K$9,$O329='112'!$I$6)),"x",""))</f>
        <v/>
      </c>
      <c r="W329" s="81" t="str">
        <f>IF(AND('341-CT'!$H$9=H329,OR(LEFT(N329,3)=$W$7,LEFT(O329,3)=$W$7)),"x","")</f>
        <v/>
      </c>
      <c r="X329" s="81" t="str">
        <f>IF(OR(TH!N329=TH!$X$7,O329=TH!$X$7),"x","")</f>
        <v/>
      </c>
      <c r="Y329" s="81" t="str">
        <f>IF(AND(OR(N329="131",O329="131"),H329='131-CT'!$H$9),"x","")</f>
        <v/>
      </c>
      <c r="Z329" s="81"/>
      <c r="AA329" s="81" t="str">
        <f>IF(AND(MONTH(E329)='IN-NX'!$J$5,'IN-NX'!$D$7=D329),"x","")</f>
        <v/>
      </c>
      <c r="AB329" s="81" t="str">
        <f>IF(AND(OR(LEFT(TH!N329,2)="15",LEFT(TH!O329,2)="15"),LEFT(TH!O329,3)&lt;&gt;"111",'152-CT'!$J$8=TH!F329),"x","")</f>
        <v/>
      </c>
      <c r="AC329" s="81" t="str">
        <f>IF(AND(OR(LEFT(TH!N329,2)="15",LEFT(TH!O329,2)="15"),TK!$E$7=TH!F329),"x","")</f>
        <v/>
      </c>
      <c r="AD329" s="81" t="str">
        <f>IF(AND(N329="1521",MONTH(C329)='BK-NL'!$M$11),"x","")</f>
        <v/>
      </c>
      <c r="AE329">
        <v>1</v>
      </c>
    </row>
    <row r="330" spans="1:31" ht="15.75" customHeight="1">
      <c r="A330" s="1064" t="str">
        <f>IF(B330&lt;&gt;"",IF(AND(B330='IN-TC'!$S$4,OR(TH!N330="1111",TH!O330="1111")),TH!D330,""),"")</f>
        <v/>
      </c>
      <c r="B330" s="1065">
        <f t="shared" ref="B330:B331" si="88">IF(C330&lt;&gt;"",MONTH(C330),"")</f>
        <v>1</v>
      </c>
      <c r="C330" s="1066">
        <v>42751</v>
      </c>
      <c r="D330" s="1066" t="s">
        <v>967</v>
      </c>
      <c r="E330" s="1066">
        <f t="shared" ref="E330:E331" si="89">C330</f>
        <v>42751</v>
      </c>
      <c r="F330" s="1067" t="s">
        <v>616</v>
      </c>
      <c r="G330" s="1068" t="s">
        <v>969</v>
      </c>
      <c r="H330" s="972" t="s">
        <v>800</v>
      </c>
      <c r="I330" s="1069">
        <v>4700</v>
      </c>
      <c r="J330" s="1070">
        <v>14000</v>
      </c>
      <c r="K330" s="1071"/>
      <c r="L330" s="1069"/>
      <c r="M330" s="1072">
        <f>I330*J330</f>
        <v>65800000</v>
      </c>
      <c r="N330" s="1073" t="s">
        <v>274</v>
      </c>
      <c r="O330" s="1073" t="s">
        <v>8</v>
      </c>
      <c r="P330" s="81" t="str">
        <f>IF(AND('331-CT'!$E$7=TH!H330,OR(N330="331",O330="331")),"x","")</f>
        <v/>
      </c>
      <c r="Q330" s="81" t="str">
        <f>IF(AND(B330='111'!$L$11,OR($N330=$Q$7,$O330=$Q$7)),"x","")</f>
        <v/>
      </c>
      <c r="R330" s="81" t="str">
        <f>IF(AND($N330=$Q$7,$B330&lt;'111'!$L$11),"x","")</f>
        <v/>
      </c>
      <c r="S330" s="81" t="str">
        <f>IF(AND($O330=$Q$7,$B330&lt;'111'!$L$11),"x","")</f>
        <v/>
      </c>
      <c r="T330" s="81" t="str">
        <f>IF(ISERROR(FIND('112'!$M$9,G330,1)),"",IF((AND(FIND('112'!$M$9,G330,1)&gt;=1,B330='112'!$K$9,OR($N330='112'!$I$6,$O330='112'!$I$6))),"x",""))</f>
        <v/>
      </c>
      <c r="U330" s="81" t="str">
        <f>IF(ISERROR(FIND('112'!$M$9,G330,1)),"",IF((AND(LEFT(G330,2)=LEFT('112'!$M$9,2),B330&lt;'112'!$K$9,$N330='112'!$I$6)),"x",""))</f>
        <v/>
      </c>
      <c r="V330" s="81" t="str">
        <f>IF(ISERROR(FIND('112'!$M$9,G330,1)),"",IF((AND(RIGHT(G330,2)=RIGHT('112'!$M$9,2),B330&lt;'112'!$K$9,$O330='112'!$I$6)),"x",""))</f>
        <v/>
      </c>
      <c r="W330" s="81" t="str">
        <f>IF(AND('341-CT'!$H$9=H330,OR(LEFT(N330,3)=$W$7,LEFT(O330,3)=$W$7)),"x","")</f>
        <v/>
      </c>
      <c r="X330" s="81" t="str">
        <f>IF(OR(TH!N330=TH!$X$7,O330=TH!$X$7),"x","")</f>
        <v/>
      </c>
      <c r="Y330" s="81" t="str">
        <f>IF(AND(OR(N330="131",O330="131"),H330='131-CT'!$H$9),"x","")</f>
        <v/>
      </c>
      <c r="Z330" s="81"/>
      <c r="AA330" s="81" t="str">
        <f>IF(AND(MONTH(E330)='IN-NX'!$J$5,'IN-NX'!$D$7=D330),"x","")</f>
        <v/>
      </c>
      <c r="AB330" s="81" t="str">
        <f>IF(AND(OR(LEFT(TH!N330,2)="15",LEFT(TH!O330,2)="15"),LEFT(TH!O330,3)&lt;&gt;"111",'152-CT'!$J$8=TH!F330),"x","")</f>
        <v/>
      </c>
      <c r="AC330" s="81" t="str">
        <f>IF(AND(OR(LEFT(TH!N330,2)="15",LEFT(TH!O330,2)="15"),TK!$E$7=TH!F330),"x","")</f>
        <v/>
      </c>
      <c r="AD330" s="81" t="str">
        <f>IF(AND(N330="1521",MONTH(C330)='BK-NL'!$M$11),"x","")</f>
        <v/>
      </c>
      <c r="AE330">
        <v>1</v>
      </c>
    </row>
    <row r="331" spans="1:31" ht="15.75" customHeight="1">
      <c r="A331" s="1064" t="str">
        <f>IF(B331&lt;&gt;"",IF(AND(B331='IN-TC'!$S$4,OR(TH!N331="1111",TH!O331="1111")),TH!D331,""),"")</f>
        <v/>
      </c>
      <c r="B331" s="1065">
        <f t="shared" si="88"/>
        <v>1</v>
      </c>
      <c r="C331" s="1066">
        <v>42751</v>
      </c>
      <c r="D331" s="1066" t="s">
        <v>967</v>
      </c>
      <c r="E331" s="1066">
        <f t="shared" si="89"/>
        <v>42751</v>
      </c>
      <c r="F331" s="1067" t="s">
        <v>968</v>
      </c>
      <c r="G331" s="1068" t="s">
        <v>969</v>
      </c>
      <c r="H331" s="972" t="s">
        <v>800</v>
      </c>
      <c r="I331" s="1069"/>
      <c r="J331" s="1070"/>
      <c r="K331" s="1071"/>
      <c r="L331" s="1069"/>
      <c r="M331" s="1072">
        <v>6580000</v>
      </c>
      <c r="N331" s="1073" t="s">
        <v>9</v>
      </c>
      <c r="O331" s="1073" t="s">
        <v>8</v>
      </c>
      <c r="P331" s="81" t="str">
        <f>IF(AND('331-CT'!$E$7=TH!H331,OR(N331="331",O331="331")),"x","")</f>
        <v/>
      </c>
      <c r="Q331" s="81" t="str">
        <f>IF(AND(B331='111'!$L$11,OR($N331=$Q$7,$O331=$Q$7)),"x","")</f>
        <v/>
      </c>
      <c r="R331" s="81" t="str">
        <f>IF(AND($N331=$Q$7,$B331&lt;'111'!$L$11),"x","")</f>
        <v/>
      </c>
      <c r="S331" s="81" t="str">
        <f>IF(AND($O331=$Q$7,$B331&lt;'111'!$L$11),"x","")</f>
        <v/>
      </c>
      <c r="T331" s="81" t="str">
        <f>IF(ISERROR(FIND('112'!$M$9,G331,1)),"",IF((AND(FIND('112'!$M$9,G331,1)&gt;=1,B331='112'!$K$9,OR($N331='112'!$I$6,$O331='112'!$I$6))),"x",""))</f>
        <v/>
      </c>
      <c r="U331" s="81" t="str">
        <f>IF(ISERROR(FIND('112'!$M$9,G331,1)),"",IF((AND(LEFT(G331,2)=LEFT('112'!$M$9,2),B331&lt;'112'!$K$9,$N331='112'!$I$6)),"x",""))</f>
        <v/>
      </c>
      <c r="V331" s="81" t="str">
        <f>IF(ISERROR(FIND('112'!$M$9,G331,1)),"",IF((AND(RIGHT(G331,2)=RIGHT('112'!$M$9,2),B331&lt;'112'!$K$9,$O331='112'!$I$6)),"x",""))</f>
        <v/>
      </c>
      <c r="W331" s="81" t="str">
        <f>IF(AND('341-CT'!$H$9=H331,OR(LEFT(N331,3)=$W$7,LEFT(O331,3)=$W$7)),"x","")</f>
        <v/>
      </c>
      <c r="X331" s="81" t="str">
        <f>IF(OR(TH!N331=TH!$X$7,O331=TH!$X$7),"x","")</f>
        <v/>
      </c>
      <c r="Y331" s="81" t="str">
        <f>IF(AND(OR(N331="131",O331="131"),H331='131-CT'!$H$9),"x","")</f>
        <v/>
      </c>
      <c r="Z331" s="81"/>
      <c r="AA331" s="81" t="str">
        <f>IF(AND(MONTH(E331)='IN-NX'!$J$5,'IN-NX'!$D$7=D331),"x","")</f>
        <v/>
      </c>
      <c r="AB331" s="81" t="str">
        <f>IF(AND(OR(LEFT(TH!N331,2)="15",LEFT(TH!O331,2)="15"),LEFT(TH!O331,3)&lt;&gt;"111",'152-CT'!$J$8=TH!F331),"x","")</f>
        <v/>
      </c>
      <c r="AC331" s="81" t="str">
        <f>IF(AND(OR(LEFT(TH!N331,2)="15",LEFT(TH!O331,2)="15"),TK!$E$7=TH!F331),"x","")</f>
        <v/>
      </c>
      <c r="AD331" s="81" t="str">
        <f>IF(AND(N331="1521",MONTH(C331)='BK-NL'!$M$11),"x","")</f>
        <v/>
      </c>
      <c r="AE331">
        <v>1</v>
      </c>
    </row>
    <row r="332" spans="1:31" ht="15.75" customHeight="1">
      <c r="A332" s="1064" t="str">
        <f>IF(B332&lt;&gt;"",IF(AND(B332='IN-TC'!$S$4,OR(TH!N332="1111",TH!O332="1111")),TH!D332,""),"")</f>
        <v/>
      </c>
      <c r="B332" s="1065">
        <f t="shared" ref="B332:B333" si="90">IF(C332&lt;&gt;"",MONTH(C332),"")</f>
        <v>1</v>
      </c>
      <c r="C332" s="1066">
        <v>42755</v>
      </c>
      <c r="D332" s="1066" t="s">
        <v>987</v>
      </c>
      <c r="E332" s="1066">
        <f t="shared" ref="E332:E333" si="91">C332</f>
        <v>42755</v>
      </c>
      <c r="F332" s="1067" t="s">
        <v>384</v>
      </c>
      <c r="G332" s="1068" t="s">
        <v>988</v>
      </c>
      <c r="H332" s="1090" t="s">
        <v>604</v>
      </c>
      <c r="I332" s="1069">
        <v>279</v>
      </c>
      <c r="J332" s="1070">
        <v>6000</v>
      </c>
      <c r="K332" s="1071"/>
      <c r="L332" s="1069"/>
      <c r="M332" s="1072">
        <f>I332*J332</f>
        <v>1674000</v>
      </c>
      <c r="N332" s="1073" t="s">
        <v>274</v>
      </c>
      <c r="O332" s="1073" t="s">
        <v>8</v>
      </c>
      <c r="P332" s="81" t="str">
        <f>IF(AND('331-CT'!$E$7=TH!H332,OR(N332="331",O332="331")),"x","")</f>
        <v/>
      </c>
      <c r="Q332" s="81" t="str">
        <f>IF(AND(B332='111'!$L$11,OR($N332=$Q$7,$O332=$Q$7)),"x","")</f>
        <v/>
      </c>
      <c r="R332" s="81" t="str">
        <f>IF(AND($N332=$Q$7,$B332&lt;'111'!$L$11),"x","")</f>
        <v/>
      </c>
      <c r="S332" s="81" t="str">
        <f>IF(AND($O332=$Q$7,$B332&lt;'111'!$L$11),"x","")</f>
        <v/>
      </c>
      <c r="T332" s="81" t="str">
        <f>IF(ISERROR(FIND('112'!$M$9,G332,1)),"",IF((AND(FIND('112'!$M$9,G332,1)&gt;=1,B332='112'!$K$9,OR($N332='112'!$I$6,$O332='112'!$I$6))),"x",""))</f>
        <v/>
      </c>
      <c r="U332" s="81" t="str">
        <f>IF(ISERROR(FIND('112'!$M$9,G332,1)),"",IF((AND(LEFT(G332,2)=LEFT('112'!$M$9,2),B332&lt;'112'!$K$9,$N332='112'!$I$6)),"x",""))</f>
        <v/>
      </c>
      <c r="V332" s="81" t="str">
        <f>IF(ISERROR(FIND('112'!$M$9,G332,1)),"",IF((AND(RIGHT(G332,2)=RIGHT('112'!$M$9,2),B332&lt;'112'!$K$9,$O332='112'!$I$6)),"x",""))</f>
        <v/>
      </c>
      <c r="W332" s="81" t="str">
        <f>IF(AND('341-CT'!$H$9=H332,OR(LEFT(N332,3)=$W$7,LEFT(O332,3)=$W$7)),"x","")</f>
        <v/>
      </c>
      <c r="X332" s="81" t="str">
        <f>IF(OR(TH!N332=TH!$X$7,O332=TH!$X$7),"x","")</f>
        <v/>
      </c>
      <c r="Y332" s="81" t="str">
        <f>IF(AND(OR(N332="131",O332="131"),H332='131-CT'!$H$9),"x","")</f>
        <v/>
      </c>
      <c r="Z332" s="81"/>
      <c r="AA332" s="81" t="str">
        <f>IF(AND(MONTH(E332)='IN-NX'!$J$5,'IN-NX'!$D$7=D332),"x","")</f>
        <v/>
      </c>
      <c r="AB332" s="81" t="str">
        <f>IF(AND(OR(LEFT(TH!N332,2)="15",LEFT(TH!O332,2)="15"),LEFT(TH!O332,3)&lt;&gt;"111",'152-CT'!$J$8=TH!F332),"x","")</f>
        <v/>
      </c>
      <c r="AC332" s="81" t="str">
        <f>IF(AND(OR(LEFT(TH!N332,2)="15",LEFT(TH!O332,2)="15"),TK!$E$7=TH!F332),"x","")</f>
        <v/>
      </c>
      <c r="AD332" s="81" t="str">
        <f>IF(AND(N332="1521",MONTH(C332)='BK-NL'!$M$11),"x","")</f>
        <v/>
      </c>
      <c r="AE332">
        <v>1</v>
      </c>
    </row>
    <row r="333" spans="1:31" ht="15.75" customHeight="1">
      <c r="A333" s="1064" t="str">
        <f>IF(B333&lt;&gt;"",IF(AND(B333='IN-TC'!$S$4,OR(TH!N333="1111",TH!O333="1111")),TH!D333,""),"")</f>
        <v/>
      </c>
      <c r="B333" s="1065">
        <f t="shared" si="90"/>
        <v>1</v>
      </c>
      <c r="C333" s="1066">
        <v>42755</v>
      </c>
      <c r="D333" s="1066" t="s">
        <v>987</v>
      </c>
      <c r="E333" s="1066">
        <f t="shared" si="91"/>
        <v>42755</v>
      </c>
      <c r="F333" s="972" t="s">
        <v>952</v>
      </c>
      <c r="G333" s="1068" t="s">
        <v>988</v>
      </c>
      <c r="H333" s="1090" t="s">
        <v>604</v>
      </c>
      <c r="I333" s="1069"/>
      <c r="J333" s="1070"/>
      <c r="K333" s="1071"/>
      <c r="L333" s="1069"/>
      <c r="M333" s="1072">
        <v>167400</v>
      </c>
      <c r="N333" s="1073" t="s">
        <v>9</v>
      </c>
      <c r="O333" s="1073" t="s">
        <v>8</v>
      </c>
      <c r="P333" s="81" t="str">
        <f>IF(AND('331-CT'!$E$7=TH!H333,OR(N333="331",O333="331")),"x","")</f>
        <v/>
      </c>
      <c r="Q333" s="81" t="str">
        <f>IF(AND(B333='111'!$L$11,OR($N333=$Q$7,$O333=$Q$7)),"x","")</f>
        <v/>
      </c>
      <c r="R333" s="81" t="str">
        <f>IF(AND($N333=$Q$7,$B333&lt;'111'!$L$11),"x","")</f>
        <v/>
      </c>
      <c r="S333" s="81" t="str">
        <f>IF(AND($O333=$Q$7,$B333&lt;'111'!$L$11),"x","")</f>
        <v/>
      </c>
      <c r="T333" s="81" t="str">
        <f>IF(ISERROR(FIND('112'!$M$9,G333,1)),"",IF((AND(FIND('112'!$M$9,G333,1)&gt;=1,B333='112'!$K$9,OR($N333='112'!$I$6,$O333='112'!$I$6))),"x",""))</f>
        <v/>
      </c>
      <c r="U333" s="81" t="str">
        <f>IF(ISERROR(FIND('112'!$M$9,G333,1)),"",IF((AND(LEFT(G333,2)=LEFT('112'!$M$9,2),B333&lt;'112'!$K$9,$N333='112'!$I$6)),"x",""))</f>
        <v/>
      </c>
      <c r="V333" s="81" t="str">
        <f>IF(ISERROR(FIND('112'!$M$9,G333,1)),"",IF((AND(RIGHT(G333,2)=RIGHT('112'!$M$9,2),B333&lt;'112'!$K$9,$O333='112'!$I$6)),"x",""))</f>
        <v/>
      </c>
      <c r="W333" s="81" t="str">
        <f>IF(AND('341-CT'!$H$9=H333,OR(LEFT(N333,3)=$W$7,LEFT(O333,3)=$W$7)),"x","")</f>
        <v/>
      </c>
      <c r="X333" s="81" t="str">
        <f>IF(OR(TH!N333=TH!$X$7,O333=TH!$X$7),"x","")</f>
        <v/>
      </c>
      <c r="Y333" s="81" t="str">
        <f>IF(AND(OR(N333="131",O333="131"),H333='131-CT'!$H$9),"x","")</f>
        <v/>
      </c>
      <c r="Z333" s="81"/>
      <c r="AA333" s="81" t="str">
        <f>IF(AND(MONTH(E333)='IN-NX'!$J$5,'IN-NX'!$D$7=D333),"x","")</f>
        <v/>
      </c>
      <c r="AB333" s="81" t="str">
        <f>IF(AND(OR(LEFT(TH!N333,2)="15",LEFT(TH!O333,2)="15"),LEFT(TH!O333,3)&lt;&gt;"111",'152-CT'!$J$8=TH!F333),"x","")</f>
        <v/>
      </c>
      <c r="AC333" s="81" t="str">
        <f>IF(AND(OR(LEFT(TH!N333,2)="15",LEFT(TH!O333,2)="15"),TK!$E$7=TH!F333),"x","")</f>
        <v/>
      </c>
      <c r="AD333" s="81" t="str">
        <f>IF(AND(N333="1521",MONTH(C333)='BK-NL'!$M$11),"x","")</f>
        <v/>
      </c>
      <c r="AE333">
        <v>1</v>
      </c>
    </row>
    <row r="334" spans="1:31" ht="15.75" customHeight="1">
      <c r="A334" s="1064" t="str">
        <f>IF(B334&lt;&gt;"",IF(AND(B334='IN-TC'!$S$4,OR(TH!N334="1111",TH!O334="1111")),TH!D334,""),"")</f>
        <v/>
      </c>
      <c r="B334" s="1065">
        <f t="shared" ref="B334:B348" si="92">IF(C334&lt;&gt;"",MONTH(C334),"")</f>
        <v>2</v>
      </c>
      <c r="C334" s="1066">
        <v>42790</v>
      </c>
      <c r="D334" s="1066" t="s">
        <v>949</v>
      </c>
      <c r="E334" s="1066">
        <v>42793</v>
      </c>
      <c r="F334" s="1067" t="s">
        <v>384</v>
      </c>
      <c r="G334" s="1068" t="s">
        <v>1241</v>
      </c>
      <c r="H334" s="1090" t="s">
        <v>604</v>
      </c>
      <c r="I334" s="1069">
        <v>1000</v>
      </c>
      <c r="J334" s="1070">
        <v>6000</v>
      </c>
      <c r="K334" s="1071"/>
      <c r="L334" s="1069"/>
      <c r="M334" s="1072">
        <f>I334*J334</f>
        <v>6000000</v>
      </c>
      <c r="N334" s="1073" t="s">
        <v>274</v>
      </c>
      <c r="O334" s="1073" t="s">
        <v>8</v>
      </c>
      <c r="P334" s="81" t="str">
        <f>IF(AND('331-CT'!$E$7=TH!H334,OR(N334="331",O334="331")),"x","")</f>
        <v/>
      </c>
      <c r="Q334" s="81" t="str">
        <f>IF(AND(B334='111'!$L$11,OR($N334=$Q$7,$O334=$Q$7)),"x","")</f>
        <v/>
      </c>
      <c r="R334" s="81" t="str">
        <f>IF(AND($N334=$Q$7,$B334&lt;'111'!$L$11),"x","")</f>
        <v/>
      </c>
      <c r="S334" s="81" t="str">
        <f>IF(AND($O334=$Q$7,$B334&lt;'111'!$L$11),"x","")</f>
        <v/>
      </c>
      <c r="T334" s="81" t="str">
        <f>IF(ISERROR(FIND('112'!$M$9,G334,1)),"",IF((AND(FIND('112'!$M$9,G334,1)&gt;=1,B334='112'!$K$9,OR($N334='112'!$I$6,$O334='112'!$I$6))),"x",""))</f>
        <v/>
      </c>
      <c r="U334" s="81" t="str">
        <f>IF(ISERROR(FIND('112'!$M$9,G334,1)),"",IF((AND(LEFT(G334,2)=LEFT('112'!$M$9,2),B334&lt;'112'!$K$9,$N334='112'!$I$6)),"x",""))</f>
        <v/>
      </c>
      <c r="V334" s="81" t="str">
        <f>IF(ISERROR(FIND('112'!$M$9,G334,1)),"",IF((AND(RIGHT(G334,2)=RIGHT('112'!$M$9,2),B334&lt;'112'!$K$9,$O334='112'!$I$6)),"x",""))</f>
        <v/>
      </c>
      <c r="W334" s="81" t="str">
        <f>IF(AND('341-CT'!$H$9=H334,OR(LEFT(N334,3)=$W$7,LEFT(O334,3)=$W$7)),"x","")</f>
        <v/>
      </c>
      <c r="X334" s="81" t="str">
        <f>IF(OR(TH!N334=TH!$X$7,O334=TH!$X$7),"x","")</f>
        <v/>
      </c>
      <c r="Y334" s="81" t="str">
        <f>IF(AND(OR(N334="131",O334="131"),H334='131-CT'!$H$9),"x","")</f>
        <v/>
      </c>
      <c r="Z334" s="81"/>
      <c r="AA334" s="81" t="str">
        <f>IF(AND(MONTH(E334)='IN-NX'!$J$5,'IN-NX'!$D$7=D334),"x","")</f>
        <v/>
      </c>
      <c r="AB334" s="81" t="str">
        <f>IF(AND(OR(LEFT(TH!N334,2)="15",LEFT(TH!O334,2)="15"),LEFT(TH!O334,3)&lt;&gt;"111",'152-CT'!$J$8=TH!F334),"x","")</f>
        <v/>
      </c>
      <c r="AC334" s="81" t="str">
        <f>IF(AND(OR(LEFT(TH!N334,2)="15",LEFT(TH!O334,2)="15"),TK!$E$7=TH!F334),"x","")</f>
        <v/>
      </c>
      <c r="AD334" s="81" t="str">
        <f>IF(AND(N334="1521",MONTH(C334)='BK-NL'!$M$11),"x","")</f>
        <v/>
      </c>
      <c r="AE334">
        <v>2</v>
      </c>
    </row>
    <row r="335" spans="1:31" ht="15.75" customHeight="1">
      <c r="A335" s="1064" t="str">
        <f>IF(B335&lt;&gt;"",IF(AND(B335='IN-TC'!$S$4,OR(TH!N335="1111",TH!O335="1111")),TH!D335,""),"")</f>
        <v/>
      </c>
      <c r="B335" s="1065">
        <f t="shared" si="92"/>
        <v>2</v>
      </c>
      <c r="C335" s="1066">
        <v>42790</v>
      </c>
      <c r="D335" s="1066" t="s">
        <v>949</v>
      </c>
      <c r="E335" s="1066">
        <v>42793</v>
      </c>
      <c r="F335" s="1067" t="s">
        <v>884</v>
      </c>
      <c r="G335" s="1068" t="s">
        <v>1241</v>
      </c>
      <c r="H335" s="1090" t="s">
        <v>604</v>
      </c>
      <c r="I335" s="1069">
        <v>1020</v>
      </c>
      <c r="J335" s="1070">
        <v>14200</v>
      </c>
      <c r="K335" s="1071"/>
      <c r="L335" s="1069"/>
      <c r="M335" s="1072">
        <f>I335*J335</f>
        <v>14484000</v>
      </c>
      <c r="N335" s="1073" t="s">
        <v>274</v>
      </c>
      <c r="O335" s="1073" t="s">
        <v>8</v>
      </c>
      <c r="P335" s="81" t="str">
        <f>IF(AND('331-CT'!$E$7=TH!H335,OR(N335="331",O335="331")),"x","")</f>
        <v/>
      </c>
      <c r="Q335" s="81" t="str">
        <f>IF(AND(B335='111'!$L$11,OR($N335=$Q$7,$O335=$Q$7)),"x","")</f>
        <v/>
      </c>
      <c r="R335" s="81" t="str">
        <f>IF(AND($N335=$Q$7,$B335&lt;'111'!$L$11),"x","")</f>
        <v/>
      </c>
      <c r="S335" s="81" t="str">
        <f>IF(AND($O335=$Q$7,$B335&lt;'111'!$L$11),"x","")</f>
        <v/>
      </c>
      <c r="T335" s="81" t="str">
        <f>IF(ISERROR(FIND('112'!$M$9,G335,1)),"",IF((AND(FIND('112'!$M$9,G335,1)&gt;=1,B335='112'!$K$9,OR($N335='112'!$I$6,$O335='112'!$I$6))),"x",""))</f>
        <v/>
      </c>
      <c r="U335" s="81" t="str">
        <f>IF(ISERROR(FIND('112'!$M$9,G335,1)),"",IF((AND(LEFT(G335,2)=LEFT('112'!$M$9,2),B335&lt;'112'!$K$9,$N335='112'!$I$6)),"x",""))</f>
        <v/>
      </c>
      <c r="V335" s="81" t="str">
        <f>IF(ISERROR(FIND('112'!$M$9,G335,1)),"",IF((AND(RIGHT(G335,2)=RIGHT('112'!$M$9,2),B335&lt;'112'!$K$9,$O335='112'!$I$6)),"x",""))</f>
        <v/>
      </c>
      <c r="W335" s="81" t="str">
        <f>IF(AND('341-CT'!$H$9=H335,OR(LEFT(N335,3)=$W$7,LEFT(O335,3)=$W$7)),"x","")</f>
        <v/>
      </c>
      <c r="X335" s="81" t="str">
        <f>IF(OR(TH!N335=TH!$X$7,O335=TH!$X$7),"x","")</f>
        <v/>
      </c>
      <c r="Y335" s="81" t="str">
        <f>IF(AND(OR(N335="131",O335="131"),H335='131-CT'!$H$9),"x","")</f>
        <v/>
      </c>
      <c r="Z335" s="81"/>
      <c r="AA335" s="81" t="str">
        <f>IF(AND(MONTH(E335)='IN-NX'!$J$5,'IN-NX'!$D$7=D335),"x","")</f>
        <v/>
      </c>
      <c r="AB335" s="81" t="str">
        <f>IF(AND(OR(LEFT(TH!N335,2)="15",LEFT(TH!O335,2)="15"),LEFT(TH!O335,3)&lt;&gt;"111",'152-CT'!$J$8=TH!F335),"x","")</f>
        <v/>
      </c>
      <c r="AC335" s="81" t="str">
        <f>IF(AND(OR(LEFT(TH!N335,2)="15",LEFT(TH!O335,2)="15"),TK!$E$7=TH!F335),"x","")</f>
        <v/>
      </c>
      <c r="AD335" s="81" t="str">
        <f>IF(AND(N335="1521",MONTH(C335)='BK-NL'!$M$11),"x","")</f>
        <v/>
      </c>
      <c r="AE335">
        <v>2</v>
      </c>
    </row>
    <row r="336" spans="1:31" ht="15.75" customHeight="1">
      <c r="A336" s="1064" t="str">
        <f>IF(B336&lt;&gt;"",IF(AND(B336='IN-TC'!$S$4,OR(TH!N336="1111",TH!O336="1111")),TH!D336,""),"")</f>
        <v/>
      </c>
      <c r="B336" s="1065">
        <f t="shared" si="92"/>
        <v>2</v>
      </c>
      <c r="C336" s="1066">
        <v>42790</v>
      </c>
      <c r="D336" s="1066" t="s">
        <v>949</v>
      </c>
      <c r="E336" s="1066">
        <v>42793</v>
      </c>
      <c r="F336" s="972" t="s">
        <v>952</v>
      </c>
      <c r="G336" s="1068" t="s">
        <v>1241</v>
      </c>
      <c r="H336" s="1090" t="s">
        <v>604</v>
      </c>
      <c r="I336" s="1069"/>
      <c r="J336" s="1069"/>
      <c r="K336" s="1071"/>
      <c r="L336" s="1069"/>
      <c r="M336" s="1072">
        <v>2048400</v>
      </c>
      <c r="N336" s="1073" t="s">
        <v>9</v>
      </c>
      <c r="O336" s="1073" t="s">
        <v>8</v>
      </c>
      <c r="P336" s="81" t="str">
        <f>IF(AND('331-CT'!$E$7=TH!H336,OR(N336="331",O336="331")),"x","")</f>
        <v/>
      </c>
      <c r="Q336" s="81" t="str">
        <f>IF(AND(B336='111'!$L$11,OR($N336=$Q$7,$O336=$Q$7)),"x","")</f>
        <v/>
      </c>
      <c r="R336" s="81" t="str">
        <f>IF(AND($N336=$Q$7,$B336&lt;'111'!$L$11),"x","")</f>
        <v/>
      </c>
      <c r="S336" s="81" t="str">
        <f>IF(AND($O336=$Q$7,$B336&lt;'111'!$L$11),"x","")</f>
        <v/>
      </c>
      <c r="T336" s="81" t="str">
        <f>IF(ISERROR(FIND('112'!$M$9,G336,1)),"",IF((AND(FIND('112'!$M$9,G336,1)&gt;=1,B336='112'!$K$9,OR($N336='112'!$I$6,$O336='112'!$I$6))),"x",""))</f>
        <v/>
      </c>
      <c r="U336" s="81" t="str">
        <f>IF(ISERROR(FIND('112'!$M$9,G336,1)),"",IF((AND(LEFT(G336,2)=LEFT('112'!$M$9,2),B336&lt;'112'!$K$9,$N336='112'!$I$6)),"x",""))</f>
        <v/>
      </c>
      <c r="V336" s="81" t="str">
        <f>IF(ISERROR(FIND('112'!$M$9,G336,1)),"",IF((AND(RIGHT(G336,2)=RIGHT('112'!$M$9,2),B336&lt;'112'!$K$9,$O336='112'!$I$6)),"x",""))</f>
        <v/>
      </c>
      <c r="W336" s="81" t="str">
        <f>IF(AND('341-CT'!$H$9=H336,OR(LEFT(N336,3)=$W$7,LEFT(O336,3)=$W$7)),"x","")</f>
        <v/>
      </c>
      <c r="X336" s="81" t="str">
        <f>IF(OR(TH!N336=TH!$X$7,O336=TH!$X$7),"x","")</f>
        <v/>
      </c>
      <c r="Y336" s="81" t="str">
        <f>IF(AND(OR(N336="131",O336="131"),H336='131-CT'!$H$9),"x","")</f>
        <v/>
      </c>
      <c r="Z336" s="81"/>
      <c r="AA336" s="81" t="str">
        <f>IF(AND(MONTH(E336)='IN-NX'!$J$5,'IN-NX'!$D$7=D336),"x","")</f>
        <v/>
      </c>
      <c r="AB336" s="81" t="str">
        <f>IF(AND(OR(LEFT(TH!N336,2)="15",LEFT(TH!O336,2)="15"),LEFT(TH!O336,3)&lt;&gt;"111",'152-CT'!$J$8=TH!F336),"x","")</f>
        <v/>
      </c>
      <c r="AC336" s="81" t="str">
        <f>IF(AND(OR(LEFT(TH!N336,2)="15",LEFT(TH!O336,2)="15"),TK!$E$7=TH!F336),"x","")</f>
        <v/>
      </c>
      <c r="AD336" s="81" t="str">
        <f>IF(AND(N336="1521",MONTH(C336)='BK-NL'!$M$11),"x","")</f>
        <v/>
      </c>
      <c r="AE336">
        <v>2</v>
      </c>
    </row>
    <row r="337" spans="1:31" ht="15.75" customHeight="1">
      <c r="A337" s="1064" t="str">
        <f>IF(B337&lt;&gt;"",IF(AND(B337='IN-TC'!$S$4,OR(TH!N337="1111",TH!O337="1111")),TH!D337,""),"")</f>
        <v/>
      </c>
      <c r="B337" s="1065">
        <f t="shared" ref="B337" si="93">IF(C337&lt;&gt;"",MONTH(C337),"")</f>
        <v>3</v>
      </c>
      <c r="C337" s="1066">
        <v>42808</v>
      </c>
      <c r="D337" s="1066" t="s">
        <v>949</v>
      </c>
      <c r="E337" s="1066">
        <v>42808</v>
      </c>
      <c r="F337" s="972" t="s">
        <v>351</v>
      </c>
      <c r="G337" s="1068" t="s">
        <v>1259</v>
      </c>
      <c r="H337" s="7" t="s">
        <v>603</v>
      </c>
      <c r="I337" s="1069">
        <v>3000</v>
      </c>
      <c r="J337" s="1070">
        <v>3200</v>
      </c>
      <c r="K337" s="1071"/>
      <c r="L337" s="1069"/>
      <c r="M337" s="1072">
        <f>I337*J337</f>
        <v>9600000</v>
      </c>
      <c r="N337" s="1073" t="s">
        <v>274</v>
      </c>
      <c r="O337" s="1073" t="s">
        <v>8</v>
      </c>
      <c r="P337" s="81" t="str">
        <f>IF(AND('331-CT'!$E$7=TH!H337,OR(N337="331",O337="331")),"x","")</f>
        <v/>
      </c>
      <c r="Q337" s="81" t="str">
        <f>IF(AND(B337='111'!$L$11,OR($N337=$Q$7,$O337=$Q$7)),"x","")</f>
        <v/>
      </c>
      <c r="R337" s="81" t="str">
        <f>IF(AND($N337=$Q$7,$B337&lt;'111'!$L$11),"x","")</f>
        <v/>
      </c>
      <c r="S337" s="81" t="str">
        <f>IF(AND($O337=$Q$7,$B337&lt;'111'!$L$11),"x","")</f>
        <v/>
      </c>
      <c r="T337" s="81" t="str">
        <f>IF(ISERROR(FIND('112'!$M$9,G337,1)),"",IF((AND(FIND('112'!$M$9,G337,1)&gt;=1,B337='112'!$K$9,OR($N337='112'!$I$6,$O337='112'!$I$6))),"x",""))</f>
        <v/>
      </c>
      <c r="U337" s="81" t="str">
        <f>IF(ISERROR(FIND('112'!$M$9,G337,1)),"",IF((AND(LEFT(G337,2)=LEFT('112'!$M$9,2),B337&lt;'112'!$K$9,$N337='112'!$I$6)),"x",""))</f>
        <v/>
      </c>
      <c r="V337" s="81" t="str">
        <f>IF(ISERROR(FIND('112'!$M$9,G337,1)),"",IF((AND(RIGHT(G337,2)=RIGHT('112'!$M$9,2),B337&lt;'112'!$K$9,$O337='112'!$I$6)),"x",""))</f>
        <v/>
      </c>
      <c r="W337" s="81" t="str">
        <f>IF(AND('341-CT'!$H$9=H337,OR(LEFT(N337,3)=$W$7,LEFT(O337,3)=$W$7)),"x","")</f>
        <v/>
      </c>
      <c r="X337" s="81" t="str">
        <f>IF(OR(TH!N337=TH!$X$7,O337=TH!$X$7),"x","")</f>
        <v/>
      </c>
      <c r="Y337" s="81" t="str">
        <f>IF(AND(OR(N337="131",O337="131"),H337='131-CT'!$H$9),"x","")</f>
        <v/>
      </c>
      <c r="Z337" s="81"/>
      <c r="AA337" s="81" t="str">
        <f>IF(AND(MONTH(E337)='IN-NX'!$J$5,'IN-NX'!$D$7=D337),"x","")</f>
        <v/>
      </c>
      <c r="AB337" s="81" t="str">
        <f>IF(AND(OR(LEFT(TH!N337,2)="15",LEFT(TH!O337,2)="15"),LEFT(TH!O337,3)&lt;&gt;"111",'152-CT'!$J$8=TH!F337),"x","")</f>
        <v/>
      </c>
      <c r="AC337" s="81" t="str">
        <f>IF(AND(OR(LEFT(TH!N337,2)="15",LEFT(TH!O337,2)="15"),TK!$E$7=TH!F337),"x","")</f>
        <v/>
      </c>
      <c r="AD337" s="81" t="str">
        <f>IF(AND(N337="1521",MONTH(C337)='BK-NL'!$M$11),"x","")</f>
        <v/>
      </c>
      <c r="AE337">
        <v>2</v>
      </c>
    </row>
    <row r="338" spans="1:31" ht="14.25" customHeight="1">
      <c r="A338" s="327" t="str">
        <f>IF(B338&lt;&gt;"",IF(AND(B338='IN-TC'!$S$4,OR(TH!N338="1111",TH!O338="1111")),TH!D338,""),"")</f>
        <v/>
      </c>
      <c r="B338" s="62">
        <v>1</v>
      </c>
      <c r="C338" s="309"/>
      <c r="D338" s="309"/>
      <c r="E338" s="309"/>
      <c r="F338" s="310" t="s">
        <v>337</v>
      </c>
      <c r="G338" s="1042"/>
      <c r="H338" s="330"/>
      <c r="I338" s="227">
        <v>50</v>
      </c>
      <c r="J338" s="227">
        <v>32200</v>
      </c>
      <c r="K338" s="398"/>
      <c r="L338" s="405"/>
      <c r="M338" s="1072">
        <f t="shared" ref="M338:M348" si="94">I338*J338</f>
        <v>1610000</v>
      </c>
      <c r="N338" s="1073" t="s">
        <v>280</v>
      </c>
      <c r="O338" s="312" t="s">
        <v>274</v>
      </c>
      <c r="P338" s="81" t="str">
        <f>IF(AND('331-CT'!$E$7=TH!H338,OR(N338="331",O338="331")),"x","")</f>
        <v/>
      </c>
      <c r="Q338" s="81" t="str">
        <f>IF(AND(B338='111'!$L$11,OR($N338=$Q$7,$O338=$Q$7)),"x","")</f>
        <v/>
      </c>
      <c r="R338" s="81" t="str">
        <f>IF(AND($N338=$Q$7,$B338&lt;'111'!$L$11),"x","")</f>
        <v/>
      </c>
      <c r="S338" s="81" t="str">
        <f>IF(AND($O338=$Q$7,$B338&lt;'111'!$L$11),"x","")</f>
        <v/>
      </c>
      <c r="T338" s="81" t="str">
        <f>IF(ISERROR(FIND('112'!$M$9,G338,1)),"",IF((AND(FIND('112'!$M$9,G338,1)&gt;=1,B338='112'!$K$9,OR($N338='112'!$I$6,$O338='112'!$I$6))),"x",""))</f>
        <v/>
      </c>
      <c r="U338" s="81" t="str">
        <f>IF(ISERROR(FIND('112'!$M$9,G338,1)),"",IF((AND(LEFT(G338,2)=LEFT('112'!$M$9,2),B338&lt;'112'!$K$9,$N338='112'!$I$6)),"x",""))</f>
        <v/>
      </c>
      <c r="V338" s="81" t="str">
        <f>IF(ISERROR(FIND('112'!$M$9,G338,1)),"",IF((AND(RIGHT(G338,2)=RIGHT('112'!$M$9,2),B338&lt;'112'!$K$9,$O338='112'!$I$6)),"x",""))</f>
        <v/>
      </c>
      <c r="W338" s="81" t="str">
        <f>IF(AND('341-CT'!$H$9=H338,OR(LEFT(N338,3)=$W$7,LEFT(O338,3)=$W$7)),"x","")</f>
        <v/>
      </c>
      <c r="X338" s="81" t="str">
        <f>IF(OR(TH!N338=TH!$X$7,O338=TH!$X$7),"x","")</f>
        <v/>
      </c>
      <c r="Y338" s="81" t="str">
        <f>IF(AND(OR(N338="131",O338="131"),H338='131-CT'!$H$9),"x","")</f>
        <v/>
      </c>
      <c r="Z338" s="81"/>
      <c r="AA338" s="81" t="str">
        <f>IF(AND(MONTH(E338)='IN-NX'!$J$5,'IN-NX'!$D$7=D338),"x","")</f>
        <v/>
      </c>
      <c r="AB338" s="81" t="str">
        <f>IF(AND(OR(LEFT(TH!N338,2)="15",LEFT(TH!O338,2)="15"),LEFT(TH!O338,3)&lt;&gt;"111",'152-CT'!$J$8=TH!F338),"x","")</f>
        <v/>
      </c>
      <c r="AC338" s="81" t="str">
        <f>IF(AND(OR(LEFT(TH!N338,2)="15",LEFT(TH!O338,2)="15"),TK!$E$7=TH!F338),"x","")</f>
        <v/>
      </c>
      <c r="AD338" s="81" t="str">
        <f>IF(AND(N338="1521",MONTH(C338)='BK-NL'!$M$11),"x","")</f>
        <v/>
      </c>
    </row>
    <row r="339" spans="1:31" ht="14.25" customHeight="1">
      <c r="A339" s="327" t="str">
        <f>IF(B339&lt;&gt;"",IF(AND(B339='IN-TC'!$S$4,OR(TH!N339="1111",TH!O339="1111")),TH!D339,""),"")</f>
        <v/>
      </c>
      <c r="B339" s="62">
        <v>1</v>
      </c>
      <c r="C339" s="309"/>
      <c r="D339" s="309"/>
      <c r="E339" s="309"/>
      <c r="F339" s="310" t="s">
        <v>343</v>
      </c>
      <c r="G339" s="1042"/>
      <c r="H339" s="330"/>
      <c r="I339" s="227">
        <v>100</v>
      </c>
      <c r="J339" s="1222">
        <v>49027</v>
      </c>
      <c r="K339" s="398"/>
      <c r="L339" s="405"/>
      <c r="M339" s="1072">
        <f t="shared" si="94"/>
        <v>4902700</v>
      </c>
      <c r="N339" s="1073" t="s">
        <v>280</v>
      </c>
      <c r="O339" s="312" t="s">
        <v>274</v>
      </c>
      <c r="P339" s="81" t="str">
        <f>IF(AND('331-CT'!$E$7=TH!H339,OR(N339="331",O339="331")),"x","")</f>
        <v/>
      </c>
      <c r="Q339" s="81" t="str">
        <f>IF(AND(B339='111'!$L$11,OR($N339=$Q$7,$O339=$Q$7)),"x","")</f>
        <v/>
      </c>
      <c r="R339" s="81" t="str">
        <f>IF(AND($N339=$Q$7,$B339&lt;'111'!$L$11),"x","")</f>
        <v/>
      </c>
      <c r="S339" s="81" t="str">
        <f>IF(AND($O339=$Q$7,$B339&lt;'111'!$L$11),"x","")</f>
        <v/>
      </c>
      <c r="T339" s="81" t="str">
        <f>IF(ISERROR(FIND('112'!$M$9,G339,1)),"",IF((AND(FIND('112'!$M$9,G339,1)&gt;=1,B339='112'!$K$9,OR($N339='112'!$I$6,$O339='112'!$I$6))),"x",""))</f>
        <v/>
      </c>
      <c r="U339" s="81" t="str">
        <f>IF(ISERROR(FIND('112'!$M$9,G339,1)),"",IF((AND(LEFT(G339,2)=LEFT('112'!$M$9,2),B339&lt;'112'!$K$9,$N339='112'!$I$6)),"x",""))</f>
        <v/>
      </c>
      <c r="V339" s="81" t="str">
        <f>IF(ISERROR(FIND('112'!$M$9,G339,1)),"",IF((AND(RIGHT(G339,2)=RIGHT('112'!$M$9,2),B339&lt;'112'!$K$9,$O339='112'!$I$6)),"x",""))</f>
        <v/>
      </c>
      <c r="W339" s="81" t="str">
        <f>IF(AND('341-CT'!$H$9=H339,OR(LEFT(N339,3)=$W$7,LEFT(O339,3)=$W$7)),"x","")</f>
        <v/>
      </c>
      <c r="X339" s="81" t="str">
        <f>IF(OR(TH!N339=TH!$X$7,O339=TH!$X$7),"x","")</f>
        <v/>
      </c>
      <c r="Y339" s="81" t="str">
        <f>IF(AND(OR(N339="131",O339="131"),H339='131-CT'!$H$9),"x","")</f>
        <v/>
      </c>
      <c r="Z339" s="81"/>
      <c r="AA339" s="81" t="str">
        <f>IF(AND(MONTH(E339)='IN-NX'!$J$5,'IN-NX'!$D$7=D339),"x","")</f>
        <v/>
      </c>
      <c r="AB339" s="81" t="str">
        <f>IF(AND(OR(LEFT(TH!N339,2)="15",LEFT(TH!O339,2)="15"),LEFT(TH!O339,3)&lt;&gt;"111",'152-CT'!$J$8=TH!F339),"x","")</f>
        <v/>
      </c>
      <c r="AC339" s="81" t="str">
        <f>IF(AND(OR(LEFT(TH!N339,2)="15",LEFT(TH!O339,2)="15"),TK!$E$7=TH!F339),"x","")</f>
        <v/>
      </c>
      <c r="AD339" s="81" t="str">
        <f>IF(AND(N339="1521",MONTH(C339)='BK-NL'!$M$11),"x","")</f>
        <v/>
      </c>
    </row>
    <row r="340" spans="1:31" ht="14.25" customHeight="1">
      <c r="A340" s="327" t="str">
        <f>IF(B340&lt;&gt;"",IF(AND(B340='IN-TC'!$S$4,OR(TH!N340="1111",TH!O340="1111")),TH!D340,""),"")</f>
        <v/>
      </c>
      <c r="B340" s="62">
        <v>1</v>
      </c>
      <c r="C340" s="309"/>
      <c r="D340" s="309"/>
      <c r="E340" s="309"/>
      <c r="F340" s="310" t="s">
        <v>346</v>
      </c>
      <c r="G340" s="1042"/>
      <c r="H340" s="330"/>
      <c r="I340" s="227">
        <v>150</v>
      </c>
      <c r="J340" s="1222">
        <v>15238</v>
      </c>
      <c r="K340" s="398"/>
      <c r="L340" s="405"/>
      <c r="M340" s="1072">
        <f t="shared" si="94"/>
        <v>2285700</v>
      </c>
      <c r="N340" s="1073" t="s">
        <v>280</v>
      </c>
      <c r="O340" s="312" t="s">
        <v>274</v>
      </c>
      <c r="P340" s="81" t="str">
        <f>IF(AND('331-CT'!$E$7=TH!H340,OR(N340="331",O340="331")),"x","")</f>
        <v/>
      </c>
      <c r="Q340" s="81" t="str">
        <f>IF(AND(B340='111'!$L$11,OR($N340=$Q$7,$O340=$Q$7)),"x","")</f>
        <v/>
      </c>
      <c r="R340" s="81" t="str">
        <f>IF(AND($N340=$Q$7,$B340&lt;'111'!$L$11),"x","")</f>
        <v/>
      </c>
      <c r="S340" s="81" t="str">
        <f>IF(AND($O340=$Q$7,$B340&lt;'111'!$L$11),"x","")</f>
        <v/>
      </c>
      <c r="T340" s="81" t="str">
        <f>IF(ISERROR(FIND('112'!$M$9,G340,1)),"",IF((AND(FIND('112'!$M$9,G340,1)&gt;=1,B340='112'!$K$9,OR($N340='112'!$I$6,$O340='112'!$I$6))),"x",""))</f>
        <v/>
      </c>
      <c r="U340" s="81" t="str">
        <f>IF(ISERROR(FIND('112'!$M$9,G340,1)),"",IF((AND(LEFT(G340,2)=LEFT('112'!$M$9,2),B340&lt;'112'!$K$9,$N340='112'!$I$6)),"x",""))</f>
        <v/>
      </c>
      <c r="V340" s="81" t="str">
        <f>IF(ISERROR(FIND('112'!$M$9,G340,1)),"",IF((AND(RIGHT(G340,2)=RIGHT('112'!$M$9,2),B340&lt;'112'!$K$9,$O340='112'!$I$6)),"x",""))</f>
        <v/>
      </c>
      <c r="W340" s="81" t="str">
        <f>IF(AND('341-CT'!$H$9=H340,OR(LEFT(N340,3)=$W$7,LEFT(O340,3)=$W$7)),"x","")</f>
        <v/>
      </c>
      <c r="X340" s="81" t="str">
        <f>IF(OR(TH!N340=TH!$X$7,O340=TH!$X$7),"x","")</f>
        <v/>
      </c>
      <c r="Y340" s="81" t="str">
        <f>IF(AND(OR(N340="131",O340="131"),H340='131-CT'!$H$9),"x","")</f>
        <v/>
      </c>
      <c r="Z340" s="81"/>
      <c r="AA340" s="81" t="str">
        <f>IF(AND(MONTH(E340)='IN-NX'!$J$5,'IN-NX'!$D$7=D340),"x","")</f>
        <v/>
      </c>
      <c r="AB340" s="81" t="str">
        <f>IF(AND(OR(LEFT(TH!N340,2)="15",LEFT(TH!O340,2)="15"),LEFT(TH!O340,3)&lt;&gt;"111",'152-CT'!$J$8=TH!F340),"x","")</f>
        <v/>
      </c>
      <c r="AC340" s="81" t="str">
        <f>IF(AND(OR(LEFT(TH!N340,2)="15",LEFT(TH!O340,2)="15"),TK!$E$7=TH!F340),"x","")</f>
        <v>x</v>
      </c>
      <c r="AD340" s="81" t="str">
        <f>IF(AND(N340="1521",MONTH(C340)='BK-NL'!$M$11),"x","")</f>
        <v/>
      </c>
    </row>
    <row r="341" spans="1:31" ht="14.25" customHeight="1">
      <c r="A341" s="327" t="str">
        <f>IF(B341&lt;&gt;"",IF(AND(B341='IN-TC'!$S$4,OR(TH!N341="1111",TH!O341="1111")),TH!D341,""),"")</f>
        <v/>
      </c>
      <c r="B341" s="62">
        <v>1</v>
      </c>
      <c r="C341" s="309"/>
      <c r="D341" s="309"/>
      <c r="E341" s="309"/>
      <c r="F341" s="310" t="s">
        <v>920</v>
      </c>
      <c r="G341" s="1042"/>
      <c r="H341" s="330"/>
      <c r="I341" s="227">
        <v>370</v>
      </c>
      <c r="J341" s="1222">
        <v>53000</v>
      </c>
      <c r="K341" s="398"/>
      <c r="L341" s="405"/>
      <c r="M341" s="1072">
        <f t="shared" si="94"/>
        <v>19610000</v>
      </c>
      <c r="N341" s="1073" t="s">
        <v>280</v>
      </c>
      <c r="O341" s="312" t="s">
        <v>274</v>
      </c>
      <c r="P341" s="81" t="str">
        <f>IF(AND('331-CT'!$E$7=TH!H341,OR(N341="331",O341="331")),"x","")</f>
        <v/>
      </c>
      <c r="Q341" s="81" t="str">
        <f>IF(AND(B341='111'!$L$11,OR($N341=$Q$7,$O341=$Q$7)),"x","")</f>
        <v/>
      </c>
      <c r="R341" s="81" t="str">
        <f>IF(AND($N341=$Q$7,$B341&lt;'111'!$L$11),"x","")</f>
        <v/>
      </c>
      <c r="S341" s="81" t="str">
        <f>IF(AND($O341=$Q$7,$B341&lt;'111'!$L$11),"x","")</f>
        <v/>
      </c>
      <c r="T341" s="81" t="str">
        <f>IF(ISERROR(FIND('112'!$M$9,G341,1)),"",IF((AND(FIND('112'!$M$9,G341,1)&gt;=1,B341='112'!$K$9,OR($N341='112'!$I$6,$O341='112'!$I$6))),"x",""))</f>
        <v/>
      </c>
      <c r="U341" s="81" t="str">
        <f>IF(ISERROR(FIND('112'!$M$9,G341,1)),"",IF((AND(LEFT(G341,2)=LEFT('112'!$M$9,2),B341&lt;'112'!$K$9,$N341='112'!$I$6)),"x",""))</f>
        <v/>
      </c>
      <c r="V341" s="81" t="str">
        <f>IF(ISERROR(FIND('112'!$M$9,G341,1)),"",IF((AND(RIGHT(G341,2)=RIGHT('112'!$M$9,2),B341&lt;'112'!$K$9,$O341='112'!$I$6)),"x",""))</f>
        <v/>
      </c>
      <c r="W341" s="81" t="str">
        <f>IF(AND('341-CT'!$H$9=H341,OR(LEFT(N341,3)=$W$7,LEFT(O341,3)=$W$7)),"x","")</f>
        <v/>
      </c>
      <c r="X341" s="81" t="str">
        <f>IF(OR(TH!N341=TH!$X$7,O341=TH!$X$7),"x","")</f>
        <v/>
      </c>
      <c r="Y341" s="81" t="str">
        <f>IF(AND(OR(N341="131",O341="131"),H341='131-CT'!$H$9),"x","")</f>
        <v/>
      </c>
      <c r="Z341" s="81"/>
      <c r="AA341" s="81" t="str">
        <f>IF(AND(MONTH(E341)='IN-NX'!$J$5,'IN-NX'!$D$7=D341),"x","")</f>
        <v/>
      </c>
      <c r="AB341" s="81" t="str">
        <f>IF(AND(OR(LEFT(TH!N341,2)="15",LEFT(TH!O341,2)="15"),LEFT(TH!O341,3)&lt;&gt;"111",'152-CT'!$J$8=TH!F341),"x","")</f>
        <v/>
      </c>
      <c r="AC341" s="81" t="str">
        <f>IF(AND(OR(LEFT(TH!N341,2)="15",LEFT(TH!O341,2)="15"),TK!$E$7=TH!F341),"x","")</f>
        <v/>
      </c>
      <c r="AD341" s="81" t="str">
        <f>IF(AND(N341="1521",MONTH(C341)='BK-NL'!$M$11),"x","")</f>
        <v/>
      </c>
    </row>
    <row r="342" spans="1:31" ht="14.25" customHeight="1">
      <c r="A342" s="327" t="str">
        <f>IF(B342&lt;&gt;"",IF(AND(B342='IN-TC'!$S$4,OR(TH!N342="1111",TH!O342="1111")),TH!D342,""),"")</f>
        <v/>
      </c>
      <c r="B342" s="62">
        <v>1</v>
      </c>
      <c r="C342" s="309"/>
      <c r="D342" s="309"/>
      <c r="E342" s="309"/>
      <c r="F342" s="310" t="s">
        <v>351</v>
      </c>
      <c r="G342" s="1042"/>
      <c r="H342" s="330"/>
      <c r="I342" s="227">
        <v>500</v>
      </c>
      <c r="J342" s="1222">
        <v>3000</v>
      </c>
      <c r="K342" s="398"/>
      <c r="L342" s="405"/>
      <c r="M342" s="1072">
        <f t="shared" si="94"/>
        <v>1500000</v>
      </c>
      <c r="N342" s="1073" t="s">
        <v>280</v>
      </c>
      <c r="O342" s="312" t="s">
        <v>274</v>
      </c>
      <c r="P342" s="81" t="str">
        <f>IF(AND('331-CT'!$E$7=TH!H342,OR(N342="331",O342="331")),"x","")</f>
        <v/>
      </c>
      <c r="Q342" s="81" t="str">
        <f>IF(AND(B342='111'!$L$11,OR($N342=$Q$7,$O342=$Q$7)),"x","")</f>
        <v/>
      </c>
      <c r="R342" s="81" t="str">
        <f>IF(AND($N342=$Q$7,$B342&lt;'111'!$L$11),"x","")</f>
        <v/>
      </c>
      <c r="S342" s="81" t="str">
        <f>IF(AND($O342=$Q$7,$B342&lt;'111'!$L$11),"x","")</f>
        <v/>
      </c>
      <c r="T342" s="81" t="str">
        <f>IF(ISERROR(FIND('112'!$M$9,G342,1)),"",IF((AND(FIND('112'!$M$9,G342,1)&gt;=1,B342='112'!$K$9,OR($N342='112'!$I$6,$O342='112'!$I$6))),"x",""))</f>
        <v/>
      </c>
      <c r="U342" s="81" t="str">
        <f>IF(ISERROR(FIND('112'!$M$9,G342,1)),"",IF((AND(LEFT(G342,2)=LEFT('112'!$M$9,2),B342&lt;'112'!$K$9,$N342='112'!$I$6)),"x",""))</f>
        <v/>
      </c>
      <c r="V342" s="81" t="str">
        <f>IF(ISERROR(FIND('112'!$M$9,G342,1)),"",IF((AND(RIGHT(G342,2)=RIGHT('112'!$M$9,2),B342&lt;'112'!$K$9,$O342='112'!$I$6)),"x",""))</f>
        <v/>
      </c>
      <c r="W342" s="81" t="str">
        <f>IF(AND('341-CT'!$H$9=H342,OR(LEFT(N342,3)=$W$7,LEFT(O342,3)=$W$7)),"x","")</f>
        <v/>
      </c>
      <c r="X342" s="81" t="str">
        <f>IF(OR(TH!N342=TH!$X$7,O342=TH!$X$7),"x","")</f>
        <v/>
      </c>
      <c r="Y342" s="81" t="str">
        <f>IF(AND(OR(N342="131",O342="131"),H342='131-CT'!$H$9),"x","")</f>
        <v/>
      </c>
      <c r="Z342" s="81"/>
      <c r="AA342" s="81" t="str">
        <f>IF(AND(MONTH(E342)='IN-NX'!$J$5,'IN-NX'!$D$7=D342),"x","")</f>
        <v/>
      </c>
      <c r="AB342" s="81" t="str">
        <f>IF(AND(OR(LEFT(TH!N342,2)="15",LEFT(TH!O342,2)="15"),LEFT(TH!O342,3)&lt;&gt;"111",'152-CT'!$J$8=TH!F342),"x","")</f>
        <v/>
      </c>
      <c r="AC342" s="81" t="str">
        <f>IF(AND(OR(LEFT(TH!N342,2)="15",LEFT(TH!O342,2)="15"),TK!$E$7=TH!F342),"x","")</f>
        <v/>
      </c>
      <c r="AD342" s="81" t="str">
        <f>IF(AND(N342="1521",MONTH(C342)='BK-NL'!$M$11),"x","")</f>
        <v/>
      </c>
    </row>
    <row r="343" spans="1:31" ht="14.25" customHeight="1">
      <c r="A343" s="327" t="str">
        <f>IF(B343&lt;&gt;"",IF(AND(B343='IN-TC'!$S$4,OR(TH!N343="1111",TH!O343="1111")),TH!D343,""),"")</f>
        <v/>
      </c>
      <c r="B343" s="62">
        <v>1</v>
      </c>
      <c r="C343" s="309"/>
      <c r="D343" s="309"/>
      <c r="E343" s="309"/>
      <c r="F343" s="310" t="s">
        <v>1254</v>
      </c>
      <c r="G343" s="1042"/>
      <c r="H343" s="330"/>
      <c r="I343" s="227">
        <v>200</v>
      </c>
      <c r="J343" s="1222">
        <v>14728</v>
      </c>
      <c r="K343" s="398"/>
      <c r="L343" s="405"/>
      <c r="M343" s="1072">
        <f t="shared" si="94"/>
        <v>2945600</v>
      </c>
      <c r="N343" s="1073" t="s">
        <v>280</v>
      </c>
      <c r="O343" s="312" t="s">
        <v>274</v>
      </c>
      <c r="P343" s="81" t="str">
        <f>IF(AND('331-CT'!$E$7=TH!H343,OR(N343="331",O343="331")),"x","")</f>
        <v/>
      </c>
      <c r="Q343" s="81" t="str">
        <f>IF(AND(B343='111'!$L$11,OR($N343=$Q$7,$O343=$Q$7)),"x","")</f>
        <v/>
      </c>
      <c r="R343" s="81" t="str">
        <f>IF(AND($N343=$Q$7,$B343&lt;'111'!$L$11),"x","")</f>
        <v/>
      </c>
      <c r="S343" s="81" t="str">
        <f>IF(AND($O343=$Q$7,$B343&lt;'111'!$L$11),"x","")</f>
        <v/>
      </c>
      <c r="T343" s="81" t="str">
        <f>IF(ISERROR(FIND('112'!$M$9,G343,1)),"",IF((AND(FIND('112'!$M$9,G343,1)&gt;=1,B343='112'!$K$9,OR($N343='112'!$I$6,$O343='112'!$I$6))),"x",""))</f>
        <v/>
      </c>
      <c r="U343" s="81" t="str">
        <f>IF(ISERROR(FIND('112'!$M$9,G343,1)),"",IF((AND(LEFT(G343,2)=LEFT('112'!$M$9,2),B343&lt;'112'!$K$9,$N343='112'!$I$6)),"x",""))</f>
        <v/>
      </c>
      <c r="V343" s="81" t="str">
        <f>IF(ISERROR(FIND('112'!$M$9,G343,1)),"",IF((AND(RIGHT(G343,2)=RIGHT('112'!$M$9,2),B343&lt;'112'!$K$9,$O343='112'!$I$6)),"x",""))</f>
        <v/>
      </c>
      <c r="W343" s="81" t="str">
        <f>IF(AND('341-CT'!$H$9=H343,OR(LEFT(N343,3)=$W$7,LEFT(O343,3)=$W$7)),"x","")</f>
        <v/>
      </c>
      <c r="X343" s="81" t="str">
        <f>IF(OR(TH!N343=TH!$X$7,O343=TH!$X$7),"x","")</f>
        <v/>
      </c>
      <c r="Y343" s="81" t="str">
        <f>IF(AND(OR(N343="131",O343="131"),H343='131-CT'!$H$9),"x","")</f>
        <v/>
      </c>
      <c r="Z343" s="81"/>
      <c r="AA343" s="81" t="str">
        <f>IF(AND(MONTH(E343)='IN-NX'!$J$5,'IN-NX'!$D$7=D343),"x","")</f>
        <v/>
      </c>
      <c r="AB343" s="81" t="str">
        <f>IF(AND(OR(LEFT(TH!N343,2)="15",LEFT(TH!O343,2)="15"),LEFT(TH!O343,3)&lt;&gt;"111",'152-CT'!$J$8=TH!F343),"x","")</f>
        <v/>
      </c>
      <c r="AC343" s="81" t="str">
        <f>IF(AND(OR(LEFT(TH!N343,2)="15",LEFT(TH!O343,2)="15"),TK!$E$7=TH!F343),"x","")</f>
        <v/>
      </c>
      <c r="AD343" s="81" t="str">
        <f>IF(AND(N343="1521",MONTH(C343)='BK-NL'!$M$11),"x","")</f>
        <v/>
      </c>
    </row>
    <row r="344" spans="1:31" ht="14.25" customHeight="1">
      <c r="A344" s="327" t="str">
        <f>IF(B344&lt;&gt;"",IF(AND(B344='IN-TC'!$S$4,OR(TH!N344="1111",TH!O344="1111")),TH!D344,""),"")</f>
        <v/>
      </c>
      <c r="B344" s="62">
        <v>1</v>
      </c>
      <c r="C344" s="309"/>
      <c r="D344" s="309"/>
      <c r="E344" s="309"/>
      <c r="F344" s="310" t="s">
        <v>356</v>
      </c>
      <c r="G344" s="1042"/>
      <c r="H344" s="330"/>
      <c r="I344" s="227">
        <v>100</v>
      </c>
      <c r="J344" s="1222">
        <v>8000</v>
      </c>
      <c r="K344" s="398"/>
      <c r="L344" s="405"/>
      <c r="M344" s="1072">
        <f t="shared" si="94"/>
        <v>800000</v>
      </c>
      <c r="N344" s="1073" t="s">
        <v>280</v>
      </c>
      <c r="O344" s="312" t="s">
        <v>274</v>
      </c>
      <c r="P344" s="81" t="str">
        <f>IF(AND('331-CT'!$E$7=TH!H344,OR(N344="331",O344="331")),"x","")</f>
        <v/>
      </c>
      <c r="Q344" s="81" t="str">
        <f>IF(AND(B344='111'!$L$11,OR($N344=$Q$7,$O344=$Q$7)),"x","")</f>
        <v/>
      </c>
      <c r="R344" s="81" t="str">
        <f>IF(AND($N344=$Q$7,$B344&lt;'111'!$L$11),"x","")</f>
        <v/>
      </c>
      <c r="S344" s="81" t="str">
        <f>IF(AND($O344=$Q$7,$B344&lt;'111'!$L$11),"x","")</f>
        <v/>
      </c>
      <c r="T344" s="81" t="str">
        <f>IF(ISERROR(FIND('112'!$M$9,G344,1)),"",IF((AND(FIND('112'!$M$9,G344,1)&gt;=1,B344='112'!$K$9,OR($N344='112'!$I$6,$O344='112'!$I$6))),"x",""))</f>
        <v/>
      </c>
      <c r="U344" s="81" t="str">
        <f>IF(ISERROR(FIND('112'!$M$9,G344,1)),"",IF((AND(LEFT(G344,2)=LEFT('112'!$M$9,2),B344&lt;'112'!$K$9,$N344='112'!$I$6)),"x",""))</f>
        <v/>
      </c>
      <c r="V344" s="81" t="str">
        <f>IF(ISERROR(FIND('112'!$M$9,G344,1)),"",IF((AND(RIGHT(G344,2)=RIGHT('112'!$M$9,2),B344&lt;'112'!$K$9,$O344='112'!$I$6)),"x",""))</f>
        <v/>
      </c>
      <c r="W344" s="81" t="str">
        <f>IF(AND('341-CT'!$H$9=H344,OR(LEFT(N344,3)=$W$7,LEFT(O344,3)=$W$7)),"x","")</f>
        <v/>
      </c>
      <c r="X344" s="81" t="str">
        <f>IF(OR(TH!N344=TH!$X$7,O344=TH!$X$7),"x","")</f>
        <v/>
      </c>
      <c r="Y344" s="81" t="str">
        <f>IF(AND(OR(N344="131",O344="131"),H344='131-CT'!$H$9),"x","")</f>
        <v/>
      </c>
      <c r="Z344" s="81"/>
      <c r="AA344" s="81" t="str">
        <f>IF(AND(MONTH(E344)='IN-NX'!$J$5,'IN-NX'!$D$7=D344),"x","")</f>
        <v/>
      </c>
      <c r="AB344" s="81" t="str">
        <f>IF(AND(OR(LEFT(TH!N344,2)="15",LEFT(TH!O344,2)="15"),LEFT(TH!O344,3)&lt;&gt;"111",'152-CT'!$J$8=TH!F344),"x","")</f>
        <v/>
      </c>
      <c r="AC344" s="81" t="str">
        <f>IF(AND(OR(LEFT(TH!N344,2)="15",LEFT(TH!O344,2)="15"),TK!$E$7=TH!F344),"x","")</f>
        <v/>
      </c>
      <c r="AD344" s="81" t="str">
        <f>IF(AND(N344="1521",MONTH(C344)='BK-NL'!$M$11),"x","")</f>
        <v/>
      </c>
    </row>
    <row r="345" spans="1:31" ht="14.25" customHeight="1">
      <c r="A345" s="327" t="str">
        <f>IF(B345&lt;&gt;"",IF(AND(B345='IN-TC'!$S$4,OR(TH!N345="1111",TH!O345="1111")),TH!D345,""),"")</f>
        <v/>
      </c>
      <c r="B345" s="62" t="str">
        <f t="shared" si="92"/>
        <v/>
      </c>
      <c r="C345" s="309"/>
      <c r="D345" s="309"/>
      <c r="E345" s="309"/>
      <c r="F345" s="310"/>
      <c r="G345" s="1042"/>
      <c r="H345" s="330"/>
      <c r="I345" s="405"/>
      <c r="J345" s="1043"/>
      <c r="K345" s="398"/>
      <c r="L345" s="405"/>
      <c r="M345" s="1072">
        <f t="shared" si="94"/>
        <v>0</v>
      </c>
      <c r="N345" s="1073"/>
      <c r="O345" s="312"/>
      <c r="P345" s="81" t="str">
        <f>IF(AND('331-CT'!$E$7=TH!H345,OR(N345="331",O345="331")),"x","")</f>
        <v/>
      </c>
      <c r="Q345" s="81" t="str">
        <f>IF(AND(B345='111'!$L$11,OR($N345=$Q$7,$O345=$Q$7)),"x","")</f>
        <v/>
      </c>
      <c r="R345" s="81" t="str">
        <f>IF(AND($N345=$Q$7,$B345&lt;'111'!$L$11),"x","")</f>
        <v/>
      </c>
      <c r="S345" s="81" t="str">
        <f>IF(AND($O345=$Q$7,$B345&lt;'111'!$L$11),"x","")</f>
        <v/>
      </c>
      <c r="T345" s="81" t="str">
        <f>IF(ISERROR(FIND('112'!$M$9,G345,1)),"",IF((AND(FIND('112'!$M$9,G345,1)&gt;=1,B345='112'!$K$9,OR($N345='112'!$I$6,$O345='112'!$I$6))),"x",""))</f>
        <v/>
      </c>
      <c r="U345" s="81" t="str">
        <f>IF(ISERROR(FIND('112'!$M$9,G345,1)),"",IF((AND(LEFT(G345,2)=LEFT('112'!$M$9,2),B345&lt;'112'!$K$9,$N345='112'!$I$6)),"x",""))</f>
        <v/>
      </c>
      <c r="V345" s="81" t="str">
        <f>IF(ISERROR(FIND('112'!$M$9,G345,1)),"",IF((AND(RIGHT(G345,2)=RIGHT('112'!$M$9,2),B345&lt;'112'!$K$9,$O345='112'!$I$6)),"x",""))</f>
        <v/>
      </c>
      <c r="W345" s="81" t="str">
        <f>IF(AND('341-CT'!$H$9=H345,OR(LEFT(N345,3)=$W$7,LEFT(O345,3)=$W$7)),"x","")</f>
        <v/>
      </c>
      <c r="X345" s="81" t="str">
        <f>IF(OR(TH!N345=TH!$X$7,O345=TH!$X$7),"x","")</f>
        <v/>
      </c>
      <c r="Y345" s="81" t="str">
        <f>IF(AND(OR(N345="131",O345="131"),H345='131-CT'!$H$9),"x","")</f>
        <v/>
      </c>
      <c r="Z345" s="81"/>
      <c r="AA345" s="81" t="str">
        <f>IF(AND(MONTH(E345)='IN-NX'!$J$5,'IN-NX'!$D$7=D345),"x","")</f>
        <v/>
      </c>
      <c r="AB345" s="81" t="str">
        <f>IF(AND(OR(LEFT(TH!N345,2)="15",LEFT(TH!O345,2)="15"),LEFT(TH!O345,3)&lt;&gt;"111",'152-CT'!$J$8=TH!F345),"x","")</f>
        <v/>
      </c>
      <c r="AC345" s="81" t="str">
        <f>IF(AND(OR(LEFT(TH!N345,2)="15",LEFT(TH!O345,2)="15"),TK!$E$7=TH!F345),"x","")</f>
        <v/>
      </c>
      <c r="AD345" s="81" t="str">
        <f>IF(AND(N345="1521",MONTH(C345)='BK-NL'!$M$11),"x","")</f>
        <v/>
      </c>
    </row>
    <row r="346" spans="1:31" ht="14.25" customHeight="1">
      <c r="A346" s="327" t="str">
        <f>IF(B346&lt;&gt;"",IF(AND(B346='IN-TC'!$S$4,OR(TH!N346="1111",TH!O346="1111")),TH!D346,""),"")</f>
        <v/>
      </c>
      <c r="B346" s="62" t="str">
        <f t="shared" si="92"/>
        <v/>
      </c>
      <c r="C346" s="309"/>
      <c r="D346" s="309"/>
      <c r="E346" s="309"/>
      <c r="F346" s="310"/>
      <c r="G346" s="1042"/>
      <c r="H346" s="330"/>
      <c r="I346" s="405"/>
      <c r="J346" s="1043"/>
      <c r="K346" s="398"/>
      <c r="L346" s="405"/>
      <c r="M346" s="1072">
        <f t="shared" si="94"/>
        <v>0</v>
      </c>
      <c r="N346" s="1073"/>
      <c r="O346" s="312"/>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
      </c>
    </row>
    <row r="347" spans="1:31" ht="14.25" customHeight="1">
      <c r="A347" s="327" t="str">
        <f>IF(B347&lt;&gt;"",IF(AND(B347='IN-TC'!$S$4,OR(TH!N347="1111",TH!O347="1111")),TH!D347,""),"")</f>
        <v/>
      </c>
      <c r="B347" s="62" t="str">
        <f t="shared" si="92"/>
        <v/>
      </c>
      <c r="C347" s="309"/>
      <c r="D347" s="309"/>
      <c r="E347" s="309"/>
      <c r="F347" s="310"/>
      <c r="G347" s="1042"/>
      <c r="H347" s="330"/>
      <c r="I347" s="405"/>
      <c r="J347" s="1043"/>
      <c r="K347" s="398"/>
      <c r="L347" s="405"/>
      <c r="M347" s="1072">
        <f t="shared" si="94"/>
        <v>0</v>
      </c>
      <c r="N347" s="1073"/>
      <c r="O347" s="312"/>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
      </c>
    </row>
    <row r="348" spans="1:31" ht="14.25" customHeight="1">
      <c r="A348" s="327" t="str">
        <f>IF(B348&lt;&gt;"",IF(AND(B348='IN-TC'!$S$4,OR(TH!N348="1111",TH!O348="1111")),TH!D348,""),"")</f>
        <v/>
      </c>
      <c r="B348" s="62" t="str">
        <f t="shared" si="92"/>
        <v/>
      </c>
      <c r="C348" s="309"/>
      <c r="D348" s="309"/>
      <c r="E348" s="309"/>
      <c r="F348" s="310"/>
      <c r="G348" s="1042"/>
      <c r="H348" s="330"/>
      <c r="I348" s="405"/>
      <c r="J348" s="1043"/>
      <c r="K348" s="398"/>
      <c r="L348" s="405"/>
      <c r="M348" s="1072">
        <f t="shared" si="94"/>
        <v>0</v>
      </c>
      <c r="N348" s="1073"/>
      <c r="O348" s="312"/>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
      </c>
    </row>
    <row r="349" spans="1:31" ht="15.75" customHeight="1">
      <c r="A349" s="1064"/>
      <c r="B349" s="1065">
        <v>1</v>
      </c>
      <c r="C349" s="1066"/>
      <c r="D349" s="1066"/>
      <c r="E349" s="1066"/>
      <c r="F349" s="972" t="s">
        <v>950</v>
      </c>
      <c r="G349" s="1068"/>
      <c r="H349" s="1090"/>
      <c r="I349" s="1069">
        <v>280</v>
      </c>
      <c r="J349" s="1070">
        <v>2400</v>
      </c>
      <c r="K349" s="1071"/>
      <c r="L349" s="1069"/>
      <c r="M349" s="1072">
        <f>I349*J349</f>
        <v>672000</v>
      </c>
      <c r="N349" s="1073" t="s">
        <v>280</v>
      </c>
      <c r="O349" s="1073" t="s">
        <v>274</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
      </c>
    </row>
    <row r="350" spans="1:31" ht="15.75" customHeight="1">
      <c r="A350" s="1064"/>
      <c r="B350" s="1065">
        <v>1</v>
      </c>
      <c r="C350" s="1066"/>
      <c r="D350" s="1066"/>
      <c r="E350" s="1066"/>
      <c r="F350" s="972" t="s">
        <v>391</v>
      </c>
      <c r="G350" s="1068"/>
      <c r="H350" s="1090"/>
      <c r="I350" s="1069">
        <v>280</v>
      </c>
      <c r="J350" s="1070">
        <v>18000</v>
      </c>
      <c r="K350" s="1071"/>
      <c r="L350" s="1069"/>
      <c r="M350" s="1072">
        <f t="shared" ref="M350:M367" si="95">I350*J350</f>
        <v>5040000</v>
      </c>
      <c r="N350" s="1073" t="s">
        <v>280</v>
      </c>
      <c r="O350" s="1073" t="s">
        <v>274</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
      </c>
    </row>
    <row r="351" spans="1:31" ht="15.75" customHeight="1">
      <c r="A351" s="1064"/>
      <c r="B351" s="1065">
        <v>1</v>
      </c>
      <c r="C351" s="1066"/>
      <c r="D351" s="1066"/>
      <c r="E351" s="1066"/>
      <c r="F351" s="972" t="s">
        <v>616</v>
      </c>
      <c r="G351" s="1068"/>
      <c r="H351" s="1090"/>
      <c r="I351" s="1069">
        <v>4700</v>
      </c>
      <c r="J351" s="1070">
        <v>14000</v>
      </c>
      <c r="K351" s="1071"/>
      <c r="L351" s="1069"/>
      <c r="M351" s="1072">
        <f t="shared" si="95"/>
        <v>65800000</v>
      </c>
      <c r="N351" s="1073" t="s">
        <v>280</v>
      </c>
      <c r="O351" s="1073" t="s">
        <v>274</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
      </c>
    </row>
    <row r="352" spans="1:31" ht="15.75" customHeight="1">
      <c r="A352" s="1064"/>
      <c r="B352" s="1065">
        <v>1</v>
      </c>
      <c r="C352" s="1066"/>
      <c r="D352" s="1066"/>
      <c r="E352" s="1066"/>
      <c r="F352" s="972" t="s">
        <v>397</v>
      </c>
      <c r="G352" s="1068"/>
      <c r="H352" s="1090"/>
      <c r="I352" s="1069">
        <v>1200</v>
      </c>
      <c r="J352" s="1070"/>
      <c r="K352" s="1071"/>
      <c r="L352" s="1069"/>
      <c r="M352" s="1072">
        <v>16782800</v>
      </c>
      <c r="N352" s="1073" t="s">
        <v>280</v>
      </c>
      <c r="O352" s="1073" t="s">
        <v>274</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row>
    <row r="353" spans="1:30" ht="15.75" customHeight="1">
      <c r="A353" s="1064"/>
      <c r="B353" s="1065">
        <v>1</v>
      </c>
      <c r="C353" s="1066"/>
      <c r="D353" s="1066"/>
      <c r="E353" s="1066"/>
      <c r="F353" s="972" t="s">
        <v>884</v>
      </c>
      <c r="G353" s="1068"/>
      <c r="H353" s="1090"/>
      <c r="I353" s="1069">
        <v>1040</v>
      </c>
      <c r="J353" s="1070">
        <v>13500</v>
      </c>
      <c r="K353" s="1071"/>
      <c r="L353" s="1069"/>
      <c r="M353" s="1072">
        <f t="shared" si="95"/>
        <v>14040000</v>
      </c>
      <c r="N353" s="1073" t="s">
        <v>280</v>
      </c>
      <c r="O353" s="1073" t="s">
        <v>274</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0" ht="15.75" customHeight="1">
      <c r="A354" s="1064"/>
      <c r="B354" s="1065">
        <v>1</v>
      </c>
      <c r="C354" s="1066"/>
      <c r="D354" s="1066"/>
      <c r="E354" s="1066"/>
      <c r="F354" s="972" t="s">
        <v>883</v>
      </c>
      <c r="G354" s="1068"/>
      <c r="H354" s="1090"/>
      <c r="I354" s="1069">
        <v>1200</v>
      </c>
      <c r="J354" s="1070">
        <v>10300</v>
      </c>
      <c r="K354" s="1071"/>
      <c r="L354" s="1069"/>
      <c r="M354" s="1072">
        <f t="shared" si="95"/>
        <v>12360000</v>
      </c>
      <c r="N354" s="1073" t="s">
        <v>280</v>
      </c>
      <c r="O354" s="1073" t="s">
        <v>274</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0" ht="15.75" customHeight="1">
      <c r="A355" s="1064"/>
      <c r="B355" s="1065">
        <v>1</v>
      </c>
      <c r="C355" s="1066"/>
      <c r="D355" s="1066"/>
      <c r="E355" s="1066"/>
      <c r="F355" s="972" t="s">
        <v>883</v>
      </c>
      <c r="G355" s="1068"/>
      <c r="H355" s="1090"/>
      <c r="I355" s="1069">
        <v>250</v>
      </c>
      <c r="J355" s="1070">
        <v>10300</v>
      </c>
      <c r="K355" s="1071"/>
      <c r="L355" s="1069"/>
      <c r="M355" s="1072">
        <f t="shared" si="95"/>
        <v>2575000</v>
      </c>
      <c r="N355" s="1073" t="s">
        <v>280</v>
      </c>
      <c r="O355" s="1073" t="s">
        <v>274</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0" ht="14.25" customHeight="1">
      <c r="A356" s="327" t="str">
        <f>IF(B356&lt;&gt;"",IF(AND(B356='IN-TC'!$S$4,OR(TH!N356="1111",TH!O356="1111")),TH!D356,""),"")</f>
        <v/>
      </c>
      <c r="B356" s="62">
        <v>1</v>
      </c>
      <c r="C356" s="309"/>
      <c r="D356" s="309"/>
      <c r="E356" s="309"/>
      <c r="F356" s="310" t="s">
        <v>883</v>
      </c>
      <c r="G356" s="1042"/>
      <c r="H356" s="330"/>
      <c r="I356" s="405">
        <v>13</v>
      </c>
      <c r="J356" s="1043">
        <v>10300</v>
      </c>
      <c r="K356" s="398"/>
      <c r="L356" s="405"/>
      <c r="M356" s="1072">
        <f t="shared" si="95"/>
        <v>133900</v>
      </c>
      <c r="N356" s="312" t="s">
        <v>280</v>
      </c>
      <c r="O356" s="312" t="s">
        <v>274</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row>
    <row r="357" spans="1:30" ht="15.75" customHeight="1">
      <c r="A357" s="1064"/>
      <c r="B357" s="1065">
        <v>1</v>
      </c>
      <c r="C357" s="1066"/>
      <c r="D357" s="1066"/>
      <c r="E357" s="1066"/>
      <c r="F357" s="972" t="s">
        <v>883</v>
      </c>
      <c r="G357" s="1068"/>
      <c r="H357" s="1090"/>
      <c r="I357" s="1069">
        <v>5</v>
      </c>
      <c r="J357" s="1070">
        <v>10300</v>
      </c>
      <c r="K357" s="1071"/>
      <c r="L357" s="1069"/>
      <c r="M357" s="1072">
        <f t="shared" si="95"/>
        <v>51500</v>
      </c>
      <c r="N357" s="1073" t="s">
        <v>280</v>
      </c>
      <c r="O357" s="1073" t="s">
        <v>274</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
      </c>
    </row>
    <row r="358" spans="1:30" ht="15.75" customHeight="1">
      <c r="A358" s="1064"/>
      <c r="B358" s="1065">
        <v>1</v>
      </c>
      <c r="C358" s="1066"/>
      <c r="D358" s="1066"/>
      <c r="E358" s="1066"/>
      <c r="F358" s="972" t="s">
        <v>883</v>
      </c>
      <c r="G358" s="1068"/>
      <c r="H358" s="1090"/>
      <c r="I358" s="1069">
        <v>1</v>
      </c>
      <c r="J358" s="1070">
        <v>10300</v>
      </c>
      <c r="K358" s="1071"/>
      <c r="L358" s="1069"/>
      <c r="M358" s="1072">
        <f t="shared" si="95"/>
        <v>10300</v>
      </c>
      <c r="N358" s="1073" t="s">
        <v>280</v>
      </c>
      <c r="O358" s="1073" t="s">
        <v>274</v>
      </c>
      <c r="P358" s="81" t="str">
        <f>IF(AND('331-CT'!$E$7=TH!H358,OR(N358="331",O358="331")),"x","")</f>
        <v/>
      </c>
      <c r="Q358" s="81" t="str">
        <f>IF(AND(B358='111'!$L$11,OR($N358=$Q$7,$O358=$Q$7)),"x","")</f>
        <v/>
      </c>
      <c r="R358" s="81" t="str">
        <f>IF(AND($N358=$Q$7,$B358&lt;'111'!$L$11),"x","")</f>
        <v/>
      </c>
      <c r="S358" s="81" t="str">
        <f>IF(AND($O358=$Q$7,$B358&lt;'111'!$L$11),"x","")</f>
        <v/>
      </c>
      <c r="T358" s="81" t="str">
        <f>IF(ISERROR(FIND('112'!$M$9,G358,1)),"",IF((AND(FIND('112'!$M$9,G358,1)&gt;=1,B358='112'!$K$9,OR($N358='112'!$I$6,$O358='112'!$I$6))),"x",""))</f>
        <v/>
      </c>
      <c r="U358" s="81" t="str">
        <f>IF(ISERROR(FIND('112'!$M$9,G358,1)),"",IF((AND(LEFT(G358,2)=LEFT('112'!$M$9,2),B358&lt;'112'!$K$9,$N358='112'!$I$6)),"x",""))</f>
        <v/>
      </c>
      <c r="V358" s="81" t="str">
        <f>IF(ISERROR(FIND('112'!$M$9,G358,1)),"",IF((AND(RIGHT(G358,2)=RIGHT('112'!$M$9,2),B358&lt;'112'!$K$9,$O358='112'!$I$6)),"x",""))</f>
        <v/>
      </c>
      <c r="W358" s="81" t="str">
        <f>IF(AND('341-CT'!$H$9=H358,OR(LEFT(N358,3)=$W$7,LEFT(O358,3)=$W$7)),"x","")</f>
        <v/>
      </c>
      <c r="X358" s="81" t="str">
        <f>IF(OR(TH!N358=TH!$X$7,O358=TH!$X$7),"x","")</f>
        <v/>
      </c>
      <c r="Y358" s="81" t="str">
        <f>IF(AND(OR(N358="131",O358="131"),H358='131-CT'!$H$9),"x","")</f>
        <v/>
      </c>
      <c r="Z358" s="81"/>
      <c r="AA358" s="81" t="str">
        <f>IF(AND(MONTH(E358)='IN-NX'!$J$5,'IN-NX'!$D$7=D358),"x","")</f>
        <v/>
      </c>
      <c r="AB358" s="81" t="str">
        <f>IF(AND(OR(LEFT(TH!N358,2)="15",LEFT(TH!O358,2)="15"),LEFT(TH!O358,3)&lt;&gt;"111",'152-CT'!$J$8=TH!F358),"x","")</f>
        <v/>
      </c>
      <c r="AC358" s="81" t="str">
        <f>IF(AND(OR(LEFT(TH!N358,2)="15",LEFT(TH!O358,2)="15"),TK!$E$7=TH!F358),"x","")</f>
        <v/>
      </c>
      <c r="AD358" s="81" t="str">
        <f>IF(AND(N358="1521",MONTH(C358)='BK-NL'!$M$11),"x","")</f>
        <v/>
      </c>
    </row>
    <row r="359" spans="1:30" ht="15.75" customHeight="1">
      <c r="A359" s="1064"/>
      <c r="B359" s="1065">
        <v>1</v>
      </c>
      <c r="C359" s="1066"/>
      <c r="D359" s="1066"/>
      <c r="E359" s="1066"/>
      <c r="F359" s="972" t="s">
        <v>883</v>
      </c>
      <c r="G359" s="1068"/>
      <c r="H359" s="1090"/>
      <c r="I359" s="1069">
        <v>12</v>
      </c>
      <c r="J359" s="1070">
        <v>10300</v>
      </c>
      <c r="K359" s="1071"/>
      <c r="L359" s="1069"/>
      <c r="M359" s="1072">
        <f t="shared" si="95"/>
        <v>123600</v>
      </c>
      <c r="N359" s="1073" t="s">
        <v>280</v>
      </c>
      <c r="O359" s="1073" t="s">
        <v>274</v>
      </c>
      <c r="P359" s="81" t="str">
        <f>IF(AND('331-CT'!$E$7=TH!H359,OR(N359="331",O359="331")),"x","")</f>
        <v/>
      </c>
      <c r="Q359" s="81" t="str">
        <f>IF(AND(B359='111'!$L$11,OR($N359=$Q$7,$O359=$Q$7)),"x","")</f>
        <v/>
      </c>
      <c r="R359" s="81" t="str">
        <f>IF(AND($N359=$Q$7,$B359&lt;'111'!$L$11),"x","")</f>
        <v/>
      </c>
      <c r="S359" s="81" t="str">
        <f>IF(AND($O359=$Q$7,$B359&lt;'111'!$L$11),"x","")</f>
        <v/>
      </c>
      <c r="T359" s="81" t="str">
        <f>IF(ISERROR(FIND('112'!$M$9,G359,1)),"",IF((AND(FIND('112'!$M$9,G359,1)&gt;=1,B359='112'!$K$9,OR($N359='112'!$I$6,$O359='112'!$I$6))),"x",""))</f>
        <v/>
      </c>
      <c r="U359" s="81" t="str">
        <f>IF(ISERROR(FIND('112'!$M$9,G359,1)),"",IF((AND(LEFT(G359,2)=LEFT('112'!$M$9,2),B359&lt;'112'!$K$9,$N359='112'!$I$6)),"x",""))</f>
        <v/>
      </c>
      <c r="V359" s="81" t="str">
        <f>IF(ISERROR(FIND('112'!$M$9,G359,1)),"",IF((AND(RIGHT(G359,2)=RIGHT('112'!$M$9,2),B359&lt;'112'!$K$9,$O359='112'!$I$6)),"x",""))</f>
        <v/>
      </c>
      <c r="W359" s="81" t="str">
        <f>IF(AND('341-CT'!$H$9=H359,OR(LEFT(N359,3)=$W$7,LEFT(O359,3)=$W$7)),"x","")</f>
        <v/>
      </c>
      <c r="X359" s="81" t="str">
        <f>IF(OR(TH!N359=TH!$X$7,O359=TH!$X$7),"x","")</f>
        <v/>
      </c>
      <c r="Y359" s="81" t="str">
        <f>IF(AND(OR(N359="131",O359="131"),H359='131-CT'!$H$9),"x","")</f>
        <v/>
      </c>
      <c r="Z359" s="81"/>
      <c r="AA359" s="81" t="str">
        <f>IF(AND(MONTH(E359)='IN-NX'!$J$5,'IN-NX'!$D$7=D359),"x","")</f>
        <v/>
      </c>
      <c r="AB359" s="81" t="str">
        <f>IF(AND(OR(LEFT(TH!N359,2)="15",LEFT(TH!O359,2)="15"),LEFT(TH!O359,3)&lt;&gt;"111",'152-CT'!$J$8=TH!F359),"x","")</f>
        <v/>
      </c>
      <c r="AC359" s="81" t="str">
        <f>IF(AND(OR(LEFT(TH!N359,2)="15",LEFT(TH!O359,2)="15"),TK!$E$7=TH!F359),"x","")</f>
        <v/>
      </c>
      <c r="AD359" s="81" t="str">
        <f>IF(AND(N359="1521",MONTH(C359)='BK-NL'!$M$11),"x","")</f>
        <v/>
      </c>
    </row>
    <row r="360" spans="1:30" ht="15.75" customHeight="1">
      <c r="A360" s="1064"/>
      <c r="B360" s="1065">
        <v>1</v>
      </c>
      <c r="C360" s="1066"/>
      <c r="D360" s="1066"/>
      <c r="E360" s="1066"/>
      <c r="F360" s="972" t="s">
        <v>836</v>
      </c>
      <c r="G360" s="1068"/>
      <c r="H360" s="1090"/>
      <c r="I360" s="1069">
        <v>3427</v>
      </c>
      <c r="J360" s="1070"/>
      <c r="K360" s="1071"/>
      <c r="L360" s="1069"/>
      <c r="M360" s="1072">
        <v>35246100</v>
      </c>
      <c r="N360" s="1073" t="s">
        <v>280</v>
      </c>
      <c r="O360" s="1073" t="s">
        <v>274</v>
      </c>
      <c r="P360" s="81" t="str">
        <f>IF(AND('331-CT'!$E$7=TH!H360,OR(N360="331",O360="331")),"x","")</f>
        <v/>
      </c>
      <c r="Q360" s="81" t="str">
        <f>IF(AND(B360='111'!$L$11,OR($N360=$Q$7,$O360=$Q$7)),"x","")</f>
        <v/>
      </c>
      <c r="R360" s="81" t="str">
        <f>IF(AND($N360=$Q$7,$B360&lt;'111'!$L$11),"x","")</f>
        <v/>
      </c>
      <c r="S360" s="81" t="str">
        <f>IF(AND($O360=$Q$7,$B360&lt;'111'!$L$11),"x","")</f>
        <v/>
      </c>
      <c r="T360" s="81" t="str">
        <f>IF(ISERROR(FIND('112'!$M$9,G360,1)),"",IF((AND(FIND('112'!$M$9,G360,1)&gt;=1,B360='112'!$K$9,OR($N360='112'!$I$6,$O360='112'!$I$6))),"x",""))</f>
        <v/>
      </c>
      <c r="U360" s="81" t="str">
        <f>IF(ISERROR(FIND('112'!$M$9,G360,1)),"",IF((AND(LEFT(G360,2)=LEFT('112'!$M$9,2),B360&lt;'112'!$K$9,$N360='112'!$I$6)),"x",""))</f>
        <v/>
      </c>
      <c r="V360" s="81" t="str">
        <f>IF(ISERROR(FIND('112'!$M$9,G360,1)),"",IF((AND(RIGHT(G360,2)=RIGHT('112'!$M$9,2),B360&lt;'112'!$K$9,$O360='112'!$I$6)),"x",""))</f>
        <v/>
      </c>
      <c r="W360" s="81" t="str">
        <f>IF(AND('341-CT'!$H$9=H360,OR(LEFT(N360,3)=$W$7,LEFT(O360,3)=$W$7)),"x","")</f>
        <v/>
      </c>
      <c r="X360" s="81" t="str">
        <f>IF(OR(TH!N360=TH!$X$7,O360=TH!$X$7),"x","")</f>
        <v/>
      </c>
      <c r="Y360" s="81" t="str">
        <f>IF(AND(OR(N360="131",O360="131"),H360='131-CT'!$H$9),"x","")</f>
        <v/>
      </c>
      <c r="Z360" s="81"/>
      <c r="AA360" s="81" t="str">
        <f>IF(AND(MONTH(E360)='IN-NX'!$J$5,'IN-NX'!$D$7=D360),"x","")</f>
        <v/>
      </c>
      <c r="AB360" s="81" t="str">
        <f>IF(AND(OR(LEFT(TH!N360,2)="15",LEFT(TH!O360,2)="15"),LEFT(TH!O360,3)&lt;&gt;"111",'152-CT'!$J$8=TH!F360),"x","")</f>
        <v/>
      </c>
      <c r="AC360" s="81" t="str">
        <f>IF(AND(OR(LEFT(TH!N360,2)="15",LEFT(TH!O360,2)="15"),TK!$E$7=TH!F360),"x","")</f>
        <v/>
      </c>
      <c r="AD360" s="81" t="str">
        <f>IF(AND(N360="1521",MONTH(C360)='BK-NL'!$M$11),"x","")</f>
        <v/>
      </c>
    </row>
    <row r="361" spans="1:30" ht="15.75" customHeight="1">
      <c r="A361" s="1064"/>
      <c r="B361" s="1065">
        <v>1</v>
      </c>
      <c r="C361" s="1066"/>
      <c r="D361" s="1066"/>
      <c r="E361" s="1066"/>
      <c r="F361" s="972" t="s">
        <v>903</v>
      </c>
      <c r="G361" s="1068"/>
      <c r="H361" s="1090"/>
      <c r="I361" s="1069">
        <v>1835</v>
      </c>
      <c r="J361" s="1070">
        <v>7500</v>
      </c>
      <c r="K361" s="1071"/>
      <c r="L361" s="1069"/>
      <c r="M361" s="1072">
        <f t="shared" si="95"/>
        <v>13762500</v>
      </c>
      <c r="N361" s="1073" t="s">
        <v>280</v>
      </c>
      <c r="O361" s="1073" t="s">
        <v>274</v>
      </c>
      <c r="P361" s="81" t="str">
        <f>IF(AND('331-CT'!$E$7=TH!H361,OR(N361="331",O361="331")),"x","")</f>
        <v/>
      </c>
      <c r="Q361" s="81" t="str">
        <f>IF(AND(B361='111'!$L$11,OR($N361=$Q$7,$O361=$Q$7)),"x","")</f>
        <v/>
      </c>
      <c r="R361" s="81" t="str">
        <f>IF(AND($N361=$Q$7,$B361&lt;'111'!$L$11),"x","")</f>
        <v/>
      </c>
      <c r="S361" s="81" t="str">
        <f>IF(AND($O361=$Q$7,$B361&lt;'111'!$L$11),"x","")</f>
        <v/>
      </c>
      <c r="T361" s="81" t="str">
        <f>IF(ISERROR(FIND('112'!$M$9,G361,1)),"",IF((AND(FIND('112'!$M$9,G361,1)&gt;=1,B361='112'!$K$9,OR($N361='112'!$I$6,$O361='112'!$I$6))),"x",""))</f>
        <v/>
      </c>
      <c r="U361" s="81" t="str">
        <f>IF(ISERROR(FIND('112'!$M$9,G361,1)),"",IF((AND(LEFT(G361,2)=LEFT('112'!$M$9,2),B361&lt;'112'!$K$9,$N361='112'!$I$6)),"x",""))</f>
        <v/>
      </c>
      <c r="V361" s="81" t="str">
        <f>IF(ISERROR(FIND('112'!$M$9,G361,1)),"",IF((AND(RIGHT(G361,2)=RIGHT('112'!$M$9,2),B361&lt;'112'!$K$9,$O361='112'!$I$6)),"x",""))</f>
        <v/>
      </c>
      <c r="W361" s="81" t="str">
        <f>IF(AND('341-CT'!$H$9=H361,OR(LEFT(N361,3)=$W$7,LEFT(O361,3)=$W$7)),"x","")</f>
        <v/>
      </c>
      <c r="X361" s="81" t="str">
        <f>IF(OR(TH!N361=TH!$X$7,O361=TH!$X$7),"x","")</f>
        <v/>
      </c>
      <c r="Y361" s="81" t="str">
        <f>IF(AND(OR(N361="131",O361="131"),H361='131-CT'!$H$9),"x","")</f>
        <v/>
      </c>
      <c r="Z361" s="81"/>
      <c r="AA361" s="81" t="str">
        <f>IF(AND(MONTH(E361)='IN-NX'!$J$5,'IN-NX'!$D$7=D361),"x","")</f>
        <v/>
      </c>
      <c r="AB361" s="81" t="str">
        <f>IF(AND(OR(LEFT(TH!N361,2)="15",LEFT(TH!O361,2)="15"),LEFT(TH!O361,3)&lt;&gt;"111",'152-CT'!$J$8=TH!F361),"x","")</f>
        <v>x</v>
      </c>
      <c r="AC361" s="81" t="str">
        <f>IF(AND(OR(LEFT(TH!N361,2)="15",LEFT(TH!O361,2)="15"),TK!$E$7=TH!F361),"x","")</f>
        <v/>
      </c>
      <c r="AD361" s="81" t="str">
        <f>IF(AND(N361="1521",MONTH(C361)='BK-NL'!$M$11),"x","")</f>
        <v/>
      </c>
    </row>
    <row r="362" spans="1:30" ht="15.75" customHeight="1">
      <c r="A362" s="1064"/>
      <c r="B362" s="1065">
        <v>1</v>
      </c>
      <c r="C362" s="1066"/>
      <c r="D362" s="1066"/>
      <c r="E362" s="1066"/>
      <c r="F362" s="972" t="s">
        <v>804</v>
      </c>
      <c r="G362" s="1068"/>
      <c r="H362" s="1090"/>
      <c r="I362" s="1069">
        <v>303</v>
      </c>
      <c r="J362" s="1070">
        <v>13000</v>
      </c>
      <c r="K362" s="1071"/>
      <c r="L362" s="1069"/>
      <c r="M362" s="1072">
        <f t="shared" si="95"/>
        <v>3939000</v>
      </c>
      <c r="N362" s="1073" t="s">
        <v>280</v>
      </c>
      <c r="O362" s="1073" t="s">
        <v>274</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
      </c>
    </row>
    <row r="363" spans="1:30" ht="15.75" customHeight="1">
      <c r="A363" s="1064"/>
      <c r="B363" s="1065">
        <v>1</v>
      </c>
      <c r="C363" s="1066"/>
      <c r="D363" s="1066"/>
      <c r="E363" s="1066"/>
      <c r="F363" s="972" t="s">
        <v>937</v>
      </c>
      <c r="G363" s="1068"/>
      <c r="H363" s="1090"/>
      <c r="I363" s="1069">
        <v>760</v>
      </c>
      <c r="J363" s="1070"/>
      <c r="K363" s="1071"/>
      <c r="L363" s="1069"/>
      <c r="M363" s="1072">
        <v>7772000</v>
      </c>
      <c r="N363" s="1073" t="s">
        <v>280</v>
      </c>
      <c r="O363" s="1073" t="s">
        <v>274</v>
      </c>
      <c r="P363" s="81" t="str">
        <f>IF(AND('331-CT'!$E$7=TH!H363,OR(N363="331",O363="331")),"x","")</f>
        <v/>
      </c>
      <c r="Q363" s="81" t="str">
        <f>IF(AND(B363='111'!$L$11,OR($N363=$Q$7,$O363=$Q$7)),"x","")</f>
        <v/>
      </c>
      <c r="R363" s="81" t="str">
        <f>IF(AND($N363=$Q$7,$B363&lt;'111'!$L$11),"x","")</f>
        <v/>
      </c>
      <c r="S363" s="81" t="str">
        <f>IF(AND($O363=$Q$7,$B363&lt;'111'!$L$11),"x","")</f>
        <v/>
      </c>
      <c r="T363" s="81" t="str">
        <f>IF(ISERROR(FIND('112'!$M$9,G363,1)),"",IF((AND(FIND('112'!$M$9,G363,1)&gt;=1,B363='112'!$K$9,OR($N363='112'!$I$6,$O363='112'!$I$6))),"x",""))</f>
        <v/>
      </c>
      <c r="U363" s="81" t="str">
        <f>IF(ISERROR(FIND('112'!$M$9,G363,1)),"",IF((AND(LEFT(G363,2)=LEFT('112'!$M$9,2),B363&lt;'112'!$K$9,$N363='112'!$I$6)),"x",""))</f>
        <v/>
      </c>
      <c r="V363" s="81" t="str">
        <f>IF(ISERROR(FIND('112'!$M$9,G363,1)),"",IF((AND(RIGHT(G363,2)=RIGHT('112'!$M$9,2),B363&lt;'112'!$K$9,$O363='112'!$I$6)),"x",""))</f>
        <v/>
      </c>
      <c r="W363" s="81" t="str">
        <f>IF(AND('341-CT'!$H$9=H363,OR(LEFT(N363,3)=$W$7,LEFT(O363,3)=$W$7)),"x","")</f>
        <v/>
      </c>
      <c r="X363" s="81" t="str">
        <f>IF(OR(TH!N363=TH!$X$7,O363=TH!$X$7),"x","")</f>
        <v/>
      </c>
      <c r="Y363" s="81" t="str">
        <f>IF(AND(OR(N363="131",O363="131"),H363='131-CT'!$H$9),"x","")</f>
        <v/>
      </c>
      <c r="Z363" s="81"/>
      <c r="AA363" s="81" t="str">
        <f>IF(AND(MONTH(E363)='IN-NX'!$J$5,'IN-NX'!$D$7=D363),"x","")</f>
        <v/>
      </c>
      <c r="AB363" s="81" t="str">
        <f>IF(AND(OR(LEFT(TH!N363,2)="15",LEFT(TH!O363,2)="15"),LEFT(TH!O363,3)&lt;&gt;"111",'152-CT'!$J$8=TH!F363),"x","")</f>
        <v/>
      </c>
      <c r="AC363" s="81" t="str">
        <f>IF(AND(OR(LEFT(TH!N363,2)="15",LEFT(TH!O363,2)="15"),TK!$E$7=TH!F363),"x","")</f>
        <v/>
      </c>
      <c r="AD363" s="81" t="str">
        <f>IF(AND(N363="1521",MONTH(C363)='BK-NL'!$M$11),"x","")</f>
        <v/>
      </c>
    </row>
    <row r="364" spans="1:30" ht="14.25" customHeight="1">
      <c r="A364" s="327" t="str">
        <f>IF(B364&lt;&gt;"",IF(AND(B364='IN-TC'!$S$4,OR(TH!N364="1111",TH!O364="1111")),TH!D364,""),"")</f>
        <v/>
      </c>
      <c r="B364" s="62">
        <v>1</v>
      </c>
      <c r="C364" s="309"/>
      <c r="D364" s="309"/>
      <c r="E364" s="309"/>
      <c r="F364" s="310" t="s">
        <v>883</v>
      </c>
      <c r="G364" s="1042"/>
      <c r="H364" s="330"/>
      <c r="I364" s="405">
        <v>215</v>
      </c>
      <c r="J364" s="1043">
        <v>10300</v>
      </c>
      <c r="K364" s="398"/>
      <c r="L364" s="405"/>
      <c r="M364" s="1044">
        <f t="shared" si="95"/>
        <v>2214500</v>
      </c>
      <c r="N364" s="1073" t="s">
        <v>280</v>
      </c>
      <c r="O364" s="1073" t="s">
        <v>274</v>
      </c>
      <c r="P364" s="81" t="str">
        <f>IF(AND('331-CT'!$E$7=TH!H364,OR(N364="331",O364="331")),"x","")</f>
        <v/>
      </c>
      <c r="Q364" s="81" t="str">
        <f>IF(AND(B364='111'!$L$11,OR($N364=$Q$7,$O364=$Q$7)),"x","")</f>
        <v/>
      </c>
      <c r="R364" s="81" t="str">
        <f>IF(AND($N364=$Q$7,$B364&lt;'111'!$L$11),"x","")</f>
        <v/>
      </c>
      <c r="S364" s="81" t="str">
        <f>IF(AND($O364=$Q$7,$B364&lt;'111'!$L$11),"x","")</f>
        <v/>
      </c>
      <c r="T364" s="81" t="str">
        <f>IF(ISERROR(FIND('112'!$M$9,G364,1)),"",IF((AND(FIND('112'!$M$9,G364,1)&gt;=1,B364='112'!$K$9,OR($N364='112'!$I$6,$O364='112'!$I$6))),"x",""))</f>
        <v/>
      </c>
      <c r="U364" s="81" t="str">
        <f>IF(ISERROR(FIND('112'!$M$9,G364,1)),"",IF((AND(LEFT(G364,2)=LEFT('112'!$M$9,2),B364&lt;'112'!$K$9,$N364='112'!$I$6)),"x",""))</f>
        <v/>
      </c>
      <c r="V364" s="81" t="str">
        <f>IF(ISERROR(FIND('112'!$M$9,G364,1)),"",IF((AND(RIGHT(G364,2)=RIGHT('112'!$M$9,2),B364&lt;'112'!$K$9,$O364='112'!$I$6)),"x",""))</f>
        <v/>
      </c>
      <c r="W364" s="81" t="str">
        <f>IF(AND('341-CT'!$H$9=H364,OR(LEFT(N364,3)=$W$7,LEFT(O364,3)=$W$7)),"x","")</f>
        <v/>
      </c>
      <c r="X364" s="81" t="str">
        <f>IF(OR(TH!N364=TH!$X$7,O364=TH!$X$7),"x","")</f>
        <v/>
      </c>
      <c r="Y364" s="81" t="str">
        <f>IF(AND(OR(N364="131",O364="131"),H364='131-CT'!$H$9),"x","")</f>
        <v/>
      </c>
      <c r="Z364" s="81"/>
      <c r="AA364" s="81" t="str">
        <f>IF(AND(MONTH(E364)='IN-NX'!$J$5,'IN-NX'!$D$7=D364),"x","")</f>
        <v/>
      </c>
      <c r="AB364" s="81" t="str">
        <f>IF(AND(OR(LEFT(TH!N364,2)="15",LEFT(TH!O364,2)="15"),LEFT(TH!O364,3)&lt;&gt;"111",'152-CT'!$J$8=TH!F364),"x","")</f>
        <v/>
      </c>
      <c r="AC364" s="81" t="str">
        <f>IF(AND(OR(LEFT(TH!N364,2)="15",LEFT(TH!O364,2)="15"),TK!$E$7=TH!F364),"x","")</f>
        <v/>
      </c>
      <c r="AD364" s="81" t="str">
        <f>IF(AND(N364="1521",MONTH(C364)='BK-NL'!$M$11),"x","")</f>
        <v/>
      </c>
    </row>
    <row r="365" spans="1:30" ht="14.25" customHeight="1">
      <c r="A365" s="327" t="str">
        <f>IF(B365&lt;&gt;"",IF(AND(B365='IN-TC'!$S$4,OR(TH!N365="1111",TH!O365="1111")),TH!D365,""),"")</f>
        <v/>
      </c>
      <c r="B365" s="62">
        <v>2</v>
      </c>
      <c r="C365" s="309"/>
      <c r="D365" s="309"/>
      <c r="E365" s="309"/>
      <c r="F365" s="972" t="s">
        <v>883</v>
      </c>
      <c r="G365" s="1042"/>
      <c r="H365" s="330"/>
      <c r="I365" s="405">
        <v>1</v>
      </c>
      <c r="J365" s="1043">
        <v>10300</v>
      </c>
      <c r="K365" s="398"/>
      <c r="L365" s="405"/>
      <c r="M365" s="1044">
        <f t="shared" si="95"/>
        <v>10300</v>
      </c>
      <c r="N365" s="1073" t="s">
        <v>280</v>
      </c>
      <c r="O365" s="1073" t="s">
        <v>274</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
      </c>
    </row>
    <row r="366" spans="1:30" ht="14.25" customHeight="1">
      <c r="A366" s="327" t="str">
        <f>IF(B366&lt;&gt;"",IF(AND(B366='IN-TC'!$S$4,OR(TH!N366="1111",TH!O366="1111")),TH!D366,""),"")</f>
        <v/>
      </c>
      <c r="B366" s="62">
        <v>2</v>
      </c>
      <c r="C366" s="309"/>
      <c r="D366" s="309"/>
      <c r="E366" s="309"/>
      <c r="F366" s="310" t="s">
        <v>384</v>
      </c>
      <c r="G366" s="1042"/>
      <c r="H366" s="330"/>
      <c r="I366" s="405">
        <v>1419</v>
      </c>
      <c r="J366" s="1043">
        <v>6000</v>
      </c>
      <c r="K366" s="398"/>
      <c r="L366" s="405"/>
      <c r="M366" s="1044">
        <f t="shared" si="95"/>
        <v>8514000</v>
      </c>
      <c r="N366" s="1073" t="s">
        <v>280</v>
      </c>
      <c r="O366" s="1073" t="s">
        <v>274</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
      </c>
    </row>
    <row r="367" spans="1:30" ht="14.25" customHeight="1">
      <c r="A367" s="327" t="str">
        <f>IF(B367&lt;&gt;"",IF(AND(B367='IN-TC'!$S$4,OR(TH!N367="1111",TH!O367="1111")),TH!D367,""),"")</f>
        <v/>
      </c>
      <c r="B367" s="62">
        <v>3</v>
      </c>
      <c r="C367" s="309"/>
      <c r="D367" s="309"/>
      <c r="E367" s="309"/>
      <c r="F367" s="310" t="s">
        <v>397</v>
      </c>
      <c r="G367" s="1042"/>
      <c r="H367" s="330"/>
      <c r="I367" s="405">
        <v>360</v>
      </c>
      <c r="J367" s="1043">
        <v>18200</v>
      </c>
      <c r="K367" s="398"/>
      <c r="L367" s="405"/>
      <c r="M367" s="1044">
        <f t="shared" si="95"/>
        <v>6552000</v>
      </c>
      <c r="N367" s="1073" t="s">
        <v>280</v>
      </c>
      <c r="O367" s="1073" t="s">
        <v>274</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
      </c>
    </row>
    <row r="368" spans="1:30" ht="14.25" customHeight="1">
      <c r="A368" s="327" t="str">
        <f>IF(B368&lt;&gt;"",IF(AND(B368='IN-TC'!$S$4,OR(TH!N368="1111",TH!O368="1111")),TH!D368,""),"")</f>
        <v/>
      </c>
      <c r="B368" s="62" t="str">
        <f t="shared" ref="B368:B391" si="96">IF(C368&lt;&gt;"",MONTH(C368),"")</f>
        <v/>
      </c>
      <c r="C368" s="309"/>
      <c r="D368" s="309"/>
      <c r="E368" s="309"/>
      <c r="F368" s="310"/>
      <c r="G368" s="1042"/>
      <c r="H368" s="330"/>
      <c r="I368" s="405"/>
      <c r="J368" s="1043"/>
      <c r="K368" s="398"/>
      <c r="L368" s="405"/>
      <c r="M368" s="1044"/>
      <c r="N368" s="312"/>
      <c r="O368" s="312"/>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
      </c>
    </row>
    <row r="369" spans="1:30" ht="14.25" customHeight="1">
      <c r="A369" s="327" t="str">
        <f>IF(B369&lt;&gt;"",IF(AND(B369='IN-TC'!$S$4,OR(TH!N369="1111",TH!O369="1111")),TH!D369,""),"")</f>
        <v/>
      </c>
      <c r="B369" s="62" t="str">
        <f t="shared" si="96"/>
        <v/>
      </c>
      <c r="C369" s="309"/>
      <c r="D369" s="309"/>
      <c r="E369" s="309"/>
      <c r="F369" s="310"/>
      <c r="G369" s="1042"/>
      <c r="H369" s="330"/>
      <c r="I369" s="405"/>
      <c r="J369" s="1043"/>
      <c r="K369" s="398"/>
      <c r="L369" s="405"/>
      <c r="M369" s="1044"/>
      <c r="N369" s="312"/>
      <c r="O369" s="312"/>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
      </c>
    </row>
    <row r="370" spans="1:30" ht="14.25" customHeight="1">
      <c r="A370" s="327" t="str">
        <f>IF(B370&lt;&gt;"",IF(AND(B370='IN-TC'!$S$4,OR(TH!N370="1111",TH!O370="1111")),TH!D370,""),"")</f>
        <v/>
      </c>
      <c r="B370" s="62" t="str">
        <f t="shared" si="96"/>
        <v/>
      </c>
      <c r="C370" s="309"/>
      <c r="D370" s="309"/>
      <c r="E370" s="309"/>
      <c r="F370" s="310"/>
      <c r="G370" s="1042"/>
      <c r="H370" s="330"/>
      <c r="I370" s="405"/>
      <c r="J370" s="1043"/>
      <c r="K370" s="398"/>
      <c r="L370" s="405"/>
      <c r="M370" s="1044"/>
      <c r="N370" s="312"/>
      <c r="O370" s="312"/>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
      </c>
    </row>
    <row r="371" spans="1:30" ht="14.25" customHeight="1">
      <c r="A371" s="327" t="str">
        <f>IF(B371&lt;&gt;"",IF(AND(B371='IN-TC'!$S$4,OR(TH!N371="1111",TH!O371="1111")),TH!D371,""),"")</f>
        <v/>
      </c>
      <c r="B371" s="62" t="str">
        <f t="shared" si="96"/>
        <v/>
      </c>
      <c r="C371" s="309"/>
      <c r="D371" s="309"/>
      <c r="E371" s="309"/>
      <c r="F371" s="310"/>
      <c r="G371" s="1042"/>
      <c r="H371" s="330"/>
      <c r="I371" s="405"/>
      <c r="J371" s="1043"/>
      <c r="K371" s="398"/>
      <c r="L371" s="405"/>
      <c r="M371" s="1044"/>
      <c r="N371" s="312"/>
      <c r="O371" s="312"/>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
      </c>
    </row>
    <row r="372" spans="1:30" ht="14.25" customHeight="1">
      <c r="A372" s="327" t="str">
        <f>IF(B372&lt;&gt;"",IF(AND(B372='IN-TC'!$S$4,OR(TH!N372="1111",TH!O372="1111")),TH!D372,""),"")</f>
        <v/>
      </c>
      <c r="B372" s="62" t="str">
        <f t="shared" si="96"/>
        <v/>
      </c>
      <c r="C372" s="309"/>
      <c r="D372" s="309"/>
      <c r="E372" s="309"/>
      <c r="F372" s="310"/>
      <c r="G372" s="1042"/>
      <c r="H372" s="330"/>
      <c r="I372" s="405"/>
      <c r="J372" s="1043"/>
      <c r="K372" s="398"/>
      <c r="L372" s="405"/>
      <c r="M372" s="1044"/>
      <c r="N372" s="312"/>
      <c r="O372" s="312"/>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
      </c>
    </row>
    <row r="373" spans="1:30" ht="14.25" customHeight="1">
      <c r="A373" s="327" t="str">
        <f>IF(B373&lt;&gt;"",IF(AND(B373='IN-TC'!$S$4,OR(TH!N373="1111",TH!O373="1111")),TH!D373,""),"")</f>
        <v/>
      </c>
      <c r="B373" s="62" t="str">
        <f t="shared" si="96"/>
        <v/>
      </c>
      <c r="C373" s="309"/>
      <c r="D373" s="309"/>
      <c r="E373" s="309"/>
      <c r="F373" s="310"/>
      <c r="G373" s="1042"/>
      <c r="H373" s="330"/>
      <c r="I373" s="405"/>
      <c r="J373" s="1043"/>
      <c r="K373" s="398"/>
      <c r="L373" s="405"/>
      <c r="M373" s="1044"/>
      <c r="N373" s="312"/>
      <c r="O373" s="312"/>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
      </c>
    </row>
    <row r="374" spans="1:30" ht="14.25" customHeight="1">
      <c r="A374" s="327" t="str">
        <f>IF(B374&lt;&gt;"",IF(AND(B374='IN-TC'!$S$4,OR(TH!N374="1111",TH!O374="1111")),TH!D374,""),"")</f>
        <v/>
      </c>
      <c r="B374" s="62" t="str">
        <f t="shared" si="96"/>
        <v/>
      </c>
      <c r="C374" s="309"/>
      <c r="D374" s="309"/>
      <c r="E374" s="309"/>
      <c r="F374" s="310"/>
      <c r="G374" s="1042"/>
      <c r="H374" s="330"/>
      <c r="I374" s="405"/>
      <c r="J374" s="1043"/>
      <c r="K374" s="398"/>
      <c r="L374" s="405"/>
      <c r="M374" s="1044"/>
      <c r="N374" s="312"/>
      <c r="O374" s="312"/>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
      </c>
    </row>
    <row r="375" spans="1:30" ht="14.25" customHeight="1">
      <c r="A375" s="327" t="str">
        <f>IF(B375&lt;&gt;"",IF(AND(B375='IN-TC'!$S$4,OR(TH!N375="1111",TH!O375="1111")),TH!D375,""),"")</f>
        <v/>
      </c>
      <c r="B375" s="62" t="str">
        <f t="shared" si="96"/>
        <v/>
      </c>
      <c r="C375" s="309"/>
      <c r="D375" s="309"/>
      <c r="E375" s="309"/>
      <c r="F375" s="310"/>
      <c r="G375" s="1042"/>
      <c r="H375" s="330"/>
      <c r="I375" s="405"/>
      <c r="J375" s="1043"/>
      <c r="K375" s="398"/>
      <c r="L375" s="405"/>
      <c r="M375" s="1044"/>
      <c r="N375" s="312"/>
      <c r="O375" s="312"/>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
      </c>
    </row>
    <row r="376" spans="1:30" ht="14.25" customHeight="1">
      <c r="A376" s="327" t="str">
        <f>IF(B376&lt;&gt;"",IF(AND(B376='IN-TC'!$S$4,OR(TH!N376="1111",TH!O376="1111")),TH!D376,""),"")</f>
        <v/>
      </c>
      <c r="B376" s="62" t="str">
        <f t="shared" si="96"/>
        <v/>
      </c>
      <c r="C376" s="309"/>
      <c r="D376" s="309"/>
      <c r="E376" s="309"/>
      <c r="F376" s="310"/>
      <c r="G376" s="1042"/>
      <c r="H376" s="330"/>
      <c r="I376" s="405"/>
      <c r="J376" s="1043"/>
      <c r="K376" s="398"/>
      <c r="L376" s="405"/>
      <c r="M376" s="1044"/>
      <c r="N376" s="312"/>
      <c r="O376" s="312"/>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
      </c>
    </row>
    <row r="377" spans="1:30" ht="14.25" customHeight="1">
      <c r="A377" s="327" t="str">
        <f>IF(B377&lt;&gt;"",IF(AND(B377='IN-TC'!$S$4,OR(TH!N377="1111",TH!O377="1111")),TH!D377,""),"")</f>
        <v/>
      </c>
      <c r="B377" s="62" t="str">
        <f t="shared" si="96"/>
        <v/>
      </c>
      <c r="C377" s="309"/>
      <c r="D377" s="309"/>
      <c r="E377" s="309"/>
      <c r="F377" s="310"/>
      <c r="G377" s="1042"/>
      <c r="H377" s="330"/>
      <c r="I377" s="405"/>
      <c r="J377" s="1043"/>
      <c r="K377" s="398"/>
      <c r="L377" s="405"/>
      <c r="M377" s="1044"/>
      <c r="N377" s="312"/>
      <c r="O377" s="312"/>
      <c r="P377" s="81" t="str">
        <f>IF(AND('331-CT'!$E$7=TH!H377,OR(N377="331",O377="331")),"x","")</f>
        <v/>
      </c>
      <c r="Q377" s="81" t="str">
        <f>IF(AND(B377='111'!$L$11,OR($N377=$Q$7,$O377=$Q$7)),"x","")</f>
        <v/>
      </c>
      <c r="R377" s="81" t="str">
        <f>IF(AND($N377=$Q$7,$B377&lt;'111'!$L$11),"x","")</f>
        <v/>
      </c>
      <c r="S377" s="81" t="str">
        <f>IF(AND($O377=$Q$7,$B377&lt;'111'!$L$11),"x","")</f>
        <v/>
      </c>
      <c r="T377" s="81" t="str">
        <f>IF(ISERROR(FIND('112'!$M$9,G377,1)),"",IF((AND(FIND('112'!$M$9,G377,1)&gt;=1,B377='112'!$K$9,OR($N377='112'!$I$6,$O377='112'!$I$6))),"x",""))</f>
        <v/>
      </c>
      <c r="U377" s="81" t="str">
        <f>IF(ISERROR(FIND('112'!$M$9,G377,1)),"",IF((AND(LEFT(G377,2)=LEFT('112'!$M$9,2),B377&lt;'112'!$K$9,$N377='112'!$I$6)),"x",""))</f>
        <v/>
      </c>
      <c r="V377" s="81" t="str">
        <f>IF(ISERROR(FIND('112'!$M$9,G377,1)),"",IF((AND(RIGHT(G377,2)=RIGHT('112'!$M$9,2),B377&lt;'112'!$K$9,$O377='112'!$I$6)),"x",""))</f>
        <v/>
      </c>
      <c r="W377" s="81" t="str">
        <f>IF(AND('341-CT'!$H$9=H377,OR(LEFT(N377,3)=$W$7,LEFT(O377,3)=$W$7)),"x","")</f>
        <v/>
      </c>
      <c r="X377" s="81" t="str">
        <f>IF(OR(TH!N377=TH!$X$7,O377=TH!$X$7),"x","")</f>
        <v/>
      </c>
      <c r="Y377" s="81" t="str">
        <f>IF(AND(OR(N377="131",O377="131"),H377='131-CT'!$H$9),"x","")</f>
        <v/>
      </c>
      <c r="Z377" s="81"/>
      <c r="AA377" s="81" t="str">
        <f>IF(AND(MONTH(E377)='IN-NX'!$J$5,'IN-NX'!$D$7=D377),"x","")</f>
        <v/>
      </c>
      <c r="AB377" s="81" t="str">
        <f>IF(AND(OR(LEFT(TH!N377,2)="15",LEFT(TH!O377,2)="15"),LEFT(TH!O377,3)&lt;&gt;"111",'152-CT'!$J$8=TH!F377),"x","")</f>
        <v/>
      </c>
      <c r="AC377" s="81" t="str">
        <f>IF(AND(OR(LEFT(TH!N377,2)="15",LEFT(TH!O377,2)="15"),TK!$E$7=TH!F377),"x","")</f>
        <v/>
      </c>
      <c r="AD377" s="81" t="str">
        <f>IF(AND(N377="1521",MONTH(C377)='BK-NL'!$M$11),"x","")</f>
        <v/>
      </c>
    </row>
    <row r="378" spans="1:30" ht="14.25" customHeight="1">
      <c r="A378" s="327" t="str">
        <f>IF(B378&lt;&gt;"",IF(AND(B378='IN-TC'!$S$4,OR(TH!N378="1111",TH!O378="1111")),TH!D378,""),"")</f>
        <v/>
      </c>
      <c r="B378" s="62" t="str">
        <f t="shared" si="96"/>
        <v/>
      </c>
      <c r="C378" s="309"/>
      <c r="D378" s="309"/>
      <c r="E378" s="309"/>
      <c r="F378" s="310"/>
      <c r="G378" s="1042"/>
      <c r="H378" s="330"/>
      <c r="I378" s="405"/>
      <c r="J378" s="1043"/>
      <c r="K378" s="398"/>
      <c r="L378" s="405"/>
      <c r="M378" s="1044"/>
      <c r="N378" s="312"/>
      <c r="O378" s="312"/>
      <c r="P378" s="81" t="str">
        <f>IF(AND('331-CT'!$E$7=TH!H378,OR(N378="331",O378="331")),"x","")</f>
        <v/>
      </c>
      <c r="Q378" s="81" t="str">
        <f>IF(AND(B378='111'!$L$11,OR($N378=$Q$7,$O378=$Q$7)),"x","")</f>
        <v/>
      </c>
      <c r="R378" s="81" t="str">
        <f>IF(AND($N378=$Q$7,$B378&lt;'111'!$L$11),"x","")</f>
        <v/>
      </c>
      <c r="S378" s="81" t="str">
        <f>IF(AND($O378=$Q$7,$B378&lt;'111'!$L$11),"x","")</f>
        <v/>
      </c>
      <c r="T378" s="81" t="str">
        <f>IF(ISERROR(FIND('112'!$M$9,G378,1)),"",IF((AND(FIND('112'!$M$9,G378,1)&gt;=1,B378='112'!$K$9,OR($N378='112'!$I$6,$O378='112'!$I$6))),"x",""))</f>
        <v/>
      </c>
      <c r="U378" s="81" t="str">
        <f>IF(ISERROR(FIND('112'!$M$9,G378,1)),"",IF((AND(LEFT(G378,2)=LEFT('112'!$M$9,2),B378&lt;'112'!$K$9,$N378='112'!$I$6)),"x",""))</f>
        <v/>
      </c>
      <c r="V378" s="81" t="str">
        <f>IF(ISERROR(FIND('112'!$M$9,G378,1)),"",IF((AND(RIGHT(G378,2)=RIGHT('112'!$M$9,2),B378&lt;'112'!$K$9,$O378='112'!$I$6)),"x",""))</f>
        <v/>
      </c>
      <c r="W378" s="81" t="str">
        <f>IF(AND('341-CT'!$H$9=H378,OR(LEFT(N378,3)=$W$7,LEFT(O378,3)=$W$7)),"x","")</f>
        <v/>
      </c>
      <c r="X378" s="81" t="str">
        <f>IF(OR(TH!N378=TH!$X$7,O378=TH!$X$7),"x","")</f>
        <v/>
      </c>
      <c r="Y378" s="81" t="str">
        <f>IF(AND(OR(N378="131",O378="131"),H378='131-CT'!$H$9),"x","")</f>
        <v/>
      </c>
      <c r="Z378" s="81"/>
      <c r="AA378" s="81" t="str">
        <f>IF(AND(MONTH(E378)='IN-NX'!$J$5,'IN-NX'!$D$7=D378),"x","")</f>
        <v/>
      </c>
      <c r="AB378" s="81" t="str">
        <f>IF(AND(OR(LEFT(TH!N378,2)="15",LEFT(TH!O378,2)="15"),LEFT(TH!O378,3)&lt;&gt;"111",'152-CT'!$J$8=TH!F378),"x","")</f>
        <v/>
      </c>
      <c r="AC378" s="81" t="str">
        <f>IF(AND(OR(LEFT(TH!N378,2)="15",LEFT(TH!O378,2)="15"),TK!$E$7=TH!F378),"x","")</f>
        <v/>
      </c>
      <c r="AD378" s="81" t="str">
        <f>IF(AND(N378="1521",MONTH(C378)='BK-NL'!$M$11),"x","")</f>
        <v/>
      </c>
    </row>
    <row r="379" spans="1:30" ht="14.25" customHeight="1">
      <c r="A379" s="327" t="str">
        <f>IF(B379&lt;&gt;"",IF(AND(B379='IN-TC'!$S$4,OR(TH!N379="1111",TH!O379="1111")),TH!D379,""),"")</f>
        <v/>
      </c>
      <c r="B379" s="62" t="str">
        <f t="shared" si="96"/>
        <v/>
      </c>
      <c r="C379" s="309"/>
      <c r="D379" s="309"/>
      <c r="E379" s="309"/>
      <c r="F379" s="310"/>
      <c r="G379" s="1042"/>
      <c r="H379" s="330"/>
      <c r="I379" s="405"/>
      <c r="J379" s="1043"/>
      <c r="K379" s="398"/>
      <c r="L379" s="405"/>
      <c r="M379" s="1044"/>
      <c r="N379" s="312"/>
      <c r="O379" s="312"/>
      <c r="P379" s="81" t="str">
        <f>IF(AND('331-CT'!$E$7=TH!H379,OR(N379="331",O379="331")),"x","")</f>
        <v/>
      </c>
      <c r="Q379" s="81" t="str">
        <f>IF(AND(B379='111'!$L$11,OR($N379=$Q$7,$O379=$Q$7)),"x","")</f>
        <v/>
      </c>
      <c r="R379" s="81" t="str">
        <f>IF(AND($N379=$Q$7,$B379&lt;'111'!$L$11),"x","")</f>
        <v/>
      </c>
      <c r="S379" s="81" t="str">
        <f>IF(AND($O379=$Q$7,$B379&lt;'111'!$L$11),"x","")</f>
        <v/>
      </c>
      <c r="T379" s="81" t="str">
        <f>IF(ISERROR(FIND('112'!$M$9,G379,1)),"",IF((AND(FIND('112'!$M$9,G379,1)&gt;=1,B379='112'!$K$9,OR($N379='112'!$I$6,$O379='112'!$I$6))),"x",""))</f>
        <v/>
      </c>
      <c r="U379" s="81" t="str">
        <f>IF(ISERROR(FIND('112'!$M$9,G379,1)),"",IF((AND(LEFT(G379,2)=LEFT('112'!$M$9,2),B379&lt;'112'!$K$9,$N379='112'!$I$6)),"x",""))</f>
        <v/>
      </c>
      <c r="V379" s="81" t="str">
        <f>IF(ISERROR(FIND('112'!$M$9,G379,1)),"",IF((AND(RIGHT(G379,2)=RIGHT('112'!$M$9,2),B379&lt;'112'!$K$9,$O379='112'!$I$6)),"x",""))</f>
        <v/>
      </c>
      <c r="W379" s="81" t="str">
        <f>IF(AND('341-CT'!$H$9=H379,OR(LEFT(N379,3)=$W$7,LEFT(O379,3)=$W$7)),"x","")</f>
        <v/>
      </c>
      <c r="X379" s="81" t="str">
        <f>IF(OR(TH!N379=TH!$X$7,O379=TH!$X$7),"x","")</f>
        <v/>
      </c>
      <c r="Y379" s="81" t="str">
        <f>IF(AND(OR(N379="131",O379="131"),H379='131-CT'!$H$9),"x","")</f>
        <v/>
      </c>
      <c r="Z379" s="81"/>
      <c r="AA379" s="81" t="str">
        <f>IF(AND(MONTH(E379)='IN-NX'!$J$5,'IN-NX'!$D$7=D379),"x","")</f>
        <v/>
      </c>
      <c r="AB379" s="81" t="str">
        <f>IF(AND(OR(LEFT(TH!N379,2)="15",LEFT(TH!O379,2)="15"),LEFT(TH!O379,3)&lt;&gt;"111",'152-CT'!$J$8=TH!F379),"x","")</f>
        <v/>
      </c>
      <c r="AC379" s="81" t="str">
        <f>IF(AND(OR(LEFT(TH!N379,2)="15",LEFT(TH!O379,2)="15"),TK!$E$7=TH!F379),"x","")</f>
        <v/>
      </c>
      <c r="AD379" s="81" t="str">
        <f>IF(AND(N379="1521",MONTH(C379)='BK-NL'!$M$11),"x","")</f>
        <v/>
      </c>
    </row>
    <row r="380" spans="1:30" ht="14.25" customHeight="1">
      <c r="A380" s="327" t="str">
        <f>IF(B380&lt;&gt;"",IF(AND(B380='IN-TC'!$S$4,OR(TH!N380="1111",TH!O380="1111")),TH!D380,""),"")</f>
        <v/>
      </c>
      <c r="B380" s="62" t="str">
        <f t="shared" si="96"/>
        <v/>
      </c>
      <c r="C380" s="309"/>
      <c r="D380" s="309"/>
      <c r="E380" s="309"/>
      <c r="F380" s="310"/>
      <c r="G380" s="1042"/>
      <c r="H380" s="330"/>
      <c r="I380" s="405"/>
      <c r="J380" s="1043"/>
      <c r="K380" s="398"/>
      <c r="L380" s="405"/>
      <c r="M380" s="1044"/>
      <c r="N380" s="312"/>
      <c r="O380" s="312"/>
      <c r="P380" s="81" t="str">
        <f>IF(AND('331-CT'!$E$7=TH!H380,OR(N380="331",O380="331")),"x","")</f>
        <v/>
      </c>
      <c r="Q380" s="81" t="str">
        <f>IF(AND(B380='111'!$L$11,OR($N380=$Q$7,$O380=$Q$7)),"x","")</f>
        <v/>
      </c>
      <c r="R380" s="81" t="str">
        <f>IF(AND($N380=$Q$7,$B380&lt;'111'!$L$11),"x","")</f>
        <v/>
      </c>
      <c r="S380" s="81" t="str">
        <f>IF(AND($O380=$Q$7,$B380&lt;'111'!$L$11),"x","")</f>
        <v/>
      </c>
      <c r="T380" s="81" t="str">
        <f>IF(ISERROR(FIND('112'!$M$9,G380,1)),"",IF((AND(FIND('112'!$M$9,G380,1)&gt;=1,B380='112'!$K$9,OR($N380='112'!$I$6,$O380='112'!$I$6))),"x",""))</f>
        <v/>
      </c>
      <c r="U380" s="81" t="str">
        <f>IF(ISERROR(FIND('112'!$M$9,G380,1)),"",IF((AND(LEFT(G380,2)=LEFT('112'!$M$9,2),B380&lt;'112'!$K$9,$N380='112'!$I$6)),"x",""))</f>
        <v/>
      </c>
      <c r="V380" s="81" t="str">
        <f>IF(ISERROR(FIND('112'!$M$9,G380,1)),"",IF((AND(RIGHT(G380,2)=RIGHT('112'!$M$9,2),B380&lt;'112'!$K$9,$O380='112'!$I$6)),"x",""))</f>
        <v/>
      </c>
      <c r="W380" s="81" t="str">
        <f>IF(AND('341-CT'!$H$9=H380,OR(LEFT(N380,3)=$W$7,LEFT(O380,3)=$W$7)),"x","")</f>
        <v/>
      </c>
      <c r="X380" s="81" t="str">
        <f>IF(OR(TH!N380=TH!$X$7,O380=TH!$X$7),"x","")</f>
        <v/>
      </c>
      <c r="Y380" s="81" t="str">
        <f>IF(AND(OR(N380="131",O380="131"),H380='131-CT'!$H$9),"x","")</f>
        <v/>
      </c>
      <c r="Z380" s="81"/>
      <c r="AA380" s="81" t="str">
        <f>IF(AND(MONTH(E380)='IN-NX'!$J$5,'IN-NX'!$D$7=D380),"x","")</f>
        <v/>
      </c>
      <c r="AB380" s="81" t="str">
        <f>IF(AND(OR(LEFT(TH!N380,2)="15",LEFT(TH!O380,2)="15"),LEFT(TH!O380,3)&lt;&gt;"111",'152-CT'!$J$8=TH!F380),"x","")</f>
        <v/>
      </c>
      <c r="AC380" s="81" t="str">
        <f>IF(AND(OR(LEFT(TH!N380,2)="15",LEFT(TH!O380,2)="15"),TK!$E$7=TH!F380),"x","")</f>
        <v/>
      </c>
      <c r="AD380" s="81" t="str">
        <f>IF(AND(N380="1521",MONTH(C380)='BK-NL'!$M$11),"x","")</f>
        <v/>
      </c>
    </row>
    <row r="381" spans="1:30" ht="14.25" customHeight="1">
      <c r="A381" s="327" t="str">
        <f>IF(B381&lt;&gt;"",IF(AND(B381='IN-TC'!$S$4,OR(TH!N381="1111",TH!O381="1111")),TH!D381,""),"")</f>
        <v/>
      </c>
      <c r="B381" s="62" t="str">
        <f t="shared" si="96"/>
        <v/>
      </c>
      <c r="C381" s="309"/>
      <c r="D381" s="309"/>
      <c r="E381" s="309"/>
      <c r="F381" s="310"/>
      <c r="G381" s="1042"/>
      <c r="H381" s="330"/>
      <c r="I381" s="405"/>
      <c r="J381" s="1043"/>
      <c r="K381" s="398"/>
      <c r="L381" s="405"/>
      <c r="M381" s="1044"/>
      <c r="N381" s="312"/>
      <c r="O381" s="312"/>
      <c r="P381" s="81" t="str">
        <f>IF(AND('331-CT'!$E$7=TH!H381,OR(N381="331",O381="331")),"x","")</f>
        <v/>
      </c>
      <c r="Q381" s="81" t="str">
        <f>IF(AND(B381='111'!$L$11,OR($N381=$Q$7,$O381=$Q$7)),"x","")</f>
        <v/>
      </c>
      <c r="R381" s="81" t="str">
        <f>IF(AND($N381=$Q$7,$B381&lt;'111'!$L$11),"x","")</f>
        <v/>
      </c>
      <c r="S381" s="81" t="str">
        <f>IF(AND($O381=$Q$7,$B381&lt;'111'!$L$11),"x","")</f>
        <v/>
      </c>
      <c r="T381" s="81" t="str">
        <f>IF(ISERROR(FIND('112'!$M$9,G381,1)),"",IF((AND(FIND('112'!$M$9,G381,1)&gt;=1,B381='112'!$K$9,OR($N381='112'!$I$6,$O381='112'!$I$6))),"x",""))</f>
        <v/>
      </c>
      <c r="U381" s="81" t="str">
        <f>IF(ISERROR(FIND('112'!$M$9,G381,1)),"",IF((AND(LEFT(G381,2)=LEFT('112'!$M$9,2),B381&lt;'112'!$K$9,$N381='112'!$I$6)),"x",""))</f>
        <v/>
      </c>
      <c r="V381" s="81" t="str">
        <f>IF(ISERROR(FIND('112'!$M$9,G381,1)),"",IF((AND(RIGHT(G381,2)=RIGHT('112'!$M$9,2),B381&lt;'112'!$K$9,$O381='112'!$I$6)),"x",""))</f>
        <v/>
      </c>
      <c r="W381" s="81" t="str">
        <f>IF(AND('341-CT'!$H$9=H381,OR(LEFT(N381,3)=$W$7,LEFT(O381,3)=$W$7)),"x","")</f>
        <v/>
      </c>
      <c r="X381" s="81" t="str">
        <f>IF(OR(TH!N381=TH!$X$7,O381=TH!$X$7),"x","")</f>
        <v/>
      </c>
      <c r="Y381" s="81" t="str">
        <f>IF(AND(OR(N381="131",O381="131"),H381='131-CT'!$H$9),"x","")</f>
        <v/>
      </c>
      <c r="Z381" s="81"/>
      <c r="AA381" s="81" t="str">
        <f>IF(AND(MONTH(E381)='IN-NX'!$J$5,'IN-NX'!$D$7=D381),"x","")</f>
        <v/>
      </c>
      <c r="AB381" s="81" t="str">
        <f>IF(AND(OR(LEFT(TH!N381,2)="15",LEFT(TH!O381,2)="15"),LEFT(TH!O381,3)&lt;&gt;"111",'152-CT'!$J$8=TH!F381),"x","")</f>
        <v/>
      </c>
      <c r="AC381" s="81" t="str">
        <f>IF(AND(OR(LEFT(TH!N381,2)="15",LEFT(TH!O381,2)="15"),TK!$E$7=TH!F381),"x","")</f>
        <v/>
      </c>
      <c r="AD381" s="81" t="str">
        <f>IF(AND(N381="1521",MONTH(C381)='BK-NL'!$M$11),"x","")</f>
        <v/>
      </c>
    </row>
    <row r="382" spans="1:30" ht="14.25" customHeight="1">
      <c r="A382" s="327" t="str">
        <f>IF(B382&lt;&gt;"",IF(AND(B382='IN-TC'!$S$4,OR(TH!N382="1111",TH!O382="1111")),TH!D382,""),"")</f>
        <v/>
      </c>
      <c r="B382" s="62" t="str">
        <f t="shared" si="96"/>
        <v/>
      </c>
      <c r="C382" s="309"/>
      <c r="D382" s="309"/>
      <c r="E382" s="309"/>
      <c r="F382" s="310"/>
      <c r="G382" s="1042"/>
      <c r="H382" s="330"/>
      <c r="I382" s="405"/>
      <c r="J382" s="1043"/>
      <c r="K382" s="398"/>
      <c r="L382" s="405"/>
      <c r="M382" s="1044"/>
      <c r="N382" s="312"/>
      <c r="O382" s="312"/>
      <c r="P382" s="81" t="str">
        <f>IF(AND('331-CT'!$E$7=TH!H382,OR(N382="331",O382="331")),"x","")</f>
        <v/>
      </c>
      <c r="Q382" s="81" t="str">
        <f>IF(AND(B382='111'!$L$11,OR($N382=$Q$7,$O382=$Q$7)),"x","")</f>
        <v/>
      </c>
      <c r="R382" s="81" t="str">
        <f>IF(AND($N382=$Q$7,$B382&lt;'111'!$L$11),"x","")</f>
        <v/>
      </c>
      <c r="S382" s="81" t="str">
        <f>IF(AND($O382=$Q$7,$B382&lt;'111'!$L$11),"x","")</f>
        <v/>
      </c>
      <c r="T382" s="81" t="str">
        <f>IF(ISERROR(FIND('112'!$M$9,G382,1)),"",IF((AND(FIND('112'!$M$9,G382,1)&gt;=1,B382='112'!$K$9,OR($N382='112'!$I$6,$O382='112'!$I$6))),"x",""))</f>
        <v/>
      </c>
      <c r="U382" s="81" t="str">
        <f>IF(ISERROR(FIND('112'!$M$9,G382,1)),"",IF((AND(LEFT(G382,2)=LEFT('112'!$M$9,2),B382&lt;'112'!$K$9,$N382='112'!$I$6)),"x",""))</f>
        <v/>
      </c>
      <c r="V382" s="81" t="str">
        <f>IF(ISERROR(FIND('112'!$M$9,G382,1)),"",IF((AND(RIGHT(G382,2)=RIGHT('112'!$M$9,2),B382&lt;'112'!$K$9,$O382='112'!$I$6)),"x",""))</f>
        <v/>
      </c>
      <c r="W382" s="81" t="str">
        <f>IF(AND('341-CT'!$H$9=H382,OR(LEFT(N382,3)=$W$7,LEFT(O382,3)=$W$7)),"x","")</f>
        <v/>
      </c>
      <c r="X382" s="81" t="str">
        <f>IF(OR(TH!N382=TH!$X$7,O382=TH!$X$7),"x","")</f>
        <v/>
      </c>
      <c r="Y382" s="81" t="str">
        <f>IF(AND(OR(N382="131",O382="131"),H382='131-CT'!$H$9),"x","")</f>
        <v/>
      </c>
      <c r="Z382" s="81"/>
      <c r="AA382" s="81" t="str">
        <f>IF(AND(MONTH(E382)='IN-NX'!$J$5,'IN-NX'!$D$7=D382),"x","")</f>
        <v/>
      </c>
      <c r="AB382" s="81" t="str">
        <f>IF(AND(OR(LEFT(TH!N382,2)="15",LEFT(TH!O382,2)="15"),LEFT(TH!O382,3)&lt;&gt;"111",'152-CT'!$J$8=TH!F382),"x","")</f>
        <v/>
      </c>
      <c r="AC382" s="81" t="str">
        <f>IF(AND(OR(LEFT(TH!N382,2)="15",LEFT(TH!O382,2)="15"),TK!$E$7=TH!F382),"x","")</f>
        <v/>
      </c>
      <c r="AD382" s="81" t="str">
        <f>IF(AND(N382="1521",MONTH(C382)='BK-NL'!$M$11),"x","")</f>
        <v/>
      </c>
    </row>
    <row r="383" spans="1:30" ht="14.25" customHeight="1">
      <c r="A383" s="327" t="str">
        <f>IF(B383&lt;&gt;"",IF(AND(B383='IN-TC'!$S$4,OR(TH!N383="1111",TH!O383="1111")),TH!D383,""),"")</f>
        <v/>
      </c>
      <c r="B383" s="62" t="str">
        <f t="shared" si="96"/>
        <v/>
      </c>
      <c r="C383" s="309"/>
      <c r="D383" s="309"/>
      <c r="E383" s="309"/>
      <c r="F383" s="310"/>
      <c r="G383" s="1042"/>
      <c r="H383" s="330"/>
      <c r="I383" s="405"/>
      <c r="J383" s="1043"/>
      <c r="K383" s="398"/>
      <c r="L383" s="405"/>
      <c r="M383" s="1044"/>
      <c r="N383" s="312"/>
      <c r="O383" s="312"/>
      <c r="P383" s="81" t="str">
        <f>IF(AND('331-CT'!$E$7=TH!H383,OR(N383="331",O383="331")),"x","")</f>
        <v/>
      </c>
      <c r="Q383" s="81" t="str">
        <f>IF(AND(B383='111'!$L$11,OR($N383=$Q$7,$O383=$Q$7)),"x","")</f>
        <v/>
      </c>
      <c r="R383" s="81" t="str">
        <f>IF(AND($N383=$Q$7,$B383&lt;'111'!$L$11),"x","")</f>
        <v/>
      </c>
      <c r="S383" s="81" t="str">
        <f>IF(AND($O383=$Q$7,$B383&lt;'111'!$L$11),"x","")</f>
        <v/>
      </c>
      <c r="T383" s="81" t="str">
        <f>IF(ISERROR(FIND('112'!$M$9,G383,1)),"",IF((AND(FIND('112'!$M$9,G383,1)&gt;=1,B383='112'!$K$9,OR($N383='112'!$I$6,$O383='112'!$I$6))),"x",""))</f>
        <v/>
      </c>
      <c r="U383" s="81" t="str">
        <f>IF(ISERROR(FIND('112'!$M$9,G383,1)),"",IF((AND(LEFT(G383,2)=LEFT('112'!$M$9,2),B383&lt;'112'!$K$9,$N383='112'!$I$6)),"x",""))</f>
        <v/>
      </c>
      <c r="V383" s="81" t="str">
        <f>IF(ISERROR(FIND('112'!$M$9,G383,1)),"",IF((AND(RIGHT(G383,2)=RIGHT('112'!$M$9,2),B383&lt;'112'!$K$9,$O383='112'!$I$6)),"x",""))</f>
        <v/>
      </c>
      <c r="W383" s="81" t="str">
        <f>IF(AND('341-CT'!$H$9=H383,OR(LEFT(N383,3)=$W$7,LEFT(O383,3)=$W$7)),"x","")</f>
        <v/>
      </c>
      <c r="X383" s="81" t="str">
        <f>IF(OR(TH!N383=TH!$X$7,O383=TH!$X$7),"x","")</f>
        <v/>
      </c>
      <c r="Y383" s="81" t="str">
        <f>IF(AND(OR(N383="131",O383="131"),H383='131-CT'!$H$9),"x","")</f>
        <v/>
      </c>
      <c r="Z383" s="81"/>
      <c r="AA383" s="81" t="str">
        <f>IF(AND(MONTH(E383)='IN-NX'!$J$5,'IN-NX'!$D$7=D383),"x","")</f>
        <v/>
      </c>
      <c r="AB383" s="81" t="str">
        <f>IF(AND(OR(LEFT(TH!N383,2)="15",LEFT(TH!O383,2)="15"),LEFT(TH!O383,3)&lt;&gt;"111",'152-CT'!$J$8=TH!F383),"x","")</f>
        <v/>
      </c>
      <c r="AC383" s="81" t="str">
        <f>IF(AND(OR(LEFT(TH!N383,2)="15",LEFT(TH!O383,2)="15"),TK!$E$7=TH!F383),"x","")</f>
        <v/>
      </c>
      <c r="AD383" s="81" t="str">
        <f>IF(AND(N383="1521",MONTH(C383)='BK-NL'!$M$11),"x","")</f>
        <v/>
      </c>
    </row>
    <row r="384" spans="1:30" ht="14.25" customHeight="1">
      <c r="A384" s="327" t="str">
        <f>IF(B384&lt;&gt;"",IF(AND(B384='IN-TC'!$S$4,OR(TH!N384="1111",TH!O384="1111")),TH!D384,""),"")</f>
        <v/>
      </c>
      <c r="B384" s="62" t="str">
        <f t="shared" si="96"/>
        <v/>
      </c>
      <c r="C384" s="309"/>
      <c r="D384" s="309"/>
      <c r="E384" s="309"/>
      <c r="F384" s="310"/>
      <c r="G384" s="1042"/>
      <c r="H384" s="330"/>
      <c r="I384" s="405"/>
      <c r="J384" s="1043"/>
      <c r="K384" s="398"/>
      <c r="L384" s="405"/>
      <c r="M384" s="1044"/>
      <c r="N384" s="312"/>
      <c r="O384" s="312"/>
      <c r="P384" s="81" t="str">
        <f>IF(AND('331-CT'!$E$7=TH!H384,OR(N384="331",O384="331")),"x","")</f>
        <v/>
      </c>
      <c r="Q384" s="81" t="str">
        <f>IF(AND(B384='111'!$L$11,OR($N384=$Q$7,$O384=$Q$7)),"x","")</f>
        <v/>
      </c>
      <c r="R384" s="81" t="str">
        <f>IF(AND($N384=$Q$7,$B384&lt;'111'!$L$11),"x","")</f>
        <v/>
      </c>
      <c r="S384" s="81" t="str">
        <f>IF(AND($O384=$Q$7,$B384&lt;'111'!$L$11),"x","")</f>
        <v/>
      </c>
      <c r="T384" s="81" t="str">
        <f>IF(ISERROR(FIND('112'!$M$9,G384,1)),"",IF((AND(FIND('112'!$M$9,G384,1)&gt;=1,B384='112'!$K$9,OR($N384='112'!$I$6,$O384='112'!$I$6))),"x",""))</f>
        <v/>
      </c>
      <c r="U384" s="81" t="str">
        <f>IF(ISERROR(FIND('112'!$M$9,G384,1)),"",IF((AND(LEFT(G384,2)=LEFT('112'!$M$9,2),B384&lt;'112'!$K$9,$N384='112'!$I$6)),"x",""))</f>
        <v/>
      </c>
      <c r="V384" s="81" t="str">
        <f>IF(ISERROR(FIND('112'!$M$9,G384,1)),"",IF((AND(RIGHT(G384,2)=RIGHT('112'!$M$9,2),B384&lt;'112'!$K$9,$O384='112'!$I$6)),"x",""))</f>
        <v/>
      </c>
      <c r="W384" s="81" t="str">
        <f>IF(AND('341-CT'!$H$9=H384,OR(LEFT(N384,3)=$W$7,LEFT(O384,3)=$W$7)),"x","")</f>
        <v/>
      </c>
      <c r="X384" s="81" t="str">
        <f>IF(OR(TH!N384=TH!$X$7,O384=TH!$X$7),"x","")</f>
        <v/>
      </c>
      <c r="Y384" s="81" t="str">
        <f>IF(AND(OR(N384="131",O384="131"),H384='131-CT'!$H$9),"x","")</f>
        <v/>
      </c>
      <c r="Z384" s="81"/>
      <c r="AA384" s="81" t="str">
        <f>IF(AND(MONTH(E384)='IN-NX'!$J$5,'IN-NX'!$D$7=D384),"x","")</f>
        <v/>
      </c>
      <c r="AB384" s="81" t="str">
        <f>IF(AND(OR(LEFT(TH!N384,2)="15",LEFT(TH!O384,2)="15"),LEFT(TH!O384,3)&lt;&gt;"111",'152-CT'!$J$8=TH!F384),"x","")</f>
        <v/>
      </c>
      <c r="AC384" s="81" t="str">
        <f>IF(AND(OR(LEFT(TH!N384,2)="15",LEFT(TH!O384,2)="15"),TK!$E$7=TH!F384),"x","")</f>
        <v/>
      </c>
      <c r="AD384" s="81" t="str">
        <f>IF(AND(N384="1521",MONTH(C384)='BK-NL'!$M$11),"x","")</f>
        <v/>
      </c>
    </row>
    <row r="385" spans="1:31" ht="14.25" customHeight="1">
      <c r="A385" s="327" t="str">
        <f>IF(B385&lt;&gt;"",IF(AND(B385='IN-TC'!$S$4,OR(TH!N385="1111",TH!O385="1111")),TH!D385,""),"")</f>
        <v/>
      </c>
      <c r="B385" s="62" t="str">
        <f t="shared" si="96"/>
        <v/>
      </c>
      <c r="C385" s="309"/>
      <c r="D385" s="309"/>
      <c r="E385" s="309"/>
      <c r="F385" s="310"/>
      <c r="G385" s="1042"/>
      <c r="H385" s="330"/>
      <c r="I385" s="405"/>
      <c r="J385" s="1043"/>
      <c r="K385" s="398"/>
      <c r="L385" s="405"/>
      <c r="M385" s="1044"/>
      <c r="N385" s="312"/>
      <c r="O385" s="312"/>
      <c r="P385" s="81" t="str">
        <f>IF(AND('331-CT'!$E$7=TH!H385,OR(N385="331",O385="331")),"x","")</f>
        <v/>
      </c>
      <c r="Q385" s="81" t="str">
        <f>IF(AND(B385='111'!$L$11,OR($N385=$Q$7,$O385=$Q$7)),"x","")</f>
        <v/>
      </c>
      <c r="R385" s="81" t="str">
        <f>IF(AND($N385=$Q$7,$B385&lt;'111'!$L$11),"x","")</f>
        <v/>
      </c>
      <c r="S385" s="81" t="str">
        <f>IF(AND($O385=$Q$7,$B385&lt;'111'!$L$11),"x","")</f>
        <v/>
      </c>
      <c r="T385" s="81" t="str">
        <f>IF(ISERROR(FIND('112'!$M$9,G385,1)),"",IF((AND(FIND('112'!$M$9,G385,1)&gt;=1,B385='112'!$K$9,OR($N385='112'!$I$6,$O385='112'!$I$6))),"x",""))</f>
        <v/>
      </c>
      <c r="U385" s="81" t="str">
        <f>IF(ISERROR(FIND('112'!$M$9,G385,1)),"",IF((AND(LEFT(G385,2)=LEFT('112'!$M$9,2),B385&lt;'112'!$K$9,$N385='112'!$I$6)),"x",""))</f>
        <v/>
      </c>
      <c r="V385" s="81" t="str">
        <f>IF(ISERROR(FIND('112'!$M$9,G385,1)),"",IF((AND(RIGHT(G385,2)=RIGHT('112'!$M$9,2),B385&lt;'112'!$K$9,$O385='112'!$I$6)),"x",""))</f>
        <v/>
      </c>
      <c r="W385" s="81" t="str">
        <f>IF(AND('341-CT'!$H$9=H385,OR(LEFT(N385,3)=$W$7,LEFT(O385,3)=$W$7)),"x","")</f>
        <v/>
      </c>
      <c r="X385" s="81" t="str">
        <f>IF(OR(TH!N385=TH!$X$7,O385=TH!$X$7),"x","")</f>
        <v/>
      </c>
      <c r="Y385" s="81" t="str">
        <f>IF(AND(OR(N385="131",O385="131"),H385='131-CT'!$H$9),"x","")</f>
        <v/>
      </c>
      <c r="Z385" s="81"/>
      <c r="AA385" s="81" t="str">
        <f>IF(AND(MONTH(E385)='IN-NX'!$J$5,'IN-NX'!$D$7=D385),"x","")</f>
        <v/>
      </c>
      <c r="AB385" s="81" t="str">
        <f>IF(AND(OR(LEFT(TH!N385,2)="15",LEFT(TH!O385,2)="15"),LEFT(TH!O385,3)&lt;&gt;"111",'152-CT'!$J$8=TH!F385),"x","")</f>
        <v/>
      </c>
      <c r="AC385" s="81" t="str">
        <f>IF(AND(OR(LEFT(TH!N385,2)="15",LEFT(TH!O385,2)="15"),TK!$E$7=TH!F385),"x","")</f>
        <v/>
      </c>
      <c r="AD385" s="81" t="str">
        <f>IF(AND(N385="1521",MONTH(C385)='BK-NL'!$M$11),"x","")</f>
        <v/>
      </c>
    </row>
    <row r="386" spans="1:31" ht="14.25" customHeight="1">
      <c r="A386" s="327" t="str">
        <f>IF(B386&lt;&gt;"",IF(AND(B386='IN-TC'!$S$4,OR(TH!N386="1111",TH!O386="1111")),TH!D386,""),"")</f>
        <v/>
      </c>
      <c r="B386" s="62" t="str">
        <f t="shared" si="96"/>
        <v/>
      </c>
      <c r="C386" s="309"/>
      <c r="D386" s="309"/>
      <c r="E386" s="309"/>
      <c r="F386" s="310"/>
      <c r="G386" s="1042"/>
      <c r="H386" s="330"/>
      <c r="I386" s="405"/>
      <c r="J386" s="1043"/>
      <c r="K386" s="398"/>
      <c r="L386" s="405"/>
      <c r="M386" s="1044"/>
      <c r="N386" s="312"/>
      <c r="O386" s="312"/>
      <c r="P386" s="81" t="str">
        <f>IF(AND('331-CT'!$E$7=TH!H386,OR(N386="331",O386="331")),"x","")</f>
        <v/>
      </c>
      <c r="Q386" s="81" t="str">
        <f>IF(AND(B386='111'!$L$11,OR($N386=$Q$7,$O386=$Q$7)),"x","")</f>
        <v/>
      </c>
      <c r="R386" s="81" t="str">
        <f>IF(AND($N386=$Q$7,$B386&lt;'111'!$L$11),"x","")</f>
        <v/>
      </c>
      <c r="S386" s="81" t="str">
        <f>IF(AND($O386=$Q$7,$B386&lt;'111'!$L$11),"x","")</f>
        <v/>
      </c>
      <c r="T386" s="81" t="str">
        <f>IF(ISERROR(FIND('112'!$M$9,G386,1)),"",IF((AND(FIND('112'!$M$9,G386,1)&gt;=1,B386='112'!$K$9,OR($N386='112'!$I$6,$O386='112'!$I$6))),"x",""))</f>
        <v/>
      </c>
      <c r="U386" s="81" t="str">
        <f>IF(ISERROR(FIND('112'!$M$9,G386,1)),"",IF((AND(LEFT(G386,2)=LEFT('112'!$M$9,2),B386&lt;'112'!$K$9,$N386='112'!$I$6)),"x",""))</f>
        <v/>
      </c>
      <c r="V386" s="81" t="str">
        <f>IF(ISERROR(FIND('112'!$M$9,G386,1)),"",IF((AND(RIGHT(G386,2)=RIGHT('112'!$M$9,2),B386&lt;'112'!$K$9,$O386='112'!$I$6)),"x",""))</f>
        <v/>
      </c>
      <c r="W386" s="81" t="str">
        <f>IF(AND('341-CT'!$H$9=H386,OR(LEFT(N386,3)=$W$7,LEFT(O386,3)=$W$7)),"x","")</f>
        <v/>
      </c>
      <c r="X386" s="81" t="str">
        <f>IF(OR(TH!N386=TH!$X$7,O386=TH!$X$7),"x","")</f>
        <v/>
      </c>
      <c r="Y386" s="81" t="str">
        <f>IF(AND(OR(N386="131",O386="131"),H386='131-CT'!$H$9),"x","")</f>
        <v/>
      </c>
      <c r="Z386" s="81"/>
      <c r="AA386" s="81" t="str">
        <f>IF(AND(MONTH(E386)='IN-NX'!$J$5,'IN-NX'!$D$7=D386),"x","")</f>
        <v/>
      </c>
      <c r="AB386" s="81" t="str">
        <f>IF(AND(OR(LEFT(TH!N386,2)="15",LEFT(TH!O386,2)="15"),LEFT(TH!O386,3)&lt;&gt;"111",'152-CT'!$J$8=TH!F386),"x","")</f>
        <v/>
      </c>
      <c r="AC386" s="81" t="str">
        <f>IF(AND(OR(LEFT(TH!N386,2)="15",LEFT(TH!O386,2)="15"),TK!$E$7=TH!F386),"x","")</f>
        <v/>
      </c>
      <c r="AD386" s="81" t="str">
        <f>IF(AND(N386="1521",MONTH(C386)='BK-NL'!$M$11),"x","")</f>
        <v/>
      </c>
    </row>
    <row r="387" spans="1:31" ht="14.25" customHeight="1">
      <c r="A387" s="327" t="str">
        <f>IF(B387&lt;&gt;"",IF(AND(B387='IN-TC'!$S$4,OR(TH!N387="1111",TH!O387="1111")),TH!D387,""),"")</f>
        <v/>
      </c>
      <c r="B387" s="62" t="str">
        <f t="shared" si="96"/>
        <v/>
      </c>
      <c r="C387" s="309"/>
      <c r="D387" s="309"/>
      <c r="E387" s="309"/>
      <c r="F387" s="310"/>
      <c r="G387" s="1042"/>
      <c r="H387" s="330"/>
      <c r="I387" s="405"/>
      <c r="J387" s="1043"/>
      <c r="K387" s="398"/>
      <c r="L387" s="405"/>
      <c r="M387" s="1044"/>
      <c r="N387" s="312"/>
      <c r="O387" s="312"/>
      <c r="P387" s="81" t="str">
        <f>IF(AND('331-CT'!$E$7=TH!H387,OR(N387="331",O387="331")),"x","")</f>
        <v/>
      </c>
      <c r="Q387" s="81" t="str">
        <f>IF(AND(B387='111'!$L$11,OR($N387=$Q$7,$O387=$Q$7)),"x","")</f>
        <v/>
      </c>
      <c r="R387" s="81" t="str">
        <f>IF(AND($N387=$Q$7,$B387&lt;'111'!$L$11),"x","")</f>
        <v/>
      </c>
      <c r="S387" s="81" t="str">
        <f>IF(AND($O387=$Q$7,$B387&lt;'111'!$L$11),"x","")</f>
        <v/>
      </c>
      <c r="T387" s="81" t="str">
        <f>IF(ISERROR(FIND('112'!$M$9,G387,1)),"",IF((AND(FIND('112'!$M$9,G387,1)&gt;=1,B387='112'!$K$9,OR($N387='112'!$I$6,$O387='112'!$I$6))),"x",""))</f>
        <v/>
      </c>
      <c r="U387" s="81" t="str">
        <f>IF(ISERROR(FIND('112'!$M$9,G387,1)),"",IF((AND(LEFT(G387,2)=LEFT('112'!$M$9,2),B387&lt;'112'!$K$9,$N387='112'!$I$6)),"x",""))</f>
        <v/>
      </c>
      <c r="V387" s="81" t="str">
        <f>IF(ISERROR(FIND('112'!$M$9,G387,1)),"",IF((AND(RIGHT(G387,2)=RIGHT('112'!$M$9,2),B387&lt;'112'!$K$9,$O387='112'!$I$6)),"x",""))</f>
        <v/>
      </c>
      <c r="W387" s="81" t="str">
        <f>IF(AND('341-CT'!$H$9=H387,OR(LEFT(N387,3)=$W$7,LEFT(O387,3)=$W$7)),"x","")</f>
        <v/>
      </c>
      <c r="X387" s="81" t="str">
        <f>IF(OR(TH!N387=TH!$X$7,O387=TH!$X$7),"x","")</f>
        <v/>
      </c>
      <c r="Y387" s="81" t="str">
        <f>IF(AND(OR(N387="131",O387="131"),H387='131-CT'!$H$9),"x","")</f>
        <v/>
      </c>
      <c r="Z387" s="81"/>
      <c r="AA387" s="81" t="str">
        <f>IF(AND(MONTH(E387)='IN-NX'!$J$5,'IN-NX'!$D$7=D387),"x","")</f>
        <v/>
      </c>
      <c r="AB387" s="81" t="str">
        <f>IF(AND(OR(LEFT(TH!N387,2)="15",LEFT(TH!O387,2)="15"),LEFT(TH!O387,3)&lt;&gt;"111",'152-CT'!$J$8=TH!F387),"x","")</f>
        <v/>
      </c>
      <c r="AC387" s="81" t="str">
        <f>IF(AND(OR(LEFT(TH!N387,2)="15",LEFT(TH!O387,2)="15"),TK!$E$7=TH!F387),"x","")</f>
        <v/>
      </c>
      <c r="AD387" s="81" t="str">
        <f>IF(AND(N387="1521",MONTH(C387)='BK-NL'!$M$11),"x","")</f>
        <v/>
      </c>
    </row>
    <row r="388" spans="1:31" ht="14.25" customHeight="1">
      <c r="A388" s="327" t="str">
        <f>IF(B388&lt;&gt;"",IF(AND(B388='IN-TC'!$S$4,OR(TH!N388="1111",TH!O388="1111")),TH!D388,""),"")</f>
        <v/>
      </c>
      <c r="B388" s="62" t="str">
        <f t="shared" si="96"/>
        <v/>
      </c>
      <c r="C388" s="309"/>
      <c r="D388" s="309"/>
      <c r="E388" s="309"/>
      <c r="F388" s="310"/>
      <c r="G388" s="1042"/>
      <c r="H388" s="330"/>
      <c r="I388" s="405"/>
      <c r="J388" s="1043"/>
      <c r="K388" s="398"/>
      <c r="L388" s="405"/>
      <c r="M388" s="1044"/>
      <c r="N388" s="312"/>
      <c r="O388" s="312"/>
      <c r="P388" s="81" t="str">
        <f>IF(AND('331-CT'!$E$7=TH!H388,OR(N388="331",O388="331")),"x","")</f>
        <v/>
      </c>
      <c r="Q388" s="81" t="str">
        <f>IF(AND(B388='111'!$L$11,OR($N388=$Q$7,$O388=$Q$7)),"x","")</f>
        <v/>
      </c>
      <c r="R388" s="81" t="str">
        <f>IF(AND($N388=$Q$7,$B388&lt;'111'!$L$11),"x","")</f>
        <v/>
      </c>
      <c r="S388" s="81" t="str">
        <f>IF(AND($O388=$Q$7,$B388&lt;'111'!$L$11),"x","")</f>
        <v/>
      </c>
      <c r="T388" s="81" t="str">
        <f>IF(ISERROR(FIND('112'!$M$9,G388,1)),"",IF((AND(FIND('112'!$M$9,G388,1)&gt;=1,B388='112'!$K$9,OR($N388='112'!$I$6,$O388='112'!$I$6))),"x",""))</f>
        <v/>
      </c>
      <c r="U388" s="81" t="str">
        <f>IF(ISERROR(FIND('112'!$M$9,G388,1)),"",IF((AND(LEFT(G388,2)=LEFT('112'!$M$9,2),B388&lt;'112'!$K$9,$N388='112'!$I$6)),"x",""))</f>
        <v/>
      </c>
      <c r="V388" s="81" t="str">
        <f>IF(ISERROR(FIND('112'!$M$9,G388,1)),"",IF((AND(RIGHT(G388,2)=RIGHT('112'!$M$9,2),B388&lt;'112'!$K$9,$O388='112'!$I$6)),"x",""))</f>
        <v/>
      </c>
      <c r="W388" s="81" t="str">
        <f>IF(AND('341-CT'!$H$9=H388,OR(LEFT(N388,3)=$W$7,LEFT(O388,3)=$W$7)),"x","")</f>
        <v/>
      </c>
      <c r="X388" s="81" t="str">
        <f>IF(OR(TH!N388=TH!$X$7,O388=TH!$X$7),"x","")</f>
        <v/>
      </c>
      <c r="Y388" s="81" t="str">
        <f>IF(AND(OR(N388="131",O388="131"),H388='131-CT'!$H$9),"x","")</f>
        <v/>
      </c>
      <c r="Z388" s="81"/>
      <c r="AA388" s="81" t="str">
        <f>IF(AND(MONTH(E388)='IN-NX'!$J$5,'IN-NX'!$D$7=D388),"x","")</f>
        <v/>
      </c>
      <c r="AB388" s="81" t="str">
        <f>IF(AND(OR(LEFT(TH!N388,2)="15",LEFT(TH!O388,2)="15"),LEFT(TH!O388,3)&lt;&gt;"111",'152-CT'!$J$8=TH!F388),"x","")</f>
        <v/>
      </c>
      <c r="AC388" s="81" t="str">
        <f>IF(AND(OR(LEFT(TH!N388,2)="15",LEFT(TH!O388,2)="15"),TK!$E$7=TH!F388),"x","")</f>
        <v/>
      </c>
      <c r="AD388" s="81" t="str">
        <f>IF(AND(N388="1521",MONTH(C388)='BK-NL'!$M$11),"x","")</f>
        <v/>
      </c>
    </row>
    <row r="389" spans="1:31" ht="14.25" customHeight="1">
      <c r="A389" s="327" t="str">
        <f>IF(B389&lt;&gt;"",IF(AND(B389='IN-TC'!$S$4,OR(TH!N389="1111",TH!O389="1111")),TH!D389,""),"")</f>
        <v/>
      </c>
      <c r="B389" s="62" t="str">
        <f t="shared" si="96"/>
        <v/>
      </c>
      <c r="C389" s="309"/>
      <c r="D389" s="309"/>
      <c r="E389" s="309"/>
      <c r="F389" s="310"/>
      <c r="G389" s="1042"/>
      <c r="H389" s="330"/>
      <c r="I389" s="405"/>
      <c r="J389" s="1043"/>
      <c r="K389" s="398"/>
      <c r="L389" s="405"/>
      <c r="M389" s="1044"/>
      <c r="N389" s="312"/>
      <c r="O389" s="312"/>
      <c r="P389" s="81" t="str">
        <f>IF(AND('331-CT'!$E$7=TH!H389,OR(N389="331",O389="331")),"x","")</f>
        <v/>
      </c>
      <c r="Q389" s="81" t="str">
        <f>IF(AND(B389='111'!$L$11,OR($N389=$Q$7,$O389=$Q$7)),"x","")</f>
        <v/>
      </c>
      <c r="R389" s="81" t="str">
        <f>IF(AND($N389=$Q$7,$B389&lt;'111'!$L$11),"x","")</f>
        <v/>
      </c>
      <c r="S389" s="81" t="str">
        <f>IF(AND($O389=$Q$7,$B389&lt;'111'!$L$11),"x","")</f>
        <v/>
      </c>
      <c r="T389" s="81" t="str">
        <f>IF(ISERROR(FIND('112'!$M$9,G389,1)),"",IF((AND(FIND('112'!$M$9,G389,1)&gt;=1,B389='112'!$K$9,OR($N389='112'!$I$6,$O389='112'!$I$6))),"x",""))</f>
        <v/>
      </c>
      <c r="U389" s="81" t="str">
        <f>IF(ISERROR(FIND('112'!$M$9,G389,1)),"",IF((AND(LEFT(G389,2)=LEFT('112'!$M$9,2),B389&lt;'112'!$K$9,$N389='112'!$I$6)),"x",""))</f>
        <v/>
      </c>
      <c r="V389" s="81" t="str">
        <f>IF(ISERROR(FIND('112'!$M$9,G389,1)),"",IF((AND(RIGHT(G389,2)=RIGHT('112'!$M$9,2),B389&lt;'112'!$K$9,$O389='112'!$I$6)),"x",""))</f>
        <v/>
      </c>
      <c r="W389" s="81" t="str">
        <f>IF(AND('341-CT'!$H$9=H389,OR(LEFT(N389,3)=$W$7,LEFT(O389,3)=$W$7)),"x","")</f>
        <v/>
      </c>
      <c r="X389" s="81" t="str">
        <f>IF(OR(TH!N389=TH!$X$7,O389=TH!$X$7),"x","")</f>
        <v/>
      </c>
      <c r="Y389" s="81" t="str">
        <f>IF(AND(OR(N389="131",O389="131"),H389='131-CT'!$H$9),"x","")</f>
        <v/>
      </c>
      <c r="Z389" s="81"/>
      <c r="AA389" s="81" t="str">
        <f>IF(AND(MONTH(E389)='IN-NX'!$J$5,'IN-NX'!$D$7=D389),"x","")</f>
        <v/>
      </c>
      <c r="AB389" s="81" t="str">
        <f>IF(AND(OR(LEFT(TH!N389,2)="15",LEFT(TH!O389,2)="15"),LEFT(TH!O389,3)&lt;&gt;"111",'152-CT'!$J$8=TH!F389),"x","")</f>
        <v/>
      </c>
      <c r="AC389" s="81" t="str">
        <f>IF(AND(OR(LEFT(TH!N389,2)="15",LEFT(TH!O389,2)="15"),TK!$E$7=TH!F389),"x","")</f>
        <v/>
      </c>
      <c r="AD389" s="81" t="str">
        <f>IF(AND(N389="1521",MONTH(C389)='BK-NL'!$M$11),"x","")</f>
        <v/>
      </c>
    </row>
    <row r="390" spans="1:31" ht="14.25" customHeight="1">
      <c r="A390" s="327" t="str">
        <f>IF(B390&lt;&gt;"",IF(AND(B390='IN-TC'!$S$4,OR(TH!N390="1111",TH!O390="1111")),TH!D390,""),"")</f>
        <v/>
      </c>
      <c r="B390" s="62" t="str">
        <f t="shared" si="96"/>
        <v/>
      </c>
      <c r="C390" s="309"/>
      <c r="D390" s="309"/>
      <c r="E390" s="309"/>
      <c r="F390" s="310"/>
      <c r="G390" s="1042"/>
      <c r="H390" s="330"/>
      <c r="I390" s="405"/>
      <c r="J390" s="1043"/>
      <c r="K390" s="398"/>
      <c r="L390" s="405"/>
      <c r="M390" s="1044"/>
      <c r="N390" s="312"/>
      <c r="O390" s="312"/>
      <c r="P390" s="81" t="str">
        <f>IF(AND('331-CT'!$E$7=TH!H390,OR(N390="331",O390="331")),"x","")</f>
        <v/>
      </c>
      <c r="Q390" s="81" t="str">
        <f>IF(AND(B390='111'!$L$11,OR($N390=$Q$7,$O390=$Q$7)),"x","")</f>
        <v/>
      </c>
      <c r="R390" s="81" t="str">
        <f>IF(AND($N390=$Q$7,$B390&lt;'111'!$L$11),"x","")</f>
        <v/>
      </c>
      <c r="S390" s="81" t="str">
        <f>IF(AND($O390=$Q$7,$B390&lt;'111'!$L$11),"x","")</f>
        <v/>
      </c>
      <c r="T390" s="81" t="str">
        <f>IF(ISERROR(FIND('112'!$M$9,G390,1)),"",IF((AND(FIND('112'!$M$9,G390,1)&gt;=1,B390='112'!$K$9,OR($N390='112'!$I$6,$O390='112'!$I$6))),"x",""))</f>
        <v/>
      </c>
      <c r="U390" s="81" t="str">
        <f>IF(ISERROR(FIND('112'!$M$9,G390,1)),"",IF((AND(LEFT(G390,2)=LEFT('112'!$M$9,2),B390&lt;'112'!$K$9,$N390='112'!$I$6)),"x",""))</f>
        <v/>
      </c>
      <c r="V390" s="81" t="str">
        <f>IF(ISERROR(FIND('112'!$M$9,G390,1)),"",IF((AND(RIGHT(G390,2)=RIGHT('112'!$M$9,2),B390&lt;'112'!$K$9,$O390='112'!$I$6)),"x",""))</f>
        <v/>
      </c>
      <c r="W390" s="81" t="str">
        <f>IF(AND('341-CT'!$H$9=H390,OR(LEFT(N390,3)=$W$7,LEFT(O390,3)=$W$7)),"x","")</f>
        <v/>
      </c>
      <c r="X390" s="81" t="str">
        <f>IF(OR(TH!N390=TH!$X$7,O390=TH!$X$7),"x","")</f>
        <v/>
      </c>
      <c r="Y390" s="81" t="str">
        <f>IF(AND(OR(N390="131",O390="131"),H390='131-CT'!$H$9),"x","")</f>
        <v/>
      </c>
      <c r="Z390" s="81"/>
      <c r="AA390" s="81" t="str">
        <f>IF(AND(MONTH(E390)='IN-NX'!$J$5,'IN-NX'!$D$7=D390),"x","")</f>
        <v/>
      </c>
      <c r="AB390" s="81" t="str">
        <f>IF(AND(OR(LEFT(TH!N390,2)="15",LEFT(TH!O390,2)="15"),LEFT(TH!O390,3)&lt;&gt;"111",'152-CT'!$J$8=TH!F390),"x","")</f>
        <v/>
      </c>
      <c r="AC390" s="81" t="str">
        <f>IF(AND(OR(LEFT(TH!N390,2)="15",LEFT(TH!O390,2)="15"),TK!$E$7=TH!F390),"x","")</f>
        <v/>
      </c>
      <c r="AD390" s="81" t="str">
        <f>IF(AND(N390="1521",MONTH(C390)='BK-NL'!$M$11),"x","")</f>
        <v/>
      </c>
    </row>
    <row r="391" spans="1:31" ht="14.25" customHeight="1">
      <c r="A391" s="327" t="str">
        <f>IF(B391&lt;&gt;"",IF(AND(B391='IN-TC'!$S$4,OR(TH!N391="1111",TH!O391="1111")),TH!D391,""),"")</f>
        <v/>
      </c>
      <c r="B391" s="62" t="str">
        <f t="shared" si="96"/>
        <v/>
      </c>
      <c r="C391" s="309"/>
      <c r="D391" s="309"/>
      <c r="E391" s="309"/>
      <c r="F391" s="310"/>
      <c r="G391" s="1042"/>
      <c r="H391" s="330"/>
      <c r="I391" s="405"/>
      <c r="J391" s="1043"/>
      <c r="K391" s="398"/>
      <c r="L391" s="405"/>
      <c r="M391" s="1044"/>
      <c r="N391" s="312"/>
      <c r="O391" s="312"/>
      <c r="P391" s="81" t="str">
        <f>IF(AND('331-CT'!$E$7=TH!H391,OR(N391="331",O391="331")),"x","")</f>
        <v/>
      </c>
      <c r="Q391" s="81" t="str">
        <f>IF(AND(B391='111'!$L$11,OR($N391=$Q$7,$O391=$Q$7)),"x","")</f>
        <v/>
      </c>
      <c r="R391" s="81" t="str">
        <f>IF(AND($N391=$Q$7,$B391&lt;'111'!$L$11),"x","")</f>
        <v/>
      </c>
      <c r="S391" s="81" t="str">
        <f>IF(AND($O391=$Q$7,$B391&lt;'111'!$L$11),"x","")</f>
        <v/>
      </c>
      <c r="T391" s="81" t="str">
        <f>IF(ISERROR(FIND('112'!$M$9,G391,1)),"",IF((AND(FIND('112'!$M$9,G391,1)&gt;=1,B391='112'!$K$9,OR($N391='112'!$I$6,$O391='112'!$I$6))),"x",""))</f>
        <v/>
      </c>
      <c r="U391" s="81" t="str">
        <f>IF(ISERROR(FIND('112'!$M$9,G391,1)),"",IF((AND(LEFT(G391,2)=LEFT('112'!$M$9,2),B391&lt;'112'!$K$9,$N391='112'!$I$6)),"x",""))</f>
        <v/>
      </c>
      <c r="V391" s="81" t="str">
        <f>IF(ISERROR(FIND('112'!$M$9,G391,1)),"",IF((AND(RIGHT(G391,2)=RIGHT('112'!$M$9,2),B391&lt;'112'!$K$9,$O391='112'!$I$6)),"x",""))</f>
        <v/>
      </c>
      <c r="W391" s="81" t="str">
        <f>IF(AND('341-CT'!$H$9=H391,OR(LEFT(N391,3)=$W$7,LEFT(O391,3)=$W$7)),"x","")</f>
        <v/>
      </c>
      <c r="X391" s="81" t="str">
        <f>IF(OR(TH!N391=TH!$X$7,O391=TH!$X$7),"x","")</f>
        <v/>
      </c>
      <c r="Y391" s="81" t="str">
        <f>IF(AND(OR(N391="131",O391="131"),H391='131-CT'!$H$9),"x","")</f>
        <v/>
      </c>
      <c r="Z391" s="81"/>
      <c r="AA391" s="81" t="str">
        <f>IF(AND(MONTH(E391)='IN-NX'!$J$5,'IN-NX'!$D$7=D391),"x","")</f>
        <v/>
      </c>
      <c r="AB391" s="81" t="str">
        <f>IF(AND(OR(LEFT(TH!N391,2)="15",LEFT(TH!O391,2)="15"),LEFT(TH!O391,3)&lt;&gt;"111",'152-CT'!$J$8=TH!F391),"x","")</f>
        <v/>
      </c>
      <c r="AC391" s="81" t="str">
        <f>IF(AND(OR(LEFT(TH!N391,2)="15",LEFT(TH!O391,2)="15"),TK!$E$7=TH!F391),"x","")</f>
        <v/>
      </c>
      <c r="AD391" s="81" t="str">
        <f>IF(AND(N391="1521",MONTH(C391)='BK-NL'!$M$11),"x","")</f>
        <v/>
      </c>
    </row>
    <row r="392" spans="1:31" ht="15.75" customHeight="1">
      <c r="A392" s="327" t="str">
        <f>IF(B392&lt;&gt;"",IF(AND(B392='IN-TC'!$S$4,OR(TH!N392="1111",TH!O392="1111")),TH!D392,""),"")</f>
        <v/>
      </c>
      <c r="B392" s="62">
        <f t="shared" si="26"/>
        <v>1</v>
      </c>
      <c r="C392" s="309">
        <v>42742</v>
      </c>
      <c r="D392" s="309" t="s">
        <v>953</v>
      </c>
      <c r="E392" s="309">
        <f>C392</f>
        <v>42742</v>
      </c>
      <c r="F392" s="310" t="s">
        <v>954</v>
      </c>
      <c r="G392" s="1063" t="s">
        <v>813</v>
      </c>
      <c r="H392" s="71" t="s">
        <v>955</v>
      </c>
      <c r="I392" s="405"/>
      <c r="J392" s="1043"/>
      <c r="K392" s="398"/>
      <c r="L392" s="405"/>
      <c r="M392" s="1044">
        <v>2350000000</v>
      </c>
      <c r="N392" s="312" t="s">
        <v>63</v>
      </c>
      <c r="O392" s="312" t="s">
        <v>26</v>
      </c>
      <c r="P392" s="81" t="str">
        <f>IF(AND('331-CT'!$E$7=TH!H392,OR(N392="331",O392="331")),"x","")</f>
        <v/>
      </c>
      <c r="Q392" s="81" t="str">
        <f>IF(AND(B392='111'!$L$11,OR($N392=$Q$7,$O392=$Q$7)),"x","")</f>
        <v/>
      </c>
      <c r="R392" s="81" t="str">
        <f>IF(AND($N392=$Q$7,$B392&lt;'111'!$L$11),"x","")</f>
        <v>x</v>
      </c>
      <c r="S392" s="81" t="str">
        <f>IF(AND($O392=$Q$7,$B392&lt;'111'!$L$11),"x","")</f>
        <v/>
      </c>
      <c r="T392" s="81" t="str">
        <f>IF(ISERROR(FIND('112'!$M$9,G392,1)),"",IF((AND(FIND('112'!$M$9,G392,1)&gt;=1,B392='112'!$K$9,OR($N392='112'!$I$6,$O392='112'!$I$6))),"x",""))</f>
        <v/>
      </c>
      <c r="U392" s="81" t="str">
        <f>IF(ISERROR(FIND('112'!$M$9,G392,1)),"",IF((AND(LEFT(G392,2)=LEFT('112'!$M$9,2),B392&lt;'112'!$K$9,$N392='112'!$I$6)),"x",""))</f>
        <v/>
      </c>
      <c r="V392" s="81" t="str">
        <f>IF(ISERROR(FIND('112'!$M$9,G392,1)),"",IF((AND(RIGHT(G392,2)=RIGHT('112'!$M$9,2),B392&lt;'112'!$K$9,$O392='112'!$I$6)),"x",""))</f>
        <v/>
      </c>
      <c r="W392" s="81" t="str">
        <f>IF(AND('341-CT'!$H$9=H392,OR(LEFT(N392,3)=$W$7,LEFT(O392,3)=$W$7)),"x","")</f>
        <v/>
      </c>
      <c r="X392" s="81" t="str">
        <f>IF(OR(TH!N392=TH!$X$7,O392=TH!$X$7),"x","")</f>
        <v/>
      </c>
      <c r="Y392" s="81" t="str">
        <f>IF(AND(OR(N392="131",O392="131"),H392='131-CT'!$H$9),"x","")</f>
        <v/>
      </c>
      <c r="Z392" s="81"/>
      <c r="AA392" s="81" t="str">
        <f>IF(AND(MONTH(E392)='IN-NX'!$J$5,'IN-NX'!$D$7=D392),"x","")</f>
        <v/>
      </c>
      <c r="AB392" s="81" t="str">
        <f>IF(AND(OR(LEFT(TH!N392,2)="15",LEFT(TH!O392,2)="15"),LEFT(TH!O392,3)&lt;&gt;"111",'152-CT'!$J$8=TH!F392),"x","")</f>
        <v/>
      </c>
      <c r="AC392" s="81" t="str">
        <f>IF(AND(OR(LEFT(TH!N392,2)="15",LEFT(TH!O392,2)="15"),TK!$E$7=TH!F392),"x","")</f>
        <v/>
      </c>
      <c r="AD392" s="81" t="str">
        <f>IF(AND(N392="1521",MONTH(C392)='BK-NL'!$M$11),"x","")</f>
        <v/>
      </c>
    </row>
    <row r="393" spans="1:31" ht="15.75" customHeight="1">
      <c r="A393" s="327" t="str">
        <f>IF(B393&lt;&gt;"",IF(AND(B393='IN-TC'!$S$4,OR(TH!N393="1111",TH!O393="1111")),TH!D393,""),"")</f>
        <v/>
      </c>
      <c r="B393" s="62">
        <f t="shared" ref="B393:B394" si="97">IF(C393&lt;&gt;"",MONTH(C393),"")</f>
        <v>1</v>
      </c>
      <c r="C393" s="309">
        <v>42744</v>
      </c>
      <c r="D393" s="309" t="s">
        <v>963</v>
      </c>
      <c r="E393" s="309">
        <f t="shared" ref="E393:E394" si="98">C393</f>
        <v>42744</v>
      </c>
      <c r="F393" s="310" t="s">
        <v>954</v>
      </c>
      <c r="G393" s="1063" t="s">
        <v>639</v>
      </c>
      <c r="H393" s="71" t="s">
        <v>965</v>
      </c>
      <c r="I393" s="405"/>
      <c r="J393" s="1043"/>
      <c r="K393" s="398"/>
      <c r="L393" s="405"/>
      <c r="M393" s="1044">
        <v>2970000000</v>
      </c>
      <c r="N393" s="312" t="s">
        <v>63</v>
      </c>
      <c r="O393" s="312" t="s">
        <v>26</v>
      </c>
      <c r="P393" s="81" t="str">
        <f>IF(AND('331-CT'!$E$7=TH!H393,OR(N393="331",O393="331")),"x","")</f>
        <v/>
      </c>
      <c r="Q393" s="81" t="str">
        <f>IF(AND(B393='111'!$L$11,OR($N393=$Q$7,$O393=$Q$7)),"x","")</f>
        <v/>
      </c>
      <c r="R393" s="81" t="str">
        <f>IF(AND($N393=$Q$7,$B393&lt;'111'!$L$11),"x","")</f>
        <v>x</v>
      </c>
      <c r="S393" s="81" t="str">
        <f>IF(AND($O393=$Q$7,$B393&lt;'111'!$L$11),"x","")</f>
        <v/>
      </c>
      <c r="T393" s="81" t="str">
        <f>IF(ISERROR(FIND('112'!$M$9,G393,1)),"",IF((AND(FIND('112'!$M$9,G393,1)&gt;=1,B393='112'!$K$9,OR($N393='112'!$I$6,$O393='112'!$I$6))),"x",""))</f>
        <v/>
      </c>
      <c r="U393" s="81" t="str">
        <f>IF(ISERROR(FIND('112'!$M$9,G393,1)),"",IF((AND(LEFT(G393,2)=LEFT('112'!$M$9,2),B393&lt;'112'!$K$9,$N393='112'!$I$6)),"x",""))</f>
        <v/>
      </c>
      <c r="V393" s="81" t="str">
        <f>IF(ISERROR(FIND('112'!$M$9,G393,1)),"",IF((AND(RIGHT(G393,2)=RIGHT('112'!$M$9,2),B393&lt;'112'!$K$9,$O393='112'!$I$6)),"x",""))</f>
        <v/>
      </c>
      <c r="W393" s="81" t="str">
        <f>IF(AND('341-CT'!$H$9=H393,OR(LEFT(N393,3)=$W$7,LEFT(O393,3)=$W$7)),"x","")</f>
        <v/>
      </c>
      <c r="X393" s="81" t="str">
        <f>IF(OR(TH!N393=TH!$X$7,O393=TH!$X$7),"x","")</f>
        <v/>
      </c>
      <c r="Y393" s="81" t="str">
        <f>IF(AND(OR(N393="131",O393="131"),H393='131-CT'!$H$9),"x","")</f>
        <v/>
      </c>
      <c r="Z393" s="81"/>
      <c r="AA393" s="81" t="str">
        <f>IF(AND(MONTH(E393)='IN-NX'!$J$5,'IN-NX'!$D$7=D393),"x","")</f>
        <v/>
      </c>
      <c r="AB393" s="81" t="str">
        <f>IF(AND(OR(LEFT(TH!N393,2)="15",LEFT(TH!O393,2)="15"),LEFT(TH!O393,3)&lt;&gt;"111",'152-CT'!$J$8=TH!F393),"x","")</f>
        <v/>
      </c>
      <c r="AC393" s="81" t="str">
        <f>IF(AND(OR(LEFT(TH!N393,2)="15",LEFT(TH!O393,2)="15"),TK!$E$7=TH!F393),"x","")</f>
        <v/>
      </c>
      <c r="AD393" s="81" t="str">
        <f>IF(AND(N393="1521",MONTH(C393)='BK-NL'!$M$11),"x","")</f>
        <v/>
      </c>
    </row>
    <row r="394" spans="1:31" ht="15.75" customHeight="1">
      <c r="A394" s="327" t="str">
        <f>IF(B394&lt;&gt;"",IF(AND(B394='IN-TC'!$S$4,OR(TH!N394="1111",TH!O394="1111")),TH!D394,""),"")</f>
        <v/>
      </c>
      <c r="B394" s="62">
        <f t="shared" si="97"/>
        <v>1</v>
      </c>
      <c r="C394" s="309">
        <v>42749</v>
      </c>
      <c r="D394" s="309" t="s">
        <v>964</v>
      </c>
      <c r="E394" s="309">
        <f t="shared" si="98"/>
        <v>42749</v>
      </c>
      <c r="F394" s="310" t="s">
        <v>954</v>
      </c>
      <c r="G394" s="1063" t="s">
        <v>813</v>
      </c>
      <c r="H394" s="71" t="s">
        <v>955</v>
      </c>
      <c r="I394" s="405"/>
      <c r="J394" s="1043"/>
      <c r="K394" s="398"/>
      <c r="L394" s="405"/>
      <c r="M394" s="1044">
        <v>900000000</v>
      </c>
      <c r="N394" s="312" t="s">
        <v>63</v>
      </c>
      <c r="O394" s="312" t="s">
        <v>26</v>
      </c>
      <c r="P394" s="81" t="str">
        <f>IF(AND('331-CT'!$E$7=TH!H394,OR(N394="331",O394="331")),"x","")</f>
        <v/>
      </c>
      <c r="Q394" s="81" t="str">
        <f>IF(AND(B394='111'!$L$11,OR($N394=$Q$7,$O394=$Q$7)),"x","")</f>
        <v/>
      </c>
      <c r="R394" s="81" t="str">
        <f>IF(AND($N394=$Q$7,$B394&lt;'111'!$L$11),"x","")</f>
        <v>x</v>
      </c>
      <c r="S394" s="81" t="str">
        <f>IF(AND($O394=$Q$7,$B394&lt;'111'!$L$11),"x","")</f>
        <v/>
      </c>
      <c r="T394" s="81" t="str">
        <f>IF(ISERROR(FIND('112'!$M$9,G394,1)),"",IF((AND(FIND('112'!$M$9,G394,1)&gt;=1,B394='112'!$K$9,OR($N394='112'!$I$6,$O394='112'!$I$6))),"x",""))</f>
        <v/>
      </c>
      <c r="U394" s="81" t="str">
        <f>IF(ISERROR(FIND('112'!$M$9,G394,1)),"",IF((AND(LEFT(G394,2)=LEFT('112'!$M$9,2),B394&lt;'112'!$K$9,$N394='112'!$I$6)),"x",""))</f>
        <v/>
      </c>
      <c r="V394" s="81" t="str">
        <f>IF(ISERROR(FIND('112'!$M$9,G394,1)),"",IF((AND(RIGHT(G394,2)=RIGHT('112'!$M$9,2),B394&lt;'112'!$K$9,$O394='112'!$I$6)),"x",""))</f>
        <v/>
      </c>
      <c r="W394" s="81" t="str">
        <f>IF(AND('341-CT'!$H$9=H394,OR(LEFT(N394,3)=$W$7,LEFT(O394,3)=$W$7)),"x","")</f>
        <v/>
      </c>
      <c r="X394" s="81" t="str">
        <f>IF(OR(TH!N394=TH!$X$7,O394=TH!$X$7),"x","")</f>
        <v/>
      </c>
      <c r="Y394" s="81" t="str">
        <f>IF(AND(OR(N394="131",O394="131"),H394='131-CT'!$H$9),"x","")</f>
        <v/>
      </c>
      <c r="Z394" s="81"/>
      <c r="AA394" s="81" t="str">
        <f>IF(AND(MONTH(E394)='IN-NX'!$J$5,'IN-NX'!$D$7=D394),"x","")</f>
        <v/>
      </c>
      <c r="AB394" s="81" t="str">
        <f>IF(AND(OR(LEFT(TH!N394,2)="15",LEFT(TH!O394,2)="15"),LEFT(TH!O394,3)&lt;&gt;"111",'152-CT'!$J$8=TH!F394),"x","")</f>
        <v/>
      </c>
      <c r="AC394" s="81" t="str">
        <f>IF(AND(OR(LEFT(TH!N394,2)="15",LEFT(TH!O394,2)="15"),TK!$E$7=TH!F394),"x","")</f>
        <v/>
      </c>
      <c r="AD394" s="81" t="str">
        <f>IF(AND(N394="1521",MONTH(C394)='BK-NL'!$M$11),"x","")</f>
        <v/>
      </c>
    </row>
    <row r="395" spans="1:31" ht="15.75" customHeight="1">
      <c r="A395" s="327" t="str">
        <f>IF(B395&lt;&gt;"",IF(AND(B395='IN-TC'!$S$4,OR(TH!N395="1111",TH!O395="1111")),TH!D395,""),"")</f>
        <v/>
      </c>
      <c r="B395" s="62">
        <f t="shared" ref="B395" si="99">IF(C395&lt;&gt;"",MONTH(C395),"")</f>
        <v>1</v>
      </c>
      <c r="C395" s="309">
        <v>42751</v>
      </c>
      <c r="D395" s="309" t="s">
        <v>966</v>
      </c>
      <c r="E395" s="309">
        <f t="shared" ref="E395" si="100">C395</f>
        <v>42751</v>
      </c>
      <c r="F395" s="310" t="s">
        <v>954</v>
      </c>
      <c r="G395" s="1063" t="s">
        <v>813</v>
      </c>
      <c r="H395" s="71" t="s">
        <v>955</v>
      </c>
      <c r="I395" s="405"/>
      <c r="J395" s="1043"/>
      <c r="K395" s="398"/>
      <c r="L395" s="405"/>
      <c r="M395" s="1044">
        <v>2300000000</v>
      </c>
      <c r="N395" s="312" t="s">
        <v>63</v>
      </c>
      <c r="O395" s="312" t="s">
        <v>26</v>
      </c>
      <c r="P395" s="81" t="str">
        <f>IF(AND('331-CT'!$E$7=TH!H395,OR(N395="331",O395="331")),"x","")</f>
        <v/>
      </c>
      <c r="Q395" s="81" t="str">
        <f>IF(AND(B395='111'!$L$11,OR($N395=$Q$7,$O395=$Q$7)),"x","")</f>
        <v/>
      </c>
      <c r="R395" s="81" t="str">
        <f>IF(AND($N395=$Q$7,$B395&lt;'111'!$L$11),"x","")</f>
        <v>x</v>
      </c>
      <c r="S395" s="81" t="str">
        <f>IF(AND($O395=$Q$7,$B395&lt;'111'!$L$11),"x","")</f>
        <v/>
      </c>
      <c r="T395" s="81" t="str">
        <f>IF(ISERROR(FIND('112'!$M$9,G395,1)),"",IF((AND(FIND('112'!$M$9,G395,1)&gt;=1,B395='112'!$K$9,OR($N395='112'!$I$6,$O395='112'!$I$6))),"x",""))</f>
        <v/>
      </c>
      <c r="U395" s="81" t="str">
        <f>IF(ISERROR(FIND('112'!$M$9,G395,1)),"",IF((AND(LEFT(G395,2)=LEFT('112'!$M$9,2),B395&lt;'112'!$K$9,$N395='112'!$I$6)),"x",""))</f>
        <v/>
      </c>
      <c r="V395" s="81" t="str">
        <f>IF(ISERROR(FIND('112'!$M$9,G395,1)),"",IF((AND(RIGHT(G395,2)=RIGHT('112'!$M$9,2),B395&lt;'112'!$K$9,$O395='112'!$I$6)),"x",""))</f>
        <v/>
      </c>
      <c r="W395" s="81" t="str">
        <f>IF(AND('341-CT'!$H$9=H395,OR(LEFT(N395,3)=$W$7,LEFT(O395,3)=$W$7)),"x","")</f>
        <v/>
      </c>
      <c r="X395" s="81" t="str">
        <f>IF(OR(TH!N395=TH!$X$7,O395=TH!$X$7),"x","")</f>
        <v/>
      </c>
      <c r="Y395" s="81" t="str">
        <f>IF(AND(OR(N395="131",O395="131"),H395='131-CT'!$H$9),"x","")</f>
        <v/>
      </c>
      <c r="Z395" s="81"/>
      <c r="AA395" s="81" t="str">
        <f>IF(AND(MONTH(E395)='IN-NX'!$J$5,'IN-NX'!$D$7=D395),"x","")</f>
        <v/>
      </c>
      <c r="AB395" s="81" t="str">
        <f>IF(AND(OR(LEFT(TH!N395,2)="15",LEFT(TH!O395,2)="15"),LEFT(TH!O395,3)&lt;&gt;"111",'152-CT'!$J$8=TH!F395),"x","")</f>
        <v/>
      </c>
      <c r="AC395" s="81" t="str">
        <f>IF(AND(OR(LEFT(TH!N395,2)="15",LEFT(TH!O395,2)="15"),TK!$E$7=TH!F395),"x","")</f>
        <v/>
      </c>
      <c r="AD395" s="81" t="str">
        <f>IF(AND(N395="1521",MONTH(C395)='BK-NL'!$M$11),"x","")</f>
        <v/>
      </c>
    </row>
    <row r="396" spans="1:31" ht="15.75" customHeight="1">
      <c r="A396" s="327" t="str">
        <f>IF(B396&lt;&gt;"",IF(AND(B396='IN-TC'!$S$4,OR(TH!N396="1111",TH!O396="1111")),TH!D396,""),"")</f>
        <v/>
      </c>
      <c r="B396" s="62">
        <f t="shared" ref="B396" si="101">IF(C396&lt;&gt;"",MONTH(C396),"")</f>
        <v>1</v>
      </c>
      <c r="C396" s="309">
        <v>42754</v>
      </c>
      <c r="D396" s="309" t="s">
        <v>970</v>
      </c>
      <c r="E396" s="309">
        <f t="shared" ref="E396" si="102">C396</f>
        <v>42754</v>
      </c>
      <c r="F396" s="310" t="s">
        <v>954</v>
      </c>
      <c r="G396" s="1063" t="s">
        <v>813</v>
      </c>
      <c r="H396" s="71" t="s">
        <v>955</v>
      </c>
      <c r="I396" s="405"/>
      <c r="J396" s="1043"/>
      <c r="K396" s="398"/>
      <c r="L396" s="405"/>
      <c r="M396" s="1044">
        <v>1700000000</v>
      </c>
      <c r="N396" s="312" t="s">
        <v>63</v>
      </c>
      <c r="O396" s="312" t="s">
        <v>26</v>
      </c>
      <c r="P396" s="81" t="str">
        <f>IF(AND('331-CT'!$E$7=TH!H396,OR(N396="331",O396="331")),"x","")</f>
        <v/>
      </c>
      <c r="Q396" s="81" t="str">
        <f>IF(AND(B396='111'!$L$11,OR($N396=$Q$7,$O396=$Q$7)),"x","")</f>
        <v/>
      </c>
      <c r="R396" s="81" t="str">
        <f>IF(AND($N396=$Q$7,$B396&lt;'111'!$L$11),"x","")</f>
        <v>x</v>
      </c>
      <c r="S396" s="81" t="str">
        <f>IF(AND($O396=$Q$7,$B396&lt;'111'!$L$11),"x","")</f>
        <v/>
      </c>
      <c r="T396" s="81" t="str">
        <f>IF(ISERROR(FIND('112'!$M$9,G396,1)),"",IF((AND(FIND('112'!$M$9,G396,1)&gt;=1,B396='112'!$K$9,OR($N396='112'!$I$6,$O396='112'!$I$6))),"x",""))</f>
        <v/>
      </c>
      <c r="U396" s="81" t="str">
        <f>IF(ISERROR(FIND('112'!$M$9,G396,1)),"",IF((AND(LEFT(G396,2)=LEFT('112'!$M$9,2),B396&lt;'112'!$K$9,$N396='112'!$I$6)),"x",""))</f>
        <v/>
      </c>
      <c r="V396" s="81" t="str">
        <f>IF(ISERROR(FIND('112'!$M$9,G396,1)),"",IF((AND(RIGHT(G396,2)=RIGHT('112'!$M$9,2),B396&lt;'112'!$K$9,$O396='112'!$I$6)),"x",""))</f>
        <v/>
      </c>
      <c r="W396" s="81" t="str">
        <f>IF(AND('341-CT'!$H$9=H396,OR(LEFT(N396,3)=$W$7,LEFT(O396,3)=$W$7)),"x","")</f>
        <v/>
      </c>
      <c r="X396" s="81" t="str">
        <f>IF(OR(TH!N396=TH!$X$7,O396=TH!$X$7),"x","")</f>
        <v/>
      </c>
      <c r="Y396" s="81" t="str">
        <f>IF(AND(OR(N396="131",O396="131"),H396='131-CT'!$H$9),"x","")</f>
        <v/>
      </c>
      <c r="Z396" s="81"/>
      <c r="AA396" s="81" t="str">
        <f>IF(AND(MONTH(E396)='IN-NX'!$J$5,'IN-NX'!$D$7=D396),"x","")</f>
        <v/>
      </c>
      <c r="AB396" s="81" t="str">
        <f>IF(AND(OR(LEFT(TH!N396,2)="15",LEFT(TH!O396,2)="15"),LEFT(TH!O396,3)&lt;&gt;"111",'152-CT'!$J$8=TH!F396),"x","")</f>
        <v/>
      </c>
      <c r="AC396" s="81" t="str">
        <f>IF(AND(OR(LEFT(TH!N396,2)="15",LEFT(TH!O396,2)="15"),TK!$E$7=TH!F396),"x","")</f>
        <v/>
      </c>
      <c r="AD396" s="81" t="str">
        <f>IF(AND(N396="1521",MONTH(C396)='BK-NL'!$M$11),"x","")</f>
        <v/>
      </c>
    </row>
    <row r="397" spans="1:31" ht="15.75" customHeight="1">
      <c r="A397" s="327" t="str">
        <f>IF(B397&lt;&gt;"",IF(AND(B397='IN-TC'!$S$4,OR(TH!N397="1111",TH!O397="1111")),TH!D397,""),"")</f>
        <v/>
      </c>
      <c r="B397" s="62">
        <f t="shared" ref="B397:B409" si="103">IF(C397&lt;&gt;"",MONTH(C397),"")</f>
        <v>1</v>
      </c>
      <c r="C397" s="309">
        <v>42756</v>
      </c>
      <c r="D397" s="309" t="s">
        <v>973</v>
      </c>
      <c r="E397" s="309">
        <f t="shared" ref="E397:E417" si="104">C397</f>
        <v>42756</v>
      </c>
      <c r="F397" s="310" t="s">
        <v>954</v>
      </c>
      <c r="G397" s="1063" t="s">
        <v>813</v>
      </c>
      <c r="H397" s="71" t="s">
        <v>955</v>
      </c>
      <c r="I397" s="405"/>
      <c r="J397" s="1043"/>
      <c r="K397" s="398"/>
      <c r="L397" s="405"/>
      <c r="M397" s="1044">
        <v>340000000</v>
      </c>
      <c r="N397" s="312" t="s">
        <v>63</v>
      </c>
      <c r="O397" s="312" t="s">
        <v>26</v>
      </c>
      <c r="P397" s="81" t="str">
        <f>IF(AND('331-CT'!$E$7=TH!H397,OR(N397="331",O397="331")),"x","")</f>
        <v/>
      </c>
      <c r="Q397" s="81" t="str">
        <f>IF(AND(B397='111'!$L$11,OR($N397=$Q$7,$O397=$Q$7)),"x","")</f>
        <v/>
      </c>
      <c r="R397" s="81" t="str">
        <f>IF(AND($N397=$Q$7,$B397&lt;'111'!$L$11),"x","")</f>
        <v>x</v>
      </c>
      <c r="S397" s="81" t="str">
        <f>IF(AND($O397=$Q$7,$B397&lt;'111'!$L$11),"x","")</f>
        <v/>
      </c>
      <c r="T397" s="81" t="str">
        <f>IF(ISERROR(FIND('112'!$M$9,G397,1)),"",IF((AND(FIND('112'!$M$9,G397,1)&gt;=1,B397='112'!$K$9,OR($N397='112'!$I$6,$O397='112'!$I$6))),"x",""))</f>
        <v/>
      </c>
      <c r="U397" s="81" t="str">
        <f>IF(ISERROR(FIND('112'!$M$9,G397,1)),"",IF((AND(LEFT(G397,2)=LEFT('112'!$M$9,2),B397&lt;'112'!$K$9,$N397='112'!$I$6)),"x",""))</f>
        <v/>
      </c>
      <c r="V397" s="81" t="str">
        <f>IF(ISERROR(FIND('112'!$M$9,G397,1)),"",IF((AND(RIGHT(G397,2)=RIGHT('112'!$M$9,2),B397&lt;'112'!$K$9,$O397='112'!$I$6)),"x",""))</f>
        <v/>
      </c>
      <c r="W397" s="81" t="str">
        <f>IF(AND('341-CT'!$H$9=H397,OR(LEFT(N397,3)=$W$7,LEFT(O397,3)=$W$7)),"x","")</f>
        <v/>
      </c>
      <c r="X397" s="81" t="str">
        <f>IF(OR(TH!N397=TH!$X$7,O397=TH!$X$7),"x","")</f>
        <v/>
      </c>
      <c r="Y397" s="81" t="str">
        <f>IF(AND(OR(N397="131",O397="131"),H397='131-CT'!$H$9),"x","")</f>
        <v/>
      </c>
      <c r="Z397" s="81"/>
      <c r="AA397" s="81" t="str">
        <f>IF(AND(MONTH(E397)='IN-NX'!$J$5,'IN-NX'!$D$7=D397),"x","")</f>
        <v/>
      </c>
      <c r="AB397" s="81" t="str">
        <f>IF(AND(OR(LEFT(TH!N397,2)="15",LEFT(TH!O397,2)="15"),LEFT(TH!O397,3)&lt;&gt;"111",'152-CT'!$J$8=TH!F397),"x","")</f>
        <v/>
      </c>
      <c r="AC397" s="81" t="str">
        <f>IF(AND(OR(LEFT(TH!N397,2)="15",LEFT(TH!O397,2)="15"),TK!$E$7=TH!F397),"x","")</f>
        <v/>
      </c>
      <c r="AD397" s="81" t="str">
        <f>IF(AND(N397="1521",MONTH(C397)='BK-NL'!$M$11),"x","")</f>
        <v/>
      </c>
    </row>
    <row r="398" spans="1:31" ht="15.75" customHeight="1">
      <c r="A398" s="327" t="str">
        <f>IF(B398&lt;&gt;"",IF(AND(B398='IN-TC'!$S$4,OR(TH!N398="1111",TH!O398="1111")),TH!D398,""),"")</f>
        <v/>
      </c>
      <c r="B398" s="62">
        <f t="shared" si="103"/>
        <v>1</v>
      </c>
      <c r="C398" s="309">
        <v>42760</v>
      </c>
      <c r="D398" s="309" t="s">
        <v>974</v>
      </c>
      <c r="E398" s="309">
        <f t="shared" si="104"/>
        <v>42760</v>
      </c>
      <c r="F398" s="310" t="s">
        <v>954</v>
      </c>
      <c r="G398" s="1063" t="s">
        <v>813</v>
      </c>
      <c r="H398" s="71" t="s">
        <v>955</v>
      </c>
      <c r="I398" s="405"/>
      <c r="J398" s="1043"/>
      <c r="K398" s="398"/>
      <c r="L398" s="405"/>
      <c r="M398" s="1044">
        <v>350000000</v>
      </c>
      <c r="N398" s="312" t="s">
        <v>63</v>
      </c>
      <c r="O398" s="312" t="s">
        <v>26</v>
      </c>
      <c r="P398" s="81" t="str">
        <f>IF(AND('331-CT'!$E$7=TH!H398,OR(N398="331",O398="331")),"x","")</f>
        <v/>
      </c>
      <c r="Q398" s="81" t="str">
        <f>IF(AND(B398='111'!$L$11,OR($N398=$Q$7,$O398=$Q$7)),"x","")</f>
        <v/>
      </c>
      <c r="R398" s="81" t="str">
        <f>IF(AND($N398=$Q$7,$B398&lt;'111'!$L$11),"x","")</f>
        <v>x</v>
      </c>
      <c r="S398" s="81" t="str">
        <f>IF(AND($O398=$Q$7,$B398&lt;'111'!$L$11),"x","")</f>
        <v/>
      </c>
      <c r="T398" s="81" t="str">
        <f>IF(ISERROR(FIND('112'!$M$9,G398,1)),"",IF((AND(FIND('112'!$M$9,G398,1)&gt;=1,B398='112'!$K$9,OR($N398='112'!$I$6,$O398='112'!$I$6))),"x",""))</f>
        <v/>
      </c>
      <c r="U398" s="81" t="str">
        <f>IF(ISERROR(FIND('112'!$M$9,G398,1)),"",IF((AND(LEFT(G398,2)=LEFT('112'!$M$9,2),B398&lt;'112'!$K$9,$N398='112'!$I$6)),"x",""))</f>
        <v/>
      </c>
      <c r="V398" s="81" t="str">
        <f>IF(ISERROR(FIND('112'!$M$9,G398,1)),"",IF((AND(RIGHT(G398,2)=RIGHT('112'!$M$9,2),B398&lt;'112'!$K$9,$O398='112'!$I$6)),"x",""))</f>
        <v/>
      </c>
      <c r="W398" s="81" t="str">
        <f>IF(AND('341-CT'!$H$9=H398,OR(LEFT(N398,3)=$W$7,LEFT(O398,3)=$W$7)),"x","")</f>
        <v/>
      </c>
      <c r="X398" s="81" t="str">
        <f>IF(OR(TH!N398=TH!$X$7,O398=TH!$X$7),"x","")</f>
        <v/>
      </c>
      <c r="Y398" s="81" t="str">
        <f>IF(AND(OR(N398="131",O398="131"),H398='131-CT'!$H$9),"x","")</f>
        <v/>
      </c>
      <c r="Z398" s="81"/>
      <c r="AA398" s="81" t="str">
        <f>IF(AND(MONTH(E398)='IN-NX'!$J$5,'IN-NX'!$D$7=D398),"x","")</f>
        <v/>
      </c>
      <c r="AB398" s="81" t="str">
        <f>IF(AND(OR(LEFT(TH!N398,2)="15",LEFT(TH!O398,2)="15"),LEFT(TH!O398,3)&lt;&gt;"111",'152-CT'!$J$8=TH!F398),"x","")</f>
        <v/>
      </c>
      <c r="AC398" s="81" t="str">
        <f>IF(AND(OR(LEFT(TH!N398,2)="15",LEFT(TH!O398,2)="15"),TK!$E$7=TH!F398),"x","")</f>
        <v/>
      </c>
      <c r="AD398" s="81" t="str">
        <f>IF(AND(N398="1521",MONTH(C398)='BK-NL'!$M$11),"x","")</f>
        <v/>
      </c>
    </row>
    <row r="399" spans="1:31" ht="15.75" customHeight="1">
      <c r="A399" s="327" t="str">
        <f>IF(B399&lt;&gt;"",IF(AND(B399='IN-TC'!$S$4,OR(TH!N399="1111",TH!O399="1111")),TH!D399,""),"")</f>
        <v/>
      </c>
      <c r="B399" s="62">
        <f t="shared" si="103"/>
        <v>1</v>
      </c>
      <c r="C399" s="309">
        <v>42738</v>
      </c>
      <c r="D399" s="309"/>
      <c r="E399" s="309">
        <v>42734</v>
      </c>
      <c r="F399" s="310" t="s">
        <v>997</v>
      </c>
      <c r="G399" s="1042" t="s">
        <v>999</v>
      </c>
      <c r="H399" s="71" t="s">
        <v>1000</v>
      </c>
      <c r="I399" s="405"/>
      <c r="J399" s="1043"/>
      <c r="K399" s="398"/>
      <c r="L399" s="405"/>
      <c r="M399" s="1044">
        <v>860000</v>
      </c>
      <c r="N399" s="312" t="s">
        <v>101</v>
      </c>
      <c r="O399" s="312" t="s">
        <v>63</v>
      </c>
      <c r="P399" s="81" t="str">
        <f>IF(AND('331-CT'!$E$7=TH!H399,OR(N399="331",O399="331")),"x","")</f>
        <v/>
      </c>
      <c r="Q399" s="81" t="str">
        <f>IF(AND(B399='111'!$L$11,OR($N399=$Q$7,$O399=$Q$7)),"x","")</f>
        <v/>
      </c>
      <c r="R399" s="81" t="str">
        <f>IF(AND($N399=$Q$7,$B399&lt;'111'!$L$11),"x","")</f>
        <v/>
      </c>
      <c r="S399" s="81" t="str">
        <f>IF(AND($O399=$Q$7,$B399&lt;'111'!$L$11),"x","")</f>
        <v>x</v>
      </c>
      <c r="T399" s="81" t="str">
        <f>IF(ISERROR(FIND('112'!$M$9,G399,1)),"",IF((AND(FIND('112'!$M$9,G399,1)&gt;=1,B399='112'!$K$9,OR($N399='112'!$I$6,$O399='112'!$I$6))),"x",""))</f>
        <v/>
      </c>
      <c r="U399" s="81" t="str">
        <f>IF(ISERROR(FIND('112'!$M$9,G399,1)),"",IF((AND(LEFT(G399,2)=LEFT('112'!$M$9,2),B399&lt;'112'!$K$9,$N399='112'!$I$6)),"x",""))</f>
        <v/>
      </c>
      <c r="V399" s="81" t="str">
        <f>IF(ISERROR(FIND('112'!$M$9,G399,1)),"",IF((AND(RIGHT(G399,2)=RIGHT('112'!$M$9,2),B399&lt;'112'!$K$9,$O399='112'!$I$6)),"x",""))</f>
        <v/>
      </c>
      <c r="W399" s="81" t="str">
        <f>IF(AND('341-CT'!$H$9=H399,OR(LEFT(N399,3)=$W$7,LEFT(O399,3)=$W$7)),"x","")</f>
        <v/>
      </c>
      <c r="X399" s="81" t="str">
        <f>IF(OR(TH!N399=TH!$X$7,O399=TH!$X$7),"x","")</f>
        <v/>
      </c>
      <c r="Y399" s="81" t="str">
        <f>IF(AND(OR(N399="131",O399="131"),H399='131-CT'!$H$9),"x","")</f>
        <v/>
      </c>
      <c r="Z399" s="81"/>
      <c r="AA399" s="81" t="str">
        <f>IF(AND(MONTH(E399)='IN-NX'!$J$5,'IN-NX'!$D$7=D399),"x","")</f>
        <v/>
      </c>
      <c r="AB399" s="81" t="str">
        <f>IF(AND(OR(LEFT(TH!N399,2)="15",LEFT(TH!O399,2)="15"),LEFT(TH!O399,3)&lt;&gt;"111",'152-CT'!$J$8=TH!F399),"x","")</f>
        <v/>
      </c>
      <c r="AC399" s="81" t="str">
        <f>IF(AND(OR(LEFT(TH!N399,2)="15",LEFT(TH!O399,2)="15"),TK!$E$7=TH!F399),"x","")</f>
        <v/>
      </c>
      <c r="AD399" s="81" t="str">
        <f>IF(AND(N399="1521",MONTH(C399)='BK-NL'!$M$11),"x","")</f>
        <v/>
      </c>
      <c r="AE399">
        <v>1</v>
      </c>
    </row>
    <row r="400" spans="1:31" ht="15.75" customHeight="1">
      <c r="A400" s="327" t="str">
        <f>IF(B400&lt;&gt;"",IF(AND(B400='IN-TC'!$S$4,OR(TH!N400="1111",TH!O400="1111")),TH!D400,""),"")</f>
        <v/>
      </c>
      <c r="B400" s="62">
        <f t="shared" si="103"/>
        <v>1</v>
      </c>
      <c r="C400" s="309">
        <v>42738</v>
      </c>
      <c r="D400" s="309"/>
      <c r="E400" s="309">
        <v>42734</v>
      </c>
      <c r="F400" s="310" t="s">
        <v>998</v>
      </c>
      <c r="G400" s="1042" t="s">
        <v>999</v>
      </c>
      <c r="H400" s="71" t="s">
        <v>1000</v>
      </c>
      <c r="I400" s="405"/>
      <c r="J400" s="1043"/>
      <c r="K400" s="398"/>
      <c r="L400" s="405"/>
      <c r="M400" s="1044">
        <v>86000</v>
      </c>
      <c r="N400" s="312" t="s">
        <v>9</v>
      </c>
      <c r="O400" s="312" t="s">
        <v>63</v>
      </c>
      <c r="P400" s="81" t="str">
        <f>IF(AND('331-CT'!$E$7=TH!H400,OR(N400="331",O400="331")),"x","")</f>
        <v/>
      </c>
      <c r="Q400" s="81" t="str">
        <f>IF(AND(B400='111'!$L$11,OR($N400=$Q$7,$O400=$Q$7)),"x","")</f>
        <v/>
      </c>
      <c r="R400" s="81" t="str">
        <f>IF(AND($N400=$Q$7,$B400&lt;'111'!$L$11),"x","")</f>
        <v/>
      </c>
      <c r="S400" s="81" t="str">
        <f>IF(AND($O400=$Q$7,$B400&lt;'111'!$L$11),"x","")</f>
        <v>x</v>
      </c>
      <c r="T400" s="81" t="str">
        <f>IF(ISERROR(FIND('112'!$M$9,G400,1)),"",IF((AND(FIND('112'!$M$9,G400,1)&gt;=1,B400='112'!$K$9,OR($N400='112'!$I$6,$O400='112'!$I$6))),"x",""))</f>
        <v/>
      </c>
      <c r="U400" s="81" t="str">
        <f>IF(ISERROR(FIND('112'!$M$9,G400,1)),"",IF((AND(LEFT(G400,2)=LEFT('112'!$M$9,2),B400&lt;'112'!$K$9,$N400='112'!$I$6)),"x",""))</f>
        <v/>
      </c>
      <c r="V400" s="81" t="str">
        <f>IF(ISERROR(FIND('112'!$M$9,G400,1)),"",IF((AND(RIGHT(G400,2)=RIGHT('112'!$M$9,2),B400&lt;'112'!$K$9,$O400='112'!$I$6)),"x",""))</f>
        <v/>
      </c>
      <c r="W400" s="81" t="str">
        <f>IF(AND('341-CT'!$H$9=H400,OR(LEFT(N400,3)=$W$7,LEFT(O400,3)=$W$7)),"x","")</f>
        <v/>
      </c>
      <c r="X400" s="81" t="str">
        <f>IF(OR(TH!N400=TH!$X$7,O400=TH!$X$7),"x","")</f>
        <v/>
      </c>
      <c r="Y400" s="81" t="str">
        <f>IF(AND(OR(N400="131",O400="131"),H400='131-CT'!$H$9),"x","")</f>
        <v/>
      </c>
      <c r="Z400" s="81"/>
      <c r="AA400" s="81" t="str">
        <f>IF(AND(MONTH(E400)='IN-NX'!$J$5,'IN-NX'!$D$7=D400),"x","")</f>
        <v/>
      </c>
      <c r="AB400" s="81" t="str">
        <f>IF(AND(OR(LEFT(TH!N400,2)="15",LEFT(TH!O400,2)="15"),LEFT(TH!O400,3)&lt;&gt;"111",'152-CT'!$J$8=TH!F400),"x","")</f>
        <v/>
      </c>
      <c r="AC400" s="81" t="str">
        <f>IF(AND(OR(LEFT(TH!N400,2)="15",LEFT(TH!O400,2)="15"),TK!$E$7=TH!F400),"x","")</f>
        <v/>
      </c>
      <c r="AD400" s="81" t="str">
        <f>IF(AND(N400="1521",MONTH(C400)='BK-NL'!$M$11),"x","")</f>
        <v/>
      </c>
      <c r="AE400">
        <v>1</v>
      </c>
    </row>
    <row r="401" spans="1:31" ht="15.75" customHeight="1">
      <c r="A401" s="327" t="str">
        <f>IF(B401&lt;&gt;"",IF(AND(B401='IN-TC'!$S$4,OR(TH!N401="1111",TH!O401="1111")),TH!D401,""),"")</f>
        <v/>
      </c>
      <c r="B401" s="62">
        <f t="shared" si="103"/>
        <v>1</v>
      </c>
      <c r="C401" s="309">
        <v>42738</v>
      </c>
      <c r="D401" s="309"/>
      <c r="E401" s="309">
        <v>42732</v>
      </c>
      <c r="F401" s="310" t="s">
        <v>1001</v>
      </c>
      <c r="G401" s="1042" t="s">
        <v>1003</v>
      </c>
      <c r="H401" s="71" t="s">
        <v>1004</v>
      </c>
      <c r="I401" s="405"/>
      <c r="J401" s="1043"/>
      <c r="K401" s="398"/>
      <c r="L401" s="405"/>
      <c r="M401" s="1044">
        <v>1600000</v>
      </c>
      <c r="N401" s="312" t="s">
        <v>101</v>
      </c>
      <c r="O401" s="312" t="s">
        <v>63</v>
      </c>
      <c r="P401" s="81" t="str">
        <f>IF(AND('331-CT'!$E$7=TH!H401,OR(N401="331",O401="331")),"x","")</f>
        <v/>
      </c>
      <c r="Q401" s="81" t="str">
        <f>IF(AND(B401='111'!$L$11,OR($N401=$Q$7,$O401=$Q$7)),"x","")</f>
        <v/>
      </c>
      <c r="R401" s="81" t="str">
        <f>IF(AND($N401=$Q$7,$B401&lt;'111'!$L$11),"x","")</f>
        <v/>
      </c>
      <c r="S401" s="81" t="str">
        <f>IF(AND($O401=$Q$7,$B401&lt;'111'!$L$11),"x","")</f>
        <v>x</v>
      </c>
      <c r="T401" s="81" t="str">
        <f>IF(ISERROR(FIND('112'!$M$9,G401,1)),"",IF((AND(FIND('112'!$M$9,G401,1)&gt;=1,B401='112'!$K$9,OR($N401='112'!$I$6,$O401='112'!$I$6))),"x",""))</f>
        <v/>
      </c>
      <c r="U401" s="81" t="str">
        <f>IF(ISERROR(FIND('112'!$M$9,G401,1)),"",IF((AND(LEFT(G401,2)=LEFT('112'!$M$9,2),B401&lt;'112'!$K$9,$N401='112'!$I$6)),"x",""))</f>
        <v/>
      </c>
      <c r="V401" s="81" t="str">
        <f>IF(ISERROR(FIND('112'!$M$9,G401,1)),"",IF((AND(RIGHT(G401,2)=RIGHT('112'!$M$9,2),B401&lt;'112'!$K$9,$O401='112'!$I$6)),"x",""))</f>
        <v/>
      </c>
      <c r="W401" s="81" t="str">
        <f>IF(AND('341-CT'!$H$9=H401,OR(LEFT(N401,3)=$W$7,LEFT(O401,3)=$W$7)),"x","")</f>
        <v/>
      </c>
      <c r="X401" s="81" t="str">
        <f>IF(OR(TH!N401=TH!$X$7,O401=TH!$X$7),"x","")</f>
        <v/>
      </c>
      <c r="Y401" s="81" t="str">
        <f>IF(AND(OR(N401="131",O401="131"),H401='131-CT'!$H$9),"x","")</f>
        <v/>
      </c>
      <c r="Z401" s="81"/>
      <c r="AA401" s="81" t="str">
        <f>IF(AND(MONTH(E401)='IN-NX'!$J$5,'IN-NX'!$D$7=D401),"x","")</f>
        <v/>
      </c>
      <c r="AB401" s="81" t="str">
        <f>IF(AND(OR(LEFT(TH!N401,2)="15",LEFT(TH!O401,2)="15"),LEFT(TH!O401,3)&lt;&gt;"111",'152-CT'!$J$8=TH!F401),"x","")</f>
        <v/>
      </c>
      <c r="AC401" s="81" t="str">
        <f>IF(AND(OR(LEFT(TH!N401,2)="15",LEFT(TH!O401,2)="15"),TK!$E$7=TH!F401),"x","")</f>
        <v/>
      </c>
      <c r="AD401" s="81" t="str">
        <f>IF(AND(N401="1521",MONTH(C401)='BK-NL'!$M$11),"x","")</f>
        <v/>
      </c>
      <c r="AE401">
        <v>1</v>
      </c>
    </row>
    <row r="402" spans="1:31" ht="15.75" customHeight="1">
      <c r="A402" s="327" t="str">
        <f>IF(B402&lt;&gt;"",IF(AND(B402='IN-TC'!$S$4,OR(TH!N402="1111",TH!O402="1111")),TH!D402,""),"")</f>
        <v/>
      </c>
      <c r="B402" s="62">
        <f t="shared" si="103"/>
        <v>1</v>
      </c>
      <c r="C402" s="309">
        <v>42738</v>
      </c>
      <c r="D402" s="309"/>
      <c r="E402" s="309">
        <v>42732</v>
      </c>
      <c r="F402" s="310" t="s">
        <v>1002</v>
      </c>
      <c r="G402" s="1042" t="s">
        <v>1003</v>
      </c>
      <c r="H402" s="71" t="s">
        <v>1004</v>
      </c>
      <c r="I402" s="405"/>
      <c r="J402" s="1043"/>
      <c r="K402" s="398"/>
      <c r="L402" s="405"/>
      <c r="M402" s="1044">
        <v>80000</v>
      </c>
      <c r="N402" s="312" t="s">
        <v>9</v>
      </c>
      <c r="O402" s="312" t="s">
        <v>63</v>
      </c>
      <c r="P402" s="81" t="str">
        <f>IF(AND('331-CT'!$E$7=TH!H402,OR(N402="331",O402="331")),"x","")</f>
        <v/>
      </c>
      <c r="Q402" s="81" t="str">
        <f>IF(AND(B402='111'!$L$11,OR($N402=$Q$7,$O402=$Q$7)),"x","")</f>
        <v/>
      </c>
      <c r="R402" s="81" t="str">
        <f>IF(AND($N402=$Q$7,$B402&lt;'111'!$L$11),"x","")</f>
        <v/>
      </c>
      <c r="S402" s="81" t="str">
        <f>IF(AND($O402=$Q$7,$B402&lt;'111'!$L$11),"x","")</f>
        <v>x</v>
      </c>
      <c r="T402" s="81" t="str">
        <f>IF(ISERROR(FIND('112'!$M$9,G402,1)),"",IF((AND(FIND('112'!$M$9,G402,1)&gt;=1,B402='112'!$K$9,OR($N402='112'!$I$6,$O402='112'!$I$6))),"x",""))</f>
        <v/>
      </c>
      <c r="U402" s="81" t="str">
        <f>IF(ISERROR(FIND('112'!$M$9,G402,1)),"",IF((AND(LEFT(G402,2)=LEFT('112'!$M$9,2),B402&lt;'112'!$K$9,$N402='112'!$I$6)),"x",""))</f>
        <v/>
      </c>
      <c r="V402" s="81" t="str">
        <f>IF(ISERROR(FIND('112'!$M$9,G402,1)),"",IF((AND(RIGHT(G402,2)=RIGHT('112'!$M$9,2),B402&lt;'112'!$K$9,$O402='112'!$I$6)),"x",""))</f>
        <v/>
      </c>
      <c r="W402" s="81" t="str">
        <f>IF(AND('341-CT'!$H$9=H402,OR(LEFT(N402,3)=$W$7,LEFT(O402,3)=$W$7)),"x","")</f>
        <v/>
      </c>
      <c r="X402" s="81" t="str">
        <f>IF(OR(TH!N402=TH!$X$7,O402=TH!$X$7),"x","")</f>
        <v/>
      </c>
      <c r="Y402" s="81" t="str">
        <f>IF(AND(OR(N402="131",O402="131"),H402='131-CT'!$H$9),"x","")</f>
        <v/>
      </c>
      <c r="Z402" s="81"/>
      <c r="AA402" s="81" t="str">
        <f>IF(AND(MONTH(E402)='IN-NX'!$J$5,'IN-NX'!$D$7=D402),"x","")</f>
        <v/>
      </c>
      <c r="AB402" s="81" t="str">
        <f>IF(AND(OR(LEFT(TH!N402,2)="15",LEFT(TH!O402,2)="15"),LEFT(TH!O402,3)&lt;&gt;"111",'152-CT'!$J$8=TH!F402),"x","")</f>
        <v/>
      </c>
      <c r="AC402" s="81" t="str">
        <f>IF(AND(OR(LEFT(TH!N402,2)="15",LEFT(TH!O402,2)="15"),TK!$E$7=TH!F402),"x","")</f>
        <v/>
      </c>
      <c r="AD402" s="81" t="str">
        <f>IF(AND(N402="1521",MONTH(C402)='BK-NL'!$M$11),"x","")</f>
        <v/>
      </c>
      <c r="AE402">
        <v>1</v>
      </c>
    </row>
    <row r="403" spans="1:31" ht="15.75" customHeight="1">
      <c r="A403" s="327" t="str">
        <f>IF(B403&lt;&gt;"",IF(AND(B403='IN-TC'!$S$4,OR(TH!N403="1111",TH!O403="1111")),TH!D403,""),"")</f>
        <v/>
      </c>
      <c r="B403" s="62">
        <f t="shared" si="103"/>
        <v>1</v>
      </c>
      <c r="C403" s="309">
        <v>42738</v>
      </c>
      <c r="D403" s="309"/>
      <c r="E403" s="309">
        <f t="shared" si="104"/>
        <v>42738</v>
      </c>
      <c r="F403" s="310" t="s">
        <v>1005</v>
      </c>
      <c r="G403" s="1063" t="s">
        <v>813</v>
      </c>
      <c r="H403" s="71" t="s">
        <v>955</v>
      </c>
      <c r="I403" s="405"/>
      <c r="J403" s="1043"/>
      <c r="K403" s="398"/>
      <c r="L403" s="405"/>
      <c r="M403" s="1044">
        <v>70000000</v>
      </c>
      <c r="N403" s="312" t="s">
        <v>26</v>
      </c>
      <c r="O403" s="312" t="s">
        <v>63</v>
      </c>
      <c r="P403" s="81" t="str">
        <f>IF(AND('331-CT'!$E$7=TH!H403,OR(N403="331",O403="331")),"x","")</f>
        <v/>
      </c>
      <c r="Q403" s="81" t="str">
        <f>IF(AND(B403='111'!$L$11,OR($N403=$Q$7,$O403=$Q$7)),"x","")</f>
        <v/>
      </c>
      <c r="R403" s="81" t="str">
        <f>IF(AND($N403=$Q$7,$B403&lt;'111'!$L$11),"x","")</f>
        <v/>
      </c>
      <c r="S403" s="81" t="str">
        <f>IF(AND($O403=$Q$7,$B403&lt;'111'!$L$11),"x","")</f>
        <v>x</v>
      </c>
      <c r="T403" s="81" t="str">
        <f>IF(ISERROR(FIND('112'!$M$9,G403,1)),"",IF((AND(FIND('112'!$M$9,G403,1)&gt;=1,B403='112'!$K$9,OR($N403='112'!$I$6,$O403='112'!$I$6))),"x",""))</f>
        <v/>
      </c>
      <c r="U403" s="81" t="str">
        <f>IF(ISERROR(FIND('112'!$M$9,G403,1)),"",IF((AND(LEFT(G403,2)=LEFT('112'!$M$9,2),B403&lt;'112'!$K$9,$N403='112'!$I$6)),"x",""))</f>
        <v/>
      </c>
      <c r="V403" s="81" t="str">
        <f>IF(ISERROR(FIND('112'!$M$9,G403,1)),"",IF((AND(RIGHT(G403,2)=RIGHT('112'!$M$9,2),B403&lt;'112'!$K$9,$O403='112'!$I$6)),"x",""))</f>
        <v/>
      </c>
      <c r="W403" s="81" t="str">
        <f>IF(AND('341-CT'!$H$9=H403,OR(LEFT(N403,3)=$W$7,LEFT(O403,3)=$W$7)),"x","")</f>
        <v/>
      </c>
      <c r="X403" s="81" t="str">
        <f>IF(OR(TH!N403=TH!$X$7,O403=TH!$X$7),"x","")</f>
        <v/>
      </c>
      <c r="Y403" s="81" t="str">
        <f>IF(AND(OR(N403="131",O403="131"),H403='131-CT'!$H$9),"x","")</f>
        <v/>
      </c>
      <c r="Z403" s="81"/>
      <c r="AA403" s="81" t="str">
        <f>IF(AND(MONTH(E403)='IN-NX'!$J$5,'IN-NX'!$D$7=D403),"x","")</f>
        <v/>
      </c>
      <c r="AB403" s="81" t="str">
        <f>IF(AND(OR(LEFT(TH!N403,2)="15",LEFT(TH!O403,2)="15"),LEFT(TH!O403,3)&lt;&gt;"111",'152-CT'!$J$8=TH!F403),"x","")</f>
        <v/>
      </c>
      <c r="AC403" s="81" t="str">
        <f>IF(AND(OR(LEFT(TH!N403,2)="15",LEFT(TH!O403,2)="15"),TK!$E$7=TH!F403),"x","")</f>
        <v/>
      </c>
      <c r="AD403" s="81" t="str">
        <f>IF(AND(N403="1521",MONTH(C403)='BK-NL'!$M$11),"x","")</f>
        <v/>
      </c>
    </row>
    <row r="404" spans="1:31" ht="15.75" customHeight="1">
      <c r="A404" s="327" t="str">
        <f>IF(B404&lt;&gt;"",IF(AND(B404='IN-TC'!$S$4,OR(TH!N404="1111",TH!O404="1111")),TH!D404,""),"")</f>
        <v/>
      </c>
      <c r="B404" s="62">
        <f t="shared" si="103"/>
        <v>1</v>
      </c>
      <c r="C404" s="309">
        <v>42738</v>
      </c>
      <c r="D404" s="309"/>
      <c r="E404" s="309">
        <f t="shared" si="104"/>
        <v>42738</v>
      </c>
      <c r="F404" s="310" t="s">
        <v>1006</v>
      </c>
      <c r="G404" s="1042" t="s">
        <v>1008</v>
      </c>
      <c r="H404" s="71" t="s">
        <v>1009</v>
      </c>
      <c r="I404" s="405"/>
      <c r="J404" s="1043"/>
      <c r="K404" s="398"/>
      <c r="L404" s="405"/>
      <c r="M404" s="1044">
        <v>6282727</v>
      </c>
      <c r="N404" s="312" t="s">
        <v>101</v>
      </c>
      <c r="O404" s="312" t="s">
        <v>63</v>
      </c>
      <c r="P404" s="81" t="str">
        <f>IF(AND('331-CT'!$E$7=TH!H404,OR(N404="331",O404="331")),"x","")</f>
        <v/>
      </c>
      <c r="Q404" s="81" t="str">
        <f>IF(AND(B404='111'!$L$11,OR($N404=$Q$7,$O404=$Q$7)),"x","")</f>
        <v/>
      </c>
      <c r="R404" s="81" t="str">
        <f>IF(AND($N404=$Q$7,$B404&lt;'111'!$L$11),"x","")</f>
        <v/>
      </c>
      <c r="S404" s="81" t="str">
        <f>IF(AND($O404=$Q$7,$B404&lt;'111'!$L$11),"x","")</f>
        <v>x</v>
      </c>
      <c r="T404" s="81" t="str">
        <f>IF(ISERROR(FIND('112'!$M$9,G404,1)),"",IF((AND(FIND('112'!$M$9,G404,1)&gt;=1,B404='112'!$K$9,OR($N404='112'!$I$6,$O404='112'!$I$6))),"x",""))</f>
        <v/>
      </c>
      <c r="U404" s="81" t="str">
        <f>IF(ISERROR(FIND('112'!$M$9,G404,1)),"",IF((AND(LEFT(G404,2)=LEFT('112'!$M$9,2),B404&lt;'112'!$K$9,$N404='112'!$I$6)),"x",""))</f>
        <v/>
      </c>
      <c r="V404" s="81" t="str">
        <f>IF(ISERROR(FIND('112'!$M$9,G404,1)),"",IF((AND(RIGHT(G404,2)=RIGHT('112'!$M$9,2),B404&lt;'112'!$K$9,$O404='112'!$I$6)),"x",""))</f>
        <v/>
      </c>
      <c r="W404" s="81" t="str">
        <f>IF(AND('341-CT'!$H$9=H404,OR(LEFT(N404,3)=$W$7,LEFT(O404,3)=$W$7)),"x","")</f>
        <v/>
      </c>
      <c r="X404" s="81" t="str">
        <f>IF(OR(TH!N404=TH!$X$7,O404=TH!$X$7),"x","")</f>
        <v/>
      </c>
      <c r="Y404" s="81" t="str">
        <f>IF(AND(OR(N404="131",O404="131"),H404='131-CT'!$H$9),"x","")</f>
        <v/>
      </c>
      <c r="Z404" s="81"/>
      <c r="AA404" s="81" t="str">
        <f>IF(AND(MONTH(E404)='IN-NX'!$J$5,'IN-NX'!$D$7=D404),"x","")</f>
        <v/>
      </c>
      <c r="AB404" s="81" t="str">
        <f>IF(AND(OR(LEFT(TH!N404,2)="15",LEFT(TH!O404,2)="15"),LEFT(TH!O404,3)&lt;&gt;"111",'152-CT'!$J$8=TH!F404),"x","")</f>
        <v/>
      </c>
      <c r="AC404" s="81" t="str">
        <f>IF(AND(OR(LEFT(TH!N404,2)="15",LEFT(TH!O404,2)="15"),TK!$E$7=TH!F404),"x","")</f>
        <v/>
      </c>
      <c r="AD404" s="81" t="str">
        <f>IF(AND(N404="1521",MONTH(C404)='BK-NL'!$M$11),"x","")</f>
        <v/>
      </c>
      <c r="AE404">
        <v>1</v>
      </c>
    </row>
    <row r="405" spans="1:31" ht="15.75" customHeight="1">
      <c r="A405" s="327" t="str">
        <f>IF(B405&lt;&gt;"",IF(AND(B405='IN-TC'!$S$4,OR(TH!N405="1111",TH!O405="1111")),TH!D405,""),"")</f>
        <v/>
      </c>
      <c r="B405" s="62">
        <f t="shared" si="103"/>
        <v>1</v>
      </c>
      <c r="C405" s="309">
        <v>42738</v>
      </c>
      <c r="D405" s="309"/>
      <c r="E405" s="309">
        <f t="shared" si="104"/>
        <v>42738</v>
      </c>
      <c r="F405" s="310" t="s">
        <v>1007</v>
      </c>
      <c r="G405" s="1042" t="s">
        <v>1008</v>
      </c>
      <c r="H405" s="71" t="s">
        <v>1009</v>
      </c>
      <c r="I405" s="405"/>
      <c r="J405" s="1043"/>
      <c r="K405" s="398"/>
      <c r="L405" s="405"/>
      <c r="M405" s="1044">
        <v>628273</v>
      </c>
      <c r="N405" s="312" t="s">
        <v>9</v>
      </c>
      <c r="O405" s="312" t="s">
        <v>63</v>
      </c>
      <c r="P405" s="81" t="str">
        <f>IF(AND('331-CT'!$E$7=TH!H405,OR(N405="331",O405="331")),"x","")</f>
        <v/>
      </c>
      <c r="Q405" s="81" t="str">
        <f>IF(AND(B405='111'!$L$11,OR($N405=$Q$7,$O405=$Q$7)),"x","")</f>
        <v/>
      </c>
      <c r="R405" s="81" t="str">
        <f>IF(AND($N405=$Q$7,$B405&lt;'111'!$L$11),"x","")</f>
        <v/>
      </c>
      <c r="S405" s="81" t="str">
        <f>IF(AND($O405=$Q$7,$B405&lt;'111'!$L$11),"x","")</f>
        <v>x</v>
      </c>
      <c r="T405" s="81" t="str">
        <f>IF(ISERROR(FIND('112'!$M$9,G405,1)),"",IF((AND(FIND('112'!$M$9,G405,1)&gt;=1,B405='112'!$K$9,OR($N405='112'!$I$6,$O405='112'!$I$6))),"x",""))</f>
        <v/>
      </c>
      <c r="U405" s="81" t="str">
        <f>IF(ISERROR(FIND('112'!$M$9,G405,1)),"",IF((AND(LEFT(G405,2)=LEFT('112'!$M$9,2),B405&lt;'112'!$K$9,$N405='112'!$I$6)),"x",""))</f>
        <v/>
      </c>
      <c r="V405" s="81" t="str">
        <f>IF(ISERROR(FIND('112'!$M$9,G405,1)),"",IF((AND(RIGHT(G405,2)=RIGHT('112'!$M$9,2),B405&lt;'112'!$K$9,$O405='112'!$I$6)),"x",""))</f>
        <v/>
      </c>
      <c r="W405" s="81" t="str">
        <f>IF(AND('341-CT'!$H$9=H405,OR(LEFT(N405,3)=$W$7,LEFT(O405,3)=$W$7)),"x","")</f>
        <v/>
      </c>
      <c r="X405" s="81" t="str">
        <f>IF(OR(TH!N405=TH!$X$7,O405=TH!$X$7),"x","")</f>
        <v/>
      </c>
      <c r="Y405" s="81" t="str">
        <f>IF(AND(OR(N405="131",O405="131"),H405='131-CT'!$H$9),"x","")</f>
        <v/>
      </c>
      <c r="Z405" s="81"/>
      <c r="AA405" s="81" t="str">
        <f>IF(AND(MONTH(E405)='IN-NX'!$J$5,'IN-NX'!$D$7=D405),"x","")</f>
        <v/>
      </c>
      <c r="AB405" s="81" t="str">
        <f>IF(AND(OR(LEFT(TH!N405,2)="15",LEFT(TH!O405,2)="15"),LEFT(TH!O405,3)&lt;&gt;"111",'152-CT'!$J$8=TH!F405),"x","")</f>
        <v/>
      </c>
      <c r="AC405" s="81" t="str">
        <f>IF(AND(OR(LEFT(TH!N405,2)="15",LEFT(TH!O405,2)="15"),TK!$E$7=TH!F405),"x","")</f>
        <v/>
      </c>
      <c r="AD405" s="81" t="str">
        <f>IF(AND(N405="1521",MONTH(C405)='BK-NL'!$M$11),"x","")</f>
        <v/>
      </c>
      <c r="AE405">
        <v>1</v>
      </c>
    </row>
    <row r="406" spans="1:31" ht="15.75" customHeight="1">
      <c r="A406" s="327" t="str">
        <f>IF(B406&lt;&gt;"",IF(AND(B406='IN-TC'!$S$4,OR(TH!N406="1111",TH!O406="1111")),TH!D406,""),"")</f>
        <v/>
      </c>
      <c r="B406" s="62">
        <f t="shared" si="103"/>
        <v>1</v>
      </c>
      <c r="C406" s="309">
        <v>42739</v>
      </c>
      <c r="D406" s="309"/>
      <c r="E406" s="309">
        <f t="shared" si="104"/>
        <v>42739</v>
      </c>
      <c r="F406" s="310" t="s">
        <v>1010</v>
      </c>
      <c r="G406" s="1042" t="s">
        <v>1012</v>
      </c>
      <c r="H406" s="71" t="s">
        <v>1013</v>
      </c>
      <c r="I406" s="405"/>
      <c r="J406" s="1043"/>
      <c r="K406" s="398"/>
      <c r="L406" s="405"/>
      <c r="M406" s="1044">
        <v>1564954</v>
      </c>
      <c r="N406" s="312" t="s">
        <v>101</v>
      </c>
      <c r="O406" s="312" t="s">
        <v>63</v>
      </c>
      <c r="P406" s="81" t="str">
        <f>IF(AND('331-CT'!$E$7=TH!H406,OR(N406="331",O406="331")),"x","")</f>
        <v/>
      </c>
      <c r="Q406" s="81" t="str">
        <f>IF(AND(B406='111'!$L$11,OR($N406=$Q$7,$O406=$Q$7)),"x","")</f>
        <v/>
      </c>
      <c r="R406" s="81" t="str">
        <f>IF(AND($N406=$Q$7,$B406&lt;'111'!$L$11),"x","")</f>
        <v/>
      </c>
      <c r="S406" s="81" t="str">
        <f>IF(AND($O406=$Q$7,$B406&lt;'111'!$L$11),"x","")</f>
        <v>x</v>
      </c>
      <c r="T406" s="81" t="str">
        <f>IF(ISERROR(FIND('112'!$M$9,G406,1)),"",IF((AND(FIND('112'!$M$9,G406,1)&gt;=1,B406='112'!$K$9,OR($N406='112'!$I$6,$O406='112'!$I$6))),"x",""))</f>
        <v/>
      </c>
      <c r="U406" s="81" t="str">
        <f>IF(ISERROR(FIND('112'!$M$9,G406,1)),"",IF((AND(LEFT(G406,2)=LEFT('112'!$M$9,2),B406&lt;'112'!$K$9,$N406='112'!$I$6)),"x",""))</f>
        <v/>
      </c>
      <c r="V406" s="81" t="str">
        <f>IF(ISERROR(FIND('112'!$M$9,G406,1)),"",IF((AND(RIGHT(G406,2)=RIGHT('112'!$M$9,2),B406&lt;'112'!$K$9,$O406='112'!$I$6)),"x",""))</f>
        <v/>
      </c>
      <c r="W406" s="81" t="str">
        <f>IF(AND('341-CT'!$H$9=H406,OR(LEFT(N406,3)=$W$7,LEFT(O406,3)=$W$7)),"x","")</f>
        <v/>
      </c>
      <c r="X406" s="81" t="str">
        <f>IF(OR(TH!N406=TH!$X$7,O406=TH!$X$7),"x","")</f>
        <v/>
      </c>
      <c r="Y406" s="81" t="str">
        <f>IF(AND(OR(N406="131",O406="131"),H406='131-CT'!$H$9),"x","")</f>
        <v/>
      </c>
      <c r="Z406" s="81"/>
      <c r="AA406" s="81" t="str">
        <f>IF(AND(MONTH(E406)='IN-NX'!$J$5,'IN-NX'!$D$7=D406),"x","")</f>
        <v/>
      </c>
      <c r="AB406" s="81" t="str">
        <f>IF(AND(OR(LEFT(TH!N406,2)="15",LEFT(TH!O406,2)="15"),LEFT(TH!O406,3)&lt;&gt;"111",'152-CT'!$J$8=TH!F406),"x","")</f>
        <v/>
      </c>
      <c r="AC406" s="81" t="str">
        <f>IF(AND(OR(LEFT(TH!N406,2)="15",LEFT(TH!O406,2)="15"),TK!$E$7=TH!F406),"x","")</f>
        <v/>
      </c>
      <c r="AD406" s="81" t="str">
        <f>IF(AND(N406="1521",MONTH(C406)='BK-NL'!$M$11),"x","")</f>
        <v/>
      </c>
      <c r="AE406">
        <v>1</v>
      </c>
    </row>
    <row r="407" spans="1:31" ht="15.75" customHeight="1">
      <c r="A407" s="327" t="str">
        <f>IF(B407&lt;&gt;"",IF(AND(B407='IN-TC'!$S$4,OR(TH!N407="1111",TH!O407="1111")),TH!D407,""),"")</f>
        <v/>
      </c>
      <c r="B407" s="62">
        <f t="shared" si="103"/>
        <v>1</v>
      </c>
      <c r="C407" s="309">
        <v>42739</v>
      </c>
      <c r="D407" s="309"/>
      <c r="E407" s="309">
        <f t="shared" si="104"/>
        <v>42739</v>
      </c>
      <c r="F407" s="310" t="s">
        <v>1011</v>
      </c>
      <c r="G407" s="1042" t="s">
        <v>1012</v>
      </c>
      <c r="H407" s="71" t="s">
        <v>1013</v>
      </c>
      <c r="I407" s="405"/>
      <c r="J407" s="1043"/>
      <c r="K407" s="398"/>
      <c r="L407" s="405"/>
      <c r="M407" s="1044">
        <v>156496</v>
      </c>
      <c r="N407" s="312" t="s">
        <v>9</v>
      </c>
      <c r="O407" s="312" t="s">
        <v>63</v>
      </c>
      <c r="P407" s="81" t="str">
        <f>IF(AND('331-CT'!$E$7=TH!H407,OR(N407="331",O407="331")),"x","")</f>
        <v/>
      </c>
      <c r="Q407" s="81" t="str">
        <f>IF(AND(B407='111'!$L$11,OR($N407=$Q$7,$O407=$Q$7)),"x","")</f>
        <v/>
      </c>
      <c r="R407" s="81" t="str">
        <f>IF(AND($N407=$Q$7,$B407&lt;'111'!$L$11),"x","")</f>
        <v/>
      </c>
      <c r="S407" s="81" t="str">
        <f>IF(AND($O407=$Q$7,$B407&lt;'111'!$L$11),"x","")</f>
        <v>x</v>
      </c>
      <c r="T407" s="81" t="str">
        <f>IF(ISERROR(FIND('112'!$M$9,G407,1)),"",IF((AND(FIND('112'!$M$9,G407,1)&gt;=1,B407='112'!$K$9,OR($N407='112'!$I$6,$O407='112'!$I$6))),"x",""))</f>
        <v/>
      </c>
      <c r="U407" s="81" t="str">
        <f>IF(ISERROR(FIND('112'!$M$9,G407,1)),"",IF((AND(LEFT(G407,2)=LEFT('112'!$M$9,2),B407&lt;'112'!$K$9,$N407='112'!$I$6)),"x",""))</f>
        <v/>
      </c>
      <c r="V407" s="81" t="str">
        <f>IF(ISERROR(FIND('112'!$M$9,G407,1)),"",IF((AND(RIGHT(G407,2)=RIGHT('112'!$M$9,2),B407&lt;'112'!$K$9,$O407='112'!$I$6)),"x",""))</f>
        <v/>
      </c>
      <c r="W407" s="81" t="str">
        <f>IF(AND('341-CT'!$H$9=H407,OR(LEFT(N407,3)=$W$7,LEFT(O407,3)=$W$7)),"x","")</f>
        <v/>
      </c>
      <c r="X407" s="81" t="str">
        <f>IF(OR(TH!N407=TH!$X$7,O407=TH!$X$7),"x","")</f>
        <v/>
      </c>
      <c r="Y407" s="81" t="str">
        <f>IF(AND(OR(N407="131",O407="131"),H407='131-CT'!$H$9),"x","")</f>
        <v/>
      </c>
      <c r="Z407" s="81"/>
      <c r="AA407" s="81" t="str">
        <f>IF(AND(MONTH(E407)='IN-NX'!$J$5,'IN-NX'!$D$7=D407),"x","")</f>
        <v/>
      </c>
      <c r="AB407" s="81" t="str">
        <f>IF(AND(OR(LEFT(TH!N407,2)="15",LEFT(TH!O407,2)="15"),LEFT(TH!O407,3)&lt;&gt;"111",'152-CT'!$J$8=TH!F407),"x","")</f>
        <v/>
      </c>
      <c r="AC407" s="81" t="str">
        <f>IF(AND(OR(LEFT(TH!N407,2)="15",LEFT(TH!O407,2)="15"),TK!$E$7=TH!F407),"x","")</f>
        <v/>
      </c>
      <c r="AD407" s="81" t="str">
        <f>IF(AND(N407="1521",MONTH(C407)='BK-NL'!$M$11),"x","")</f>
        <v/>
      </c>
      <c r="AE407">
        <v>1</v>
      </c>
    </row>
    <row r="408" spans="1:31" ht="15.75" customHeight="1">
      <c r="A408" s="327" t="str">
        <f>IF(B408&lt;&gt;"",IF(AND(B408='IN-TC'!$S$4,OR(TH!N408="1111",TH!O408="1111")),TH!D408,""),"")</f>
        <v/>
      </c>
      <c r="B408" s="62">
        <f t="shared" si="103"/>
        <v>1</v>
      </c>
      <c r="C408" s="309">
        <v>42741</v>
      </c>
      <c r="D408" s="309"/>
      <c r="E408" s="309">
        <f t="shared" si="104"/>
        <v>42741</v>
      </c>
      <c r="F408" s="310" t="s">
        <v>1057</v>
      </c>
      <c r="G408" s="1042" t="s">
        <v>1058</v>
      </c>
      <c r="H408" s="71" t="s">
        <v>1059</v>
      </c>
      <c r="I408" s="405"/>
      <c r="J408" s="1043"/>
      <c r="K408" s="398"/>
      <c r="L408" s="405"/>
      <c r="M408" s="1044">
        <v>170000</v>
      </c>
      <c r="N408" s="312" t="s">
        <v>101</v>
      </c>
      <c r="O408" s="312" t="s">
        <v>63</v>
      </c>
      <c r="P408" s="81" t="str">
        <f>IF(AND('331-CT'!$E$7=TH!H408,OR(N408="331",O408="331")),"x","")</f>
        <v/>
      </c>
      <c r="Q408" s="81" t="str">
        <f>IF(AND(B408='111'!$L$11,OR($N408=$Q$7,$O408=$Q$7)),"x","")</f>
        <v/>
      </c>
      <c r="R408" s="81" t="str">
        <f>IF(AND($N408=$Q$7,$B408&lt;'111'!$L$11),"x","")</f>
        <v/>
      </c>
      <c r="S408" s="81" t="str">
        <f>IF(AND($O408=$Q$7,$B408&lt;'111'!$L$11),"x","")</f>
        <v>x</v>
      </c>
      <c r="T408" s="81" t="str">
        <f>IF(ISERROR(FIND('112'!$M$9,G408,1)),"",IF((AND(FIND('112'!$M$9,G408,1)&gt;=1,B408='112'!$K$9,OR($N408='112'!$I$6,$O408='112'!$I$6))),"x",""))</f>
        <v/>
      </c>
      <c r="U408" s="81" t="str">
        <f>IF(ISERROR(FIND('112'!$M$9,G408,1)),"",IF((AND(LEFT(G408,2)=LEFT('112'!$M$9,2),B408&lt;'112'!$K$9,$N408='112'!$I$6)),"x",""))</f>
        <v/>
      </c>
      <c r="V408" s="81" t="str">
        <f>IF(ISERROR(FIND('112'!$M$9,G408,1)),"",IF((AND(RIGHT(G408,2)=RIGHT('112'!$M$9,2),B408&lt;'112'!$K$9,$O408='112'!$I$6)),"x",""))</f>
        <v/>
      </c>
      <c r="W408" s="81" t="str">
        <f>IF(AND('341-CT'!$H$9=H408,OR(LEFT(N408,3)=$W$7,LEFT(O408,3)=$W$7)),"x","")</f>
        <v/>
      </c>
      <c r="X408" s="81" t="str">
        <f>IF(OR(TH!N408=TH!$X$7,O408=TH!$X$7),"x","")</f>
        <v/>
      </c>
      <c r="Y408" s="81" t="str">
        <f>IF(AND(OR(N408="131",O408="131"),H408='131-CT'!$H$9),"x","")</f>
        <v/>
      </c>
      <c r="Z408" s="81"/>
      <c r="AA408" s="81" t="str">
        <f>IF(AND(MONTH(E408)='IN-NX'!$J$5,'IN-NX'!$D$7=D408),"x","")</f>
        <v/>
      </c>
      <c r="AB408" s="81" t="str">
        <f>IF(AND(OR(LEFT(TH!N408,2)="15",LEFT(TH!O408,2)="15"),LEFT(TH!O408,3)&lt;&gt;"111",'152-CT'!$J$8=TH!F408),"x","")</f>
        <v/>
      </c>
      <c r="AC408" s="81" t="str">
        <f>IF(AND(OR(LEFT(TH!N408,2)="15",LEFT(TH!O408,2)="15"),TK!$E$7=TH!F408),"x","")</f>
        <v/>
      </c>
      <c r="AD408" s="81" t="str">
        <f>IF(AND(N408="1521",MONTH(C408)='BK-NL'!$M$11),"x","")</f>
        <v/>
      </c>
    </row>
    <row r="409" spans="1:31" ht="15.75" customHeight="1">
      <c r="A409" s="327" t="str">
        <f>IF(B409&lt;&gt;"",IF(AND(B409='IN-TC'!$S$4,OR(TH!N409="1111",TH!O409="1111")),TH!D409,""),"")</f>
        <v/>
      </c>
      <c r="B409" s="62">
        <f t="shared" si="103"/>
        <v>1</v>
      </c>
      <c r="C409" s="309">
        <v>42741</v>
      </c>
      <c r="D409" s="309"/>
      <c r="E409" s="309">
        <f t="shared" si="104"/>
        <v>42741</v>
      </c>
      <c r="F409" s="310" t="s">
        <v>1060</v>
      </c>
      <c r="G409" s="1042" t="s">
        <v>1068</v>
      </c>
      <c r="H409" s="71" t="s">
        <v>1061</v>
      </c>
      <c r="I409" s="405"/>
      <c r="J409" s="1043"/>
      <c r="K409" s="398"/>
      <c r="L409" s="405"/>
      <c r="M409" s="1044">
        <v>2151242</v>
      </c>
      <c r="N409" s="312" t="s">
        <v>101</v>
      </c>
      <c r="O409" s="312" t="s">
        <v>63</v>
      </c>
      <c r="P409" s="81" t="str">
        <f>IF(AND('331-CT'!$E$7=TH!H409,OR(N409="331",O409="331")),"x","")</f>
        <v/>
      </c>
      <c r="Q409" s="81" t="str">
        <f>IF(AND(B409='111'!$L$11,OR($N409=$Q$7,$O409=$Q$7)),"x","")</f>
        <v/>
      </c>
      <c r="R409" s="81" t="str">
        <f>IF(AND($N409=$Q$7,$B409&lt;'111'!$L$11),"x","")</f>
        <v/>
      </c>
      <c r="S409" s="81" t="str">
        <f>IF(AND($O409=$Q$7,$B409&lt;'111'!$L$11),"x","")</f>
        <v>x</v>
      </c>
      <c r="T409" s="81" t="str">
        <f>IF(ISERROR(FIND('112'!$M$9,G409,1)),"",IF((AND(FIND('112'!$M$9,G409,1)&gt;=1,B409='112'!$K$9,OR($N409='112'!$I$6,$O409='112'!$I$6))),"x",""))</f>
        <v/>
      </c>
      <c r="U409" s="81" t="str">
        <f>IF(ISERROR(FIND('112'!$M$9,G409,1)),"",IF((AND(LEFT(G409,2)=LEFT('112'!$M$9,2),B409&lt;'112'!$K$9,$N409='112'!$I$6)),"x",""))</f>
        <v/>
      </c>
      <c r="V409" s="81" t="str">
        <f>IF(ISERROR(FIND('112'!$M$9,G409,1)),"",IF((AND(RIGHT(G409,2)=RIGHT('112'!$M$9,2),B409&lt;'112'!$K$9,$O409='112'!$I$6)),"x",""))</f>
        <v/>
      </c>
      <c r="W409" s="81" t="str">
        <f>IF(AND('341-CT'!$H$9=H409,OR(LEFT(N409,3)=$W$7,LEFT(O409,3)=$W$7)),"x","")</f>
        <v/>
      </c>
      <c r="X409" s="81" t="str">
        <f>IF(OR(TH!N409=TH!$X$7,O409=TH!$X$7),"x","")</f>
        <v/>
      </c>
      <c r="Y409" s="81" t="str">
        <f>IF(AND(OR(N409="131",O409="131"),H409='131-CT'!$H$9),"x","")</f>
        <v/>
      </c>
      <c r="Z409" s="81"/>
      <c r="AA409" s="81" t="str">
        <f>IF(AND(MONTH(E409)='IN-NX'!$J$5,'IN-NX'!$D$7=D409),"x","")</f>
        <v/>
      </c>
      <c r="AB409" s="81" t="str">
        <f>IF(AND(OR(LEFT(TH!N409,2)="15",LEFT(TH!O409,2)="15"),LEFT(TH!O409,3)&lt;&gt;"111",'152-CT'!$J$8=TH!F409),"x","")</f>
        <v/>
      </c>
      <c r="AC409" s="81" t="str">
        <f>IF(AND(OR(LEFT(TH!N409,2)="15",LEFT(TH!O409,2)="15"),TK!$E$7=TH!F409),"x","")</f>
        <v/>
      </c>
      <c r="AD409" s="81" t="str">
        <f>IF(AND(N409="1521",MONTH(C409)='BK-NL'!$M$11),"x","")</f>
        <v/>
      </c>
      <c r="AE409">
        <v>1</v>
      </c>
    </row>
    <row r="410" spans="1:31" ht="15.75" customHeight="1">
      <c r="A410" s="327" t="str">
        <f>IF(B410&lt;&gt;"",IF(AND(B410='IN-TC'!$S$4,OR(TH!N410="1111",TH!O410="1111")),TH!D410,""),"")</f>
        <v/>
      </c>
      <c r="B410" s="62">
        <f t="shared" ref="B410:B417" si="105">IF(C410&lt;&gt;"",MONTH(C410),"")</f>
        <v>1</v>
      </c>
      <c r="C410" s="309">
        <v>42741</v>
      </c>
      <c r="D410" s="309"/>
      <c r="E410" s="309">
        <f t="shared" si="104"/>
        <v>42741</v>
      </c>
      <c r="F410" s="310" t="s">
        <v>1063</v>
      </c>
      <c r="G410" s="1042" t="s">
        <v>1068</v>
      </c>
      <c r="H410" s="71" t="s">
        <v>1061</v>
      </c>
      <c r="I410" s="405"/>
      <c r="J410" s="1043"/>
      <c r="K410" s="398"/>
      <c r="L410" s="405"/>
      <c r="M410" s="1044">
        <v>215124</v>
      </c>
      <c r="N410" s="312" t="s">
        <v>9</v>
      </c>
      <c r="O410" s="312" t="s">
        <v>63</v>
      </c>
      <c r="P410" s="81" t="str">
        <f>IF(AND('331-CT'!$E$7=TH!H410,OR(N410="331",O410="331")),"x","")</f>
        <v/>
      </c>
      <c r="Q410" s="81" t="str">
        <f>IF(AND(B410='111'!$L$11,OR($N410=$Q$7,$O410=$Q$7)),"x","")</f>
        <v/>
      </c>
      <c r="R410" s="81" t="str">
        <f>IF(AND($N410=$Q$7,$B410&lt;'111'!$L$11),"x","")</f>
        <v/>
      </c>
      <c r="S410" s="81" t="str">
        <f>IF(AND($O410=$Q$7,$B410&lt;'111'!$L$11),"x","")</f>
        <v>x</v>
      </c>
      <c r="T410" s="81" t="str">
        <f>IF(ISERROR(FIND('112'!$M$9,G410,1)),"",IF((AND(FIND('112'!$M$9,G410,1)&gt;=1,B410='112'!$K$9,OR($N410='112'!$I$6,$O410='112'!$I$6))),"x",""))</f>
        <v/>
      </c>
      <c r="U410" s="81" t="str">
        <f>IF(ISERROR(FIND('112'!$M$9,G410,1)),"",IF((AND(LEFT(G410,2)=LEFT('112'!$M$9,2),B410&lt;'112'!$K$9,$N410='112'!$I$6)),"x",""))</f>
        <v/>
      </c>
      <c r="V410" s="81" t="str">
        <f>IF(ISERROR(FIND('112'!$M$9,G410,1)),"",IF((AND(RIGHT(G410,2)=RIGHT('112'!$M$9,2),B410&lt;'112'!$K$9,$O410='112'!$I$6)),"x",""))</f>
        <v/>
      </c>
      <c r="W410" s="81" t="str">
        <f>IF(AND('341-CT'!$H$9=H410,OR(LEFT(N410,3)=$W$7,LEFT(O410,3)=$W$7)),"x","")</f>
        <v/>
      </c>
      <c r="X410" s="81" t="str">
        <f>IF(OR(TH!N410=TH!$X$7,O410=TH!$X$7),"x","")</f>
        <v/>
      </c>
      <c r="Y410" s="81" t="str">
        <f>IF(AND(OR(N410="131",O410="131"),H410='131-CT'!$H$9),"x","")</f>
        <v/>
      </c>
      <c r="Z410" s="81"/>
      <c r="AA410" s="81" t="str">
        <f>IF(AND(MONTH(E410)='IN-NX'!$J$5,'IN-NX'!$D$7=D410),"x","")</f>
        <v/>
      </c>
      <c r="AB410" s="81" t="str">
        <f>IF(AND(OR(LEFT(TH!N410,2)="15",LEFT(TH!O410,2)="15"),LEFT(TH!O410,3)&lt;&gt;"111",'152-CT'!$J$8=TH!F410),"x","")</f>
        <v/>
      </c>
      <c r="AC410" s="81" t="str">
        <f>IF(AND(OR(LEFT(TH!N410,2)="15",LEFT(TH!O410,2)="15"),TK!$E$7=TH!F410),"x","")</f>
        <v/>
      </c>
      <c r="AD410" s="81" t="str">
        <f>IF(AND(N410="1521",MONTH(C410)='BK-NL'!$M$11),"x","")</f>
        <v/>
      </c>
      <c r="AE410">
        <v>1</v>
      </c>
    </row>
    <row r="411" spans="1:31" ht="15.75" customHeight="1">
      <c r="A411" s="327" t="str">
        <f>IF(B411&lt;&gt;"",IF(AND(B411='IN-TC'!$S$4,OR(TH!N411="1111",TH!O411="1111")),TH!D411,""),"")</f>
        <v/>
      </c>
      <c r="B411" s="62">
        <f t="shared" si="105"/>
        <v>1</v>
      </c>
      <c r="C411" s="309">
        <v>42741</v>
      </c>
      <c r="D411" s="309"/>
      <c r="E411" s="309">
        <f t="shared" si="104"/>
        <v>42741</v>
      </c>
      <c r="F411" s="310" t="s">
        <v>1001</v>
      </c>
      <c r="G411" s="1042" t="s">
        <v>1062</v>
      </c>
      <c r="H411" s="71" t="s">
        <v>1004</v>
      </c>
      <c r="I411" s="405"/>
      <c r="J411" s="1043"/>
      <c r="K411" s="398"/>
      <c r="L411" s="405"/>
      <c r="M411" s="1044">
        <v>7800000</v>
      </c>
      <c r="N411" s="312" t="s">
        <v>101</v>
      </c>
      <c r="O411" s="312" t="s">
        <v>63</v>
      </c>
      <c r="P411" s="81" t="str">
        <f>IF(AND('331-CT'!$E$7=TH!H411,OR(N411="331",O411="331")),"x","")</f>
        <v/>
      </c>
      <c r="Q411" s="81" t="str">
        <f>IF(AND(B411='111'!$L$11,OR($N411=$Q$7,$O411=$Q$7)),"x","")</f>
        <v/>
      </c>
      <c r="R411" s="81" t="str">
        <f>IF(AND($N411=$Q$7,$B411&lt;'111'!$L$11),"x","")</f>
        <v/>
      </c>
      <c r="S411" s="81" t="str">
        <f>IF(AND($O411=$Q$7,$B411&lt;'111'!$L$11),"x","")</f>
        <v>x</v>
      </c>
      <c r="T411" s="81" t="str">
        <f>IF(ISERROR(FIND('112'!$M$9,G411,1)),"",IF((AND(FIND('112'!$M$9,G411,1)&gt;=1,B411='112'!$K$9,OR($N411='112'!$I$6,$O411='112'!$I$6))),"x",""))</f>
        <v/>
      </c>
      <c r="U411" s="81" t="str">
        <f>IF(ISERROR(FIND('112'!$M$9,G411,1)),"",IF((AND(LEFT(G411,2)=LEFT('112'!$M$9,2),B411&lt;'112'!$K$9,$N411='112'!$I$6)),"x",""))</f>
        <v/>
      </c>
      <c r="V411" s="81" t="str">
        <f>IF(ISERROR(FIND('112'!$M$9,G411,1)),"",IF((AND(RIGHT(G411,2)=RIGHT('112'!$M$9,2),B411&lt;'112'!$K$9,$O411='112'!$I$6)),"x",""))</f>
        <v/>
      </c>
      <c r="W411" s="81" t="str">
        <f>IF(AND('341-CT'!$H$9=H411,OR(LEFT(N411,3)=$W$7,LEFT(O411,3)=$W$7)),"x","")</f>
        <v/>
      </c>
      <c r="X411" s="81" t="str">
        <f>IF(OR(TH!N411=TH!$X$7,O411=TH!$X$7),"x","")</f>
        <v/>
      </c>
      <c r="Y411" s="81" t="str">
        <f>IF(AND(OR(N411="131",O411="131"),H411='131-CT'!$H$9),"x","")</f>
        <v/>
      </c>
      <c r="Z411" s="81"/>
      <c r="AA411" s="81" t="str">
        <f>IF(AND(MONTH(E411)='IN-NX'!$J$5,'IN-NX'!$D$7=D411),"x","")</f>
        <v/>
      </c>
      <c r="AB411" s="81" t="str">
        <f>IF(AND(OR(LEFT(TH!N411,2)="15",LEFT(TH!O411,2)="15"),LEFT(TH!O411,3)&lt;&gt;"111",'152-CT'!$J$8=TH!F411),"x","")</f>
        <v/>
      </c>
      <c r="AC411" s="81" t="str">
        <f>IF(AND(OR(LEFT(TH!N411,2)="15",LEFT(TH!O411,2)="15"),TK!$E$7=TH!F411),"x","")</f>
        <v/>
      </c>
      <c r="AD411" s="81" t="str">
        <f>IF(AND(N411="1521",MONTH(C411)='BK-NL'!$M$11),"x","")</f>
        <v/>
      </c>
      <c r="AE411">
        <v>1</v>
      </c>
    </row>
    <row r="412" spans="1:31" ht="15.75" customHeight="1">
      <c r="A412" s="327" t="str">
        <f>IF(B412&lt;&gt;"",IF(AND(B412='IN-TC'!$S$4,OR(TH!N412="1111",TH!O412="1111")),TH!D412,""),"")</f>
        <v/>
      </c>
      <c r="B412" s="62">
        <f t="shared" si="105"/>
        <v>1</v>
      </c>
      <c r="C412" s="309">
        <v>42741</v>
      </c>
      <c r="D412" s="309"/>
      <c r="E412" s="309">
        <f t="shared" si="104"/>
        <v>42741</v>
      </c>
      <c r="F412" s="310" t="s">
        <v>1002</v>
      </c>
      <c r="G412" s="1042" t="s">
        <v>1062</v>
      </c>
      <c r="H412" s="71" t="s">
        <v>1004</v>
      </c>
      <c r="I412" s="405"/>
      <c r="J412" s="1043"/>
      <c r="K412" s="398"/>
      <c r="L412" s="405"/>
      <c r="M412" s="1044">
        <v>390000</v>
      </c>
      <c r="N412" s="312" t="s">
        <v>9</v>
      </c>
      <c r="O412" s="312" t="s">
        <v>63</v>
      </c>
      <c r="P412" s="81" t="str">
        <f>IF(AND('331-CT'!$E$7=TH!H412,OR(N412="331",O412="331")),"x","")</f>
        <v/>
      </c>
      <c r="Q412" s="81" t="str">
        <f>IF(AND(B412='111'!$L$11,OR($N412=$Q$7,$O412=$Q$7)),"x","")</f>
        <v/>
      </c>
      <c r="R412" s="81" t="str">
        <f>IF(AND($N412=$Q$7,$B412&lt;'111'!$L$11),"x","")</f>
        <v/>
      </c>
      <c r="S412" s="81" t="str">
        <f>IF(AND($O412=$Q$7,$B412&lt;'111'!$L$11),"x","")</f>
        <v>x</v>
      </c>
      <c r="T412" s="81" t="str">
        <f>IF(ISERROR(FIND('112'!$M$9,G412,1)),"",IF((AND(FIND('112'!$M$9,G412,1)&gt;=1,B412='112'!$K$9,OR($N412='112'!$I$6,$O412='112'!$I$6))),"x",""))</f>
        <v/>
      </c>
      <c r="U412" s="81" t="str">
        <f>IF(ISERROR(FIND('112'!$M$9,G412,1)),"",IF((AND(LEFT(G412,2)=LEFT('112'!$M$9,2),B412&lt;'112'!$K$9,$N412='112'!$I$6)),"x",""))</f>
        <v/>
      </c>
      <c r="V412" s="81" t="str">
        <f>IF(ISERROR(FIND('112'!$M$9,G412,1)),"",IF((AND(RIGHT(G412,2)=RIGHT('112'!$M$9,2),B412&lt;'112'!$K$9,$O412='112'!$I$6)),"x",""))</f>
        <v/>
      </c>
      <c r="W412" s="81" t="str">
        <f>IF(AND('341-CT'!$H$9=H412,OR(LEFT(N412,3)=$W$7,LEFT(O412,3)=$W$7)),"x","")</f>
        <v/>
      </c>
      <c r="X412" s="81" t="str">
        <f>IF(OR(TH!N412=TH!$X$7,O412=TH!$X$7),"x","")</f>
        <v/>
      </c>
      <c r="Y412" s="81" t="str">
        <f>IF(AND(OR(N412="131",O412="131"),H412='131-CT'!$H$9),"x","")</f>
        <v/>
      </c>
      <c r="Z412" s="81"/>
      <c r="AA412" s="81" t="str">
        <f>IF(AND(MONTH(E412)='IN-NX'!$J$5,'IN-NX'!$D$7=D412),"x","")</f>
        <v/>
      </c>
      <c r="AB412" s="81" t="str">
        <f>IF(AND(OR(LEFT(TH!N412,2)="15",LEFT(TH!O412,2)="15"),LEFT(TH!O412,3)&lt;&gt;"111",'152-CT'!$J$8=TH!F412),"x","")</f>
        <v/>
      </c>
      <c r="AC412" s="81" t="str">
        <f>IF(AND(OR(LEFT(TH!N412,2)="15",LEFT(TH!O412,2)="15"),TK!$E$7=TH!F412),"x","")</f>
        <v/>
      </c>
      <c r="AD412" s="81" t="str">
        <f>IF(AND(N412="1521",MONTH(C412)='BK-NL'!$M$11),"x","")</f>
        <v/>
      </c>
      <c r="AE412">
        <v>1</v>
      </c>
    </row>
    <row r="413" spans="1:31" ht="15.75" customHeight="1">
      <c r="A413" s="327" t="str">
        <f>IF(B413&lt;&gt;"",IF(AND(B413='IN-TC'!$S$4,OR(TH!N413="1111",TH!O413="1111")),TH!D413,""),"")</f>
        <v/>
      </c>
      <c r="B413" s="62">
        <f t="shared" si="105"/>
        <v>1</v>
      </c>
      <c r="C413" s="309">
        <v>42745</v>
      </c>
      <c r="D413" s="309"/>
      <c r="E413" s="309">
        <f t="shared" si="104"/>
        <v>42745</v>
      </c>
      <c r="F413" s="310" t="s">
        <v>1064</v>
      </c>
      <c r="G413" s="1042" t="s">
        <v>1066</v>
      </c>
      <c r="H413" s="71" t="s">
        <v>1067</v>
      </c>
      <c r="I413" s="405"/>
      <c r="J413" s="1043"/>
      <c r="K413" s="398"/>
      <c r="L413" s="405"/>
      <c r="M413" s="1044">
        <v>668720</v>
      </c>
      <c r="N413" s="312" t="s">
        <v>101</v>
      </c>
      <c r="O413" s="312" t="s">
        <v>63</v>
      </c>
      <c r="P413" s="81" t="str">
        <f>IF(AND('331-CT'!$E$7=TH!H413,OR(N413="331",O413="331")),"x","")</f>
        <v/>
      </c>
      <c r="Q413" s="81" t="str">
        <f>IF(AND(B413='111'!$L$11,OR($N413=$Q$7,$O413=$Q$7)),"x","")</f>
        <v/>
      </c>
      <c r="R413" s="81" t="str">
        <f>IF(AND($N413=$Q$7,$B413&lt;'111'!$L$11),"x","")</f>
        <v/>
      </c>
      <c r="S413" s="81" t="str">
        <f>IF(AND($O413=$Q$7,$B413&lt;'111'!$L$11),"x","")</f>
        <v>x</v>
      </c>
      <c r="T413" s="81" t="str">
        <f>IF(ISERROR(FIND('112'!$M$9,G413,1)),"",IF((AND(FIND('112'!$M$9,G413,1)&gt;=1,B413='112'!$K$9,OR($N413='112'!$I$6,$O413='112'!$I$6))),"x",""))</f>
        <v/>
      </c>
      <c r="U413" s="81" t="str">
        <f>IF(ISERROR(FIND('112'!$M$9,G413,1)),"",IF((AND(LEFT(G413,2)=LEFT('112'!$M$9,2),B413&lt;'112'!$K$9,$N413='112'!$I$6)),"x",""))</f>
        <v/>
      </c>
      <c r="V413" s="81" t="str">
        <f>IF(ISERROR(FIND('112'!$M$9,G413,1)),"",IF((AND(RIGHT(G413,2)=RIGHT('112'!$M$9,2),B413&lt;'112'!$K$9,$O413='112'!$I$6)),"x",""))</f>
        <v/>
      </c>
      <c r="W413" s="81" t="str">
        <f>IF(AND('341-CT'!$H$9=H413,OR(LEFT(N413,3)=$W$7,LEFT(O413,3)=$W$7)),"x","")</f>
        <v/>
      </c>
      <c r="X413" s="81" t="str">
        <f>IF(OR(TH!N413=TH!$X$7,O413=TH!$X$7),"x","")</f>
        <v/>
      </c>
      <c r="Y413" s="81" t="str">
        <f>IF(AND(OR(N413="131",O413="131"),H413='131-CT'!$H$9),"x","")</f>
        <v/>
      </c>
      <c r="Z413" s="81"/>
      <c r="AA413" s="81" t="str">
        <f>IF(AND(MONTH(E413)='IN-NX'!$J$5,'IN-NX'!$D$7=D413),"x","")</f>
        <v/>
      </c>
      <c r="AB413" s="81" t="str">
        <f>IF(AND(OR(LEFT(TH!N413,2)="15",LEFT(TH!O413,2)="15"),LEFT(TH!O413,3)&lt;&gt;"111",'152-CT'!$J$8=TH!F413),"x","")</f>
        <v/>
      </c>
      <c r="AC413" s="81" t="str">
        <f>IF(AND(OR(LEFT(TH!N413,2)="15",LEFT(TH!O413,2)="15"),TK!$E$7=TH!F413),"x","")</f>
        <v/>
      </c>
      <c r="AD413" s="81" t="str">
        <f>IF(AND(N413="1521",MONTH(C413)='BK-NL'!$M$11),"x","")</f>
        <v/>
      </c>
      <c r="AE413">
        <v>1</v>
      </c>
    </row>
    <row r="414" spans="1:31" ht="15.75" customHeight="1">
      <c r="A414" s="327" t="str">
        <f>IF(B414&lt;&gt;"",IF(AND(B414='IN-TC'!$S$4,OR(TH!N414="1111",TH!O414="1111")),TH!D414,""),"")</f>
        <v/>
      </c>
      <c r="B414" s="62">
        <f t="shared" si="105"/>
        <v>1</v>
      </c>
      <c r="C414" s="309">
        <v>42745</v>
      </c>
      <c r="D414" s="309"/>
      <c r="E414" s="309">
        <f t="shared" si="104"/>
        <v>42745</v>
      </c>
      <c r="F414" s="310" t="s">
        <v>1065</v>
      </c>
      <c r="G414" s="1042" t="s">
        <v>1066</v>
      </c>
      <c r="H414" s="71" t="s">
        <v>1067</v>
      </c>
      <c r="I414" s="405"/>
      <c r="J414" s="1043"/>
      <c r="K414" s="398"/>
      <c r="L414" s="405"/>
      <c r="M414" s="1044">
        <v>66872</v>
      </c>
      <c r="N414" s="312" t="s">
        <v>9</v>
      </c>
      <c r="O414" s="312" t="s">
        <v>63</v>
      </c>
      <c r="P414" s="81" t="str">
        <f>IF(AND('331-CT'!$E$7=TH!H414,OR(N414="331",O414="331")),"x","")</f>
        <v/>
      </c>
      <c r="Q414" s="81" t="str">
        <f>IF(AND(B414='111'!$L$11,OR($N414=$Q$7,$O414=$Q$7)),"x","")</f>
        <v/>
      </c>
      <c r="R414" s="81" t="str">
        <f>IF(AND($N414=$Q$7,$B414&lt;'111'!$L$11),"x","")</f>
        <v/>
      </c>
      <c r="S414" s="81" t="str">
        <f>IF(AND($O414=$Q$7,$B414&lt;'111'!$L$11),"x","")</f>
        <v>x</v>
      </c>
      <c r="T414" s="81" t="str">
        <f>IF(ISERROR(FIND('112'!$M$9,G414,1)),"",IF((AND(FIND('112'!$M$9,G414,1)&gt;=1,B414='112'!$K$9,OR($N414='112'!$I$6,$O414='112'!$I$6))),"x",""))</f>
        <v/>
      </c>
      <c r="U414" s="81" t="str">
        <f>IF(ISERROR(FIND('112'!$M$9,G414,1)),"",IF((AND(LEFT(G414,2)=LEFT('112'!$M$9,2),B414&lt;'112'!$K$9,$N414='112'!$I$6)),"x",""))</f>
        <v/>
      </c>
      <c r="V414" s="81" t="str">
        <f>IF(ISERROR(FIND('112'!$M$9,G414,1)),"",IF((AND(RIGHT(G414,2)=RIGHT('112'!$M$9,2),B414&lt;'112'!$K$9,$O414='112'!$I$6)),"x",""))</f>
        <v/>
      </c>
      <c r="W414" s="81" t="str">
        <f>IF(AND('341-CT'!$H$9=H414,OR(LEFT(N414,3)=$W$7,LEFT(O414,3)=$W$7)),"x","")</f>
        <v/>
      </c>
      <c r="X414" s="81" t="str">
        <f>IF(OR(TH!N414=TH!$X$7,O414=TH!$X$7),"x","")</f>
        <v/>
      </c>
      <c r="Y414" s="81" t="str">
        <f>IF(AND(OR(N414="131",O414="131"),H414='131-CT'!$H$9),"x","")</f>
        <v/>
      </c>
      <c r="Z414" s="81"/>
      <c r="AA414" s="81" t="str">
        <f>IF(AND(MONTH(E414)='IN-NX'!$J$5,'IN-NX'!$D$7=D414),"x","")</f>
        <v/>
      </c>
      <c r="AB414" s="81" t="str">
        <f>IF(AND(OR(LEFT(TH!N414,2)="15",LEFT(TH!O414,2)="15"),LEFT(TH!O414,3)&lt;&gt;"111",'152-CT'!$J$8=TH!F414),"x","")</f>
        <v/>
      </c>
      <c r="AC414" s="81" t="str">
        <f>IF(AND(OR(LEFT(TH!N414,2)="15",LEFT(TH!O414,2)="15"),TK!$E$7=TH!F414),"x","")</f>
        <v/>
      </c>
      <c r="AD414" s="81" t="str">
        <f>IF(AND(N414="1521",MONTH(C414)='BK-NL'!$M$11),"x","")</f>
        <v/>
      </c>
      <c r="AE414">
        <v>1</v>
      </c>
    </row>
    <row r="415" spans="1:31" ht="15.75" customHeight="1">
      <c r="A415" s="327" t="str">
        <f>IF(B415&lt;&gt;"",IF(AND(B415='IN-TC'!$S$4,OR(TH!N415="1111",TH!O415="1111")),TH!D415,""),"")</f>
        <v/>
      </c>
      <c r="B415" s="62">
        <f t="shared" si="105"/>
        <v>1</v>
      </c>
      <c r="C415" s="309">
        <v>42745</v>
      </c>
      <c r="D415" s="309"/>
      <c r="E415" s="309">
        <f t="shared" si="104"/>
        <v>42745</v>
      </c>
      <c r="F415" s="310" t="s">
        <v>223</v>
      </c>
      <c r="G415" s="1042" t="s">
        <v>1070</v>
      </c>
      <c r="H415" s="71" t="s">
        <v>602</v>
      </c>
      <c r="I415" s="405"/>
      <c r="J415" s="1043"/>
      <c r="K415" s="398"/>
      <c r="L415" s="405"/>
      <c r="M415" s="1044">
        <v>10122727</v>
      </c>
      <c r="N415" s="312" t="s">
        <v>280</v>
      </c>
      <c r="O415" s="312" t="s">
        <v>63</v>
      </c>
      <c r="P415" s="81" t="str">
        <f>IF(AND('331-CT'!$E$7=TH!H415,OR(N415="331",O415="331")),"x","")</f>
        <v/>
      </c>
      <c r="Q415" s="81" t="str">
        <f>IF(AND(B415='111'!$L$11,OR($N415=$Q$7,$O415=$Q$7)),"x","")</f>
        <v/>
      </c>
      <c r="R415" s="81" t="str">
        <f>IF(AND($N415=$Q$7,$B415&lt;'111'!$L$11),"x","")</f>
        <v/>
      </c>
      <c r="S415" s="81" t="str">
        <f>IF(AND($O415=$Q$7,$B415&lt;'111'!$L$11),"x","")</f>
        <v>x</v>
      </c>
      <c r="T415" s="81" t="str">
        <f>IF(ISERROR(FIND('112'!$M$9,G415,1)),"",IF((AND(FIND('112'!$M$9,G415,1)&gt;=1,B415='112'!$K$9,OR($N415='112'!$I$6,$O415='112'!$I$6))),"x",""))</f>
        <v/>
      </c>
      <c r="U415" s="81" t="str">
        <f>IF(ISERROR(FIND('112'!$M$9,G415,1)),"",IF((AND(LEFT(G415,2)=LEFT('112'!$M$9,2),B415&lt;'112'!$K$9,$N415='112'!$I$6)),"x",""))</f>
        <v/>
      </c>
      <c r="V415" s="81" t="str">
        <f>IF(ISERROR(FIND('112'!$M$9,G415,1)),"",IF((AND(RIGHT(G415,2)=RIGHT('112'!$M$9,2),B415&lt;'112'!$K$9,$O415='112'!$I$6)),"x",""))</f>
        <v/>
      </c>
      <c r="W415" s="81" t="str">
        <f>IF(AND('341-CT'!$H$9=H415,OR(LEFT(N415,3)=$W$7,LEFT(O415,3)=$W$7)),"x","")</f>
        <v/>
      </c>
      <c r="X415" s="81" t="str">
        <f>IF(OR(TH!N415=TH!$X$7,O415=TH!$X$7),"x","")</f>
        <v/>
      </c>
      <c r="Y415" s="81" t="str">
        <f>IF(AND(OR(N415="131",O415="131"),H415='131-CT'!$H$9),"x","")</f>
        <v/>
      </c>
      <c r="Z415" s="81"/>
      <c r="AA415" s="81" t="str">
        <f>IF(AND(MONTH(E415)='IN-NX'!$J$5,'IN-NX'!$D$7=D415),"x","")</f>
        <v/>
      </c>
      <c r="AB415" s="81" t="str">
        <f>IF(AND(OR(LEFT(TH!N415,2)="15",LEFT(TH!O415,2)="15"),LEFT(TH!O415,3)&lt;&gt;"111",'152-CT'!$J$8=TH!F415),"x","")</f>
        <v/>
      </c>
      <c r="AC415" s="81" t="str">
        <f>IF(AND(OR(LEFT(TH!N415,2)="15",LEFT(TH!O415,2)="15"),TK!$E$7=TH!F415),"x","")</f>
        <v/>
      </c>
      <c r="AD415" s="81" t="str">
        <f>IF(AND(N415="1521",MONTH(C415)='BK-NL'!$M$11),"x","")</f>
        <v/>
      </c>
      <c r="AE415">
        <v>1</v>
      </c>
    </row>
    <row r="416" spans="1:31" ht="15.75" customHeight="1">
      <c r="A416" s="327" t="str">
        <f>IF(B416&lt;&gt;"",IF(AND(B416='IN-TC'!$S$4,OR(TH!N416="1111",TH!O416="1111")),TH!D416,""),"")</f>
        <v/>
      </c>
      <c r="B416" s="62">
        <f t="shared" si="105"/>
        <v>1</v>
      </c>
      <c r="C416" s="309">
        <v>42745</v>
      </c>
      <c r="D416" s="309"/>
      <c r="E416" s="309">
        <f t="shared" si="104"/>
        <v>42745</v>
      </c>
      <c r="F416" s="310" t="s">
        <v>1069</v>
      </c>
      <c r="G416" s="1042" t="s">
        <v>1070</v>
      </c>
      <c r="H416" s="71" t="s">
        <v>602</v>
      </c>
      <c r="I416" s="405"/>
      <c r="J416" s="1043"/>
      <c r="K416" s="398"/>
      <c r="L416" s="405"/>
      <c r="M416" s="1044">
        <v>1012273</v>
      </c>
      <c r="N416" s="312" t="s">
        <v>9</v>
      </c>
      <c r="O416" s="312" t="s">
        <v>63</v>
      </c>
      <c r="P416" s="81" t="str">
        <f>IF(AND('331-CT'!$E$7=TH!H416,OR(N416="331",O416="331")),"x","")</f>
        <v/>
      </c>
      <c r="Q416" s="81" t="str">
        <f>IF(AND(B416='111'!$L$11,OR($N416=$Q$7,$O416=$Q$7)),"x","")</f>
        <v/>
      </c>
      <c r="R416" s="81" t="str">
        <f>IF(AND($N416=$Q$7,$B416&lt;'111'!$L$11),"x","")</f>
        <v/>
      </c>
      <c r="S416" s="81" t="str">
        <f>IF(AND($O416=$Q$7,$B416&lt;'111'!$L$11),"x","")</f>
        <v>x</v>
      </c>
      <c r="T416" s="81" t="str">
        <f>IF(ISERROR(FIND('112'!$M$9,G416,1)),"",IF((AND(FIND('112'!$M$9,G416,1)&gt;=1,B416='112'!$K$9,OR($N416='112'!$I$6,$O416='112'!$I$6))),"x",""))</f>
        <v/>
      </c>
      <c r="U416" s="81" t="str">
        <f>IF(ISERROR(FIND('112'!$M$9,G416,1)),"",IF((AND(LEFT(G416,2)=LEFT('112'!$M$9,2),B416&lt;'112'!$K$9,$N416='112'!$I$6)),"x",""))</f>
        <v/>
      </c>
      <c r="V416" s="81" t="str">
        <f>IF(ISERROR(FIND('112'!$M$9,G416,1)),"",IF((AND(RIGHT(G416,2)=RIGHT('112'!$M$9,2),B416&lt;'112'!$K$9,$O416='112'!$I$6)),"x",""))</f>
        <v/>
      </c>
      <c r="W416" s="81" t="str">
        <f>IF(AND('341-CT'!$H$9=H416,OR(LEFT(N416,3)=$W$7,LEFT(O416,3)=$W$7)),"x","")</f>
        <v/>
      </c>
      <c r="X416" s="81" t="str">
        <f>IF(OR(TH!N416=TH!$X$7,O416=TH!$X$7),"x","")</f>
        <v/>
      </c>
      <c r="Y416" s="81" t="str">
        <f>IF(AND(OR(N416="131",O416="131"),H416='131-CT'!$H$9),"x","")</f>
        <v/>
      </c>
      <c r="Z416" s="81"/>
      <c r="AA416" s="81" t="str">
        <f>IF(AND(MONTH(E416)='IN-NX'!$J$5,'IN-NX'!$D$7=D416),"x","")</f>
        <v/>
      </c>
      <c r="AB416" s="81" t="str">
        <f>IF(AND(OR(LEFT(TH!N416,2)="15",LEFT(TH!O416,2)="15"),LEFT(TH!O416,3)&lt;&gt;"111",'152-CT'!$J$8=TH!F416),"x","")</f>
        <v/>
      </c>
      <c r="AC416" s="81" t="str">
        <f>IF(AND(OR(LEFT(TH!N416,2)="15",LEFT(TH!O416,2)="15"),TK!$E$7=TH!F416),"x","")</f>
        <v/>
      </c>
      <c r="AD416" s="81" t="str">
        <f>IF(AND(N416="1521",MONTH(C416)='BK-NL'!$M$11),"x","")</f>
        <v/>
      </c>
      <c r="AE416">
        <v>1</v>
      </c>
    </row>
    <row r="417" spans="1:31" ht="15.75" customHeight="1">
      <c r="A417" s="327" t="str">
        <f>IF(B417&lt;&gt;"",IF(AND(B417='IN-TC'!$S$4,OR(TH!N417="1111",TH!O417="1111")),TH!D417,""),"")</f>
        <v/>
      </c>
      <c r="B417" s="62">
        <f t="shared" si="105"/>
        <v>1</v>
      </c>
      <c r="C417" s="309">
        <v>42746</v>
      </c>
      <c r="D417" s="309"/>
      <c r="E417" s="309">
        <f t="shared" si="104"/>
        <v>42746</v>
      </c>
      <c r="F417" s="310" t="s">
        <v>1071</v>
      </c>
      <c r="G417" s="1042" t="s">
        <v>1073</v>
      </c>
      <c r="H417" s="71" t="s">
        <v>1074</v>
      </c>
      <c r="I417" s="405"/>
      <c r="J417" s="1043"/>
      <c r="K417" s="398"/>
      <c r="L417" s="405"/>
      <c r="M417" s="1044">
        <v>8079091</v>
      </c>
      <c r="N417" s="312" t="s">
        <v>582</v>
      </c>
      <c r="O417" s="312" t="s">
        <v>63</v>
      </c>
      <c r="P417" s="81" t="str">
        <f>IF(AND('331-CT'!$E$7=TH!H417,OR(N417="331",O417="331")),"x","")</f>
        <v/>
      </c>
      <c r="Q417" s="81" t="str">
        <f>IF(AND(B417='111'!$L$11,OR($N417=$Q$7,$O417=$Q$7)),"x","")</f>
        <v/>
      </c>
      <c r="R417" s="81" t="str">
        <f>IF(AND($N417=$Q$7,$B417&lt;'111'!$L$11),"x","")</f>
        <v/>
      </c>
      <c r="S417" s="81" t="str">
        <f>IF(AND($O417=$Q$7,$B417&lt;'111'!$L$11),"x","")</f>
        <v>x</v>
      </c>
      <c r="T417" s="81" t="str">
        <f>IF(ISERROR(FIND('112'!$M$9,G417,1)),"",IF((AND(FIND('112'!$M$9,G417,1)&gt;=1,B417='112'!$K$9,OR($N417='112'!$I$6,$O417='112'!$I$6))),"x",""))</f>
        <v/>
      </c>
      <c r="U417" s="81" t="str">
        <f>IF(ISERROR(FIND('112'!$M$9,G417,1)),"",IF((AND(LEFT(G417,2)=LEFT('112'!$M$9,2),B417&lt;'112'!$K$9,$N417='112'!$I$6)),"x",""))</f>
        <v/>
      </c>
      <c r="V417" s="81" t="str">
        <f>IF(ISERROR(FIND('112'!$M$9,G417,1)),"",IF((AND(RIGHT(G417,2)=RIGHT('112'!$M$9,2),B417&lt;'112'!$K$9,$O417='112'!$I$6)),"x",""))</f>
        <v/>
      </c>
      <c r="W417" s="81" t="str">
        <f>IF(AND('341-CT'!$H$9=H417,OR(LEFT(N417,3)=$W$7,LEFT(O417,3)=$W$7)),"x","")</f>
        <v/>
      </c>
      <c r="X417" s="81" t="str">
        <f>IF(OR(TH!N417=TH!$X$7,O417=TH!$X$7),"x","")</f>
        <v/>
      </c>
      <c r="Y417" s="81" t="str">
        <f>IF(AND(OR(N417="131",O417="131"),H417='131-CT'!$H$9),"x","")</f>
        <v/>
      </c>
      <c r="Z417" s="81"/>
      <c r="AA417" s="81" t="str">
        <f>IF(AND(MONTH(E417)='IN-NX'!$J$5,'IN-NX'!$D$7=D417),"x","")</f>
        <v/>
      </c>
      <c r="AB417" s="81" t="str">
        <f>IF(AND(OR(LEFT(TH!N417,2)="15",LEFT(TH!O417,2)="15"),LEFT(TH!O417,3)&lt;&gt;"111",'152-CT'!$J$8=TH!F417),"x","")</f>
        <v/>
      </c>
      <c r="AC417" s="81" t="str">
        <f>IF(AND(OR(LEFT(TH!N417,2)="15",LEFT(TH!O417,2)="15"),TK!$E$7=TH!F417),"x","")</f>
        <v/>
      </c>
      <c r="AD417" s="81" t="str">
        <f>IF(AND(N417="1521",MONTH(C417)='BK-NL'!$M$11),"x","")</f>
        <v/>
      </c>
      <c r="AE417">
        <v>1</v>
      </c>
    </row>
    <row r="418" spans="1:31" ht="15.75" customHeight="1">
      <c r="A418" s="327" t="str">
        <f>IF(B418&lt;&gt;"",IF(AND(B418='IN-TC'!$S$4,OR(TH!N418="1111",TH!O418="1111")),TH!D418,""),"")</f>
        <v/>
      </c>
      <c r="B418" s="62">
        <f t="shared" ref="B418:B440" si="106">IF(C418&lt;&gt;"",MONTH(C418),"")</f>
        <v>1</v>
      </c>
      <c r="C418" s="309">
        <v>42746</v>
      </c>
      <c r="D418" s="309"/>
      <c r="E418" s="309">
        <f t="shared" ref="E418:E440" si="107">C418</f>
        <v>42746</v>
      </c>
      <c r="F418" s="310" t="s">
        <v>1072</v>
      </c>
      <c r="G418" s="1042" t="s">
        <v>1073</v>
      </c>
      <c r="H418" s="71" t="s">
        <v>1074</v>
      </c>
      <c r="I418" s="405"/>
      <c r="J418" s="1043"/>
      <c r="K418" s="398"/>
      <c r="L418" s="405"/>
      <c r="M418" s="1044">
        <v>807909</v>
      </c>
      <c r="N418" s="312" t="s">
        <v>9</v>
      </c>
      <c r="O418" s="312" t="s">
        <v>63</v>
      </c>
      <c r="P418" s="81" t="str">
        <f>IF(AND('331-CT'!$E$7=TH!H418,OR(N418="331",O418="331")),"x","")</f>
        <v/>
      </c>
      <c r="Q418" s="81" t="str">
        <f>IF(AND(B418='111'!$L$11,OR($N418=$Q$7,$O418=$Q$7)),"x","")</f>
        <v/>
      </c>
      <c r="R418" s="81" t="str">
        <f>IF(AND($N418=$Q$7,$B418&lt;'111'!$L$11),"x","")</f>
        <v/>
      </c>
      <c r="S418" s="81" t="str">
        <f>IF(AND($O418=$Q$7,$B418&lt;'111'!$L$11),"x","")</f>
        <v>x</v>
      </c>
      <c r="T418" s="81" t="str">
        <f>IF(ISERROR(FIND('112'!$M$9,G418,1)),"",IF((AND(FIND('112'!$M$9,G418,1)&gt;=1,B418='112'!$K$9,OR($N418='112'!$I$6,$O418='112'!$I$6))),"x",""))</f>
        <v/>
      </c>
      <c r="U418" s="81" t="str">
        <f>IF(ISERROR(FIND('112'!$M$9,G418,1)),"",IF((AND(LEFT(G418,2)=LEFT('112'!$M$9,2),B418&lt;'112'!$K$9,$N418='112'!$I$6)),"x",""))</f>
        <v/>
      </c>
      <c r="V418" s="81" t="str">
        <f>IF(ISERROR(FIND('112'!$M$9,G418,1)),"",IF((AND(RIGHT(G418,2)=RIGHT('112'!$M$9,2),B418&lt;'112'!$K$9,$O418='112'!$I$6)),"x",""))</f>
        <v/>
      </c>
      <c r="W418" s="81" t="str">
        <f>IF(AND('341-CT'!$H$9=H418,OR(LEFT(N418,3)=$W$7,LEFT(O418,3)=$W$7)),"x","")</f>
        <v/>
      </c>
      <c r="X418" s="81" t="str">
        <f>IF(OR(TH!N418=TH!$X$7,O418=TH!$X$7),"x","")</f>
        <v/>
      </c>
      <c r="Y418" s="81" t="str">
        <f>IF(AND(OR(N418="131",O418="131"),H418='131-CT'!$H$9),"x","")</f>
        <v/>
      </c>
      <c r="Z418" s="81"/>
      <c r="AA418" s="81" t="str">
        <f>IF(AND(MONTH(E418)='IN-NX'!$J$5,'IN-NX'!$D$7=D418),"x","")</f>
        <v/>
      </c>
      <c r="AB418" s="81" t="str">
        <f>IF(AND(OR(LEFT(TH!N418,2)="15",LEFT(TH!O418,2)="15"),LEFT(TH!O418,3)&lt;&gt;"111",'152-CT'!$J$8=TH!F418),"x","")</f>
        <v/>
      </c>
      <c r="AC418" s="81" t="str">
        <f>IF(AND(OR(LEFT(TH!N418,2)="15",LEFT(TH!O418,2)="15"),TK!$E$7=TH!F418),"x","")</f>
        <v/>
      </c>
      <c r="AD418" s="81" t="str">
        <f>IF(AND(N418="1521",MONTH(C418)='BK-NL'!$M$11),"x","")</f>
        <v/>
      </c>
      <c r="AE418">
        <v>1</v>
      </c>
    </row>
    <row r="419" spans="1:31" ht="15.75" customHeight="1">
      <c r="A419" s="327" t="str">
        <f>IF(B419&lt;&gt;"",IF(AND(B419='IN-TC'!$S$4,OR(TH!N419="1111",TH!O419="1111")),TH!D419,""),"")</f>
        <v/>
      </c>
      <c r="B419" s="62">
        <f t="shared" si="106"/>
        <v>1</v>
      </c>
      <c r="C419" s="309">
        <v>42746</v>
      </c>
      <c r="D419" s="309"/>
      <c r="E419" s="309">
        <f t="shared" si="107"/>
        <v>42746</v>
      </c>
      <c r="F419" s="310" t="s">
        <v>1075</v>
      </c>
      <c r="G419" s="1042" t="s">
        <v>1077</v>
      </c>
      <c r="H419" s="71" t="s">
        <v>1078</v>
      </c>
      <c r="I419" s="405"/>
      <c r="J419" s="1043"/>
      <c r="K419" s="398"/>
      <c r="L419" s="405"/>
      <c r="M419" s="1044">
        <v>800000</v>
      </c>
      <c r="N419" s="312" t="s">
        <v>582</v>
      </c>
      <c r="O419" s="312" t="s">
        <v>63</v>
      </c>
      <c r="P419" s="81" t="str">
        <f>IF(AND('331-CT'!$E$7=TH!H419,OR(N419="331",O419="331")),"x","")</f>
        <v/>
      </c>
      <c r="Q419" s="81" t="str">
        <f>IF(AND(B419='111'!$L$11,OR($N419=$Q$7,$O419=$Q$7)),"x","")</f>
        <v/>
      </c>
      <c r="R419" s="81" t="str">
        <f>IF(AND($N419=$Q$7,$B419&lt;'111'!$L$11),"x","")</f>
        <v/>
      </c>
      <c r="S419" s="81" t="str">
        <f>IF(AND($O419=$Q$7,$B419&lt;'111'!$L$11),"x","")</f>
        <v>x</v>
      </c>
      <c r="T419" s="81" t="str">
        <f>IF(ISERROR(FIND('112'!$M$9,G419,1)),"",IF((AND(FIND('112'!$M$9,G419,1)&gt;=1,B419='112'!$K$9,OR($N419='112'!$I$6,$O419='112'!$I$6))),"x",""))</f>
        <v/>
      </c>
      <c r="U419" s="81" t="str">
        <f>IF(ISERROR(FIND('112'!$M$9,G419,1)),"",IF((AND(LEFT(G419,2)=LEFT('112'!$M$9,2),B419&lt;'112'!$K$9,$N419='112'!$I$6)),"x",""))</f>
        <v/>
      </c>
      <c r="V419" s="81" t="str">
        <f>IF(ISERROR(FIND('112'!$M$9,G419,1)),"",IF((AND(RIGHT(G419,2)=RIGHT('112'!$M$9,2),B419&lt;'112'!$K$9,$O419='112'!$I$6)),"x",""))</f>
        <v/>
      </c>
      <c r="W419" s="81" t="str">
        <f>IF(AND('341-CT'!$H$9=H419,OR(LEFT(N419,3)=$W$7,LEFT(O419,3)=$W$7)),"x","")</f>
        <v/>
      </c>
      <c r="X419" s="81" t="str">
        <f>IF(OR(TH!N419=TH!$X$7,O419=TH!$X$7),"x","")</f>
        <v/>
      </c>
      <c r="Y419" s="81" t="str">
        <f>IF(AND(OR(N419="131",O419="131"),H419='131-CT'!$H$9),"x","")</f>
        <v/>
      </c>
      <c r="Z419" s="81"/>
      <c r="AA419" s="81" t="str">
        <f>IF(AND(MONTH(E419)='IN-NX'!$J$5,'IN-NX'!$D$7=D419),"x","")</f>
        <v/>
      </c>
      <c r="AB419" s="81" t="str">
        <f>IF(AND(OR(LEFT(TH!N419,2)="15",LEFT(TH!O419,2)="15"),LEFT(TH!O419,3)&lt;&gt;"111",'152-CT'!$J$8=TH!F419),"x","")</f>
        <v/>
      </c>
      <c r="AC419" s="81" t="str">
        <f>IF(AND(OR(LEFT(TH!N419,2)="15",LEFT(TH!O419,2)="15"),TK!$E$7=TH!F419),"x","")</f>
        <v/>
      </c>
      <c r="AD419" s="81" t="str">
        <f>IF(AND(N419="1521",MONTH(C419)='BK-NL'!$M$11),"x","")</f>
        <v/>
      </c>
      <c r="AE419">
        <v>1</v>
      </c>
    </row>
    <row r="420" spans="1:31" ht="15.75" customHeight="1">
      <c r="A420" s="327" t="str">
        <f>IF(B420&lt;&gt;"",IF(AND(B420='IN-TC'!$S$4,OR(TH!N420="1111",TH!O420="1111")),TH!D420,""),"")</f>
        <v/>
      </c>
      <c r="B420" s="62">
        <f t="shared" si="106"/>
        <v>1</v>
      </c>
      <c r="C420" s="309">
        <v>42746</v>
      </c>
      <c r="D420" s="309"/>
      <c r="E420" s="309">
        <f t="shared" si="107"/>
        <v>42746</v>
      </c>
      <c r="F420" s="310" t="s">
        <v>1076</v>
      </c>
      <c r="G420" s="1042" t="s">
        <v>1077</v>
      </c>
      <c r="H420" s="71" t="s">
        <v>1078</v>
      </c>
      <c r="I420" s="405"/>
      <c r="J420" s="1043"/>
      <c r="K420" s="398"/>
      <c r="L420" s="405"/>
      <c r="M420" s="1044">
        <v>80000</v>
      </c>
      <c r="N420" s="312" t="s">
        <v>9</v>
      </c>
      <c r="O420" s="312" t="s">
        <v>63</v>
      </c>
      <c r="P420" s="81" t="str">
        <f>IF(AND('331-CT'!$E$7=TH!H420,OR(N420="331",O420="331")),"x","")</f>
        <v/>
      </c>
      <c r="Q420" s="81" t="str">
        <f>IF(AND(B420='111'!$L$11,OR($N420=$Q$7,$O420=$Q$7)),"x","")</f>
        <v/>
      </c>
      <c r="R420" s="81" t="str">
        <f>IF(AND($N420=$Q$7,$B420&lt;'111'!$L$11),"x","")</f>
        <v/>
      </c>
      <c r="S420" s="81" t="str">
        <f>IF(AND($O420=$Q$7,$B420&lt;'111'!$L$11),"x","")</f>
        <v>x</v>
      </c>
      <c r="T420" s="81" t="str">
        <f>IF(ISERROR(FIND('112'!$M$9,G420,1)),"",IF((AND(FIND('112'!$M$9,G420,1)&gt;=1,B420='112'!$K$9,OR($N420='112'!$I$6,$O420='112'!$I$6))),"x",""))</f>
        <v/>
      </c>
      <c r="U420" s="81" t="str">
        <f>IF(ISERROR(FIND('112'!$M$9,G420,1)),"",IF((AND(LEFT(G420,2)=LEFT('112'!$M$9,2),B420&lt;'112'!$K$9,$N420='112'!$I$6)),"x",""))</f>
        <v/>
      </c>
      <c r="V420" s="81" t="str">
        <f>IF(ISERROR(FIND('112'!$M$9,G420,1)),"",IF((AND(RIGHT(G420,2)=RIGHT('112'!$M$9,2),B420&lt;'112'!$K$9,$O420='112'!$I$6)),"x",""))</f>
        <v/>
      </c>
      <c r="W420" s="81" t="str">
        <f>IF(AND('341-CT'!$H$9=H420,OR(LEFT(N420,3)=$W$7,LEFT(O420,3)=$W$7)),"x","")</f>
        <v/>
      </c>
      <c r="X420" s="81" t="str">
        <f>IF(OR(TH!N420=TH!$X$7,O420=TH!$X$7),"x","")</f>
        <v/>
      </c>
      <c r="Y420" s="81" t="str">
        <f>IF(AND(OR(N420="131",O420="131"),H420='131-CT'!$H$9),"x","")</f>
        <v/>
      </c>
      <c r="Z420" s="81"/>
      <c r="AA420" s="81" t="str">
        <f>IF(AND(MONTH(E420)='IN-NX'!$J$5,'IN-NX'!$D$7=D420),"x","")</f>
        <v/>
      </c>
      <c r="AB420" s="81" t="str">
        <f>IF(AND(OR(LEFT(TH!N420,2)="15",LEFT(TH!O420,2)="15"),LEFT(TH!O420,3)&lt;&gt;"111",'152-CT'!$J$8=TH!F420),"x","")</f>
        <v/>
      </c>
      <c r="AC420" s="81" t="str">
        <f>IF(AND(OR(LEFT(TH!N420,2)="15",LEFT(TH!O420,2)="15"),TK!$E$7=TH!F420),"x","")</f>
        <v/>
      </c>
      <c r="AD420" s="81" t="str">
        <f>IF(AND(N420="1521",MONTH(C420)='BK-NL'!$M$11),"x","")</f>
        <v/>
      </c>
      <c r="AE420">
        <v>1</v>
      </c>
    </row>
    <row r="421" spans="1:31" ht="15.75" customHeight="1">
      <c r="A421" s="327" t="str">
        <f>IF(B421&lt;&gt;"",IF(AND(B421='IN-TC'!$S$4,OR(TH!N421="1111",TH!O421="1111")),TH!D421,""),"")</f>
        <v/>
      </c>
      <c r="B421" s="62">
        <f t="shared" si="106"/>
        <v>1</v>
      </c>
      <c r="C421" s="309">
        <v>42746</v>
      </c>
      <c r="D421" s="309"/>
      <c r="E421" s="309">
        <f t="shared" si="107"/>
        <v>42746</v>
      </c>
      <c r="F421" s="310" t="s">
        <v>1010</v>
      </c>
      <c r="G421" s="1042" t="s">
        <v>1079</v>
      </c>
      <c r="H421" s="71" t="s">
        <v>1013</v>
      </c>
      <c r="I421" s="405"/>
      <c r="J421" s="1043"/>
      <c r="K421" s="398"/>
      <c r="L421" s="405"/>
      <c r="M421" s="1044">
        <v>3216855</v>
      </c>
      <c r="N421" s="312" t="s">
        <v>101</v>
      </c>
      <c r="O421" s="312" t="s">
        <v>63</v>
      </c>
      <c r="P421" s="81" t="str">
        <f>IF(AND('331-CT'!$E$7=TH!H421,OR(N421="331",O421="331")),"x","")</f>
        <v/>
      </c>
      <c r="Q421" s="81" t="str">
        <f>IF(AND(B421='111'!$L$11,OR($N421=$Q$7,$O421=$Q$7)),"x","")</f>
        <v/>
      </c>
      <c r="R421" s="81" t="str">
        <f>IF(AND($N421=$Q$7,$B421&lt;'111'!$L$11),"x","")</f>
        <v/>
      </c>
      <c r="S421" s="81" t="str">
        <f>IF(AND($O421=$Q$7,$B421&lt;'111'!$L$11),"x","")</f>
        <v>x</v>
      </c>
      <c r="T421" s="81" t="str">
        <f>IF(ISERROR(FIND('112'!$M$9,G421,1)),"",IF((AND(FIND('112'!$M$9,G421,1)&gt;=1,B421='112'!$K$9,OR($N421='112'!$I$6,$O421='112'!$I$6))),"x",""))</f>
        <v/>
      </c>
      <c r="U421" s="81" t="str">
        <f>IF(ISERROR(FIND('112'!$M$9,G421,1)),"",IF((AND(LEFT(G421,2)=LEFT('112'!$M$9,2),B421&lt;'112'!$K$9,$N421='112'!$I$6)),"x",""))</f>
        <v/>
      </c>
      <c r="V421" s="81" t="str">
        <f>IF(ISERROR(FIND('112'!$M$9,G421,1)),"",IF((AND(RIGHT(G421,2)=RIGHT('112'!$M$9,2),B421&lt;'112'!$K$9,$O421='112'!$I$6)),"x",""))</f>
        <v/>
      </c>
      <c r="W421" s="81" t="str">
        <f>IF(AND('341-CT'!$H$9=H421,OR(LEFT(N421,3)=$W$7,LEFT(O421,3)=$W$7)),"x","")</f>
        <v/>
      </c>
      <c r="X421" s="81" t="str">
        <f>IF(OR(TH!N421=TH!$X$7,O421=TH!$X$7),"x","")</f>
        <v/>
      </c>
      <c r="Y421" s="81" t="str">
        <f>IF(AND(OR(N421="131",O421="131"),H421='131-CT'!$H$9),"x","")</f>
        <v/>
      </c>
      <c r="Z421" s="81"/>
      <c r="AA421" s="81" t="str">
        <f>IF(AND(MONTH(E421)='IN-NX'!$J$5,'IN-NX'!$D$7=D421),"x","")</f>
        <v/>
      </c>
      <c r="AB421" s="81" t="str">
        <f>IF(AND(OR(LEFT(TH!N421,2)="15",LEFT(TH!O421,2)="15"),LEFT(TH!O421,3)&lt;&gt;"111",'152-CT'!$J$8=TH!F421),"x","")</f>
        <v/>
      </c>
      <c r="AC421" s="81" t="str">
        <f>IF(AND(OR(LEFT(TH!N421,2)="15",LEFT(TH!O421,2)="15"),TK!$E$7=TH!F421),"x","")</f>
        <v/>
      </c>
      <c r="AD421" s="81" t="str">
        <f>IF(AND(N421="1521",MONTH(C421)='BK-NL'!$M$11),"x","")</f>
        <v/>
      </c>
      <c r="AE421">
        <v>1</v>
      </c>
    </row>
    <row r="422" spans="1:31" ht="15.75" customHeight="1">
      <c r="A422" s="327" t="str">
        <f>IF(B422&lt;&gt;"",IF(AND(B422='IN-TC'!$S$4,OR(TH!N422="1111",TH!O422="1111")),TH!D422,""),"")</f>
        <v/>
      </c>
      <c r="B422" s="62">
        <f t="shared" si="106"/>
        <v>1</v>
      </c>
      <c r="C422" s="309">
        <v>42746</v>
      </c>
      <c r="D422" s="309"/>
      <c r="E422" s="309">
        <f t="shared" si="107"/>
        <v>42746</v>
      </c>
      <c r="F422" s="310" t="s">
        <v>1011</v>
      </c>
      <c r="G422" s="1042" t="s">
        <v>1079</v>
      </c>
      <c r="H422" s="71" t="s">
        <v>1013</v>
      </c>
      <c r="I422" s="405"/>
      <c r="J422" s="1043"/>
      <c r="K422" s="398"/>
      <c r="L422" s="405"/>
      <c r="M422" s="1044">
        <v>321685</v>
      </c>
      <c r="N422" s="312" t="s">
        <v>9</v>
      </c>
      <c r="O422" s="312" t="s">
        <v>63</v>
      </c>
      <c r="P422" s="81" t="str">
        <f>IF(AND('331-CT'!$E$7=TH!H422,OR(N422="331",O422="331")),"x","")</f>
        <v/>
      </c>
      <c r="Q422" s="81" t="str">
        <f>IF(AND(B422='111'!$L$11,OR($N422=$Q$7,$O422=$Q$7)),"x","")</f>
        <v/>
      </c>
      <c r="R422" s="81" t="str">
        <f>IF(AND($N422=$Q$7,$B422&lt;'111'!$L$11),"x","")</f>
        <v/>
      </c>
      <c r="S422" s="81" t="str">
        <f>IF(AND($O422=$Q$7,$B422&lt;'111'!$L$11),"x","")</f>
        <v>x</v>
      </c>
      <c r="T422" s="81" t="str">
        <f>IF(ISERROR(FIND('112'!$M$9,G422,1)),"",IF((AND(FIND('112'!$M$9,G422,1)&gt;=1,B422='112'!$K$9,OR($N422='112'!$I$6,$O422='112'!$I$6))),"x",""))</f>
        <v/>
      </c>
      <c r="U422" s="81" t="str">
        <f>IF(ISERROR(FIND('112'!$M$9,G422,1)),"",IF((AND(LEFT(G422,2)=LEFT('112'!$M$9,2),B422&lt;'112'!$K$9,$N422='112'!$I$6)),"x",""))</f>
        <v/>
      </c>
      <c r="V422" s="81" t="str">
        <f>IF(ISERROR(FIND('112'!$M$9,G422,1)),"",IF((AND(RIGHT(G422,2)=RIGHT('112'!$M$9,2),B422&lt;'112'!$K$9,$O422='112'!$I$6)),"x",""))</f>
        <v/>
      </c>
      <c r="W422" s="81" t="str">
        <f>IF(AND('341-CT'!$H$9=H422,OR(LEFT(N422,3)=$W$7,LEFT(O422,3)=$W$7)),"x","")</f>
        <v/>
      </c>
      <c r="X422" s="81" t="str">
        <f>IF(OR(TH!N422=TH!$X$7,O422=TH!$X$7),"x","")</f>
        <v/>
      </c>
      <c r="Y422" s="81" t="str">
        <f>IF(AND(OR(N422="131",O422="131"),H422='131-CT'!$H$9),"x","")</f>
        <v/>
      </c>
      <c r="Z422" s="81"/>
      <c r="AA422" s="81" t="str">
        <f>IF(AND(MONTH(E422)='IN-NX'!$J$5,'IN-NX'!$D$7=D422),"x","")</f>
        <v/>
      </c>
      <c r="AB422" s="81" t="str">
        <f>IF(AND(OR(LEFT(TH!N422,2)="15",LEFT(TH!O422,2)="15"),LEFT(TH!O422,3)&lt;&gt;"111",'152-CT'!$J$8=TH!F422),"x","")</f>
        <v/>
      </c>
      <c r="AC422" s="81" t="str">
        <f>IF(AND(OR(LEFT(TH!N422,2)="15",LEFT(TH!O422,2)="15"),TK!$E$7=TH!F422),"x","")</f>
        <v/>
      </c>
      <c r="AD422" s="81" t="str">
        <f>IF(AND(N422="1521",MONTH(C422)='BK-NL'!$M$11),"x","")</f>
        <v/>
      </c>
      <c r="AE422">
        <v>1</v>
      </c>
    </row>
    <row r="423" spans="1:31" ht="15.75" customHeight="1">
      <c r="A423" s="327" t="str">
        <f>IF(B423&lt;&gt;"",IF(AND(B423='IN-TC'!$S$4,OR(TH!N423="1111",TH!O423="1111")),TH!D423,""),"")</f>
        <v/>
      </c>
      <c r="B423" s="62">
        <f t="shared" ref="B423" si="108">IF(C423&lt;&gt;"",MONTH(C423),"")</f>
        <v>1</v>
      </c>
      <c r="C423" s="309">
        <v>42746</v>
      </c>
      <c r="D423" s="309"/>
      <c r="E423" s="309">
        <f t="shared" ref="E423" si="109">C423</f>
        <v>42746</v>
      </c>
      <c r="F423" s="310" t="s">
        <v>1120</v>
      </c>
      <c r="G423" s="1042" t="s">
        <v>962</v>
      </c>
      <c r="H423" s="71" t="s">
        <v>601</v>
      </c>
      <c r="I423" s="405"/>
      <c r="J423" s="1043"/>
      <c r="K423" s="398"/>
      <c r="L423" s="405"/>
      <c r="M423" s="1044">
        <v>5742000</v>
      </c>
      <c r="N423" s="312" t="s">
        <v>8</v>
      </c>
      <c r="O423" s="312" t="s">
        <v>63</v>
      </c>
      <c r="P423" s="81" t="str">
        <f>IF(AND('331-CT'!$E$7=TH!H423,OR(N423="331",O423="331")),"x","")</f>
        <v/>
      </c>
      <c r="Q423" s="81" t="str">
        <f>IF(AND(B423='111'!$L$11,OR($N423=$Q$7,$O423=$Q$7)),"x","")</f>
        <v/>
      </c>
      <c r="R423" s="81" t="str">
        <f>IF(AND($N423=$Q$7,$B423&lt;'111'!$L$11),"x","")</f>
        <v/>
      </c>
      <c r="S423" s="81" t="str">
        <f>IF(AND($O423=$Q$7,$B423&lt;'111'!$L$11),"x","")</f>
        <v>x</v>
      </c>
      <c r="T423" s="81" t="str">
        <f>IF(ISERROR(FIND('112'!$M$9,G423,1)),"",IF((AND(FIND('112'!$M$9,G423,1)&gt;=1,B423='112'!$K$9,OR($N423='112'!$I$6,$O423='112'!$I$6))),"x",""))</f>
        <v/>
      </c>
      <c r="U423" s="81" t="str">
        <f>IF(ISERROR(FIND('112'!$M$9,G423,1)),"",IF((AND(LEFT(G423,2)=LEFT('112'!$M$9,2),B423&lt;'112'!$K$9,$N423='112'!$I$6)),"x",""))</f>
        <v/>
      </c>
      <c r="V423" s="81" t="str">
        <f>IF(ISERROR(FIND('112'!$M$9,G423,1)),"",IF((AND(RIGHT(G423,2)=RIGHT('112'!$M$9,2),B423&lt;'112'!$K$9,$O423='112'!$I$6)),"x",""))</f>
        <v/>
      </c>
      <c r="W423" s="81" t="str">
        <f>IF(AND('341-CT'!$H$9=H423,OR(LEFT(N423,3)=$W$7,LEFT(O423,3)=$W$7)),"x","")</f>
        <v/>
      </c>
      <c r="X423" s="81" t="str">
        <f>IF(OR(TH!N423=TH!$X$7,O423=TH!$X$7),"x","")</f>
        <v/>
      </c>
      <c r="Y423" s="81" t="str">
        <f>IF(AND(OR(N423="131",O423="131"),H423='131-CT'!$H$9),"x","")</f>
        <v/>
      </c>
      <c r="Z423" s="81"/>
      <c r="AA423" s="81" t="str">
        <f>IF(AND(MONTH(E423)='IN-NX'!$J$5,'IN-NX'!$D$7=D423),"x","")</f>
        <v/>
      </c>
      <c r="AB423" s="81" t="str">
        <f>IF(AND(OR(LEFT(TH!N423,2)="15",LEFT(TH!O423,2)="15"),LEFT(TH!O423,3)&lt;&gt;"111",'152-CT'!$J$8=TH!F423),"x","")</f>
        <v/>
      </c>
      <c r="AC423" s="81" t="str">
        <f>IF(AND(OR(LEFT(TH!N423,2)="15",LEFT(TH!O423,2)="15"),TK!$E$7=TH!F423),"x","")</f>
        <v/>
      </c>
      <c r="AD423" s="81" t="str">
        <f>IF(AND(N423="1521",MONTH(C423)='BK-NL'!$M$11),"x","")</f>
        <v/>
      </c>
    </row>
    <row r="424" spans="1:31" ht="15.75" customHeight="1">
      <c r="A424" s="327" t="str">
        <f>IF(B424&lt;&gt;"",IF(AND(B424='IN-TC'!$S$4,OR(TH!N424="1111",TH!O424="1111")),TH!D424,""),"")</f>
        <v/>
      </c>
      <c r="B424" s="62">
        <f t="shared" si="106"/>
        <v>1</v>
      </c>
      <c r="C424" s="309">
        <v>42748</v>
      </c>
      <c r="D424" s="309"/>
      <c r="E424" s="309">
        <f t="shared" si="107"/>
        <v>42748</v>
      </c>
      <c r="F424" s="310" t="s">
        <v>1080</v>
      </c>
      <c r="G424" s="1042" t="s">
        <v>1082</v>
      </c>
      <c r="H424" s="71" t="s">
        <v>1083</v>
      </c>
      <c r="I424" s="405"/>
      <c r="J424" s="1043"/>
      <c r="K424" s="398"/>
      <c r="L424" s="405"/>
      <c r="M424" s="1044">
        <v>2598000</v>
      </c>
      <c r="N424" s="312" t="s">
        <v>101</v>
      </c>
      <c r="O424" s="312" t="s">
        <v>63</v>
      </c>
      <c r="P424" s="81" t="str">
        <f>IF(AND('331-CT'!$E$7=TH!H424,OR(N424="331",O424="331")),"x","")</f>
        <v/>
      </c>
      <c r="Q424" s="81" t="str">
        <f>IF(AND(B424='111'!$L$11,OR($N424=$Q$7,$O424=$Q$7)),"x","")</f>
        <v/>
      </c>
      <c r="R424" s="81" t="str">
        <f>IF(AND($N424=$Q$7,$B424&lt;'111'!$L$11),"x","")</f>
        <v/>
      </c>
      <c r="S424" s="81" t="str">
        <f>IF(AND($O424=$Q$7,$B424&lt;'111'!$L$11),"x","")</f>
        <v>x</v>
      </c>
      <c r="T424" s="81" t="str">
        <f>IF(ISERROR(FIND('112'!$M$9,G424,1)),"",IF((AND(FIND('112'!$M$9,G424,1)&gt;=1,B424='112'!$K$9,OR($N424='112'!$I$6,$O424='112'!$I$6))),"x",""))</f>
        <v/>
      </c>
      <c r="U424" s="81" t="str">
        <f>IF(ISERROR(FIND('112'!$M$9,G424,1)),"",IF((AND(LEFT(G424,2)=LEFT('112'!$M$9,2),B424&lt;'112'!$K$9,$N424='112'!$I$6)),"x",""))</f>
        <v/>
      </c>
      <c r="V424" s="81" t="str">
        <f>IF(ISERROR(FIND('112'!$M$9,G424,1)),"",IF((AND(RIGHT(G424,2)=RIGHT('112'!$M$9,2),B424&lt;'112'!$K$9,$O424='112'!$I$6)),"x",""))</f>
        <v/>
      </c>
      <c r="W424" s="81" t="str">
        <f>IF(AND('341-CT'!$H$9=H424,OR(LEFT(N424,3)=$W$7,LEFT(O424,3)=$W$7)),"x","")</f>
        <v/>
      </c>
      <c r="X424" s="81" t="str">
        <f>IF(OR(TH!N424=TH!$X$7,O424=TH!$X$7),"x","")</f>
        <v/>
      </c>
      <c r="Y424" s="81" t="str">
        <f>IF(AND(OR(N424="131",O424="131"),H424='131-CT'!$H$9),"x","")</f>
        <v/>
      </c>
      <c r="Z424" s="81"/>
      <c r="AA424" s="81" t="str">
        <f>IF(AND(MONTH(E424)='IN-NX'!$J$5,'IN-NX'!$D$7=D424),"x","")</f>
        <v/>
      </c>
      <c r="AB424" s="81" t="str">
        <f>IF(AND(OR(LEFT(TH!N424,2)="15",LEFT(TH!O424,2)="15"),LEFT(TH!O424,3)&lt;&gt;"111",'152-CT'!$J$8=TH!F424),"x","")</f>
        <v/>
      </c>
      <c r="AC424" s="81" t="str">
        <f>IF(AND(OR(LEFT(TH!N424,2)="15",LEFT(TH!O424,2)="15"),TK!$E$7=TH!F424),"x","")</f>
        <v/>
      </c>
      <c r="AD424" s="81" t="str">
        <f>IF(AND(N424="1521",MONTH(C424)='BK-NL'!$M$11),"x","")</f>
        <v/>
      </c>
      <c r="AE424">
        <v>1</v>
      </c>
    </row>
    <row r="425" spans="1:31" ht="15.75" customHeight="1">
      <c r="A425" s="327" t="str">
        <f>IF(B425&lt;&gt;"",IF(AND(B425='IN-TC'!$S$4,OR(TH!N425="1111",TH!O425="1111")),TH!D425,""),"")</f>
        <v/>
      </c>
      <c r="B425" s="62">
        <f t="shared" si="106"/>
        <v>1</v>
      </c>
      <c r="C425" s="309">
        <v>42748</v>
      </c>
      <c r="D425" s="309"/>
      <c r="E425" s="309">
        <f t="shared" si="107"/>
        <v>42748</v>
      </c>
      <c r="F425" s="310" t="s">
        <v>1081</v>
      </c>
      <c r="G425" s="1042" t="s">
        <v>1082</v>
      </c>
      <c r="H425" s="71" t="s">
        <v>1083</v>
      </c>
      <c r="I425" s="405"/>
      <c r="J425" s="1043"/>
      <c r="K425" s="398"/>
      <c r="L425" s="405"/>
      <c r="M425" s="1044">
        <v>259800</v>
      </c>
      <c r="N425" s="312" t="s">
        <v>9</v>
      </c>
      <c r="O425" s="312" t="s">
        <v>63</v>
      </c>
      <c r="P425" s="81" t="str">
        <f>IF(AND('331-CT'!$E$7=TH!H425,OR(N425="331",O425="331")),"x","")</f>
        <v/>
      </c>
      <c r="Q425" s="81" t="str">
        <f>IF(AND(B425='111'!$L$11,OR($N425=$Q$7,$O425=$Q$7)),"x","")</f>
        <v/>
      </c>
      <c r="R425" s="81" t="str">
        <f>IF(AND($N425=$Q$7,$B425&lt;'111'!$L$11),"x","")</f>
        <v/>
      </c>
      <c r="S425" s="81" t="str">
        <f>IF(AND($O425=$Q$7,$B425&lt;'111'!$L$11),"x","")</f>
        <v>x</v>
      </c>
      <c r="T425" s="81" t="str">
        <f>IF(ISERROR(FIND('112'!$M$9,G425,1)),"",IF((AND(FIND('112'!$M$9,G425,1)&gt;=1,B425='112'!$K$9,OR($N425='112'!$I$6,$O425='112'!$I$6))),"x",""))</f>
        <v/>
      </c>
      <c r="U425" s="81" t="str">
        <f>IF(ISERROR(FIND('112'!$M$9,G425,1)),"",IF((AND(LEFT(G425,2)=LEFT('112'!$M$9,2),B425&lt;'112'!$K$9,$N425='112'!$I$6)),"x",""))</f>
        <v/>
      </c>
      <c r="V425" s="81" t="str">
        <f>IF(ISERROR(FIND('112'!$M$9,G425,1)),"",IF((AND(RIGHT(G425,2)=RIGHT('112'!$M$9,2),B425&lt;'112'!$K$9,$O425='112'!$I$6)),"x",""))</f>
        <v/>
      </c>
      <c r="W425" s="81" t="str">
        <f>IF(AND('341-CT'!$H$9=H425,OR(LEFT(N425,3)=$W$7,LEFT(O425,3)=$W$7)),"x","")</f>
        <v/>
      </c>
      <c r="X425" s="81" t="str">
        <f>IF(OR(TH!N425=TH!$X$7,O425=TH!$X$7),"x","")</f>
        <v/>
      </c>
      <c r="Y425" s="81" t="str">
        <f>IF(AND(OR(N425="131",O425="131"),H425='131-CT'!$H$9),"x","")</f>
        <v/>
      </c>
      <c r="Z425" s="81"/>
      <c r="AA425" s="81" t="str">
        <f>IF(AND(MONTH(E425)='IN-NX'!$J$5,'IN-NX'!$D$7=D425),"x","")</f>
        <v/>
      </c>
      <c r="AB425" s="81" t="str">
        <f>IF(AND(OR(LEFT(TH!N425,2)="15",LEFT(TH!O425,2)="15"),LEFT(TH!O425,3)&lt;&gt;"111",'152-CT'!$J$8=TH!F425),"x","")</f>
        <v/>
      </c>
      <c r="AC425" s="81" t="str">
        <f>IF(AND(OR(LEFT(TH!N425,2)="15",LEFT(TH!O425,2)="15"),TK!$E$7=TH!F425),"x","")</f>
        <v/>
      </c>
      <c r="AD425" s="81" t="str">
        <f>IF(AND(N425="1521",MONTH(C425)='BK-NL'!$M$11),"x","")</f>
        <v/>
      </c>
      <c r="AE425">
        <v>1</v>
      </c>
    </row>
    <row r="426" spans="1:31" ht="15.75" customHeight="1">
      <c r="A426" s="327" t="str">
        <f>IF(B426&lt;&gt;"",IF(AND(B426='IN-TC'!$S$4,OR(TH!N426="1111",TH!O426="1111")),TH!D426,""),"")</f>
        <v/>
      </c>
      <c r="B426" s="62">
        <f t="shared" ref="B426:B427" si="110">IF(C426&lt;&gt;"",MONTH(C426),"")</f>
        <v>1</v>
      </c>
      <c r="C426" s="309">
        <v>42750</v>
      </c>
      <c r="D426" s="309"/>
      <c r="E426" s="309">
        <f t="shared" ref="E426:E427" si="111">C426</f>
        <v>42750</v>
      </c>
      <c r="F426" s="310" t="s">
        <v>1010</v>
      </c>
      <c r="G426" s="1042" t="s">
        <v>1084</v>
      </c>
      <c r="H426" s="71" t="s">
        <v>1013</v>
      </c>
      <c r="I426" s="405"/>
      <c r="J426" s="1043"/>
      <c r="K426" s="398"/>
      <c r="L426" s="405"/>
      <c r="M426" s="1044">
        <f>1606127+125000</f>
        <v>1731127</v>
      </c>
      <c r="N426" s="312" t="s">
        <v>101</v>
      </c>
      <c r="O426" s="312" t="s">
        <v>63</v>
      </c>
      <c r="P426" s="81" t="str">
        <f>IF(AND('331-CT'!$E$7=TH!H426,OR(N426="331",O426="331")),"x","")</f>
        <v/>
      </c>
      <c r="Q426" s="81" t="str">
        <f>IF(AND(B426='111'!$L$11,OR($N426=$Q$7,$O426=$Q$7)),"x","")</f>
        <v/>
      </c>
      <c r="R426" s="81" t="str">
        <f>IF(AND($N426=$Q$7,$B426&lt;'111'!$L$11),"x","")</f>
        <v/>
      </c>
      <c r="S426" s="81" t="str">
        <f>IF(AND($O426=$Q$7,$B426&lt;'111'!$L$11),"x","")</f>
        <v>x</v>
      </c>
      <c r="T426" s="81" t="str">
        <f>IF(ISERROR(FIND('112'!$M$9,G426,1)),"",IF((AND(FIND('112'!$M$9,G426,1)&gt;=1,B426='112'!$K$9,OR($N426='112'!$I$6,$O426='112'!$I$6))),"x",""))</f>
        <v/>
      </c>
      <c r="U426" s="81" t="str">
        <f>IF(ISERROR(FIND('112'!$M$9,G426,1)),"",IF((AND(LEFT(G426,2)=LEFT('112'!$M$9,2),B426&lt;'112'!$K$9,$N426='112'!$I$6)),"x",""))</f>
        <v/>
      </c>
      <c r="V426" s="81" t="str">
        <f>IF(ISERROR(FIND('112'!$M$9,G426,1)),"",IF((AND(RIGHT(G426,2)=RIGHT('112'!$M$9,2),B426&lt;'112'!$K$9,$O426='112'!$I$6)),"x",""))</f>
        <v/>
      </c>
      <c r="W426" s="81" t="str">
        <f>IF(AND('341-CT'!$H$9=H426,OR(LEFT(N426,3)=$W$7,LEFT(O426,3)=$W$7)),"x","")</f>
        <v/>
      </c>
      <c r="X426" s="81" t="str">
        <f>IF(OR(TH!N426=TH!$X$7,O426=TH!$X$7),"x","")</f>
        <v/>
      </c>
      <c r="Y426" s="81" t="str">
        <f>IF(AND(OR(N426="131",O426="131"),H426='131-CT'!$H$9),"x","")</f>
        <v/>
      </c>
      <c r="Z426" s="81"/>
      <c r="AA426" s="81" t="str">
        <f>IF(AND(MONTH(E426)='IN-NX'!$J$5,'IN-NX'!$D$7=D426),"x","")</f>
        <v/>
      </c>
      <c r="AB426" s="81" t="str">
        <f>IF(AND(OR(LEFT(TH!N426,2)="15",LEFT(TH!O426,2)="15"),LEFT(TH!O426,3)&lt;&gt;"111",'152-CT'!$J$8=TH!F426),"x","")</f>
        <v/>
      </c>
      <c r="AC426" s="81" t="str">
        <f>IF(AND(OR(LEFT(TH!N426,2)="15",LEFT(TH!O426,2)="15"),TK!$E$7=TH!F426),"x","")</f>
        <v/>
      </c>
      <c r="AD426" s="81" t="str">
        <f>IF(AND(N426="1521",MONTH(C426)='BK-NL'!$M$11),"x","")</f>
        <v/>
      </c>
      <c r="AE426">
        <v>1</v>
      </c>
    </row>
    <row r="427" spans="1:31" ht="15.75" customHeight="1">
      <c r="A427" s="327" t="str">
        <f>IF(B427&lt;&gt;"",IF(AND(B427='IN-TC'!$S$4,OR(TH!N427="1111",TH!O427="1111")),TH!D427,""),"")</f>
        <v/>
      </c>
      <c r="B427" s="62">
        <f t="shared" si="110"/>
        <v>1</v>
      </c>
      <c r="C427" s="309">
        <v>42750</v>
      </c>
      <c r="D427" s="309"/>
      <c r="E427" s="309">
        <f t="shared" si="111"/>
        <v>42750</v>
      </c>
      <c r="F427" s="310" t="s">
        <v>1011</v>
      </c>
      <c r="G427" s="1042" t="s">
        <v>1084</v>
      </c>
      <c r="H427" s="71" t="s">
        <v>1013</v>
      </c>
      <c r="I427" s="405"/>
      <c r="J427" s="1043"/>
      <c r="K427" s="398"/>
      <c r="L427" s="405"/>
      <c r="M427" s="1044">
        <f>160613+12500</f>
        <v>173113</v>
      </c>
      <c r="N427" s="312" t="s">
        <v>9</v>
      </c>
      <c r="O427" s="312" t="s">
        <v>63</v>
      </c>
      <c r="P427" s="81" t="str">
        <f>IF(AND('331-CT'!$E$7=TH!H427,OR(N427="331",O427="331")),"x","")</f>
        <v/>
      </c>
      <c r="Q427" s="81" t="str">
        <f>IF(AND(B427='111'!$L$11,OR($N427=$Q$7,$O427=$Q$7)),"x","")</f>
        <v/>
      </c>
      <c r="R427" s="81" t="str">
        <f>IF(AND($N427=$Q$7,$B427&lt;'111'!$L$11),"x","")</f>
        <v/>
      </c>
      <c r="S427" s="81" t="str">
        <f>IF(AND($O427=$Q$7,$B427&lt;'111'!$L$11),"x","")</f>
        <v>x</v>
      </c>
      <c r="T427" s="81" t="str">
        <f>IF(ISERROR(FIND('112'!$M$9,G427,1)),"",IF((AND(FIND('112'!$M$9,G427,1)&gt;=1,B427='112'!$K$9,OR($N427='112'!$I$6,$O427='112'!$I$6))),"x",""))</f>
        <v/>
      </c>
      <c r="U427" s="81" t="str">
        <f>IF(ISERROR(FIND('112'!$M$9,G427,1)),"",IF((AND(LEFT(G427,2)=LEFT('112'!$M$9,2),B427&lt;'112'!$K$9,$N427='112'!$I$6)),"x",""))</f>
        <v/>
      </c>
      <c r="V427" s="81" t="str">
        <f>IF(ISERROR(FIND('112'!$M$9,G427,1)),"",IF((AND(RIGHT(G427,2)=RIGHT('112'!$M$9,2),B427&lt;'112'!$K$9,$O427='112'!$I$6)),"x",""))</f>
        <v/>
      </c>
      <c r="W427" s="81" t="str">
        <f>IF(AND('341-CT'!$H$9=H427,OR(LEFT(N427,3)=$W$7,LEFT(O427,3)=$W$7)),"x","")</f>
        <v/>
      </c>
      <c r="X427" s="81" t="str">
        <f>IF(OR(TH!N427=TH!$X$7,O427=TH!$X$7),"x","")</f>
        <v/>
      </c>
      <c r="Y427" s="81" t="str">
        <f>IF(AND(OR(N427="131",O427="131"),H427='131-CT'!$H$9),"x","")</f>
        <v/>
      </c>
      <c r="Z427" s="81"/>
      <c r="AA427" s="81" t="str">
        <f>IF(AND(MONTH(E427)='IN-NX'!$J$5,'IN-NX'!$D$7=D427),"x","")</f>
        <v/>
      </c>
      <c r="AB427" s="81" t="str">
        <f>IF(AND(OR(LEFT(TH!N427,2)="15",LEFT(TH!O427,2)="15"),LEFT(TH!O427,3)&lt;&gt;"111",'152-CT'!$J$8=TH!F427),"x","")</f>
        <v/>
      </c>
      <c r="AC427" s="81" t="str">
        <f>IF(AND(OR(LEFT(TH!N427,2)="15",LEFT(TH!O427,2)="15"),TK!$E$7=TH!F427),"x","")</f>
        <v/>
      </c>
      <c r="AD427" s="81" t="str">
        <f>IF(AND(N427="1521",MONTH(C427)='BK-NL'!$M$11),"x","")</f>
        <v/>
      </c>
      <c r="AE427">
        <v>1</v>
      </c>
    </row>
    <row r="428" spans="1:31" ht="15.75" customHeight="1">
      <c r="A428" s="327" t="str">
        <f>IF(B428&lt;&gt;"",IF(AND(B428='IN-TC'!$S$4,OR(TH!N428="1111",TH!O428="1111")),TH!D428,""),"")</f>
        <v/>
      </c>
      <c r="B428" s="62">
        <f t="shared" si="106"/>
        <v>1</v>
      </c>
      <c r="C428" s="309">
        <v>42753</v>
      </c>
      <c r="D428" s="309"/>
      <c r="E428" s="309">
        <f t="shared" si="107"/>
        <v>42753</v>
      </c>
      <c r="F428" s="310" t="s">
        <v>1085</v>
      </c>
      <c r="G428" s="1042" t="s">
        <v>1087</v>
      </c>
      <c r="H428" s="71" t="s">
        <v>1088</v>
      </c>
      <c r="I428" s="405"/>
      <c r="J428" s="1043"/>
      <c r="K428" s="398"/>
      <c r="L428" s="405"/>
      <c r="M428" s="1044">
        <v>1460000</v>
      </c>
      <c r="N428" s="312" t="s">
        <v>101</v>
      </c>
      <c r="O428" s="312" t="s">
        <v>63</v>
      </c>
      <c r="P428" s="81" t="str">
        <f>IF(AND('331-CT'!$E$7=TH!H428,OR(N428="331",O428="331")),"x","")</f>
        <v/>
      </c>
      <c r="Q428" s="81" t="str">
        <f>IF(AND(B428='111'!$L$11,OR($N428=$Q$7,$O428=$Q$7)),"x","")</f>
        <v/>
      </c>
      <c r="R428" s="81" t="str">
        <f>IF(AND($N428=$Q$7,$B428&lt;'111'!$L$11),"x","")</f>
        <v/>
      </c>
      <c r="S428" s="81" t="str">
        <f>IF(AND($O428=$Q$7,$B428&lt;'111'!$L$11),"x","")</f>
        <v>x</v>
      </c>
      <c r="T428" s="81" t="str">
        <f>IF(ISERROR(FIND('112'!$M$9,G428,1)),"",IF((AND(FIND('112'!$M$9,G428,1)&gt;=1,B428='112'!$K$9,OR($N428='112'!$I$6,$O428='112'!$I$6))),"x",""))</f>
        <v/>
      </c>
      <c r="U428" s="81" t="str">
        <f>IF(ISERROR(FIND('112'!$M$9,G428,1)),"",IF((AND(LEFT(G428,2)=LEFT('112'!$M$9,2),B428&lt;'112'!$K$9,$N428='112'!$I$6)),"x",""))</f>
        <v/>
      </c>
      <c r="V428" s="81" t="str">
        <f>IF(ISERROR(FIND('112'!$M$9,G428,1)),"",IF((AND(RIGHT(G428,2)=RIGHT('112'!$M$9,2),B428&lt;'112'!$K$9,$O428='112'!$I$6)),"x",""))</f>
        <v/>
      </c>
      <c r="W428" s="81" t="str">
        <f>IF(AND('341-CT'!$H$9=H428,OR(LEFT(N428,3)=$W$7,LEFT(O428,3)=$W$7)),"x","")</f>
        <v/>
      </c>
      <c r="X428" s="81" t="str">
        <f>IF(OR(TH!N428=TH!$X$7,O428=TH!$X$7),"x","")</f>
        <v/>
      </c>
      <c r="Y428" s="81" t="str">
        <f>IF(AND(OR(N428="131",O428="131"),H428='131-CT'!$H$9),"x","")</f>
        <v/>
      </c>
      <c r="Z428" s="81"/>
      <c r="AA428" s="81" t="str">
        <f>IF(AND(MONTH(E428)='IN-NX'!$J$5,'IN-NX'!$D$7=D428),"x","")</f>
        <v/>
      </c>
      <c r="AB428" s="81" t="str">
        <f>IF(AND(OR(LEFT(TH!N428,2)="15",LEFT(TH!O428,2)="15"),LEFT(TH!O428,3)&lt;&gt;"111",'152-CT'!$J$8=TH!F428),"x","")</f>
        <v/>
      </c>
      <c r="AC428" s="81" t="str">
        <f>IF(AND(OR(LEFT(TH!N428,2)="15",LEFT(TH!O428,2)="15"),TK!$E$7=TH!F428),"x","")</f>
        <v/>
      </c>
      <c r="AD428" s="81" t="str">
        <f>IF(AND(N428="1521",MONTH(C428)='BK-NL'!$M$11),"x","")</f>
        <v/>
      </c>
      <c r="AE428">
        <v>1</v>
      </c>
    </row>
    <row r="429" spans="1:31" ht="15.75" customHeight="1">
      <c r="A429" s="327" t="str">
        <f>IF(B429&lt;&gt;"",IF(AND(B429='IN-TC'!$S$4,OR(TH!N429="1111",TH!O429="1111")),TH!D429,""),"")</f>
        <v/>
      </c>
      <c r="B429" s="62">
        <f t="shared" si="106"/>
        <v>1</v>
      </c>
      <c r="C429" s="309">
        <v>42753</v>
      </c>
      <c r="D429" s="309"/>
      <c r="E429" s="309">
        <f t="shared" si="107"/>
        <v>42753</v>
      </c>
      <c r="F429" s="310" t="s">
        <v>1086</v>
      </c>
      <c r="G429" s="1042" t="s">
        <v>1087</v>
      </c>
      <c r="H429" s="71" t="s">
        <v>1088</v>
      </c>
      <c r="I429" s="405"/>
      <c r="J429" s="1043"/>
      <c r="K429" s="398"/>
      <c r="L429" s="405"/>
      <c r="M429" s="1044">
        <v>146000</v>
      </c>
      <c r="N429" s="312" t="s">
        <v>9</v>
      </c>
      <c r="O429" s="312" t="s">
        <v>63</v>
      </c>
      <c r="P429" s="81" t="str">
        <f>IF(AND('331-CT'!$E$7=TH!H429,OR(N429="331",O429="331")),"x","")</f>
        <v/>
      </c>
      <c r="Q429" s="81" t="str">
        <f>IF(AND(B429='111'!$L$11,OR($N429=$Q$7,$O429=$Q$7)),"x","")</f>
        <v/>
      </c>
      <c r="R429" s="81" t="str">
        <f>IF(AND($N429=$Q$7,$B429&lt;'111'!$L$11),"x","")</f>
        <v/>
      </c>
      <c r="S429" s="81" t="str">
        <f>IF(AND($O429=$Q$7,$B429&lt;'111'!$L$11),"x","")</f>
        <v>x</v>
      </c>
      <c r="T429" s="81" t="str">
        <f>IF(ISERROR(FIND('112'!$M$9,G429,1)),"",IF((AND(FIND('112'!$M$9,G429,1)&gt;=1,B429='112'!$K$9,OR($N429='112'!$I$6,$O429='112'!$I$6))),"x",""))</f>
        <v/>
      </c>
      <c r="U429" s="81" t="str">
        <f>IF(ISERROR(FIND('112'!$M$9,G429,1)),"",IF((AND(LEFT(G429,2)=LEFT('112'!$M$9,2),B429&lt;'112'!$K$9,$N429='112'!$I$6)),"x",""))</f>
        <v/>
      </c>
      <c r="V429" s="81" t="str">
        <f>IF(ISERROR(FIND('112'!$M$9,G429,1)),"",IF((AND(RIGHT(G429,2)=RIGHT('112'!$M$9,2),B429&lt;'112'!$K$9,$O429='112'!$I$6)),"x",""))</f>
        <v/>
      </c>
      <c r="W429" s="81" t="str">
        <f>IF(AND('341-CT'!$H$9=H429,OR(LEFT(N429,3)=$W$7,LEFT(O429,3)=$W$7)),"x","")</f>
        <v/>
      </c>
      <c r="X429" s="81" t="str">
        <f>IF(OR(TH!N429=TH!$X$7,O429=TH!$X$7),"x","")</f>
        <v/>
      </c>
      <c r="Y429" s="81" t="str">
        <f>IF(AND(OR(N429="131",O429="131"),H429='131-CT'!$H$9),"x","")</f>
        <v/>
      </c>
      <c r="Z429" s="81"/>
      <c r="AA429" s="81" t="str">
        <f>IF(AND(MONTH(E429)='IN-NX'!$J$5,'IN-NX'!$D$7=D429),"x","")</f>
        <v/>
      </c>
      <c r="AB429" s="81" t="str">
        <f>IF(AND(OR(LEFT(TH!N429,2)="15",LEFT(TH!O429,2)="15"),LEFT(TH!O429,3)&lt;&gt;"111",'152-CT'!$J$8=TH!F429),"x","")</f>
        <v/>
      </c>
      <c r="AC429" s="81" t="str">
        <f>IF(AND(OR(LEFT(TH!N429,2)="15",LEFT(TH!O429,2)="15"),TK!$E$7=TH!F429),"x","")</f>
        <v/>
      </c>
      <c r="AD429" s="81" t="str">
        <f>IF(AND(N429="1521",MONTH(C429)='BK-NL'!$M$11),"x","")</f>
        <v/>
      </c>
      <c r="AE429">
        <v>1</v>
      </c>
    </row>
    <row r="430" spans="1:31" ht="15.75" customHeight="1">
      <c r="A430" s="327" t="str">
        <f>IF(B430&lt;&gt;"",IF(AND(B430='IN-TC'!$S$4,OR(TH!N430="1111",TH!O430="1111")),TH!D430,""),"")</f>
        <v/>
      </c>
      <c r="B430" s="62">
        <f t="shared" si="106"/>
        <v>1</v>
      </c>
      <c r="C430" s="309">
        <v>42754</v>
      </c>
      <c r="D430" s="309"/>
      <c r="E430" s="309">
        <f t="shared" si="107"/>
        <v>42754</v>
      </c>
      <c r="F430" s="310" t="s">
        <v>1010</v>
      </c>
      <c r="G430" s="1042" t="s">
        <v>1089</v>
      </c>
      <c r="H430" s="71" t="s">
        <v>1013</v>
      </c>
      <c r="I430" s="405"/>
      <c r="J430" s="1043"/>
      <c r="K430" s="398"/>
      <c r="L430" s="405"/>
      <c r="M430" s="1044">
        <v>1364618</v>
      </c>
      <c r="N430" s="312" t="s">
        <v>101</v>
      </c>
      <c r="O430" s="312" t="s">
        <v>63</v>
      </c>
      <c r="P430" s="81" t="str">
        <f>IF(AND('331-CT'!$E$7=TH!H430,OR(N430="331",O430="331")),"x","")</f>
        <v/>
      </c>
      <c r="Q430" s="81" t="str">
        <f>IF(AND(B430='111'!$L$11,OR($N430=$Q$7,$O430=$Q$7)),"x","")</f>
        <v/>
      </c>
      <c r="R430" s="81" t="str">
        <f>IF(AND($N430=$Q$7,$B430&lt;'111'!$L$11),"x","")</f>
        <v/>
      </c>
      <c r="S430" s="81" t="str">
        <f>IF(AND($O430=$Q$7,$B430&lt;'111'!$L$11),"x","")</f>
        <v>x</v>
      </c>
      <c r="T430" s="81" t="str">
        <f>IF(ISERROR(FIND('112'!$M$9,G430,1)),"",IF((AND(FIND('112'!$M$9,G430,1)&gt;=1,B430='112'!$K$9,OR($N430='112'!$I$6,$O430='112'!$I$6))),"x",""))</f>
        <v/>
      </c>
      <c r="U430" s="81" t="str">
        <f>IF(ISERROR(FIND('112'!$M$9,G430,1)),"",IF((AND(LEFT(G430,2)=LEFT('112'!$M$9,2),B430&lt;'112'!$K$9,$N430='112'!$I$6)),"x",""))</f>
        <v/>
      </c>
      <c r="V430" s="81" t="str">
        <f>IF(ISERROR(FIND('112'!$M$9,G430,1)),"",IF((AND(RIGHT(G430,2)=RIGHT('112'!$M$9,2),B430&lt;'112'!$K$9,$O430='112'!$I$6)),"x",""))</f>
        <v/>
      </c>
      <c r="W430" s="81" t="str">
        <f>IF(AND('341-CT'!$H$9=H430,OR(LEFT(N430,3)=$W$7,LEFT(O430,3)=$W$7)),"x","")</f>
        <v/>
      </c>
      <c r="X430" s="81" t="str">
        <f>IF(OR(TH!N430=TH!$X$7,O430=TH!$X$7),"x","")</f>
        <v/>
      </c>
      <c r="Y430" s="81" t="str">
        <f>IF(AND(OR(N430="131",O430="131"),H430='131-CT'!$H$9),"x","")</f>
        <v/>
      </c>
      <c r="Z430" s="81"/>
      <c r="AA430" s="81" t="str">
        <f>IF(AND(MONTH(E430)='IN-NX'!$J$5,'IN-NX'!$D$7=D430),"x","")</f>
        <v/>
      </c>
      <c r="AB430" s="81" t="str">
        <f>IF(AND(OR(LEFT(TH!N430,2)="15",LEFT(TH!O430,2)="15"),LEFT(TH!O430,3)&lt;&gt;"111",'152-CT'!$J$8=TH!F430),"x","")</f>
        <v/>
      </c>
      <c r="AC430" s="81" t="str">
        <f>IF(AND(OR(LEFT(TH!N430,2)="15",LEFT(TH!O430,2)="15"),TK!$E$7=TH!F430),"x","")</f>
        <v/>
      </c>
      <c r="AD430" s="81" t="str">
        <f>IF(AND(N430="1521",MONTH(C430)='BK-NL'!$M$11),"x","")</f>
        <v/>
      </c>
      <c r="AE430">
        <v>1</v>
      </c>
    </row>
    <row r="431" spans="1:31" ht="15.75" customHeight="1">
      <c r="A431" s="327" t="str">
        <f>IF(B431&lt;&gt;"",IF(AND(B431='IN-TC'!$S$4,OR(TH!N431="1111",TH!O431="1111")),TH!D431,""),"")</f>
        <v/>
      </c>
      <c r="B431" s="62">
        <f t="shared" si="106"/>
        <v>1</v>
      </c>
      <c r="C431" s="309">
        <v>42754</v>
      </c>
      <c r="D431" s="309"/>
      <c r="E431" s="309">
        <f t="shared" si="107"/>
        <v>42754</v>
      </c>
      <c r="F431" s="310" t="s">
        <v>1011</v>
      </c>
      <c r="G431" s="1042" t="s">
        <v>1089</v>
      </c>
      <c r="H431" s="71" t="s">
        <v>1013</v>
      </c>
      <c r="I431" s="405"/>
      <c r="J431" s="1043"/>
      <c r="K431" s="398"/>
      <c r="L431" s="405"/>
      <c r="M431" s="1044">
        <v>136462</v>
      </c>
      <c r="N431" s="312" t="s">
        <v>9</v>
      </c>
      <c r="O431" s="312" t="s">
        <v>63</v>
      </c>
      <c r="P431" s="81" t="str">
        <f>IF(AND('331-CT'!$E$7=TH!H431,OR(N431="331",O431="331")),"x","")</f>
        <v/>
      </c>
      <c r="Q431" s="81" t="str">
        <f>IF(AND(B431='111'!$L$11,OR($N431=$Q$7,$O431=$Q$7)),"x","")</f>
        <v/>
      </c>
      <c r="R431" s="81" t="str">
        <f>IF(AND($N431=$Q$7,$B431&lt;'111'!$L$11),"x","")</f>
        <v/>
      </c>
      <c r="S431" s="81" t="str">
        <f>IF(AND($O431=$Q$7,$B431&lt;'111'!$L$11),"x","")</f>
        <v>x</v>
      </c>
      <c r="T431" s="81" t="str">
        <f>IF(ISERROR(FIND('112'!$M$9,G431,1)),"",IF((AND(FIND('112'!$M$9,G431,1)&gt;=1,B431='112'!$K$9,OR($N431='112'!$I$6,$O431='112'!$I$6))),"x",""))</f>
        <v/>
      </c>
      <c r="U431" s="81" t="str">
        <f>IF(ISERROR(FIND('112'!$M$9,G431,1)),"",IF((AND(LEFT(G431,2)=LEFT('112'!$M$9,2),B431&lt;'112'!$K$9,$N431='112'!$I$6)),"x",""))</f>
        <v/>
      </c>
      <c r="V431" s="81" t="str">
        <f>IF(ISERROR(FIND('112'!$M$9,G431,1)),"",IF((AND(RIGHT(G431,2)=RIGHT('112'!$M$9,2),B431&lt;'112'!$K$9,$O431='112'!$I$6)),"x",""))</f>
        <v/>
      </c>
      <c r="W431" s="81" t="str">
        <f>IF(AND('341-CT'!$H$9=H431,OR(LEFT(N431,3)=$W$7,LEFT(O431,3)=$W$7)),"x","")</f>
        <v/>
      </c>
      <c r="X431" s="81" t="str">
        <f>IF(OR(TH!N431=TH!$X$7,O431=TH!$X$7),"x","")</f>
        <v/>
      </c>
      <c r="Y431" s="81" t="str">
        <f>IF(AND(OR(N431="131",O431="131"),H431='131-CT'!$H$9),"x","")</f>
        <v/>
      </c>
      <c r="Z431" s="81"/>
      <c r="AA431" s="81" t="str">
        <f>IF(AND(MONTH(E431)='IN-NX'!$J$5,'IN-NX'!$D$7=D431),"x","")</f>
        <v/>
      </c>
      <c r="AB431" s="81" t="str">
        <f>IF(AND(OR(LEFT(TH!N431,2)="15",LEFT(TH!O431,2)="15"),LEFT(TH!O431,3)&lt;&gt;"111",'152-CT'!$J$8=TH!F431),"x","")</f>
        <v/>
      </c>
      <c r="AC431" s="81" t="str">
        <f>IF(AND(OR(LEFT(TH!N431,2)="15",LEFT(TH!O431,2)="15"),TK!$E$7=TH!F431),"x","")</f>
        <v/>
      </c>
      <c r="AD431" s="81" t="str">
        <f>IF(AND(N431="1521",MONTH(C431)='BK-NL'!$M$11),"x","")</f>
        <v/>
      </c>
      <c r="AE431">
        <v>1</v>
      </c>
    </row>
    <row r="432" spans="1:31" ht="15.75" customHeight="1">
      <c r="A432" s="327" t="str">
        <f>IF(B432&lt;&gt;"",IF(AND(B432='IN-TC'!$S$4,OR(TH!N432="1111",TH!O432="1111")),TH!D432,""),"")</f>
        <v/>
      </c>
      <c r="B432" s="62">
        <f t="shared" ref="B432:B433" si="112">IF(C432&lt;&gt;"",MONTH(C432),"")</f>
        <v>1</v>
      </c>
      <c r="C432" s="309">
        <v>42755</v>
      </c>
      <c r="D432" s="309"/>
      <c r="E432" s="309">
        <f t="shared" ref="E432:E433" si="113">C432</f>
        <v>42755</v>
      </c>
      <c r="F432" s="310" t="s">
        <v>1085</v>
      </c>
      <c r="G432" s="1042" t="s">
        <v>1090</v>
      </c>
      <c r="H432" s="71" t="s">
        <v>1091</v>
      </c>
      <c r="I432" s="405"/>
      <c r="J432" s="1043"/>
      <c r="K432" s="398"/>
      <c r="L432" s="405"/>
      <c r="M432" s="1044">
        <v>354533</v>
      </c>
      <c r="N432" s="312" t="s">
        <v>101</v>
      </c>
      <c r="O432" s="312" t="s">
        <v>63</v>
      </c>
      <c r="P432" s="81" t="str">
        <f>IF(AND('331-CT'!$E$7=TH!H432,OR(N432="331",O432="331")),"x","")</f>
        <v/>
      </c>
      <c r="Q432" s="81" t="str">
        <f>IF(AND(B432='111'!$L$11,OR($N432=$Q$7,$O432=$Q$7)),"x","")</f>
        <v/>
      </c>
      <c r="R432" s="81" t="str">
        <f>IF(AND($N432=$Q$7,$B432&lt;'111'!$L$11),"x","")</f>
        <v/>
      </c>
      <c r="S432" s="81" t="str">
        <f>IF(AND($O432=$Q$7,$B432&lt;'111'!$L$11),"x","")</f>
        <v>x</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
      </c>
      <c r="AE432">
        <v>1</v>
      </c>
    </row>
    <row r="433" spans="1:31" ht="15.75" customHeight="1">
      <c r="A433" s="327" t="str">
        <f>IF(B433&lt;&gt;"",IF(AND(B433='IN-TC'!$S$4,OR(TH!N433="1111",TH!O433="1111")),TH!D433,""),"")</f>
        <v/>
      </c>
      <c r="B433" s="62">
        <f t="shared" si="112"/>
        <v>1</v>
      </c>
      <c r="C433" s="309">
        <v>42755</v>
      </c>
      <c r="D433" s="309"/>
      <c r="E433" s="309">
        <f t="shared" si="113"/>
        <v>42755</v>
      </c>
      <c r="F433" s="310" t="s">
        <v>1086</v>
      </c>
      <c r="G433" s="1042" t="s">
        <v>1090</v>
      </c>
      <c r="H433" s="71" t="s">
        <v>1091</v>
      </c>
      <c r="I433" s="405"/>
      <c r="J433" s="1043"/>
      <c r="K433" s="398"/>
      <c r="L433" s="405"/>
      <c r="M433" s="1044">
        <v>35453</v>
      </c>
      <c r="N433" s="312" t="s">
        <v>9</v>
      </c>
      <c r="O433" s="312" t="s">
        <v>63</v>
      </c>
      <c r="P433" s="81" t="str">
        <f>IF(AND('331-CT'!$E$7=TH!H433,OR(N433="331",O433="331")),"x","")</f>
        <v/>
      </c>
      <c r="Q433" s="81" t="str">
        <f>IF(AND(B433='111'!$L$11,OR($N433=$Q$7,$O433=$Q$7)),"x","")</f>
        <v/>
      </c>
      <c r="R433" s="81" t="str">
        <f>IF(AND($N433=$Q$7,$B433&lt;'111'!$L$11),"x","")</f>
        <v/>
      </c>
      <c r="S433" s="81" t="str">
        <f>IF(AND($O433=$Q$7,$B433&lt;'111'!$L$11),"x","")</f>
        <v>x</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
      </c>
      <c r="AE433">
        <v>1</v>
      </c>
    </row>
    <row r="434" spans="1:31" ht="15.75" customHeight="1">
      <c r="A434" s="327" t="str">
        <f>IF(B434&lt;&gt;"",IF(AND(B434='IN-TC'!$S$4,OR(TH!N434="1111",TH!O434="1111")),TH!D434,""),"")</f>
        <v/>
      </c>
      <c r="B434" s="62">
        <f t="shared" si="106"/>
        <v>1</v>
      </c>
      <c r="C434" s="309">
        <v>42755</v>
      </c>
      <c r="D434" s="309"/>
      <c r="E434" s="309">
        <f t="shared" ref="E434:E437" si="114">C434</f>
        <v>42755</v>
      </c>
      <c r="F434" s="310" t="s">
        <v>1092</v>
      </c>
      <c r="G434" s="1042" t="s">
        <v>1094</v>
      </c>
      <c r="H434" s="71" t="s">
        <v>1095</v>
      </c>
      <c r="I434" s="405"/>
      <c r="J434" s="1043"/>
      <c r="K434" s="398"/>
      <c r="L434" s="405"/>
      <c r="M434" s="1044">
        <v>700000</v>
      </c>
      <c r="N434" s="312" t="s">
        <v>101</v>
      </c>
      <c r="O434" s="312" t="s">
        <v>63</v>
      </c>
      <c r="P434" s="81" t="str">
        <f>IF(AND('331-CT'!$E$7=TH!H434,OR(N434="331",O434="331")),"x","")</f>
        <v/>
      </c>
      <c r="Q434" s="81" t="str">
        <f>IF(AND(B434='111'!$L$11,OR($N434=$Q$7,$O434=$Q$7)),"x","")</f>
        <v/>
      </c>
      <c r="R434" s="81" t="str">
        <f>IF(AND($N434=$Q$7,$B434&lt;'111'!$L$11),"x","")</f>
        <v/>
      </c>
      <c r="S434" s="81" t="str">
        <f>IF(AND($O434=$Q$7,$B434&lt;'111'!$L$11),"x","")</f>
        <v>x</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
      </c>
      <c r="AE434">
        <v>1</v>
      </c>
    </row>
    <row r="435" spans="1:31" ht="15.75" customHeight="1">
      <c r="A435" s="327" t="str">
        <f>IF(B435&lt;&gt;"",IF(AND(B435='IN-TC'!$S$4,OR(TH!N435="1111",TH!O435="1111")),TH!D435,""),"")</f>
        <v/>
      </c>
      <c r="B435" s="62">
        <f t="shared" si="106"/>
        <v>1</v>
      </c>
      <c r="C435" s="309">
        <v>42755</v>
      </c>
      <c r="D435" s="309"/>
      <c r="E435" s="309">
        <f t="shared" si="114"/>
        <v>42755</v>
      </c>
      <c r="F435" s="310" t="s">
        <v>1093</v>
      </c>
      <c r="G435" s="1042" t="s">
        <v>1094</v>
      </c>
      <c r="H435" s="71" t="s">
        <v>1095</v>
      </c>
      <c r="I435" s="405"/>
      <c r="J435" s="1043"/>
      <c r="K435" s="398"/>
      <c r="L435" s="405"/>
      <c r="M435" s="1044">
        <v>70000</v>
      </c>
      <c r="N435" s="312" t="s">
        <v>9</v>
      </c>
      <c r="O435" s="312" t="s">
        <v>63</v>
      </c>
      <c r="P435" s="81" t="str">
        <f>IF(AND('331-CT'!$E$7=TH!H435,OR(N435="331",O435="331")),"x","")</f>
        <v/>
      </c>
      <c r="Q435" s="81" t="str">
        <f>IF(AND(B435='111'!$L$11,OR($N435=$Q$7,$O435=$Q$7)),"x","")</f>
        <v/>
      </c>
      <c r="R435" s="81" t="str">
        <f>IF(AND($N435=$Q$7,$B435&lt;'111'!$L$11),"x","")</f>
        <v/>
      </c>
      <c r="S435" s="81" t="str">
        <f>IF(AND($O435=$Q$7,$B435&lt;'111'!$L$11),"x","")</f>
        <v>x</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
      </c>
      <c r="AE435">
        <v>1</v>
      </c>
    </row>
    <row r="436" spans="1:31" ht="15.75" customHeight="1">
      <c r="A436" s="327" t="str">
        <f>IF(B436&lt;&gt;"",IF(AND(B436='IN-TC'!$S$4,OR(TH!N436="1111",TH!O436="1111")),TH!D436,""),"")</f>
        <v/>
      </c>
      <c r="B436" s="62">
        <f t="shared" si="106"/>
        <v>1</v>
      </c>
      <c r="C436" s="309">
        <v>42759</v>
      </c>
      <c r="D436" s="309"/>
      <c r="E436" s="309">
        <f t="shared" si="114"/>
        <v>42759</v>
      </c>
      <c r="F436" s="310" t="s">
        <v>1010</v>
      </c>
      <c r="G436" s="1042" t="s">
        <v>1096</v>
      </c>
      <c r="H436" s="71" t="s">
        <v>1013</v>
      </c>
      <c r="I436" s="405"/>
      <c r="J436" s="1043"/>
      <c r="K436" s="398"/>
      <c r="L436" s="405"/>
      <c r="M436" s="1044">
        <v>2815663</v>
      </c>
      <c r="N436" s="312" t="s">
        <v>101</v>
      </c>
      <c r="O436" s="312" t="s">
        <v>63</v>
      </c>
      <c r="P436" s="81" t="str">
        <f>IF(AND('331-CT'!$E$7=TH!H436,OR(N436="331",O436="331")),"x","")</f>
        <v/>
      </c>
      <c r="Q436" s="81" t="str">
        <f>IF(AND(B436='111'!$L$11,OR($N436=$Q$7,$O436=$Q$7)),"x","")</f>
        <v/>
      </c>
      <c r="R436" s="81" t="str">
        <f>IF(AND($N436=$Q$7,$B436&lt;'111'!$L$11),"x","")</f>
        <v/>
      </c>
      <c r="S436" s="81" t="str">
        <f>IF(AND($O436=$Q$7,$B436&lt;'111'!$L$11),"x","")</f>
        <v>x</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
      </c>
      <c r="AE436">
        <v>1</v>
      </c>
    </row>
    <row r="437" spans="1:31" ht="15.75" customHeight="1">
      <c r="A437" s="327" t="str">
        <f>IF(B437&lt;&gt;"",IF(AND(B437='IN-TC'!$S$4,OR(TH!N437="1111",TH!O437="1111")),TH!D437,""),"")</f>
        <v/>
      </c>
      <c r="B437" s="62">
        <f t="shared" si="106"/>
        <v>1</v>
      </c>
      <c r="C437" s="309">
        <v>42759</v>
      </c>
      <c r="D437" s="309"/>
      <c r="E437" s="309">
        <f t="shared" si="114"/>
        <v>42759</v>
      </c>
      <c r="F437" s="310" t="s">
        <v>1011</v>
      </c>
      <c r="G437" s="1042" t="s">
        <v>1096</v>
      </c>
      <c r="H437" s="71" t="s">
        <v>1013</v>
      </c>
      <c r="I437" s="405"/>
      <c r="J437" s="1043"/>
      <c r="K437" s="398"/>
      <c r="L437" s="405"/>
      <c r="M437" s="1044">
        <v>281567</v>
      </c>
      <c r="N437" s="312" t="s">
        <v>9</v>
      </c>
      <c r="O437" s="312" t="s">
        <v>63</v>
      </c>
      <c r="P437" s="81" t="str">
        <f>IF(AND('331-CT'!$E$7=TH!H437,OR(N437="331",O437="331")),"x","")</f>
        <v/>
      </c>
      <c r="Q437" s="81" t="str">
        <f>IF(AND(B437='111'!$L$11,OR($N437=$Q$7,$O437=$Q$7)),"x","")</f>
        <v/>
      </c>
      <c r="R437" s="81" t="str">
        <f>IF(AND($N437=$Q$7,$B437&lt;'111'!$L$11),"x","")</f>
        <v/>
      </c>
      <c r="S437" s="81" t="str">
        <f>IF(AND($O437=$Q$7,$B437&lt;'111'!$L$11),"x","")</f>
        <v>x</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
      </c>
      <c r="AE437">
        <v>1</v>
      </c>
    </row>
    <row r="438" spans="1:31" ht="15.75" customHeight="1">
      <c r="A438" s="327" t="str">
        <f>IF(B438&lt;&gt;"",IF(AND(B438='IN-TC'!$S$4,OR(TH!N438="1111",TH!O438="1111")),TH!D438,""),"")</f>
        <v/>
      </c>
      <c r="B438" s="62">
        <f t="shared" si="106"/>
        <v>1</v>
      </c>
      <c r="C438" s="309">
        <v>42760</v>
      </c>
      <c r="D438" s="309"/>
      <c r="E438" s="309">
        <f t="shared" si="107"/>
        <v>42760</v>
      </c>
      <c r="F438" s="310" t="s">
        <v>1097</v>
      </c>
      <c r="G438" s="1042" t="s">
        <v>1099</v>
      </c>
      <c r="H438" s="71" t="s">
        <v>1100</v>
      </c>
      <c r="I438" s="405"/>
      <c r="J438" s="1043"/>
      <c r="K438" s="398"/>
      <c r="L438" s="405"/>
      <c r="M438" s="1044">
        <v>14435484</v>
      </c>
      <c r="N438" s="312" t="s">
        <v>101</v>
      </c>
      <c r="O438" s="312" t="s">
        <v>63</v>
      </c>
      <c r="P438" s="81" t="str">
        <f>IF(AND('331-CT'!$E$7=TH!H438,OR(N438="331",O438="331")),"x","")</f>
        <v/>
      </c>
      <c r="Q438" s="81" t="str">
        <f>IF(AND(B438='111'!$L$11,OR($N438=$Q$7,$O438=$Q$7)),"x","")</f>
        <v/>
      </c>
      <c r="R438" s="81" t="str">
        <f>IF(AND($N438=$Q$7,$B438&lt;'111'!$L$11),"x","")</f>
        <v/>
      </c>
      <c r="S438" s="81" t="str">
        <f>IF(AND($O438=$Q$7,$B438&lt;'111'!$L$11),"x","")</f>
        <v>x</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
      </c>
      <c r="AE438">
        <v>1</v>
      </c>
    </row>
    <row r="439" spans="1:31" ht="15.75" customHeight="1">
      <c r="A439" s="327" t="str">
        <f>IF(B439&lt;&gt;"",IF(AND(B439='IN-TC'!$S$4,OR(TH!N439="1111",TH!O439="1111")),TH!D439,""),"")</f>
        <v/>
      </c>
      <c r="B439" s="62">
        <f t="shared" si="106"/>
        <v>1</v>
      </c>
      <c r="C439" s="309">
        <v>42760</v>
      </c>
      <c r="D439" s="309"/>
      <c r="E439" s="309">
        <f t="shared" si="107"/>
        <v>42760</v>
      </c>
      <c r="F439" s="310" t="s">
        <v>1098</v>
      </c>
      <c r="G439" s="1042" t="s">
        <v>1099</v>
      </c>
      <c r="H439" s="71" t="s">
        <v>1100</v>
      </c>
      <c r="I439" s="405"/>
      <c r="J439" s="1043"/>
      <c r="K439" s="398"/>
      <c r="L439" s="405"/>
      <c r="M439" s="1044">
        <v>1443548</v>
      </c>
      <c r="N439" s="312" t="s">
        <v>9</v>
      </c>
      <c r="O439" s="312" t="s">
        <v>63</v>
      </c>
      <c r="P439" s="81" t="str">
        <f>IF(AND('331-CT'!$E$7=TH!H439,OR(N439="331",O439="331")),"x","")</f>
        <v/>
      </c>
      <c r="Q439" s="81" t="str">
        <f>IF(AND(B439='111'!$L$11,OR($N439=$Q$7,$O439=$Q$7)),"x","")</f>
        <v/>
      </c>
      <c r="R439" s="81" t="str">
        <f>IF(AND($N439=$Q$7,$B439&lt;'111'!$L$11),"x","")</f>
        <v/>
      </c>
      <c r="S439" s="81" t="str">
        <f>IF(AND($O439=$Q$7,$B439&lt;'111'!$L$11),"x","")</f>
        <v>x</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
      </c>
      <c r="AE439">
        <v>1</v>
      </c>
    </row>
    <row r="440" spans="1:31" ht="15.75" customHeight="1">
      <c r="A440" s="327" t="str">
        <f>IF(B440&lt;&gt;"",IF(AND(B440='IN-TC'!$S$4,OR(TH!N440="1111",TH!O440="1111")),TH!D440,""),"")</f>
        <v/>
      </c>
      <c r="B440" s="62">
        <f t="shared" si="106"/>
        <v>1</v>
      </c>
      <c r="C440" s="309">
        <v>42766</v>
      </c>
      <c r="D440" s="309"/>
      <c r="E440" s="309">
        <f t="shared" si="107"/>
        <v>42766</v>
      </c>
      <c r="F440" s="310" t="s">
        <v>1010</v>
      </c>
      <c r="G440" s="1042" t="s">
        <v>1101</v>
      </c>
      <c r="H440" s="71" t="s">
        <v>1013</v>
      </c>
      <c r="I440" s="405"/>
      <c r="J440" s="1043"/>
      <c r="K440" s="398"/>
      <c r="L440" s="405"/>
      <c r="M440" s="1044">
        <v>1563581</v>
      </c>
      <c r="N440" s="312" t="s">
        <v>101</v>
      </c>
      <c r="O440" s="312" t="s">
        <v>63</v>
      </c>
      <c r="P440" s="81" t="str">
        <f>IF(AND('331-CT'!$E$7=TH!H440,OR(N440="331",O440="331")),"x","")</f>
        <v/>
      </c>
      <c r="Q440" s="81" t="str">
        <f>IF(AND(B440='111'!$L$11,OR($N440=$Q$7,$O440=$Q$7)),"x","")</f>
        <v/>
      </c>
      <c r="R440" s="81" t="str">
        <f>IF(AND($N440=$Q$7,$B440&lt;'111'!$L$11),"x","")</f>
        <v/>
      </c>
      <c r="S440" s="81" t="str">
        <f>IF(AND($O440=$Q$7,$B440&lt;'111'!$L$11),"x","")</f>
        <v>x</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
      </c>
      <c r="AE440">
        <v>1</v>
      </c>
    </row>
    <row r="441" spans="1:31" ht="15.75" customHeight="1">
      <c r="A441" s="327" t="str">
        <f>IF(B441&lt;&gt;"",IF(AND(B441='IN-TC'!$S$4,OR(TH!N441="1111",TH!O441="1111")),TH!D441,""),"")</f>
        <v/>
      </c>
      <c r="B441" s="62">
        <f t="shared" ref="B441:B444" si="115">IF(C441&lt;&gt;"",MONTH(C441),"")</f>
        <v>1</v>
      </c>
      <c r="C441" s="309">
        <v>42766</v>
      </c>
      <c r="D441" s="309"/>
      <c r="E441" s="309">
        <f t="shared" ref="E441:E444" si="116">C441</f>
        <v>42766</v>
      </c>
      <c r="F441" s="310" t="s">
        <v>1011</v>
      </c>
      <c r="G441" s="1042" t="s">
        <v>1101</v>
      </c>
      <c r="H441" s="71" t="s">
        <v>1013</v>
      </c>
      <c r="I441" s="405"/>
      <c r="J441" s="1043"/>
      <c r="K441" s="398"/>
      <c r="L441" s="405"/>
      <c r="M441" s="1044">
        <v>156359</v>
      </c>
      <c r="N441" s="312" t="s">
        <v>9</v>
      </c>
      <c r="O441" s="312" t="s">
        <v>63</v>
      </c>
      <c r="P441" s="81" t="str">
        <f>IF(AND('331-CT'!$E$7=TH!H441,OR(N441="331",O441="331")),"x","")</f>
        <v/>
      </c>
      <c r="Q441" s="81" t="str">
        <f>IF(AND(B441='111'!$L$11,OR($N441=$Q$7,$O441=$Q$7)),"x","")</f>
        <v/>
      </c>
      <c r="R441" s="81" t="str">
        <f>IF(AND($N441=$Q$7,$B441&lt;'111'!$L$11),"x","")</f>
        <v/>
      </c>
      <c r="S441" s="81" t="str">
        <f>IF(AND($O441=$Q$7,$B441&lt;'111'!$L$11),"x","")</f>
        <v>x</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
      </c>
      <c r="AE441">
        <v>1</v>
      </c>
    </row>
    <row r="442" spans="1:31" ht="15.75" customHeight="1">
      <c r="A442" s="327" t="str">
        <f>IF(B442&lt;&gt;"",IF(AND(B442='IN-TC'!$S$4,OR(TH!N442="1111",TH!O442="1111")),TH!D442,""),"")</f>
        <v/>
      </c>
      <c r="B442" s="62">
        <f t="shared" si="115"/>
        <v>1</v>
      </c>
      <c r="C442" s="309">
        <v>42766</v>
      </c>
      <c r="D442" s="309"/>
      <c r="E442" s="309">
        <f t="shared" si="116"/>
        <v>42766</v>
      </c>
      <c r="F442" s="310" t="s">
        <v>1102</v>
      </c>
      <c r="G442" s="1042"/>
      <c r="H442" s="71" t="s">
        <v>1104</v>
      </c>
      <c r="I442" s="405"/>
      <c r="J442" s="1043"/>
      <c r="K442" s="398"/>
      <c r="L442" s="405"/>
      <c r="M442" s="1044">
        <v>1245455</v>
      </c>
      <c r="N442" s="312" t="s">
        <v>101</v>
      </c>
      <c r="O442" s="312" t="s">
        <v>63</v>
      </c>
      <c r="P442" s="81" t="str">
        <f>IF(AND('331-CT'!$E$7=TH!H442,OR(N442="331",O442="331")),"x","")</f>
        <v/>
      </c>
      <c r="Q442" s="81" t="str">
        <f>IF(AND(B442='111'!$L$11,OR($N442=$Q$7,$O442=$Q$7)),"x","")</f>
        <v/>
      </c>
      <c r="R442" s="81" t="str">
        <f>IF(AND($N442=$Q$7,$B442&lt;'111'!$L$11),"x","")</f>
        <v/>
      </c>
      <c r="S442" s="81" t="str">
        <f>IF(AND($O442=$Q$7,$B442&lt;'111'!$L$11),"x","")</f>
        <v>x</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
      </c>
      <c r="AE442">
        <v>1</v>
      </c>
    </row>
    <row r="443" spans="1:31" ht="15.75" customHeight="1">
      <c r="A443" s="327" t="str">
        <f>IF(B443&lt;&gt;"",IF(AND(B443='IN-TC'!$S$4,OR(TH!N443="1111",TH!O443="1111")),TH!D443,""),"")</f>
        <v/>
      </c>
      <c r="B443" s="62">
        <f t="shared" si="115"/>
        <v>1</v>
      </c>
      <c r="C443" s="309">
        <v>42766</v>
      </c>
      <c r="D443" s="309"/>
      <c r="E443" s="309">
        <f t="shared" si="116"/>
        <v>42766</v>
      </c>
      <c r="F443" s="310" t="s">
        <v>1103</v>
      </c>
      <c r="G443" s="1042"/>
      <c r="H443" s="71" t="s">
        <v>1104</v>
      </c>
      <c r="I443" s="405"/>
      <c r="J443" s="1043"/>
      <c r="K443" s="398"/>
      <c r="L443" s="405"/>
      <c r="M443" s="1044">
        <v>124545</v>
      </c>
      <c r="N443" s="312" t="s">
        <v>9</v>
      </c>
      <c r="O443" s="312" t="s">
        <v>63</v>
      </c>
      <c r="P443" s="81" t="str">
        <f>IF(AND('331-CT'!$E$7=TH!H443,OR(N443="331",O443="331")),"x","")</f>
        <v/>
      </c>
      <c r="Q443" s="81" t="str">
        <f>IF(AND(B443='111'!$L$11,OR($N443=$Q$7,$O443=$Q$7)),"x","")</f>
        <v/>
      </c>
      <c r="R443" s="81" t="str">
        <f>IF(AND($N443=$Q$7,$B443&lt;'111'!$L$11),"x","")</f>
        <v/>
      </c>
      <c r="S443" s="81" t="str">
        <f>IF(AND($O443=$Q$7,$B443&lt;'111'!$L$11),"x","")</f>
        <v>x</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
      </c>
      <c r="AE443">
        <v>1</v>
      </c>
    </row>
    <row r="444" spans="1:31" ht="15.75" customHeight="1">
      <c r="A444" s="998" t="str">
        <f>IF(B444&lt;&gt;"",IF(AND(B444='IN-TC'!$S$4,OR(TH!N444="1111",TH!O444="1111")),TH!D444,""),"")</f>
        <v/>
      </c>
      <c r="B444" s="831">
        <f t="shared" si="115"/>
        <v>1</v>
      </c>
      <c r="C444" s="1049">
        <v>42766</v>
      </c>
      <c r="D444" s="1049"/>
      <c r="E444" s="1049">
        <f t="shared" si="116"/>
        <v>42766</v>
      </c>
      <c r="F444" s="1050" t="s">
        <v>1105</v>
      </c>
      <c r="G444" s="1051"/>
      <c r="H444" s="79" t="s">
        <v>1106</v>
      </c>
      <c r="I444" s="403"/>
      <c r="J444" s="1052"/>
      <c r="K444" s="396"/>
      <c r="L444" s="403"/>
      <c r="M444" s="1053">
        <v>93453645</v>
      </c>
      <c r="N444" s="1054" t="s">
        <v>583</v>
      </c>
      <c r="O444" s="1054" t="s">
        <v>63</v>
      </c>
      <c r="P444" s="81" t="str">
        <f>IF(AND('331-CT'!$E$7=TH!H444,OR(N444="331",O444="331")),"x","")</f>
        <v/>
      </c>
      <c r="Q444" s="81" t="str">
        <f>IF(AND(B444='111'!$L$11,OR($N444=$Q$7,$O444=$Q$7)),"x","")</f>
        <v/>
      </c>
      <c r="R444" s="81" t="str">
        <f>IF(AND($N444=$Q$7,$B444&lt;'111'!$L$11),"x","")</f>
        <v/>
      </c>
      <c r="S444" s="81" t="str">
        <f>IF(AND($O444=$Q$7,$B444&lt;'111'!$L$11),"x","")</f>
        <v>x</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
      </c>
    </row>
    <row r="445" spans="1:31" ht="15.75" customHeight="1">
      <c r="A445" s="327" t="str">
        <f>IF(B445&lt;&gt;"",IF(AND(B445='IN-TC'!$S$4,OR(TH!N445="1111",TH!O445="1111")),TH!D445,""),"")</f>
        <v>T01</v>
      </c>
      <c r="B445" s="62">
        <f t="shared" ref="B445:B485" si="117">IF(C445&lt;&gt;"",MONTH(C445),"")</f>
        <v>2</v>
      </c>
      <c r="C445" s="309">
        <v>42775</v>
      </c>
      <c r="D445" s="309" t="s">
        <v>953</v>
      </c>
      <c r="E445" s="309">
        <f>C445</f>
        <v>42775</v>
      </c>
      <c r="F445" s="310" t="s">
        <v>954</v>
      </c>
      <c r="G445" s="1063" t="s">
        <v>639</v>
      </c>
      <c r="H445" s="71" t="s">
        <v>1161</v>
      </c>
      <c r="I445" s="405"/>
      <c r="J445" s="1043"/>
      <c r="K445" s="398"/>
      <c r="L445" s="405"/>
      <c r="M445" s="1044">
        <v>1186000000</v>
      </c>
      <c r="N445" s="312" t="s">
        <v>63</v>
      </c>
      <c r="O445" s="312" t="s">
        <v>26</v>
      </c>
      <c r="P445" s="81" t="str">
        <f>IF(AND('331-CT'!$E$7=TH!H445,OR(N445="331",O445="331")),"x","")</f>
        <v/>
      </c>
      <c r="Q445" s="81" t="str">
        <f>IF(AND(B445='111'!$L$11,OR($N445=$Q$7,$O445=$Q$7)),"x","")</f>
        <v/>
      </c>
      <c r="R445" s="81" t="str">
        <f>IF(AND($N445=$Q$7,$B445&lt;'111'!$L$11),"x","")</f>
        <v>x</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
      </c>
    </row>
    <row r="446" spans="1:31" ht="15.75" customHeight="1">
      <c r="A446" s="327" t="str">
        <f>IF(B446&lt;&gt;"",IF(AND(B446='IN-TC'!$S$4,OR(TH!N446="1111",TH!O446="1111")),TH!D446,""),"")</f>
        <v>T02</v>
      </c>
      <c r="B446" s="62">
        <f t="shared" si="117"/>
        <v>2</v>
      </c>
      <c r="C446" s="309">
        <v>42775</v>
      </c>
      <c r="D446" s="309" t="s">
        <v>963</v>
      </c>
      <c r="E446" s="309">
        <f t="shared" ref="E446:E455" si="118">C446</f>
        <v>42775</v>
      </c>
      <c r="F446" s="310" t="s">
        <v>954</v>
      </c>
      <c r="G446" s="1063" t="s">
        <v>813</v>
      </c>
      <c r="H446" s="71" t="s">
        <v>1161</v>
      </c>
      <c r="I446" s="405"/>
      <c r="J446" s="1043"/>
      <c r="K446" s="398"/>
      <c r="L446" s="405"/>
      <c r="M446" s="1044">
        <v>2540000000</v>
      </c>
      <c r="N446" s="312" t="s">
        <v>63</v>
      </c>
      <c r="O446" s="312" t="s">
        <v>26</v>
      </c>
      <c r="P446" s="81" t="str">
        <f>IF(AND('331-CT'!$E$7=TH!H446,OR(N446="331",O446="331")),"x","")</f>
        <v/>
      </c>
      <c r="Q446" s="81" t="str">
        <f>IF(AND(B446='111'!$L$11,OR($N446=$Q$7,$O446=$Q$7)),"x","")</f>
        <v/>
      </c>
      <c r="R446" s="81" t="str">
        <f>IF(AND($N446=$Q$7,$B446&lt;'111'!$L$11),"x","")</f>
        <v>x</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
      </c>
    </row>
    <row r="447" spans="1:31" ht="15.75" customHeight="1">
      <c r="A447" s="327" t="str">
        <f>IF(B447&lt;&gt;"",IF(AND(B447='IN-TC'!$S$4,OR(TH!N447="1111",TH!O447="1111")),TH!D447,""),"")</f>
        <v>T03</v>
      </c>
      <c r="B447" s="62">
        <f t="shared" ref="B447" si="119">IF(C447&lt;&gt;"",MONTH(C447),"")</f>
        <v>2</v>
      </c>
      <c r="C447" s="309">
        <v>42775</v>
      </c>
      <c r="D447" s="309" t="s">
        <v>964</v>
      </c>
      <c r="E447" s="309">
        <f t="shared" ref="E447" si="120">C447</f>
        <v>42775</v>
      </c>
      <c r="F447" s="310" t="s">
        <v>1228</v>
      </c>
      <c r="G447" s="1063"/>
      <c r="H447" s="71" t="s">
        <v>1244</v>
      </c>
      <c r="I447" s="405"/>
      <c r="J447" s="1043"/>
      <c r="K447" s="398"/>
      <c r="L447" s="405"/>
      <c r="M447" s="1044">
        <v>1760000</v>
      </c>
      <c r="N447" s="312" t="s">
        <v>63</v>
      </c>
      <c r="O447" s="312" t="s">
        <v>579</v>
      </c>
      <c r="P447" s="81" t="str">
        <f>IF(AND('331-CT'!$E$7=TH!H447,OR(N447="331",O447="331")),"x","")</f>
        <v/>
      </c>
      <c r="Q447" s="81" t="str">
        <f>IF(AND(B447='111'!$L$11,OR($N447=$Q$7,$O447=$Q$7)),"x","")</f>
        <v/>
      </c>
      <c r="R447" s="81" t="str">
        <f>IF(AND($N447=$Q$7,$B447&lt;'111'!$L$11),"x","")</f>
        <v>x</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
      </c>
    </row>
    <row r="448" spans="1:31" ht="15.75" customHeight="1">
      <c r="A448" s="327" t="str">
        <f>IF(B448&lt;&gt;"",IF(AND(B448='IN-TC'!$S$4,OR(TH!N448="1111",TH!O448="1111")),TH!D448,""),"")</f>
        <v>T04</v>
      </c>
      <c r="B448" s="62">
        <f t="shared" si="117"/>
        <v>2</v>
      </c>
      <c r="C448" s="309">
        <v>42782</v>
      </c>
      <c r="D448" s="309" t="s">
        <v>966</v>
      </c>
      <c r="E448" s="309">
        <f t="shared" si="118"/>
        <v>42782</v>
      </c>
      <c r="F448" s="310" t="s">
        <v>954</v>
      </c>
      <c r="G448" s="1063" t="s">
        <v>639</v>
      </c>
      <c r="H448" s="71" t="s">
        <v>1161</v>
      </c>
      <c r="I448" s="405"/>
      <c r="J448" s="1043"/>
      <c r="K448" s="398"/>
      <c r="L448" s="405"/>
      <c r="M448" s="1044">
        <v>500000000</v>
      </c>
      <c r="N448" s="312" t="s">
        <v>63</v>
      </c>
      <c r="O448" s="312" t="s">
        <v>26</v>
      </c>
      <c r="P448" s="81" t="str">
        <f>IF(AND('331-CT'!$E$7=TH!H448,OR(N448="331",O448="331")),"x","")</f>
        <v/>
      </c>
      <c r="Q448" s="81" t="str">
        <f>IF(AND(B448='111'!$L$11,OR($N448=$Q$7,$O448=$Q$7)),"x","")</f>
        <v/>
      </c>
      <c r="R448" s="81" t="str">
        <f>IF(AND($N448=$Q$7,$B448&lt;'111'!$L$11),"x","")</f>
        <v>x</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
      </c>
    </row>
    <row r="449" spans="1:31" ht="15.75" customHeight="1">
      <c r="A449" s="327" t="str">
        <f>IF(B449&lt;&gt;"",IF(AND(B449='IN-TC'!$S$4,OR(TH!N449="1111",TH!O449="1111")),TH!D449,""),"")</f>
        <v>T05</v>
      </c>
      <c r="B449" s="62">
        <f t="shared" si="117"/>
        <v>2</v>
      </c>
      <c r="C449" s="309">
        <v>42783</v>
      </c>
      <c r="D449" s="309" t="s">
        <v>970</v>
      </c>
      <c r="E449" s="309">
        <f t="shared" si="118"/>
        <v>42783</v>
      </c>
      <c r="F449" s="310" t="s">
        <v>954</v>
      </c>
      <c r="G449" s="1063" t="s">
        <v>813</v>
      </c>
      <c r="H449" s="71" t="s">
        <v>1161</v>
      </c>
      <c r="I449" s="405"/>
      <c r="J449" s="1043"/>
      <c r="K449" s="398"/>
      <c r="L449" s="405"/>
      <c r="M449" s="1044">
        <v>10060000000</v>
      </c>
      <c r="N449" s="312" t="s">
        <v>63</v>
      </c>
      <c r="O449" s="312" t="s">
        <v>26</v>
      </c>
      <c r="P449" s="81" t="str">
        <f>IF(AND('331-CT'!$E$7=TH!H449,OR(N449="331",O449="331")),"x","")</f>
        <v/>
      </c>
      <c r="Q449" s="81" t="str">
        <f>IF(AND(B449='111'!$L$11,OR($N449=$Q$7,$O449=$Q$7)),"x","")</f>
        <v/>
      </c>
      <c r="R449" s="81" t="str">
        <f>IF(AND($N449=$Q$7,$B449&lt;'111'!$L$11),"x","")</f>
        <v>x</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
      </c>
    </row>
    <row r="450" spans="1:31" ht="15.75" customHeight="1">
      <c r="A450" s="327" t="str">
        <f>IF(B450&lt;&gt;"",IF(AND(B450='IN-TC'!$S$4,OR(TH!N450="1111",TH!O450="1111")),TH!D450,""),"")</f>
        <v>T06</v>
      </c>
      <c r="B450" s="62">
        <f t="shared" si="117"/>
        <v>2</v>
      </c>
      <c r="C450" s="309">
        <v>42789</v>
      </c>
      <c r="D450" s="309" t="s">
        <v>973</v>
      </c>
      <c r="E450" s="309">
        <f t="shared" si="118"/>
        <v>42789</v>
      </c>
      <c r="F450" s="310" t="s">
        <v>954</v>
      </c>
      <c r="G450" s="1063" t="s">
        <v>813</v>
      </c>
      <c r="H450" s="71" t="s">
        <v>1161</v>
      </c>
      <c r="I450" s="405"/>
      <c r="J450" s="1043"/>
      <c r="K450" s="398"/>
      <c r="L450" s="405"/>
      <c r="M450" s="1044">
        <v>10030000000</v>
      </c>
      <c r="N450" s="312" t="s">
        <v>63</v>
      </c>
      <c r="O450" s="312" t="s">
        <v>26</v>
      </c>
      <c r="P450" s="81" t="str">
        <f>IF(AND('331-CT'!$E$7=TH!H450,OR(N450="331",O450="331")),"x","")</f>
        <v/>
      </c>
      <c r="Q450" s="81" t="str">
        <f>IF(AND(B450='111'!$L$11,OR($N450=$Q$7,$O450=$Q$7)),"x","")</f>
        <v/>
      </c>
      <c r="R450" s="81" t="str">
        <f>IF(AND($N450=$Q$7,$B450&lt;'111'!$L$11),"x","")</f>
        <v>x</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
      </c>
    </row>
    <row r="451" spans="1:31" ht="15.75" customHeight="1">
      <c r="A451" s="327" t="str">
        <f>IF(B451&lt;&gt;"",IF(AND(B451='IN-TC'!$S$4,OR(TH!N451="1111",TH!O451="1111")),TH!D451,""),"")</f>
        <v>T07</v>
      </c>
      <c r="B451" s="62">
        <f t="shared" si="117"/>
        <v>2</v>
      </c>
      <c r="C451" s="309">
        <v>42794</v>
      </c>
      <c r="D451" s="309" t="s">
        <v>974</v>
      </c>
      <c r="E451" s="309">
        <f t="shared" si="118"/>
        <v>42794</v>
      </c>
      <c r="F451" s="310" t="s">
        <v>954</v>
      </c>
      <c r="G451" s="1063" t="s">
        <v>639</v>
      </c>
      <c r="H451" s="71" t="s">
        <v>1161</v>
      </c>
      <c r="I451" s="405"/>
      <c r="J451" s="1043"/>
      <c r="K451" s="398"/>
      <c r="L451" s="405"/>
      <c r="M451" s="1044">
        <v>5190000000</v>
      </c>
      <c r="N451" s="312" t="s">
        <v>63</v>
      </c>
      <c r="O451" s="312" t="s">
        <v>26</v>
      </c>
      <c r="P451" s="81" t="str">
        <f>IF(AND('331-CT'!$E$7=TH!H451,OR(N451="331",O451="331")),"x","")</f>
        <v/>
      </c>
      <c r="Q451" s="81" t="str">
        <f>IF(AND(B451='111'!$L$11,OR($N451=$Q$7,$O451=$Q$7)),"x","")</f>
        <v/>
      </c>
      <c r="R451" s="81" t="str">
        <f>IF(AND($N451=$Q$7,$B451&lt;'111'!$L$11),"x","")</f>
        <v>x</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
      </c>
    </row>
    <row r="452" spans="1:31" ht="15.75" customHeight="1">
      <c r="A452" s="327">
        <f>IF(B452&lt;&gt;"",IF(AND(B452='IN-TC'!$S$4,OR(TH!N452="1111",TH!O452="1111")),TH!D452,""),"")</f>
        <v>0</v>
      </c>
      <c r="B452" s="62">
        <f t="shared" si="117"/>
        <v>2</v>
      </c>
      <c r="C452" s="309">
        <v>42767</v>
      </c>
      <c r="D452" s="309"/>
      <c r="E452" s="309">
        <f t="shared" si="118"/>
        <v>42767</v>
      </c>
      <c r="F452" s="310" t="s">
        <v>1071</v>
      </c>
      <c r="G452" s="1042"/>
      <c r="H452" s="71" t="s">
        <v>1167</v>
      </c>
      <c r="I452" s="405"/>
      <c r="J452" s="1043"/>
      <c r="K452" s="398"/>
      <c r="L452" s="405"/>
      <c r="M452" s="1044">
        <v>7909090.9090909082</v>
      </c>
      <c r="N452" s="312" t="s">
        <v>582</v>
      </c>
      <c r="O452" s="312" t="s">
        <v>63</v>
      </c>
      <c r="P452" s="81" t="str">
        <f>IF(AND('331-CT'!$E$7=TH!H452,OR(N452="331",O452="331")),"x","")</f>
        <v/>
      </c>
      <c r="Q452" s="81" t="str">
        <f>IF(AND(B452='111'!$L$11,OR($N452=$Q$7,$O452=$Q$7)),"x","")</f>
        <v/>
      </c>
      <c r="R452" s="81" t="str">
        <f>IF(AND($N452=$Q$7,$B452&lt;'111'!$L$11),"x","")</f>
        <v/>
      </c>
      <c r="S452" s="81" t="str">
        <f>IF(AND($O452=$Q$7,$B452&lt;'111'!$L$11),"x","")</f>
        <v>x</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
      </c>
      <c r="AE452">
        <v>2</v>
      </c>
    </row>
    <row r="453" spans="1:31" ht="15.75" customHeight="1">
      <c r="A453" s="327">
        <f>IF(B453&lt;&gt;"",IF(AND(B453='IN-TC'!$S$4,OR(TH!N453="1111",TH!O453="1111")),TH!D453,""),"")</f>
        <v>0</v>
      </c>
      <c r="B453" s="62">
        <f t="shared" si="117"/>
        <v>2</v>
      </c>
      <c r="C453" s="309">
        <v>42767</v>
      </c>
      <c r="D453" s="309"/>
      <c r="E453" s="309">
        <f t="shared" si="118"/>
        <v>42767</v>
      </c>
      <c r="F453" s="310" t="s">
        <v>1072</v>
      </c>
      <c r="G453" s="1042"/>
      <c r="H453" s="71" t="s">
        <v>1167</v>
      </c>
      <c r="I453" s="405"/>
      <c r="J453" s="1043"/>
      <c r="K453" s="398"/>
      <c r="L453" s="405"/>
      <c r="M453" s="1044">
        <v>790909.09090909082</v>
      </c>
      <c r="N453" s="312" t="s">
        <v>9</v>
      </c>
      <c r="O453" s="312" t="s">
        <v>63</v>
      </c>
      <c r="P453" s="81" t="str">
        <f>IF(AND('331-CT'!$E$7=TH!H453,OR(N453="331",O453="331")),"x","")</f>
        <v/>
      </c>
      <c r="Q453" s="81" t="str">
        <f>IF(AND(B453='111'!$L$11,OR($N453=$Q$7,$O453=$Q$7)),"x","")</f>
        <v/>
      </c>
      <c r="R453" s="81" t="str">
        <f>IF(AND($N453=$Q$7,$B453&lt;'111'!$L$11),"x","")</f>
        <v/>
      </c>
      <c r="S453" s="81" t="str">
        <f>IF(AND($O453=$Q$7,$B453&lt;'111'!$L$11),"x","")</f>
        <v>x</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
      </c>
      <c r="AE453">
        <v>2</v>
      </c>
    </row>
    <row r="454" spans="1:31" ht="15.75" customHeight="1">
      <c r="A454" s="327">
        <f>IF(B454&lt;&gt;"",IF(AND(B454='IN-TC'!$S$4,OR(TH!N454="1111",TH!O454="1111")),TH!D454,""),"")</f>
        <v>0</v>
      </c>
      <c r="B454" s="62">
        <f t="shared" si="117"/>
        <v>2</v>
      </c>
      <c r="C454" s="309">
        <v>42767</v>
      </c>
      <c r="D454" s="309"/>
      <c r="E454" s="309">
        <f t="shared" si="118"/>
        <v>42767</v>
      </c>
      <c r="F454" s="310" t="s">
        <v>1168</v>
      </c>
      <c r="G454" s="1042"/>
      <c r="H454" s="71" t="s">
        <v>1074</v>
      </c>
      <c r="I454" s="405"/>
      <c r="J454" s="1043"/>
      <c r="K454" s="398"/>
      <c r="L454" s="405"/>
      <c r="M454" s="1044">
        <v>10772727.272727272</v>
      </c>
      <c r="N454" s="312" t="s">
        <v>582</v>
      </c>
      <c r="O454" s="312" t="s">
        <v>63</v>
      </c>
      <c r="P454" s="81" t="str">
        <f>IF(AND('331-CT'!$E$7=TH!H454,OR(N454="331",O454="331")),"x","")</f>
        <v/>
      </c>
      <c r="Q454" s="81" t="str">
        <f>IF(AND(B454='111'!$L$11,OR($N454=$Q$7,$O454=$Q$7)),"x","")</f>
        <v/>
      </c>
      <c r="R454" s="81" t="str">
        <f>IF(AND($N454=$Q$7,$B454&lt;'111'!$L$11),"x","")</f>
        <v/>
      </c>
      <c r="S454" s="81" t="str">
        <f>IF(AND($O454=$Q$7,$B454&lt;'111'!$L$11),"x","")</f>
        <v>x</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
      </c>
      <c r="AE454">
        <v>2</v>
      </c>
    </row>
    <row r="455" spans="1:31" ht="15.75" customHeight="1">
      <c r="A455" s="327">
        <f>IF(B455&lt;&gt;"",IF(AND(B455='IN-TC'!$S$4,OR(TH!N455="1111",TH!O455="1111")),TH!D455,""),"")</f>
        <v>0</v>
      </c>
      <c r="B455" s="62">
        <f t="shared" si="117"/>
        <v>2</v>
      </c>
      <c r="C455" s="309">
        <v>42767</v>
      </c>
      <c r="D455" s="309"/>
      <c r="E455" s="309">
        <f t="shared" si="118"/>
        <v>42767</v>
      </c>
      <c r="F455" s="310" t="s">
        <v>1169</v>
      </c>
      <c r="G455" s="1042"/>
      <c r="H455" s="71" t="s">
        <v>1074</v>
      </c>
      <c r="I455" s="405"/>
      <c r="J455" s="1043"/>
      <c r="K455" s="398"/>
      <c r="L455" s="405"/>
      <c r="M455" s="1044">
        <v>1077272.7272727273</v>
      </c>
      <c r="N455" s="312" t="s">
        <v>9</v>
      </c>
      <c r="O455" s="312" t="s">
        <v>63</v>
      </c>
      <c r="P455" s="81" t="str">
        <f>IF(AND('331-CT'!$E$7=TH!H455,OR(N455="331",O455="331")),"x","")</f>
        <v/>
      </c>
      <c r="Q455" s="81" t="str">
        <f>IF(AND(B455='111'!$L$11,OR($N455=$Q$7,$O455=$Q$7)),"x","")</f>
        <v/>
      </c>
      <c r="R455" s="81" t="str">
        <f>IF(AND($N455=$Q$7,$B455&lt;'111'!$L$11),"x","")</f>
        <v/>
      </c>
      <c r="S455" s="81" t="str">
        <f>IF(AND($O455=$Q$7,$B455&lt;'111'!$L$11),"x","")</f>
        <v>x</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
      </c>
      <c r="AE455">
        <v>2</v>
      </c>
    </row>
    <row r="456" spans="1:31" ht="15.75" customHeight="1">
      <c r="A456" s="327">
        <f>IF(B456&lt;&gt;"",IF(AND(B456='IN-TC'!$S$4,OR(TH!N456="1111",TH!O456="1111")),TH!D456,""),"")</f>
        <v>0</v>
      </c>
      <c r="B456" s="62">
        <f t="shared" si="117"/>
        <v>2</v>
      </c>
      <c r="C456" s="309">
        <v>42767</v>
      </c>
      <c r="D456" s="309"/>
      <c r="E456" s="309">
        <v>42760</v>
      </c>
      <c r="F456" s="310" t="s">
        <v>1085</v>
      </c>
      <c r="G456" s="1042" t="s">
        <v>1170</v>
      </c>
      <c r="H456" s="71" t="s">
        <v>1171</v>
      </c>
      <c r="I456" s="405"/>
      <c r="J456" s="1043"/>
      <c r="K456" s="398"/>
      <c r="L456" s="405"/>
      <c r="M456" s="1044">
        <v>173190</v>
      </c>
      <c r="N456" s="312" t="s">
        <v>101</v>
      </c>
      <c r="O456" s="312" t="s">
        <v>63</v>
      </c>
      <c r="P456" s="81" t="str">
        <f>IF(AND('331-CT'!$E$7=TH!H456,OR(N456="331",O456="331")),"x","")</f>
        <v/>
      </c>
      <c r="Q456" s="81" t="str">
        <f>IF(AND(B456='111'!$L$11,OR($N456=$Q$7,$O456=$Q$7)),"x","")</f>
        <v/>
      </c>
      <c r="R456" s="81" t="str">
        <f>IF(AND($N456=$Q$7,$B456&lt;'111'!$L$11),"x","")</f>
        <v/>
      </c>
      <c r="S456" s="81" t="str">
        <f>IF(AND($O456=$Q$7,$B456&lt;'111'!$L$11),"x","")</f>
        <v>x</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
      </c>
      <c r="AE456">
        <v>2</v>
      </c>
    </row>
    <row r="457" spans="1:31" ht="15.75" customHeight="1">
      <c r="A457" s="327">
        <f>IF(B457&lt;&gt;"",IF(AND(B457='IN-TC'!$S$4,OR(TH!N457="1111",TH!O457="1111")),TH!D457,""),"")</f>
        <v>0</v>
      </c>
      <c r="B457" s="62">
        <f t="shared" si="117"/>
        <v>2</v>
      </c>
      <c r="C457" s="309">
        <v>42767</v>
      </c>
      <c r="D457" s="309"/>
      <c r="E457" s="309">
        <v>42760</v>
      </c>
      <c r="F457" s="310" t="s">
        <v>1086</v>
      </c>
      <c r="G457" s="1042" t="s">
        <v>1170</v>
      </c>
      <c r="H457" s="71" t="s">
        <v>1171</v>
      </c>
      <c r="I457" s="405"/>
      <c r="J457" s="1043"/>
      <c r="K457" s="398"/>
      <c r="L457" s="405"/>
      <c r="M457" s="1044">
        <v>17319</v>
      </c>
      <c r="N457" s="312" t="s">
        <v>9</v>
      </c>
      <c r="O457" s="312" t="s">
        <v>63</v>
      </c>
      <c r="P457" s="81" t="str">
        <f>IF(AND('331-CT'!$E$7=TH!H457,OR(N457="331",O457="331")),"x","")</f>
        <v/>
      </c>
      <c r="Q457" s="81" t="str">
        <f>IF(AND(B457='111'!$L$11,OR($N457=$Q$7,$O457=$Q$7)),"x","")</f>
        <v/>
      </c>
      <c r="R457" s="81" t="str">
        <f>IF(AND($N457=$Q$7,$B457&lt;'111'!$L$11),"x","")</f>
        <v/>
      </c>
      <c r="S457" s="81" t="str">
        <f>IF(AND($O457=$Q$7,$B457&lt;'111'!$L$11),"x","")</f>
        <v>x</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
      </c>
      <c r="AE457">
        <v>2</v>
      </c>
    </row>
    <row r="458" spans="1:31" ht="15.75" customHeight="1">
      <c r="A458" s="327">
        <f>IF(B458&lt;&gt;"",IF(AND(B458='IN-TC'!$S$4,OR(TH!N458="1111",TH!O458="1111")),TH!D458,""),"")</f>
        <v>0</v>
      </c>
      <c r="B458" s="62">
        <f t="shared" si="117"/>
        <v>2</v>
      </c>
      <c r="C458" s="309">
        <v>42767</v>
      </c>
      <c r="D458" s="309"/>
      <c r="E458" s="309">
        <v>42767</v>
      </c>
      <c r="F458" s="310" t="s">
        <v>1075</v>
      </c>
      <c r="G458" s="1042" t="s">
        <v>1172</v>
      </c>
      <c r="H458" s="71" t="s">
        <v>621</v>
      </c>
      <c r="I458" s="405"/>
      <c r="J458" s="1043"/>
      <c r="K458" s="398"/>
      <c r="L458" s="405"/>
      <c r="M458" s="1044">
        <v>3400000</v>
      </c>
      <c r="N458" s="312" t="s">
        <v>582</v>
      </c>
      <c r="O458" s="312" t="s">
        <v>63</v>
      </c>
      <c r="P458" s="81" t="str">
        <f>IF(AND('331-CT'!$E$7=TH!H458,OR(N458="331",O458="331")),"x","")</f>
        <v/>
      </c>
      <c r="Q458" s="81" t="str">
        <f>IF(AND(B458='111'!$L$11,OR($N458=$Q$7,$O458=$Q$7)),"x","")</f>
        <v/>
      </c>
      <c r="R458" s="81" t="str">
        <f>IF(AND($N458=$Q$7,$B458&lt;'111'!$L$11),"x","")</f>
        <v/>
      </c>
      <c r="S458" s="81" t="str">
        <f>IF(AND($O458=$Q$7,$B458&lt;'111'!$L$11),"x","")</f>
        <v>x</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
      </c>
      <c r="AE458">
        <v>2</v>
      </c>
    </row>
    <row r="459" spans="1:31" ht="15.75" customHeight="1">
      <c r="A459" s="327">
        <f>IF(B459&lt;&gt;"",IF(AND(B459='IN-TC'!$S$4,OR(TH!N459="1111",TH!O459="1111")),TH!D459,""),"")</f>
        <v>0</v>
      </c>
      <c r="B459" s="62">
        <f t="shared" si="117"/>
        <v>2</v>
      </c>
      <c r="C459" s="309">
        <v>42767</v>
      </c>
      <c r="D459" s="309"/>
      <c r="E459" s="309">
        <v>42767</v>
      </c>
      <c r="F459" s="310" t="s">
        <v>1076</v>
      </c>
      <c r="G459" s="1042" t="s">
        <v>1172</v>
      </c>
      <c r="H459" s="71" t="s">
        <v>621</v>
      </c>
      <c r="I459" s="405"/>
      <c r="J459" s="1043"/>
      <c r="K459" s="398"/>
      <c r="L459" s="405"/>
      <c r="M459" s="1044">
        <v>340000</v>
      </c>
      <c r="N459" s="312" t="s">
        <v>9</v>
      </c>
      <c r="O459" s="312" t="s">
        <v>63</v>
      </c>
      <c r="P459" s="81" t="str">
        <f>IF(AND('331-CT'!$E$7=TH!H459,OR(N459="331",O459="331")),"x","")</f>
        <v/>
      </c>
      <c r="Q459" s="81" t="str">
        <f>IF(AND(B459='111'!$L$11,OR($N459=$Q$7,$O459=$Q$7)),"x","")</f>
        <v/>
      </c>
      <c r="R459" s="81" t="str">
        <f>IF(AND($N459=$Q$7,$B459&lt;'111'!$L$11),"x","")</f>
        <v/>
      </c>
      <c r="S459" s="81" t="str">
        <f>IF(AND($O459=$Q$7,$B459&lt;'111'!$L$11),"x","")</f>
        <v>x</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
      </c>
      <c r="AE459">
        <v>2</v>
      </c>
    </row>
    <row r="460" spans="1:31" ht="15.75" customHeight="1">
      <c r="A460" s="327">
        <f>IF(B460&lt;&gt;"",IF(AND(B460='IN-TC'!$S$4,OR(TH!N460="1111",TH!O460="1111")),TH!D460,""),"")</f>
        <v>0</v>
      </c>
      <c r="B460" s="62">
        <f t="shared" si="117"/>
        <v>2</v>
      </c>
      <c r="C460" s="309">
        <v>42772</v>
      </c>
      <c r="D460" s="309"/>
      <c r="E460" s="309">
        <v>42772</v>
      </c>
      <c r="F460" s="310" t="s">
        <v>1010</v>
      </c>
      <c r="G460" s="1042" t="s">
        <v>1173</v>
      </c>
      <c r="H460" s="71" t="s">
        <v>1013</v>
      </c>
      <c r="I460" s="405"/>
      <c r="J460" s="1043"/>
      <c r="K460" s="398"/>
      <c r="L460" s="405"/>
      <c r="M460" s="1044">
        <v>2711281</v>
      </c>
      <c r="N460" s="312" t="s">
        <v>101</v>
      </c>
      <c r="O460" s="312" t="s">
        <v>63</v>
      </c>
      <c r="P460" s="81" t="str">
        <f>IF(AND('331-CT'!$E$7=TH!H460,OR(N460="331",O460="331")),"x","")</f>
        <v/>
      </c>
      <c r="Q460" s="81" t="str">
        <f>IF(AND(B460='111'!$L$11,OR($N460=$Q$7,$O460=$Q$7)),"x","")</f>
        <v/>
      </c>
      <c r="R460" s="81" t="str">
        <f>IF(AND($N460=$Q$7,$B460&lt;'111'!$L$11),"x","")</f>
        <v/>
      </c>
      <c r="S460" s="81" t="str">
        <f>IF(AND($O460=$Q$7,$B460&lt;'111'!$L$11),"x","")</f>
        <v>x</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
      </c>
      <c r="AE460">
        <v>2</v>
      </c>
    </row>
    <row r="461" spans="1:31" ht="15.75" customHeight="1">
      <c r="A461" s="327">
        <f>IF(B461&lt;&gt;"",IF(AND(B461='IN-TC'!$S$4,OR(TH!N461="1111",TH!O461="1111")),TH!D461,""),"")</f>
        <v>0</v>
      </c>
      <c r="B461" s="62">
        <f t="shared" si="117"/>
        <v>2</v>
      </c>
      <c r="C461" s="309">
        <v>42772</v>
      </c>
      <c r="D461" s="309"/>
      <c r="E461" s="309">
        <v>42772</v>
      </c>
      <c r="F461" s="310" t="s">
        <v>1011</v>
      </c>
      <c r="G461" s="1042" t="s">
        <v>1173</v>
      </c>
      <c r="H461" s="71" t="s">
        <v>1013</v>
      </c>
      <c r="I461" s="405"/>
      <c r="J461" s="1043"/>
      <c r="K461" s="398"/>
      <c r="L461" s="405"/>
      <c r="M461" s="1044">
        <v>271129</v>
      </c>
      <c r="N461" s="312" t="s">
        <v>9</v>
      </c>
      <c r="O461" s="312" t="s">
        <v>63</v>
      </c>
      <c r="P461" s="81" t="str">
        <f>IF(AND('331-CT'!$E$7=TH!H461,OR(N461="331",O461="331")),"x","")</f>
        <v/>
      </c>
      <c r="Q461" s="81" t="str">
        <f>IF(AND(B461='111'!$L$11,OR($N461=$Q$7,$O461=$Q$7)),"x","")</f>
        <v/>
      </c>
      <c r="R461" s="81" t="str">
        <f>IF(AND($N461=$Q$7,$B461&lt;'111'!$L$11),"x","")</f>
        <v/>
      </c>
      <c r="S461" s="81" t="str">
        <f>IF(AND($O461=$Q$7,$B461&lt;'111'!$L$11),"x","")</f>
        <v>x</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
      </c>
      <c r="AE461">
        <v>2</v>
      </c>
    </row>
    <row r="462" spans="1:31" ht="15.75" customHeight="1">
      <c r="A462" s="1096">
        <f>IF(B462&lt;&gt;"",IF(AND(B462='IN-TC'!$S$4,OR(TH!N462="1111",TH!O462="1111")),TH!D462,""),"")</f>
        <v>0</v>
      </c>
      <c r="B462" s="1097">
        <f t="shared" si="117"/>
        <v>2</v>
      </c>
      <c r="C462" s="1102">
        <v>42772</v>
      </c>
      <c r="D462" s="1102"/>
      <c r="E462" s="1102">
        <v>42772</v>
      </c>
      <c r="F462" s="1103" t="s">
        <v>1174</v>
      </c>
      <c r="G462" s="1104" t="s">
        <v>1176</v>
      </c>
      <c r="H462" s="1105" t="s">
        <v>1177</v>
      </c>
      <c r="I462" s="1098"/>
      <c r="J462" s="1106"/>
      <c r="K462" s="1099"/>
      <c r="L462" s="1098"/>
      <c r="M462" s="1100">
        <v>3325000</v>
      </c>
      <c r="N462" s="1107" t="s">
        <v>582</v>
      </c>
      <c r="O462" s="1107" t="s">
        <v>63</v>
      </c>
      <c r="P462" s="81" t="str">
        <f>IF(AND('331-CT'!$E$7=TH!H462,OR(N462="331",O462="331")),"x","")</f>
        <v/>
      </c>
      <c r="Q462" s="81" t="str">
        <f>IF(AND(B462='111'!$L$11,OR($N462=$Q$7,$O462=$Q$7)),"x","")</f>
        <v/>
      </c>
      <c r="R462" s="81" t="str">
        <f>IF(AND($N462=$Q$7,$B462&lt;'111'!$L$11),"x","")</f>
        <v/>
      </c>
      <c r="S462" s="81" t="str">
        <f>IF(AND($O462=$Q$7,$B462&lt;'111'!$L$11),"x","")</f>
        <v>x</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
      </c>
      <c r="AE462">
        <v>2</v>
      </c>
    </row>
    <row r="463" spans="1:31" ht="15.75" customHeight="1">
      <c r="A463" s="1096">
        <f>IF(B463&lt;&gt;"",IF(AND(B463='IN-TC'!$S$4,OR(TH!N463="1111",TH!O463="1111")),TH!D463,""),"")</f>
        <v>0</v>
      </c>
      <c r="B463" s="1097">
        <f t="shared" si="117"/>
        <v>2</v>
      </c>
      <c r="C463" s="1102">
        <v>42772</v>
      </c>
      <c r="D463" s="1102"/>
      <c r="E463" s="1102">
        <v>42772</v>
      </c>
      <c r="F463" s="1103" t="s">
        <v>1175</v>
      </c>
      <c r="G463" s="1104" t="s">
        <v>1176</v>
      </c>
      <c r="H463" s="1105" t="s">
        <v>1177</v>
      </c>
      <c r="I463" s="1098"/>
      <c r="J463" s="1106"/>
      <c r="K463" s="1099"/>
      <c r="L463" s="1098"/>
      <c r="M463" s="1100">
        <v>332500</v>
      </c>
      <c r="N463" s="1107" t="s">
        <v>9</v>
      </c>
      <c r="O463" s="1107" t="s">
        <v>63</v>
      </c>
      <c r="P463" s="81" t="str">
        <f>IF(AND('331-CT'!$E$7=TH!H463,OR(N463="331",O463="331")),"x","")</f>
        <v/>
      </c>
      <c r="Q463" s="81" t="str">
        <f>IF(AND(B463='111'!$L$11,OR($N463=$Q$7,$O463=$Q$7)),"x","")</f>
        <v/>
      </c>
      <c r="R463" s="81" t="str">
        <f>IF(AND($N463=$Q$7,$B463&lt;'111'!$L$11),"x","")</f>
        <v/>
      </c>
      <c r="S463" s="81" t="str">
        <f>IF(AND($O463=$Q$7,$B463&lt;'111'!$L$11),"x","")</f>
        <v>x</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
      </c>
      <c r="AE463">
        <v>2</v>
      </c>
    </row>
    <row r="464" spans="1:31" ht="15.75" customHeight="1">
      <c r="A464" s="327">
        <f>IF(B464&lt;&gt;"",IF(AND(B464='IN-TC'!$S$4,OR(TH!N464="1111",TH!O464="1111")),TH!D464,""),"")</f>
        <v>0</v>
      </c>
      <c r="B464" s="62">
        <f t="shared" si="117"/>
        <v>2</v>
      </c>
      <c r="C464" s="309">
        <v>42772</v>
      </c>
      <c r="D464" s="309"/>
      <c r="E464" s="309">
        <v>42772</v>
      </c>
      <c r="F464" s="310" t="s">
        <v>1179</v>
      </c>
      <c r="G464" s="1042" t="s">
        <v>1180</v>
      </c>
      <c r="H464" s="71" t="s">
        <v>1061</v>
      </c>
      <c r="I464" s="405"/>
      <c r="J464" s="1043"/>
      <c r="K464" s="398"/>
      <c r="L464" s="405"/>
      <c r="M464" s="1044">
        <v>2014523</v>
      </c>
      <c r="N464" s="312" t="s">
        <v>101</v>
      </c>
      <c r="O464" s="312" t="s">
        <v>63</v>
      </c>
      <c r="P464" s="81" t="str">
        <f>IF(AND('331-CT'!$E$7=TH!H464,OR(N464="331",O464="331")),"x","")</f>
        <v/>
      </c>
      <c r="Q464" s="81" t="str">
        <f>IF(AND(B464='111'!$L$11,OR($N464=$Q$7,$O464=$Q$7)),"x","")</f>
        <v/>
      </c>
      <c r="R464" s="81" t="str">
        <f>IF(AND($N464=$Q$7,$B464&lt;'111'!$L$11),"x","")</f>
        <v/>
      </c>
      <c r="S464" s="81" t="str">
        <f>IF(AND($O464=$Q$7,$B464&lt;'111'!$L$11),"x","")</f>
        <v>x</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
      </c>
      <c r="AE464">
        <v>2</v>
      </c>
    </row>
    <row r="465" spans="1:31" ht="15.75" customHeight="1">
      <c r="A465" s="327">
        <f>IF(B465&lt;&gt;"",IF(AND(B465='IN-TC'!$S$4,OR(TH!N465="1111",TH!O465="1111")),TH!D465,""),"")</f>
        <v>0</v>
      </c>
      <c r="B465" s="62">
        <f t="shared" si="117"/>
        <v>2</v>
      </c>
      <c r="C465" s="309">
        <v>42772</v>
      </c>
      <c r="D465" s="309"/>
      <c r="E465" s="309">
        <v>42772</v>
      </c>
      <c r="F465" s="310" t="s">
        <v>1178</v>
      </c>
      <c r="G465" s="1042" t="s">
        <v>1180</v>
      </c>
      <c r="H465" s="71" t="s">
        <v>1061</v>
      </c>
      <c r="I465" s="405"/>
      <c r="J465" s="1043"/>
      <c r="K465" s="398"/>
      <c r="L465" s="405"/>
      <c r="M465" s="1044">
        <v>201452</v>
      </c>
      <c r="N465" s="312" t="s">
        <v>9</v>
      </c>
      <c r="O465" s="312" t="s">
        <v>63</v>
      </c>
      <c r="P465" s="81" t="str">
        <f>IF(AND('331-CT'!$E$7=TH!H465,OR(N465="331",O465="331")),"x","")</f>
        <v/>
      </c>
      <c r="Q465" s="81" t="str">
        <f>IF(AND(B465='111'!$L$11,OR($N465=$Q$7,$O465=$Q$7)),"x","")</f>
        <v/>
      </c>
      <c r="R465" s="81" t="str">
        <f>IF(AND($N465=$Q$7,$B465&lt;'111'!$L$11),"x","")</f>
        <v/>
      </c>
      <c r="S465" s="81" t="str">
        <f>IF(AND($O465=$Q$7,$B465&lt;'111'!$L$11),"x","")</f>
        <v>x</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
      </c>
      <c r="AE465">
        <v>2</v>
      </c>
    </row>
    <row r="466" spans="1:31" ht="15.75" customHeight="1">
      <c r="A466" s="327">
        <f>IF(B466&lt;&gt;"",IF(AND(B466='IN-TC'!$S$4,OR(TH!N466="1111",TH!O466="1111")),TH!D466,""),"")</f>
        <v>0</v>
      </c>
      <c r="B466" s="62">
        <f t="shared" si="117"/>
        <v>2</v>
      </c>
      <c r="C466" s="309">
        <v>42778</v>
      </c>
      <c r="D466" s="309"/>
      <c r="E466" s="309">
        <v>42778</v>
      </c>
      <c r="F466" s="310" t="s">
        <v>1010</v>
      </c>
      <c r="G466" s="1042" t="s">
        <v>1181</v>
      </c>
      <c r="H466" s="71" t="s">
        <v>1013</v>
      </c>
      <c r="I466" s="405"/>
      <c r="J466" s="1043"/>
      <c r="K466" s="398"/>
      <c r="L466" s="405"/>
      <c r="M466" s="1044">
        <v>3180018</v>
      </c>
      <c r="N466" s="312" t="s">
        <v>101</v>
      </c>
      <c r="O466" s="312" t="s">
        <v>63</v>
      </c>
      <c r="P466" s="81" t="str">
        <f>IF(AND('331-CT'!$E$7=TH!H466,OR(N466="331",O466="331")),"x","")</f>
        <v/>
      </c>
      <c r="Q466" s="81" t="str">
        <f>IF(AND(B466='111'!$L$11,OR($N466=$Q$7,$O466=$Q$7)),"x","")</f>
        <v/>
      </c>
      <c r="R466" s="81" t="str">
        <f>IF(AND($N466=$Q$7,$B466&lt;'111'!$L$11),"x","")</f>
        <v/>
      </c>
      <c r="S466" s="81" t="str">
        <f>IF(AND($O466=$Q$7,$B466&lt;'111'!$L$11),"x","")</f>
        <v>x</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
      </c>
      <c r="AE466">
        <v>2</v>
      </c>
    </row>
    <row r="467" spans="1:31" ht="15.75" customHeight="1">
      <c r="A467" s="327">
        <f>IF(B467&lt;&gt;"",IF(AND(B467='IN-TC'!$S$4,OR(TH!N467="1111",TH!O467="1111")),TH!D467,""),"")</f>
        <v>0</v>
      </c>
      <c r="B467" s="62">
        <f t="shared" si="117"/>
        <v>2</v>
      </c>
      <c r="C467" s="309">
        <v>42778</v>
      </c>
      <c r="D467" s="309"/>
      <c r="E467" s="309">
        <v>42778</v>
      </c>
      <c r="F467" s="310" t="s">
        <v>1011</v>
      </c>
      <c r="G467" s="1042" t="s">
        <v>1181</v>
      </c>
      <c r="H467" s="71" t="s">
        <v>1013</v>
      </c>
      <c r="I467" s="405"/>
      <c r="J467" s="1043"/>
      <c r="K467" s="398"/>
      <c r="L467" s="405"/>
      <c r="M467" s="1044">
        <v>318002</v>
      </c>
      <c r="N467" s="312" t="s">
        <v>9</v>
      </c>
      <c r="O467" s="312" t="s">
        <v>63</v>
      </c>
      <c r="P467" s="81" t="str">
        <f>IF(AND('331-CT'!$E$7=TH!H467,OR(N467="331",O467="331")),"x","")</f>
        <v/>
      </c>
      <c r="Q467" s="81" t="str">
        <f>IF(AND(B467='111'!$L$11,OR($N467=$Q$7,$O467=$Q$7)),"x","")</f>
        <v/>
      </c>
      <c r="R467" s="81" t="str">
        <f>IF(AND($N467=$Q$7,$B467&lt;'111'!$L$11),"x","")</f>
        <v/>
      </c>
      <c r="S467" s="81" t="str">
        <f>IF(AND($O467=$Q$7,$B467&lt;'111'!$L$11),"x","")</f>
        <v>x</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
      </c>
      <c r="AE467">
        <v>2</v>
      </c>
    </row>
    <row r="468" spans="1:31" ht="15.75" customHeight="1">
      <c r="A468" s="327">
        <f>IF(B468&lt;&gt;"",IF(AND(B468='IN-TC'!$S$4,OR(TH!N468="1111",TH!O468="1111")),TH!D468,""),"")</f>
        <v>0</v>
      </c>
      <c r="B468" s="62">
        <f t="shared" si="117"/>
        <v>2</v>
      </c>
      <c r="C468" s="309">
        <v>42779</v>
      </c>
      <c r="D468" s="309"/>
      <c r="E468" s="309">
        <v>42779</v>
      </c>
      <c r="F468" s="310" t="s">
        <v>1005</v>
      </c>
      <c r="G468" s="1063" t="s">
        <v>639</v>
      </c>
      <c r="H468" s="71" t="s">
        <v>1161</v>
      </c>
      <c r="I468" s="405"/>
      <c r="J468" s="1043"/>
      <c r="K468" s="398"/>
      <c r="L468" s="405"/>
      <c r="M468" s="1044">
        <v>70000000</v>
      </c>
      <c r="N468" s="312" t="s">
        <v>26</v>
      </c>
      <c r="O468" s="312" t="s">
        <v>63</v>
      </c>
      <c r="P468" s="81" t="str">
        <f>IF(AND('331-CT'!$E$7=TH!H468,OR(N468="331",O468="331")),"x","")</f>
        <v/>
      </c>
      <c r="Q468" s="81" t="str">
        <f>IF(AND(B468='111'!$L$11,OR($N468=$Q$7,$O468=$Q$7)),"x","")</f>
        <v/>
      </c>
      <c r="R468" s="81" t="str">
        <f>IF(AND($N468=$Q$7,$B468&lt;'111'!$L$11),"x","")</f>
        <v/>
      </c>
      <c r="S468" s="81" t="str">
        <f>IF(AND($O468=$Q$7,$B468&lt;'111'!$L$11),"x","")</f>
        <v>x</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
      </c>
    </row>
    <row r="469" spans="1:31" ht="15.75" customHeight="1">
      <c r="A469" s="327">
        <f>IF(B469&lt;&gt;"",IF(AND(B469='IN-TC'!$S$4,OR(TH!N469="1111",TH!O469="1111")),TH!D469,""),"")</f>
        <v>0</v>
      </c>
      <c r="B469" s="62">
        <f t="shared" si="117"/>
        <v>2</v>
      </c>
      <c r="C469" s="309">
        <v>42781</v>
      </c>
      <c r="D469" s="309"/>
      <c r="E469" s="309">
        <v>42781</v>
      </c>
      <c r="F469" s="310" t="s">
        <v>1010</v>
      </c>
      <c r="G469" s="1042" t="s">
        <v>1182</v>
      </c>
      <c r="H469" s="71" t="s">
        <v>1013</v>
      </c>
      <c r="I469" s="405"/>
      <c r="J469" s="1043"/>
      <c r="K469" s="398"/>
      <c r="L469" s="405"/>
      <c r="M469" s="1044">
        <v>1307927</v>
      </c>
      <c r="N469" s="312" t="s">
        <v>101</v>
      </c>
      <c r="O469" s="312" t="s">
        <v>63</v>
      </c>
      <c r="P469" s="81" t="str">
        <f>IF(AND('331-CT'!$E$7=TH!H469,OR(N469="331",O469="331")),"x","")</f>
        <v/>
      </c>
      <c r="Q469" s="81" t="str">
        <f>IF(AND(B469='111'!$L$11,OR($N469=$Q$7,$O469=$Q$7)),"x","")</f>
        <v/>
      </c>
      <c r="R469" s="81" t="str">
        <f>IF(AND($N469=$Q$7,$B469&lt;'111'!$L$11),"x","")</f>
        <v/>
      </c>
      <c r="S469" s="81" t="str">
        <f>IF(AND($O469=$Q$7,$B469&lt;'111'!$L$11),"x","")</f>
        <v>x</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
      </c>
      <c r="AE469">
        <v>2</v>
      </c>
    </row>
    <row r="470" spans="1:31" ht="15.75" customHeight="1">
      <c r="A470" s="327">
        <f>IF(B470&lt;&gt;"",IF(AND(B470='IN-TC'!$S$4,OR(TH!N470="1111",TH!O470="1111")),TH!D470,""),"")</f>
        <v>0</v>
      </c>
      <c r="B470" s="62">
        <f t="shared" si="117"/>
        <v>2</v>
      </c>
      <c r="C470" s="309">
        <v>42781</v>
      </c>
      <c r="D470" s="309"/>
      <c r="E470" s="309">
        <v>42781</v>
      </c>
      <c r="F470" s="310" t="s">
        <v>1011</v>
      </c>
      <c r="G470" s="1042" t="s">
        <v>1182</v>
      </c>
      <c r="H470" s="71" t="s">
        <v>1013</v>
      </c>
      <c r="I470" s="405"/>
      <c r="J470" s="1043"/>
      <c r="K470" s="398"/>
      <c r="L470" s="405"/>
      <c r="M470" s="1044">
        <v>130793</v>
      </c>
      <c r="N470" s="312" t="s">
        <v>9</v>
      </c>
      <c r="O470" s="312" t="s">
        <v>63</v>
      </c>
      <c r="P470" s="81" t="str">
        <f>IF(AND('331-CT'!$E$7=TH!H470,OR(N470="331",O470="331")),"x","")</f>
        <v/>
      </c>
      <c r="Q470" s="81" t="str">
        <f>IF(AND(B470='111'!$L$11,OR($N470=$Q$7,$O470=$Q$7)),"x","")</f>
        <v/>
      </c>
      <c r="R470" s="81" t="str">
        <f>IF(AND($N470=$Q$7,$B470&lt;'111'!$L$11),"x","")</f>
        <v/>
      </c>
      <c r="S470" s="81" t="str">
        <f>IF(AND($O470=$Q$7,$B470&lt;'111'!$L$11),"x","")</f>
        <v>x</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
      </c>
      <c r="AE470">
        <v>2</v>
      </c>
    </row>
    <row r="471" spans="1:31" ht="15.75" customHeight="1">
      <c r="A471" s="327">
        <f>IF(B471&lt;&gt;"",IF(AND(B471='IN-TC'!$S$4,OR(TH!N471="1111",TH!O471="1111")),TH!D471,""),"")</f>
        <v>0</v>
      </c>
      <c r="B471" s="62">
        <f t="shared" si="117"/>
        <v>2</v>
      </c>
      <c r="C471" s="309">
        <v>42781</v>
      </c>
      <c r="D471" s="309"/>
      <c r="E471" s="309">
        <v>42781</v>
      </c>
      <c r="F471" s="310" t="s">
        <v>1184</v>
      </c>
      <c r="G471" s="1042" t="s">
        <v>1183</v>
      </c>
      <c r="H471" s="71" t="s">
        <v>1186</v>
      </c>
      <c r="I471" s="405"/>
      <c r="J471" s="1043"/>
      <c r="K471" s="398"/>
      <c r="L471" s="405"/>
      <c r="M471" s="1044">
        <v>4291364</v>
      </c>
      <c r="N471" s="312" t="s">
        <v>101</v>
      </c>
      <c r="O471" s="312" t="s">
        <v>63</v>
      </c>
      <c r="P471" s="81" t="str">
        <f>IF(AND('331-CT'!$E$7=TH!H471,OR(N471="331",O471="331")),"x","")</f>
        <v/>
      </c>
      <c r="Q471" s="81" t="str">
        <f>IF(AND(B471='111'!$L$11,OR($N471=$Q$7,$O471=$Q$7)),"x","")</f>
        <v/>
      </c>
      <c r="R471" s="81" t="str">
        <f>IF(AND($N471=$Q$7,$B471&lt;'111'!$L$11),"x","")</f>
        <v/>
      </c>
      <c r="S471" s="81" t="str">
        <f>IF(AND($O471=$Q$7,$B471&lt;'111'!$L$11),"x","")</f>
        <v>x</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
      </c>
      <c r="AE471">
        <v>2</v>
      </c>
    </row>
    <row r="472" spans="1:31" ht="15.75" customHeight="1">
      <c r="A472" s="327">
        <f>IF(B472&lt;&gt;"",IF(AND(B472='IN-TC'!$S$4,OR(TH!N472="1111",TH!O472="1111")),TH!D472,""),"")</f>
        <v>0</v>
      </c>
      <c r="B472" s="62">
        <f t="shared" si="117"/>
        <v>2</v>
      </c>
      <c r="C472" s="309">
        <v>42781</v>
      </c>
      <c r="D472" s="309"/>
      <c r="E472" s="309">
        <v>42781</v>
      </c>
      <c r="F472" s="310" t="s">
        <v>1185</v>
      </c>
      <c r="G472" s="1042" t="s">
        <v>1183</v>
      </c>
      <c r="H472" s="71" t="s">
        <v>1186</v>
      </c>
      <c r="I472" s="405"/>
      <c r="J472" s="1043"/>
      <c r="K472" s="398"/>
      <c r="L472" s="405"/>
      <c r="M472" s="1044">
        <v>429136</v>
      </c>
      <c r="N472" s="312" t="s">
        <v>9</v>
      </c>
      <c r="O472" s="312" t="s">
        <v>63</v>
      </c>
      <c r="P472" s="81" t="str">
        <f>IF(AND('331-CT'!$E$7=TH!H472,OR(N472="331",O472="331")),"x","")</f>
        <v/>
      </c>
      <c r="Q472" s="81" t="str">
        <f>IF(AND(B472='111'!$L$11,OR($N472=$Q$7,$O472=$Q$7)),"x","")</f>
        <v/>
      </c>
      <c r="R472" s="81" t="str">
        <f>IF(AND($N472=$Q$7,$B472&lt;'111'!$L$11),"x","")</f>
        <v/>
      </c>
      <c r="S472" s="81" t="str">
        <f>IF(AND($O472=$Q$7,$B472&lt;'111'!$L$11),"x","")</f>
        <v>x</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
      </c>
      <c r="AE472">
        <v>2</v>
      </c>
    </row>
    <row r="473" spans="1:31" ht="15.75" customHeight="1">
      <c r="A473" s="327">
        <f>IF(B473&lt;&gt;"",IF(AND(B473='IN-TC'!$S$4,OR(TH!N473="1111",TH!O473="1111")),TH!D473,""),"")</f>
        <v>0</v>
      </c>
      <c r="B473" s="62">
        <f t="shared" si="117"/>
        <v>2</v>
      </c>
      <c r="C473" s="309">
        <v>42784</v>
      </c>
      <c r="D473" s="309"/>
      <c r="E473" s="309">
        <v>42784</v>
      </c>
      <c r="F473" s="310" t="s">
        <v>1010</v>
      </c>
      <c r="G473" s="1042" t="s">
        <v>1187</v>
      </c>
      <c r="H473" s="71" t="s">
        <v>1013</v>
      </c>
      <c r="I473" s="405"/>
      <c r="J473" s="1043"/>
      <c r="K473" s="398"/>
      <c r="L473" s="405"/>
      <c r="M473" s="1044">
        <v>802964</v>
      </c>
      <c r="N473" s="312" t="s">
        <v>101</v>
      </c>
      <c r="O473" s="312" t="s">
        <v>63</v>
      </c>
      <c r="P473" s="81" t="str">
        <f>IF(AND('331-CT'!$E$7=TH!H473,OR(N473="331",O473="331")),"x","")</f>
        <v/>
      </c>
      <c r="Q473" s="81" t="str">
        <f>IF(AND(B473='111'!$L$11,OR($N473=$Q$7,$O473=$Q$7)),"x","")</f>
        <v/>
      </c>
      <c r="R473" s="81" t="str">
        <f>IF(AND($N473=$Q$7,$B473&lt;'111'!$L$11),"x","")</f>
        <v/>
      </c>
      <c r="S473" s="81" t="str">
        <f>IF(AND($O473=$Q$7,$B473&lt;'111'!$L$11),"x","")</f>
        <v>x</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
      </c>
      <c r="AE473">
        <v>2</v>
      </c>
    </row>
    <row r="474" spans="1:31" ht="15.75" customHeight="1">
      <c r="A474" s="327">
        <f>IF(B474&lt;&gt;"",IF(AND(B474='IN-TC'!$S$4,OR(TH!N474="1111",TH!O474="1111")),TH!D474,""),"")</f>
        <v>0</v>
      </c>
      <c r="B474" s="62">
        <f t="shared" si="117"/>
        <v>2</v>
      </c>
      <c r="C474" s="309">
        <v>42784</v>
      </c>
      <c r="D474" s="309"/>
      <c r="E474" s="309">
        <v>42784</v>
      </c>
      <c r="F474" s="310" t="s">
        <v>1011</v>
      </c>
      <c r="G474" s="1042" t="s">
        <v>1187</v>
      </c>
      <c r="H474" s="71" t="s">
        <v>1013</v>
      </c>
      <c r="I474" s="405"/>
      <c r="J474" s="1043"/>
      <c r="K474" s="398"/>
      <c r="L474" s="405"/>
      <c r="M474" s="1044">
        <v>80296</v>
      </c>
      <c r="N474" s="312" t="s">
        <v>9</v>
      </c>
      <c r="O474" s="312" t="s">
        <v>63</v>
      </c>
      <c r="P474" s="81" t="str">
        <f>IF(AND('331-CT'!$E$7=TH!H474,OR(N474="331",O474="331")),"x","")</f>
        <v/>
      </c>
      <c r="Q474" s="81" t="str">
        <f>IF(AND(B474='111'!$L$11,OR($N474=$Q$7,$O474=$Q$7)),"x","")</f>
        <v/>
      </c>
      <c r="R474" s="81" t="str">
        <f>IF(AND($N474=$Q$7,$B474&lt;'111'!$L$11),"x","")</f>
        <v/>
      </c>
      <c r="S474" s="81" t="str">
        <f>IF(AND($O474=$Q$7,$B474&lt;'111'!$L$11),"x","")</f>
        <v>x</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
      </c>
      <c r="AE474">
        <v>2</v>
      </c>
    </row>
    <row r="475" spans="1:31" ht="15.75" customHeight="1">
      <c r="A475" s="327">
        <f>IF(B475&lt;&gt;"",IF(AND(B475='IN-TC'!$S$4,OR(TH!N475="1111",TH!O475="1111")),TH!D475,""),"")</f>
        <v>0</v>
      </c>
      <c r="B475" s="62">
        <f t="shared" si="117"/>
        <v>2</v>
      </c>
      <c r="C475" s="309">
        <v>42787</v>
      </c>
      <c r="D475" s="309"/>
      <c r="E475" s="309">
        <v>42787</v>
      </c>
      <c r="F475" s="310" t="s">
        <v>1010</v>
      </c>
      <c r="G475" s="1042" t="s">
        <v>1188</v>
      </c>
      <c r="H475" s="71" t="s">
        <v>1013</v>
      </c>
      <c r="I475" s="405"/>
      <c r="J475" s="1043"/>
      <c r="K475" s="398"/>
      <c r="L475" s="405"/>
      <c r="M475" s="1044">
        <v>2568755</v>
      </c>
      <c r="N475" s="312" t="s">
        <v>101</v>
      </c>
      <c r="O475" s="312" t="s">
        <v>63</v>
      </c>
      <c r="P475" s="81" t="str">
        <f>IF(AND('331-CT'!$E$7=TH!H475,OR(N475="331",O475="331")),"x","")</f>
        <v/>
      </c>
      <c r="Q475" s="81" t="str">
        <f>IF(AND(B475='111'!$L$11,OR($N475=$Q$7,$O475=$Q$7)),"x","")</f>
        <v/>
      </c>
      <c r="R475" s="81" t="str">
        <f>IF(AND($N475=$Q$7,$B475&lt;'111'!$L$11),"x","")</f>
        <v/>
      </c>
      <c r="S475" s="81" t="str">
        <f>IF(AND($O475=$Q$7,$B475&lt;'111'!$L$11),"x","")</f>
        <v>x</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
      </c>
      <c r="AE475">
        <v>2</v>
      </c>
    </row>
    <row r="476" spans="1:31" ht="15.75" customHeight="1">
      <c r="A476" s="327">
        <f>IF(B476&lt;&gt;"",IF(AND(B476='IN-TC'!$S$4,OR(TH!N476="1111",TH!O476="1111")),TH!D476,""),"")</f>
        <v>0</v>
      </c>
      <c r="B476" s="62">
        <f t="shared" si="117"/>
        <v>2</v>
      </c>
      <c r="C476" s="309">
        <v>42787</v>
      </c>
      <c r="D476" s="309"/>
      <c r="E476" s="309">
        <v>42787</v>
      </c>
      <c r="F476" s="310" t="s">
        <v>1011</v>
      </c>
      <c r="G476" s="1042" t="s">
        <v>1188</v>
      </c>
      <c r="H476" s="71" t="s">
        <v>1013</v>
      </c>
      <c r="I476" s="405"/>
      <c r="J476" s="1043"/>
      <c r="K476" s="398"/>
      <c r="L476" s="405"/>
      <c r="M476" s="1044">
        <v>256875</v>
      </c>
      <c r="N476" s="312" t="s">
        <v>9</v>
      </c>
      <c r="O476" s="312" t="s">
        <v>63</v>
      </c>
      <c r="P476" s="81" t="str">
        <f>IF(AND('331-CT'!$E$7=TH!H476,OR(N476="331",O476="331")),"x","")</f>
        <v/>
      </c>
      <c r="Q476" s="81" t="str">
        <f>IF(AND(B476='111'!$L$11,OR($N476=$Q$7,$O476=$Q$7)),"x","")</f>
        <v/>
      </c>
      <c r="R476" s="81" t="str">
        <f>IF(AND($N476=$Q$7,$B476&lt;'111'!$L$11),"x","")</f>
        <v/>
      </c>
      <c r="S476" s="81" t="str">
        <f>IF(AND($O476=$Q$7,$B476&lt;'111'!$L$11),"x","")</f>
        <v>x</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
      </c>
      <c r="AE476">
        <v>2</v>
      </c>
    </row>
    <row r="477" spans="1:31" ht="15.75" customHeight="1">
      <c r="A477" s="327">
        <f>IF(B477&lt;&gt;"",IF(AND(B477='IN-TC'!$S$4,OR(TH!N477="1111",TH!O477="1111")),TH!D477,""),"")</f>
        <v>0</v>
      </c>
      <c r="B477" s="62">
        <f t="shared" si="117"/>
        <v>2</v>
      </c>
      <c r="C477" s="309">
        <v>42793</v>
      </c>
      <c r="D477" s="309"/>
      <c r="E477" s="309">
        <v>42793</v>
      </c>
      <c r="F477" s="310" t="s">
        <v>1190</v>
      </c>
      <c r="G477" s="1042" t="s">
        <v>1191</v>
      </c>
      <c r="H477" s="71" t="s">
        <v>1100</v>
      </c>
      <c r="I477" s="405"/>
      <c r="J477" s="1043"/>
      <c r="K477" s="398"/>
      <c r="L477" s="405"/>
      <c r="M477" s="1044">
        <v>11500000</v>
      </c>
      <c r="N477" s="312" t="s">
        <v>101</v>
      </c>
      <c r="O477" s="312" t="s">
        <v>63</v>
      </c>
      <c r="P477" s="81" t="str">
        <f>IF(AND('331-CT'!$E$7=TH!H477,OR(N477="331",O477="331")),"x","")</f>
        <v/>
      </c>
      <c r="Q477" s="81" t="str">
        <f>IF(AND(B477='111'!$L$11,OR($N477=$Q$7,$O477=$Q$7)),"x","")</f>
        <v/>
      </c>
      <c r="R477" s="81" t="str">
        <f>IF(AND($N477=$Q$7,$B477&lt;'111'!$L$11),"x","")</f>
        <v/>
      </c>
      <c r="S477" s="81" t="str">
        <f>IF(AND($O477=$Q$7,$B477&lt;'111'!$L$11),"x","")</f>
        <v>x</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
      </c>
      <c r="AE477">
        <v>2</v>
      </c>
    </row>
    <row r="478" spans="1:31" ht="15.75" customHeight="1">
      <c r="A478" s="327">
        <f>IF(B478&lt;&gt;"",IF(AND(B478='IN-TC'!$S$4,OR(TH!N478="1111",TH!O478="1111")),TH!D478,""),"")</f>
        <v>0</v>
      </c>
      <c r="B478" s="62">
        <f t="shared" ref="B478:B484" si="121">IF(C478&lt;&gt;"",MONTH(C478),"")</f>
        <v>2</v>
      </c>
      <c r="C478" s="309">
        <v>42793</v>
      </c>
      <c r="D478" s="309"/>
      <c r="E478" s="309">
        <v>42793</v>
      </c>
      <c r="F478" s="310" t="s">
        <v>1189</v>
      </c>
      <c r="G478" s="1042" t="s">
        <v>1191</v>
      </c>
      <c r="H478" s="71" t="s">
        <v>1100</v>
      </c>
      <c r="I478" s="405"/>
      <c r="J478" s="1043"/>
      <c r="K478" s="398"/>
      <c r="L478" s="405"/>
      <c r="M478" s="1044">
        <v>1150000</v>
      </c>
      <c r="N478" s="312" t="s">
        <v>9</v>
      </c>
      <c r="O478" s="312" t="s">
        <v>63</v>
      </c>
      <c r="P478" s="81" t="str">
        <f>IF(AND('331-CT'!$E$7=TH!H478,OR(N478="331",O478="331")),"x","")</f>
        <v/>
      </c>
      <c r="Q478" s="81" t="str">
        <f>IF(AND(B478='111'!$L$11,OR($N478=$Q$7,$O478=$Q$7)),"x","")</f>
        <v/>
      </c>
      <c r="R478" s="81" t="str">
        <f>IF(AND($N478=$Q$7,$B478&lt;'111'!$L$11),"x","")</f>
        <v/>
      </c>
      <c r="S478" s="81" t="str">
        <f>IF(AND($O478=$Q$7,$B478&lt;'111'!$L$11),"x","")</f>
        <v>x</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c r="AE478">
        <v>2</v>
      </c>
    </row>
    <row r="479" spans="1:31" ht="15.75" customHeight="1">
      <c r="A479" s="327">
        <f>IF(B479&lt;&gt;"",IF(AND(B479='IN-TC'!$S$4,OR(TH!N479="1111",TH!O479="1111")),TH!D479,""),"")</f>
        <v>0</v>
      </c>
      <c r="B479" s="62">
        <f t="shared" si="121"/>
        <v>2</v>
      </c>
      <c r="C479" s="309">
        <v>42794</v>
      </c>
      <c r="D479" s="309"/>
      <c r="E479" s="309">
        <v>42794</v>
      </c>
      <c r="F479" s="310" t="s">
        <v>1010</v>
      </c>
      <c r="G479" s="1042" t="s">
        <v>1192</v>
      </c>
      <c r="H479" s="71" t="s">
        <v>1013</v>
      </c>
      <c r="I479" s="405"/>
      <c r="J479" s="1043"/>
      <c r="K479" s="398"/>
      <c r="L479" s="405"/>
      <c r="M479" s="1044">
        <v>3716836</v>
      </c>
      <c r="N479" s="312" t="s">
        <v>101</v>
      </c>
      <c r="O479" s="312" t="s">
        <v>63</v>
      </c>
      <c r="P479" s="81" t="str">
        <f>IF(AND('331-CT'!$E$7=TH!H479,OR(N479="331",O479="331")),"x","")</f>
        <v/>
      </c>
      <c r="Q479" s="81" t="str">
        <f>IF(AND(B479='111'!$L$11,OR($N479=$Q$7,$O479=$Q$7)),"x","")</f>
        <v/>
      </c>
      <c r="R479" s="81" t="str">
        <f>IF(AND($N479=$Q$7,$B479&lt;'111'!$L$11),"x","")</f>
        <v/>
      </c>
      <c r="S479" s="81" t="str">
        <f>IF(AND($O479=$Q$7,$B479&lt;'111'!$L$11),"x","")</f>
        <v>x</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c r="AE479">
        <v>2</v>
      </c>
    </row>
    <row r="480" spans="1:31" ht="15.75" customHeight="1">
      <c r="A480" s="327">
        <f>IF(B480&lt;&gt;"",IF(AND(B480='IN-TC'!$S$4,OR(TH!N480="1111",TH!O480="1111")),TH!D480,""),"")</f>
        <v>0</v>
      </c>
      <c r="B480" s="62">
        <f t="shared" si="121"/>
        <v>2</v>
      </c>
      <c r="C480" s="309">
        <v>42794</v>
      </c>
      <c r="D480" s="309"/>
      <c r="E480" s="309">
        <v>42794</v>
      </c>
      <c r="F480" s="310" t="s">
        <v>1011</v>
      </c>
      <c r="G480" s="1042" t="s">
        <v>1192</v>
      </c>
      <c r="H480" s="71" t="s">
        <v>1013</v>
      </c>
      <c r="I480" s="405"/>
      <c r="J480" s="1043"/>
      <c r="K480" s="398"/>
      <c r="L480" s="405"/>
      <c r="M480" s="1044">
        <v>371684</v>
      </c>
      <c r="N480" s="312" t="s">
        <v>9</v>
      </c>
      <c r="O480" s="312" t="s">
        <v>63</v>
      </c>
      <c r="P480" s="81" t="str">
        <f>IF(AND('331-CT'!$E$7=TH!H480,OR(N480="331",O480="331")),"x","")</f>
        <v/>
      </c>
      <c r="Q480" s="81" t="str">
        <f>IF(AND(B480='111'!$L$11,OR($N480=$Q$7,$O480=$Q$7)),"x","")</f>
        <v/>
      </c>
      <c r="R480" s="81" t="str">
        <f>IF(AND($N480=$Q$7,$B480&lt;'111'!$L$11),"x","")</f>
        <v/>
      </c>
      <c r="S480" s="81" t="str">
        <f>IF(AND($O480=$Q$7,$B480&lt;'111'!$L$11),"x","")</f>
        <v>x</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c r="AE480">
        <v>2</v>
      </c>
    </row>
    <row r="481" spans="1:31" ht="15.75" customHeight="1">
      <c r="A481" s="327">
        <f>IF(B481&lt;&gt;"",IF(AND(B481='IN-TC'!$S$4,OR(TH!N481="1111",TH!O481="1111")),TH!D481,""),"")</f>
        <v>0</v>
      </c>
      <c r="B481" s="62">
        <f t="shared" si="121"/>
        <v>2</v>
      </c>
      <c r="C481" s="309">
        <v>42794</v>
      </c>
      <c r="D481" s="309"/>
      <c r="E481" s="309">
        <v>42794</v>
      </c>
      <c r="F481" s="310" t="s">
        <v>1005</v>
      </c>
      <c r="G481" s="1063" t="s">
        <v>639</v>
      </c>
      <c r="H481" s="71" t="s">
        <v>1236</v>
      </c>
      <c r="I481" s="405"/>
      <c r="J481" s="1043"/>
      <c r="K481" s="398"/>
      <c r="L481" s="405"/>
      <c r="M481" s="1044">
        <v>100000000</v>
      </c>
      <c r="N481" s="312" t="s">
        <v>26</v>
      </c>
      <c r="O481" s="312" t="s">
        <v>63</v>
      </c>
      <c r="P481" s="81" t="str">
        <f>IF(AND('331-CT'!$E$7=TH!H481,OR(N481="331",O481="331")),"x","")</f>
        <v/>
      </c>
      <c r="Q481" s="81" t="str">
        <f>IF(AND(B481='111'!$L$11,OR($N481=$Q$7,$O481=$Q$7)),"x","")</f>
        <v/>
      </c>
      <c r="R481" s="81" t="str">
        <f>IF(AND($N481=$Q$7,$B481&lt;'111'!$L$11),"x","")</f>
        <v/>
      </c>
      <c r="S481" s="81" t="str">
        <f>IF(AND($O481=$Q$7,$B481&lt;'111'!$L$11),"x","")</f>
        <v>x</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row>
    <row r="482" spans="1:31" ht="15.75" customHeight="1">
      <c r="A482" s="327">
        <f>IF(B482&lt;&gt;"",IF(AND(B482='IN-TC'!$S$4,OR(TH!N482="1111",TH!O482="1111")),TH!D482,""),"")</f>
        <v>0</v>
      </c>
      <c r="B482" s="62">
        <f t="shared" ref="B482" si="122">IF(C482&lt;&gt;"",MONTH(C482),"")</f>
        <v>2</v>
      </c>
      <c r="C482" s="309">
        <v>42794</v>
      </c>
      <c r="D482" s="309"/>
      <c r="E482" s="309">
        <v>42794</v>
      </c>
      <c r="F482" s="310" t="s">
        <v>1005</v>
      </c>
      <c r="G482" s="1063" t="s">
        <v>639</v>
      </c>
      <c r="H482" s="71" t="s">
        <v>1161</v>
      </c>
      <c r="I482" s="405"/>
      <c r="J482" s="1043"/>
      <c r="K482" s="398"/>
      <c r="L482" s="405"/>
      <c r="M482" s="1044">
        <v>140000000</v>
      </c>
      <c r="N482" s="312" t="s">
        <v>26</v>
      </c>
      <c r="O482" s="312" t="s">
        <v>63</v>
      </c>
      <c r="P482" s="81" t="str">
        <f>IF(AND('331-CT'!$E$7=TH!H482,OR(N482="331",O482="331")),"x","")</f>
        <v/>
      </c>
      <c r="Q482" s="81" t="str">
        <f>IF(AND(B482='111'!$L$11,OR($N482=$Q$7,$O482=$Q$7)),"x","")</f>
        <v/>
      </c>
      <c r="R482" s="81" t="str">
        <f>IF(AND($N482=$Q$7,$B482&lt;'111'!$L$11),"x","")</f>
        <v/>
      </c>
      <c r="S482" s="81" t="str">
        <f>IF(AND($O482=$Q$7,$B482&lt;'111'!$L$11),"x","")</f>
        <v>x</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row>
    <row r="483" spans="1:31" ht="15.75" customHeight="1">
      <c r="A483" s="327">
        <f>IF(B483&lt;&gt;"",IF(AND(B483='IN-TC'!$S$4,OR(TH!N483="1111",TH!O483="1111")),TH!D483,""),"")</f>
        <v>0</v>
      </c>
      <c r="B483" s="62">
        <f t="shared" ref="B483" si="123">IF(C483&lt;&gt;"",MONTH(C483),"")</f>
        <v>2</v>
      </c>
      <c r="C483" s="309">
        <v>42794</v>
      </c>
      <c r="D483" s="309"/>
      <c r="E483" s="309">
        <v>42794</v>
      </c>
      <c r="F483" s="310" t="s">
        <v>1248</v>
      </c>
      <c r="G483" s="1042" t="s">
        <v>1249</v>
      </c>
      <c r="H483" s="71" t="s">
        <v>1250</v>
      </c>
      <c r="I483" s="405"/>
      <c r="J483" s="1043"/>
      <c r="K483" s="398"/>
      <c r="L483" s="405"/>
      <c r="M483" s="1044">
        <v>3480000</v>
      </c>
      <c r="N483" s="312" t="s">
        <v>582</v>
      </c>
      <c r="O483" s="312" t="s">
        <v>63</v>
      </c>
      <c r="P483" s="81" t="str">
        <f>IF(AND('331-CT'!$E$7=TH!H483,OR(N483="331",O483="331")),"x","")</f>
        <v/>
      </c>
      <c r="Q483" s="81" t="str">
        <f>IF(AND(B483='111'!$L$11,OR($N483=$Q$7,$O483=$Q$7)),"x","")</f>
        <v/>
      </c>
      <c r="R483" s="81" t="str">
        <f>IF(AND($N483=$Q$7,$B483&lt;'111'!$L$11),"x","")</f>
        <v/>
      </c>
      <c r="S483" s="81" t="str">
        <f>IF(AND($O483=$Q$7,$B483&lt;'111'!$L$11),"x","")</f>
        <v>x</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row>
    <row r="484" spans="1:31" ht="15.75" customHeight="1">
      <c r="A484" s="998"/>
      <c r="B484" s="831">
        <f t="shared" si="121"/>
        <v>2</v>
      </c>
      <c r="C484" s="1049">
        <v>42794</v>
      </c>
      <c r="D484" s="1049"/>
      <c r="E484" s="1049">
        <v>42794</v>
      </c>
      <c r="F484" s="1050" t="s">
        <v>1193</v>
      </c>
      <c r="G484" s="1051"/>
      <c r="H484" s="79" t="s">
        <v>1106</v>
      </c>
      <c r="I484" s="403"/>
      <c r="J484" s="1052"/>
      <c r="K484" s="396"/>
      <c r="L484" s="403"/>
      <c r="M484" s="1053"/>
      <c r="N484" s="1054" t="s">
        <v>583</v>
      </c>
      <c r="O484" s="312" t="s">
        <v>63</v>
      </c>
      <c r="P484" s="81" t="str">
        <f>IF(AND('331-CT'!$E$7=TH!H484,OR(N484="331",O484="331")),"x","")</f>
        <v/>
      </c>
      <c r="Q484" s="81" t="str">
        <f>IF(AND(B484='111'!$L$11,OR($N484=$Q$7,$O484=$Q$7)),"x","")</f>
        <v/>
      </c>
      <c r="R484" s="81" t="str">
        <f>IF(AND($N484=$Q$7,$B484&lt;'111'!$L$11),"x","")</f>
        <v/>
      </c>
      <c r="S484" s="81" t="str">
        <f>IF(AND($O484=$Q$7,$B484&lt;'111'!$L$11),"x","")</f>
        <v>x</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row>
    <row r="485" spans="1:31" ht="15.75" customHeight="1">
      <c r="A485" s="998" t="str">
        <f>IF(B485&lt;&gt;"",IF(AND(B485='IN-TC'!$S$4,OR(TH!N485="1111",TH!O485="1111")),TH!D485,""),"")</f>
        <v/>
      </c>
      <c r="B485" s="831" t="str">
        <f t="shared" si="117"/>
        <v/>
      </c>
      <c r="C485" s="1049"/>
      <c r="D485" s="1049"/>
      <c r="E485" s="1049"/>
      <c r="F485" s="1050"/>
      <c r="G485" s="1051"/>
      <c r="H485" s="79"/>
      <c r="I485" s="403"/>
      <c r="J485" s="1052"/>
      <c r="K485" s="396"/>
      <c r="L485" s="403"/>
      <c r="M485" s="1053"/>
      <c r="N485" s="1054"/>
      <c r="O485" s="1054"/>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1" ht="15.75" customHeight="1">
      <c r="A486" s="327" t="str">
        <f>IF(B486&lt;&gt;"",IF(AND(B486='IN-TC'!$S$4,OR(TH!N486="1111",TH!O486="1111")),TH!D486,""),"")</f>
        <v/>
      </c>
      <c r="B486" s="62">
        <f t="shared" si="26"/>
        <v>1</v>
      </c>
      <c r="C486" s="309">
        <v>42739</v>
      </c>
      <c r="D486" s="309" t="s">
        <v>1022</v>
      </c>
      <c r="E486" s="309">
        <f>C486</f>
        <v>42739</v>
      </c>
      <c r="F486" s="310" t="s">
        <v>1019</v>
      </c>
      <c r="G486" s="1063" t="s">
        <v>813</v>
      </c>
      <c r="H486" s="71" t="s">
        <v>800</v>
      </c>
      <c r="I486" s="405"/>
      <c r="J486" s="1043"/>
      <c r="K486" s="398"/>
      <c r="L486" s="405"/>
      <c r="M486" s="1044">
        <v>36960000</v>
      </c>
      <c r="N486" s="312" t="s">
        <v>8</v>
      </c>
      <c r="O486" s="312" t="s">
        <v>26</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
      </c>
      <c r="AB486" s="81" t="str">
        <f>IF(AND(OR(LEFT(TH!N486,2)="15",LEFT(TH!O486,2)="15"),LEFT(TH!O486,3)&lt;&gt;"111",'152-CT'!$J$8=TH!F486),"x","")</f>
        <v/>
      </c>
      <c r="AC486" s="81" t="str">
        <f>IF(AND(OR(LEFT(TH!N486,2)="15",LEFT(TH!O486,2)="15"),TK!$E$7=TH!F486),"x","")</f>
        <v/>
      </c>
      <c r="AD486" s="81" t="str">
        <f>IF(AND(N486="1521",MONTH(C486)='BK-NL'!$M$11),"x","")</f>
        <v/>
      </c>
    </row>
    <row r="487" spans="1:31" ht="15.75" customHeight="1">
      <c r="A487" s="327" t="str">
        <f>IF(B487&lt;&gt;"",IF(AND(B487='IN-TC'!$S$4,OR(TH!N487="1111",TH!O487="1111")),TH!D487,""),"")</f>
        <v/>
      </c>
      <c r="B487" s="62">
        <f t="shared" si="26"/>
        <v>1</v>
      </c>
      <c r="C487" s="309">
        <v>42739</v>
      </c>
      <c r="D487" s="309" t="s">
        <v>1022</v>
      </c>
      <c r="E487" s="309">
        <f t="shared" ref="E487:E560" si="124">C487</f>
        <v>42739</v>
      </c>
      <c r="F487" s="310" t="s">
        <v>990</v>
      </c>
      <c r="G487" s="1063" t="s">
        <v>813</v>
      </c>
      <c r="H487" s="71" t="s">
        <v>955</v>
      </c>
      <c r="I487" s="405"/>
      <c r="J487" s="1043"/>
      <c r="K487" s="398"/>
      <c r="L487" s="405"/>
      <c r="M487" s="1044">
        <v>20000</v>
      </c>
      <c r="N487" s="312" t="s">
        <v>101</v>
      </c>
      <c r="O487" s="312" t="s">
        <v>26</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
      </c>
      <c r="AB487" s="81" t="str">
        <f>IF(AND(OR(LEFT(TH!N487,2)="15",LEFT(TH!O487,2)="15"),LEFT(TH!O487,3)&lt;&gt;"111",'152-CT'!$J$8=TH!F487),"x","")</f>
        <v/>
      </c>
      <c r="AC487" s="81" t="str">
        <f>IF(AND(OR(LEFT(TH!N487,2)="15",LEFT(TH!O487,2)="15"),TK!$E$7=TH!F487),"x","")</f>
        <v/>
      </c>
      <c r="AD487" s="81" t="str">
        <f>IF(AND(N487="1521",MONTH(C487)='BK-NL'!$M$11),"x","")</f>
        <v/>
      </c>
      <c r="AE487">
        <v>1</v>
      </c>
    </row>
    <row r="488" spans="1:31" ht="15.75" customHeight="1">
      <c r="A488" s="327" t="str">
        <f>IF(B488&lt;&gt;"",IF(AND(B488='IN-TC'!$S$4,OR(TH!N488="1111",TH!O488="1111")),TH!D488,""),"")</f>
        <v/>
      </c>
      <c r="B488" s="62">
        <f t="shared" si="26"/>
        <v>1</v>
      </c>
      <c r="C488" s="309">
        <v>42739</v>
      </c>
      <c r="D488" s="309" t="s">
        <v>1022</v>
      </c>
      <c r="E488" s="309">
        <f t="shared" si="124"/>
        <v>42739</v>
      </c>
      <c r="F488" s="310" t="s">
        <v>1018</v>
      </c>
      <c r="G488" s="1063" t="s">
        <v>813</v>
      </c>
      <c r="H488" s="71" t="s">
        <v>955</v>
      </c>
      <c r="I488" s="405"/>
      <c r="J488" s="1043"/>
      <c r="K488" s="398"/>
      <c r="L488" s="405"/>
      <c r="M488" s="1044">
        <v>2000</v>
      </c>
      <c r="N488" s="312" t="s">
        <v>9</v>
      </c>
      <c r="O488" s="312" t="s">
        <v>26</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
      </c>
      <c r="AB488" s="81" t="str">
        <f>IF(AND(OR(LEFT(TH!N488,2)="15",LEFT(TH!O488,2)="15"),LEFT(TH!O488,3)&lt;&gt;"111",'152-CT'!$J$8=TH!F488),"x","")</f>
        <v/>
      </c>
      <c r="AC488" s="81" t="str">
        <f>IF(AND(OR(LEFT(TH!N488,2)="15",LEFT(TH!O488,2)="15"),TK!$E$7=TH!F488),"x","")</f>
        <v/>
      </c>
      <c r="AD488" s="81" t="str">
        <f>IF(AND(N488="1521",MONTH(C488)='BK-NL'!$M$11),"x","")</f>
        <v/>
      </c>
      <c r="AE488">
        <v>1</v>
      </c>
    </row>
    <row r="489" spans="1:31" ht="15.75" customHeight="1">
      <c r="A489" s="327" t="str">
        <f>IF(B489&lt;&gt;"",IF(AND(B489='IN-TC'!$S$4,OR(TH!N489="1111",TH!O489="1111")),TH!D489,""),"")</f>
        <v/>
      </c>
      <c r="B489" s="62">
        <f t="shared" si="26"/>
        <v>1</v>
      </c>
      <c r="C489" s="309">
        <v>42739</v>
      </c>
      <c r="D489" s="309" t="s">
        <v>1022</v>
      </c>
      <c r="E489" s="309">
        <f t="shared" si="124"/>
        <v>42739</v>
      </c>
      <c r="F489" s="310" t="s">
        <v>1020</v>
      </c>
      <c r="G489" s="1063" t="s">
        <v>813</v>
      </c>
      <c r="H489" s="71" t="s">
        <v>843</v>
      </c>
      <c r="I489" s="405"/>
      <c r="J489" s="1043"/>
      <c r="K489" s="398"/>
      <c r="L489" s="405"/>
      <c r="M489" s="1044">
        <v>29738500</v>
      </c>
      <c r="N489" s="312" t="s">
        <v>8</v>
      </c>
      <c r="O489" s="312" t="s">
        <v>26</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
      </c>
      <c r="AB489" s="81" t="str">
        <f>IF(AND(OR(LEFT(TH!N489,2)="15",LEFT(TH!O489,2)="15"),LEFT(TH!O489,3)&lt;&gt;"111",'152-CT'!$J$8=TH!F489),"x","")</f>
        <v/>
      </c>
      <c r="AC489" s="81" t="str">
        <f>IF(AND(OR(LEFT(TH!N489,2)="15",LEFT(TH!O489,2)="15"),TK!$E$7=TH!F489),"x","")</f>
        <v/>
      </c>
      <c r="AD489" s="81" t="str">
        <f>IF(AND(N489="1521",MONTH(C489)='BK-NL'!$M$11),"x","")</f>
        <v/>
      </c>
    </row>
    <row r="490" spans="1:31" ht="15.75" customHeight="1">
      <c r="A490" s="327" t="str">
        <f>IF(B490&lt;&gt;"",IF(AND(B490='IN-TC'!$S$4,OR(TH!N490="1111",TH!O490="1111")),TH!D490,""),"")</f>
        <v/>
      </c>
      <c r="B490" s="62">
        <f t="shared" si="26"/>
        <v>1</v>
      </c>
      <c r="C490" s="309">
        <v>42739</v>
      </c>
      <c r="D490" s="309" t="s">
        <v>1022</v>
      </c>
      <c r="E490" s="309">
        <f t="shared" si="124"/>
        <v>42739</v>
      </c>
      <c r="F490" s="310" t="s">
        <v>990</v>
      </c>
      <c r="G490" s="1063" t="s">
        <v>813</v>
      </c>
      <c r="H490" s="71" t="s">
        <v>955</v>
      </c>
      <c r="I490" s="405"/>
      <c r="J490" s="1043"/>
      <c r="K490" s="398"/>
      <c r="L490" s="405"/>
      <c r="M490" s="1044">
        <v>20000</v>
      </c>
      <c r="N490" s="312" t="s">
        <v>101</v>
      </c>
      <c r="O490" s="312" t="s">
        <v>26</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
      </c>
      <c r="AB490" s="81" t="str">
        <f>IF(AND(OR(LEFT(TH!N490,2)="15",LEFT(TH!O490,2)="15"),LEFT(TH!O490,3)&lt;&gt;"111",'152-CT'!$J$8=TH!F490),"x","")</f>
        <v/>
      </c>
      <c r="AC490" s="81" t="str">
        <f>IF(AND(OR(LEFT(TH!N490,2)="15",LEFT(TH!O490,2)="15"),TK!$E$7=TH!F490),"x","")</f>
        <v/>
      </c>
      <c r="AD490" s="81" t="str">
        <f>IF(AND(N490="1521",MONTH(C490)='BK-NL'!$M$11),"x","")</f>
        <v/>
      </c>
      <c r="AE490">
        <v>1</v>
      </c>
    </row>
    <row r="491" spans="1:31" ht="15.75" customHeight="1">
      <c r="A491" s="327" t="str">
        <f>IF(B491&lt;&gt;"",IF(AND(B491='IN-TC'!$S$4,OR(TH!N491="1111",TH!O491="1111")),TH!D491,""),"")</f>
        <v/>
      </c>
      <c r="B491" s="62">
        <f t="shared" si="26"/>
        <v>1</v>
      </c>
      <c r="C491" s="309">
        <v>42739</v>
      </c>
      <c r="D491" s="309" t="s">
        <v>1022</v>
      </c>
      <c r="E491" s="309">
        <f t="shared" si="124"/>
        <v>42739</v>
      </c>
      <c r="F491" s="310" t="s">
        <v>1018</v>
      </c>
      <c r="G491" s="1063" t="s">
        <v>813</v>
      </c>
      <c r="H491" s="71" t="s">
        <v>955</v>
      </c>
      <c r="I491" s="405"/>
      <c r="J491" s="1043"/>
      <c r="K491" s="398"/>
      <c r="L491" s="405"/>
      <c r="M491" s="1044">
        <v>2000</v>
      </c>
      <c r="N491" s="312" t="s">
        <v>9</v>
      </c>
      <c r="O491" s="312" t="s">
        <v>26</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c r="AE491">
        <v>1</v>
      </c>
    </row>
    <row r="492" spans="1:31" ht="15.75" customHeight="1">
      <c r="A492" s="327" t="str">
        <f>IF(B492&lt;&gt;"",IF(AND(B492='IN-TC'!$S$4,OR(TH!N492="1111",TH!O492="1111")),TH!D492,""),"")</f>
        <v/>
      </c>
      <c r="B492" s="62">
        <f t="shared" si="26"/>
        <v>1</v>
      </c>
      <c r="C492" s="309">
        <v>42741</v>
      </c>
      <c r="D492" s="309" t="s">
        <v>1022</v>
      </c>
      <c r="E492" s="309">
        <f t="shared" si="124"/>
        <v>42741</v>
      </c>
      <c r="F492" s="310" t="s">
        <v>1021</v>
      </c>
      <c r="G492" s="1063" t="s">
        <v>813</v>
      </c>
      <c r="H492" s="71" t="s">
        <v>955</v>
      </c>
      <c r="I492" s="405"/>
      <c r="J492" s="1043"/>
      <c r="K492" s="398"/>
      <c r="L492" s="405"/>
      <c r="M492" s="1044">
        <v>1796915</v>
      </c>
      <c r="N492" s="312" t="s">
        <v>101</v>
      </c>
      <c r="O492" s="312" t="s">
        <v>26</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row>
    <row r="493" spans="1:31" ht="15.75" customHeight="1">
      <c r="A493" s="327" t="str">
        <f>IF(B493&lt;&gt;"",IF(AND(B493='IN-TC'!$S$4,OR(TH!N493="1111",TH!O493="1111")),TH!D493,""),"")</f>
        <v/>
      </c>
      <c r="B493" s="62">
        <f t="shared" si="26"/>
        <v>1</v>
      </c>
      <c r="C493" s="309">
        <v>42741</v>
      </c>
      <c r="D493" s="309" t="s">
        <v>1023</v>
      </c>
      <c r="E493" s="309">
        <f t="shared" si="124"/>
        <v>42741</v>
      </c>
      <c r="F493" s="310" t="s">
        <v>1027</v>
      </c>
      <c r="G493" s="1063" t="s">
        <v>813</v>
      </c>
      <c r="H493" s="71" t="s">
        <v>955</v>
      </c>
      <c r="I493" s="405"/>
      <c r="J493" s="1043"/>
      <c r="K493" s="398">
        <v>11000</v>
      </c>
      <c r="L493" s="405">
        <v>22558</v>
      </c>
      <c r="M493" s="1044">
        <f>ROUND(L493*K493,0)</f>
        <v>248138000</v>
      </c>
      <c r="N493" s="312" t="s">
        <v>26</v>
      </c>
      <c r="O493" s="312" t="s">
        <v>264</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row>
    <row r="494" spans="1:31" s="1205" customFormat="1" ht="15.75" customHeight="1">
      <c r="A494" s="327" t="str">
        <f>IF(B494&lt;&gt;"",IF(AND(B494='IN-TC'!$S$4,OR(TH!N494="1111",TH!O494="1111")),TH!D494,""),"")</f>
        <v/>
      </c>
      <c r="B494" s="62">
        <f t="shared" si="26"/>
        <v>1</v>
      </c>
      <c r="C494" s="309">
        <v>42741</v>
      </c>
      <c r="D494" s="309" t="s">
        <v>1023</v>
      </c>
      <c r="E494" s="309">
        <f t="shared" si="124"/>
        <v>42741</v>
      </c>
      <c r="F494" s="310" t="s">
        <v>1024</v>
      </c>
      <c r="G494" s="1063" t="s">
        <v>813</v>
      </c>
      <c r="H494" s="1085" t="s">
        <v>1224</v>
      </c>
      <c r="I494" s="405"/>
      <c r="J494" s="1043"/>
      <c r="K494" s="398">
        <v>93000</v>
      </c>
      <c r="L494" s="405">
        <v>22558</v>
      </c>
      <c r="M494" s="1044">
        <f>ROUND(L494*K494,0)</f>
        <v>2097894000</v>
      </c>
      <c r="N494" s="312" t="s">
        <v>26</v>
      </c>
      <c r="O494" s="312" t="s">
        <v>258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row>
    <row r="495" spans="1:31" ht="15.75" customHeight="1">
      <c r="A495" s="327" t="str">
        <f>IF(B495&lt;&gt;"",IF(AND(B495='IN-TC'!$S$4,OR(TH!N495="1111",TH!O495="1111")),TH!D495,""),"")</f>
        <v/>
      </c>
      <c r="B495" s="62">
        <f t="shared" ref="B495" si="125">IF(C495&lt;&gt;"",MONTH(C495),"")</f>
        <v>1</v>
      </c>
      <c r="C495" s="309">
        <v>42741</v>
      </c>
      <c r="D495" s="309" t="s">
        <v>1022</v>
      </c>
      <c r="E495" s="309">
        <f t="shared" ref="E495" si="126">C495</f>
        <v>42741</v>
      </c>
      <c r="F495" s="310" t="s">
        <v>1025</v>
      </c>
      <c r="G495" s="1063" t="s">
        <v>813</v>
      </c>
      <c r="H495" s="71" t="s">
        <v>955</v>
      </c>
      <c r="I495" s="405"/>
      <c r="J495" s="1043"/>
      <c r="K495" s="398"/>
      <c r="L495" s="405"/>
      <c r="M495" s="1044">
        <v>226200</v>
      </c>
      <c r="N495" s="312" t="s">
        <v>101</v>
      </c>
      <c r="O495" s="312" t="s">
        <v>26</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row>
    <row r="496" spans="1:31" ht="15.75" customHeight="1">
      <c r="A496" s="327" t="str">
        <f>IF(B496&lt;&gt;"",IF(AND(B496='IN-TC'!$S$4,OR(TH!N496="1111",TH!O496="1111")),TH!D496,""),"")</f>
        <v/>
      </c>
      <c r="B496" s="62">
        <f t="shared" ref="B496" si="127">IF(C496&lt;&gt;"",MONTH(C496),"")</f>
        <v>1</v>
      </c>
      <c r="C496" s="309">
        <v>42745</v>
      </c>
      <c r="D496" s="309" t="s">
        <v>1022</v>
      </c>
      <c r="E496" s="309">
        <f t="shared" ref="E496" si="128">C496</f>
        <v>42745</v>
      </c>
      <c r="F496" s="310" t="s">
        <v>1026</v>
      </c>
      <c r="G496" s="1063" t="s">
        <v>813</v>
      </c>
      <c r="H496" s="71" t="s">
        <v>955</v>
      </c>
      <c r="I496" s="405"/>
      <c r="J496" s="1043"/>
      <c r="K496" s="398"/>
      <c r="L496" s="405"/>
      <c r="M496" s="1044">
        <v>226200</v>
      </c>
      <c r="N496" s="312" t="s">
        <v>101</v>
      </c>
      <c r="O496" s="312" t="s">
        <v>26</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row>
    <row r="497" spans="1:31" ht="15.75" customHeight="1">
      <c r="A497" s="327" t="str">
        <f>IF(B497&lt;&gt;"",IF(AND(B497='IN-TC'!$S$4,OR(TH!N497="1111",TH!O497="1111")),TH!D497,""),"")</f>
        <v/>
      </c>
      <c r="B497" s="62">
        <f t="shared" ref="B497" si="129">IF(C497&lt;&gt;"",MONTH(C497),"")</f>
        <v>1</v>
      </c>
      <c r="C497" s="309">
        <v>42746</v>
      </c>
      <c r="D497" s="309" t="s">
        <v>1023</v>
      </c>
      <c r="E497" s="309">
        <f t="shared" ref="E497" si="130">C497</f>
        <v>42746</v>
      </c>
      <c r="F497" s="310" t="s">
        <v>1027</v>
      </c>
      <c r="G497" s="1063" t="s">
        <v>813</v>
      </c>
      <c r="H497" s="71" t="s">
        <v>955</v>
      </c>
      <c r="I497" s="405"/>
      <c r="J497" s="1043"/>
      <c r="K497" s="398">
        <v>294900</v>
      </c>
      <c r="L497" s="405">
        <v>22560</v>
      </c>
      <c r="M497" s="1044">
        <f>ROUND(L497*K497,0)</f>
        <v>6652944000</v>
      </c>
      <c r="N497" s="312" t="s">
        <v>26</v>
      </c>
      <c r="O497" s="312" t="s">
        <v>264</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row>
    <row r="498" spans="1:31" ht="15.75" customHeight="1">
      <c r="A498" s="327" t="str">
        <f>IF(B498&lt;&gt;"",IF(AND(B498='IN-TC'!$S$4,OR(TH!N498="1111",TH!O498="1111")),TH!D498,""),"")</f>
        <v/>
      </c>
      <c r="B498" s="62">
        <f t="shared" ref="B498:B570" si="131">IF(C498&lt;&gt;"",MONTH(C498),"")</f>
        <v>1</v>
      </c>
      <c r="C498" s="63">
        <v>42746</v>
      </c>
      <c r="D498" s="309" t="s">
        <v>1022</v>
      </c>
      <c r="E498" s="309">
        <f t="shared" si="124"/>
        <v>42746</v>
      </c>
      <c r="F498" s="66" t="s">
        <v>1017</v>
      </c>
      <c r="G498" s="66" t="s">
        <v>813</v>
      </c>
      <c r="H498" s="71" t="s">
        <v>681</v>
      </c>
      <c r="I498" s="405"/>
      <c r="J498" s="1043"/>
      <c r="K498" s="398"/>
      <c r="L498" s="405"/>
      <c r="M498" s="1044">
        <v>6650000000</v>
      </c>
      <c r="N498" s="312" t="s">
        <v>8</v>
      </c>
      <c r="O498" s="312" t="s">
        <v>26</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row>
    <row r="499" spans="1:31" ht="15.75" customHeight="1">
      <c r="A499" s="327" t="str">
        <f>IF(B499&lt;&gt;"",IF(AND(B499='IN-TC'!$S$4,OR(TH!N499="1111",TH!O499="1111")),TH!D499,""),"")</f>
        <v/>
      </c>
      <c r="B499" s="62">
        <f t="shared" si="131"/>
        <v>1</v>
      </c>
      <c r="C499" s="63">
        <v>42746</v>
      </c>
      <c r="D499" s="309" t="s">
        <v>1022</v>
      </c>
      <c r="E499" s="309">
        <f t="shared" ref="E499:E502" si="132">C499</f>
        <v>42746</v>
      </c>
      <c r="F499" s="310" t="s">
        <v>990</v>
      </c>
      <c r="G499" s="1063" t="s">
        <v>813</v>
      </c>
      <c r="H499" s="71" t="s">
        <v>955</v>
      </c>
      <c r="I499" s="405"/>
      <c r="J499" s="1043"/>
      <c r="K499" s="398"/>
      <c r="L499" s="405"/>
      <c r="M499" s="1044">
        <v>1000000</v>
      </c>
      <c r="N499" s="312" t="s">
        <v>101</v>
      </c>
      <c r="O499" s="312" t="s">
        <v>26</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c r="AE499">
        <v>1</v>
      </c>
    </row>
    <row r="500" spans="1:31" s="1205" customFormat="1" ht="15.75" customHeight="1">
      <c r="A500" s="327" t="str">
        <f>IF(B500&lt;&gt;"",IF(AND(B500='IN-TC'!$S$4,OR(TH!N500="1111",TH!O500="1111")),TH!D500,""),"")</f>
        <v/>
      </c>
      <c r="B500" s="62">
        <f t="shared" si="131"/>
        <v>1</v>
      </c>
      <c r="C500" s="63">
        <v>42746</v>
      </c>
      <c r="D500" s="309" t="s">
        <v>1022</v>
      </c>
      <c r="E500" s="309">
        <f t="shared" si="132"/>
        <v>42746</v>
      </c>
      <c r="F500" s="310" t="s">
        <v>1018</v>
      </c>
      <c r="G500" s="1063" t="s">
        <v>813</v>
      </c>
      <c r="H500" s="71" t="s">
        <v>955</v>
      </c>
      <c r="I500" s="405"/>
      <c r="J500" s="1043"/>
      <c r="K500" s="398"/>
      <c r="L500" s="405"/>
      <c r="M500" s="1044">
        <v>100000</v>
      </c>
      <c r="N500" s="312" t="s">
        <v>9</v>
      </c>
      <c r="O500" s="312" t="s">
        <v>26</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c r="AE500">
        <v>1</v>
      </c>
    </row>
    <row r="501" spans="1:31" s="1205" customFormat="1" ht="15.75" customHeight="1">
      <c r="A501" s="327" t="str">
        <f>IF(B501&lt;&gt;"",IF(AND(B501='IN-TC'!$S$4,OR(TH!N501="1111",TH!O501="1111")),TH!D501,""),"")</f>
        <v/>
      </c>
      <c r="B501" s="62">
        <f t="shared" si="131"/>
        <v>1</v>
      </c>
      <c r="C501" s="309">
        <v>42748</v>
      </c>
      <c r="D501" s="309" t="s">
        <v>1023</v>
      </c>
      <c r="E501" s="309">
        <f t="shared" si="132"/>
        <v>42748</v>
      </c>
      <c r="F501" s="310" t="s">
        <v>1145</v>
      </c>
      <c r="G501" s="1063" t="s">
        <v>813</v>
      </c>
      <c r="H501" s="1091" t="s">
        <v>1142</v>
      </c>
      <c r="I501" s="405"/>
      <c r="J501" s="1043"/>
      <c r="K501" s="398">
        <v>40000</v>
      </c>
      <c r="L501" s="405">
        <v>22555</v>
      </c>
      <c r="M501" s="1044">
        <f>ROUND(L501*K501,0)</f>
        <v>902200000</v>
      </c>
      <c r="N501" s="312" t="s">
        <v>26</v>
      </c>
      <c r="O501" s="312" t="s">
        <v>258</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1" s="1205" customFormat="1" ht="15.75" customHeight="1">
      <c r="A502" s="327" t="str">
        <f>IF(B502&lt;&gt;"",IF(AND(B502='IN-TC'!$S$4,OR(TH!N502="1111",TH!O502="1111")),TH!D502,""),"")</f>
        <v/>
      </c>
      <c r="B502" s="62">
        <f t="shared" si="131"/>
        <v>1</v>
      </c>
      <c r="C502" s="309">
        <v>42751</v>
      </c>
      <c r="D502" s="309" t="s">
        <v>1022</v>
      </c>
      <c r="E502" s="309">
        <f t="shared" si="132"/>
        <v>42751</v>
      </c>
      <c r="F502" s="310" t="s">
        <v>1028</v>
      </c>
      <c r="G502" s="1063" t="s">
        <v>813</v>
      </c>
      <c r="H502" s="71" t="s">
        <v>955</v>
      </c>
      <c r="I502" s="405"/>
      <c r="J502" s="1043"/>
      <c r="K502" s="398"/>
      <c r="L502" s="405"/>
      <c r="M502" s="1044">
        <v>226000</v>
      </c>
      <c r="N502" s="312" t="s">
        <v>101</v>
      </c>
      <c r="O502" s="312" t="s">
        <v>26</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1" s="1205" customFormat="1" ht="15.75" customHeight="1">
      <c r="A503" s="327" t="str">
        <f>IF(B503&lt;&gt;"",IF(AND(B503='IN-TC'!$S$4,OR(TH!N503="1111",TH!O503="1111")),TH!D503,""),"")</f>
        <v/>
      </c>
      <c r="B503" s="62">
        <f t="shared" ref="B503" si="133">IF(C503&lt;&gt;"",MONTH(C503),"")</f>
        <v>1</v>
      </c>
      <c r="C503" s="309">
        <v>42751</v>
      </c>
      <c r="D503" s="309" t="s">
        <v>1023</v>
      </c>
      <c r="E503" s="309">
        <f t="shared" ref="E503" si="134">C503</f>
        <v>42751</v>
      </c>
      <c r="F503" s="310" t="s">
        <v>1145</v>
      </c>
      <c r="G503" s="1063" t="s">
        <v>813</v>
      </c>
      <c r="H503" s="1091" t="s">
        <v>1144</v>
      </c>
      <c r="I503" s="405"/>
      <c r="J503" s="1043"/>
      <c r="K503" s="398">
        <v>102600</v>
      </c>
      <c r="L503" s="405">
        <v>22558</v>
      </c>
      <c r="M503" s="1044">
        <f>ROUND(L503*K503,0)</f>
        <v>2314450800</v>
      </c>
      <c r="N503" s="312" t="s">
        <v>26</v>
      </c>
      <c r="O503" s="312" t="s">
        <v>258</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
      </c>
      <c r="AD503" s="81" t="str">
        <f>IF(AND(N503="1521",MONTH(C503)='BK-NL'!$M$11),"x","")</f>
        <v/>
      </c>
    </row>
    <row r="504" spans="1:31" s="1205" customFormat="1" ht="15.75" customHeight="1">
      <c r="A504" s="327" t="str">
        <f>IF(B504&lt;&gt;"",IF(AND(B504='IN-TC'!$S$4,OR(TH!N504="1111",TH!O504="1111")),TH!D504,""),"")</f>
        <v/>
      </c>
      <c r="B504" s="62">
        <f t="shared" si="131"/>
        <v>1</v>
      </c>
      <c r="C504" s="63">
        <v>42752</v>
      </c>
      <c r="D504" s="309" t="s">
        <v>1022</v>
      </c>
      <c r="E504" s="309">
        <f t="shared" si="124"/>
        <v>42752</v>
      </c>
      <c r="F504" s="66" t="s">
        <v>1029</v>
      </c>
      <c r="G504" s="66" t="s">
        <v>813</v>
      </c>
      <c r="H504" s="71" t="s">
        <v>955</v>
      </c>
      <c r="I504" s="405"/>
      <c r="J504" s="1043"/>
      <c r="K504" s="398"/>
      <c r="L504" s="405"/>
      <c r="M504" s="1044">
        <v>1284742</v>
      </c>
      <c r="N504" s="312" t="s">
        <v>101</v>
      </c>
      <c r="O504" s="312" t="s">
        <v>26</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1" s="1205" customFormat="1" ht="15.75" customHeight="1">
      <c r="A505" s="327" t="str">
        <f>IF(B505&lt;&gt;"",IF(AND(B505='IN-TC'!$S$4,OR(TH!N505="1111",TH!O505="1111")),TH!D505,""),"")</f>
        <v/>
      </c>
      <c r="B505" s="62">
        <f t="shared" si="131"/>
        <v>1</v>
      </c>
      <c r="C505" s="63">
        <v>42753</v>
      </c>
      <c r="D505" s="309" t="s">
        <v>1022</v>
      </c>
      <c r="E505" s="309">
        <f t="shared" si="124"/>
        <v>42753</v>
      </c>
      <c r="F505" s="310" t="s">
        <v>1030</v>
      </c>
      <c r="G505" s="1063" t="s">
        <v>813</v>
      </c>
      <c r="H505" s="71" t="s">
        <v>955</v>
      </c>
      <c r="I505" s="405"/>
      <c r="J505" s="1043"/>
      <c r="K505" s="398"/>
      <c r="L505" s="405"/>
      <c r="M505" s="1044">
        <v>226000</v>
      </c>
      <c r="N505" s="312" t="s">
        <v>101</v>
      </c>
      <c r="O505" s="312" t="s">
        <v>26</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1" s="1205" customFormat="1" ht="15.75" customHeight="1">
      <c r="A506" s="327" t="str">
        <f>IF(B506&lt;&gt;"",IF(AND(B506='IN-TC'!$S$4,OR(TH!N506="1111",TH!O506="1111")),TH!D506,""),"")</f>
        <v/>
      </c>
      <c r="B506" s="62">
        <f t="shared" si="131"/>
        <v>1</v>
      </c>
      <c r="C506" s="63">
        <v>42754</v>
      </c>
      <c r="D506" s="309" t="s">
        <v>1022</v>
      </c>
      <c r="E506" s="309">
        <f t="shared" si="124"/>
        <v>42754</v>
      </c>
      <c r="F506" s="310" t="s">
        <v>1030</v>
      </c>
      <c r="G506" s="1063" t="s">
        <v>813</v>
      </c>
      <c r="H506" s="71" t="s">
        <v>955</v>
      </c>
      <c r="I506" s="405"/>
      <c r="J506" s="1043"/>
      <c r="K506" s="398"/>
      <c r="L506" s="405"/>
      <c r="M506" s="1044">
        <v>226000</v>
      </c>
      <c r="N506" s="312" t="s">
        <v>101</v>
      </c>
      <c r="O506" s="312" t="s">
        <v>26</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1" s="1205" customFormat="1" ht="15.75" customHeight="1">
      <c r="A507" s="327" t="str">
        <f>IF(B507&lt;&gt;"",IF(AND(B507='IN-TC'!$S$4,OR(TH!N507="1111",TH!O507="1111")),TH!D507,""),"")</f>
        <v/>
      </c>
      <c r="B507" s="62">
        <f t="shared" si="131"/>
        <v>1</v>
      </c>
      <c r="C507" s="309">
        <v>42754</v>
      </c>
      <c r="D507" s="309" t="s">
        <v>1023</v>
      </c>
      <c r="E507" s="309">
        <f t="shared" ref="E507:E508" si="135">C507</f>
        <v>42754</v>
      </c>
      <c r="F507" s="310" t="s">
        <v>1145</v>
      </c>
      <c r="G507" s="1063" t="s">
        <v>813</v>
      </c>
      <c r="H507" s="1091" t="s">
        <v>1141</v>
      </c>
      <c r="I507" s="405"/>
      <c r="J507" s="1043"/>
      <c r="K507" s="398">
        <v>41200</v>
      </c>
      <c r="L507" s="405">
        <v>22553</v>
      </c>
      <c r="M507" s="1044">
        <f t="shared" ref="M507:M508" si="136">ROUND(L507*K507,0)</f>
        <v>929183600</v>
      </c>
      <c r="N507" s="312" t="s">
        <v>26</v>
      </c>
      <c r="O507" s="312" t="s">
        <v>258</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1" s="1205" customFormat="1" ht="15.75" customHeight="1">
      <c r="A508" s="327" t="str">
        <f>IF(B508&lt;&gt;"",IF(AND(B508='IN-TC'!$S$4,OR(TH!N508="1111",TH!O508="1111")),TH!D508,""),"")</f>
        <v/>
      </c>
      <c r="B508" s="62">
        <f t="shared" si="131"/>
        <v>1</v>
      </c>
      <c r="C508" s="309">
        <v>42754</v>
      </c>
      <c r="D508" s="309" t="s">
        <v>1023</v>
      </c>
      <c r="E508" s="309">
        <f t="shared" si="135"/>
        <v>42754</v>
      </c>
      <c r="F508" s="310" t="s">
        <v>1145</v>
      </c>
      <c r="G508" s="1063" t="s">
        <v>813</v>
      </c>
      <c r="H508" s="1091" t="s">
        <v>1140</v>
      </c>
      <c r="I508" s="405"/>
      <c r="J508" s="1043"/>
      <c r="K508" s="398">
        <v>37584</v>
      </c>
      <c r="L508" s="405">
        <v>22553</v>
      </c>
      <c r="M508" s="1044">
        <f t="shared" si="136"/>
        <v>847631952</v>
      </c>
      <c r="N508" s="312" t="s">
        <v>26</v>
      </c>
      <c r="O508" s="312" t="s">
        <v>258</v>
      </c>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1" s="1205" customFormat="1" ht="15.75" customHeight="1">
      <c r="A509" s="327" t="str">
        <f>IF(B509&lt;&gt;"",IF(AND(B509='IN-TC'!$S$4,OR(TH!N509="1111",TH!O509="1111")),TH!D509,""),"")</f>
        <v/>
      </c>
      <c r="B509" s="62">
        <f t="shared" si="131"/>
        <v>1</v>
      </c>
      <c r="C509" s="63">
        <v>42754</v>
      </c>
      <c r="D509" s="309" t="s">
        <v>1022</v>
      </c>
      <c r="E509" s="309">
        <f t="shared" si="124"/>
        <v>42754</v>
      </c>
      <c r="F509" s="66" t="s">
        <v>1031</v>
      </c>
      <c r="G509" s="66" t="s">
        <v>813</v>
      </c>
      <c r="H509" s="330" t="s">
        <v>610</v>
      </c>
      <c r="I509" s="405"/>
      <c r="J509" s="1043"/>
      <c r="K509" s="398"/>
      <c r="L509" s="405"/>
      <c r="M509" s="1044">
        <v>12985000</v>
      </c>
      <c r="N509" s="312" t="s">
        <v>8</v>
      </c>
      <c r="O509" s="312" t="s">
        <v>26</v>
      </c>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1" s="1205" customFormat="1" ht="15.75" customHeight="1">
      <c r="A510" s="327" t="str">
        <f>IF(B510&lt;&gt;"",IF(AND(B510='IN-TC'!$S$4,OR(TH!N510="1111",TH!O510="1111")),TH!D510,""),"")</f>
        <v/>
      </c>
      <c r="B510" s="62">
        <f t="shared" si="131"/>
        <v>1</v>
      </c>
      <c r="C510" s="63">
        <v>42754</v>
      </c>
      <c r="D510" s="309" t="s">
        <v>1022</v>
      </c>
      <c r="E510" s="309">
        <f t="shared" si="124"/>
        <v>42754</v>
      </c>
      <c r="F510" s="66" t="s">
        <v>990</v>
      </c>
      <c r="G510" s="66" t="s">
        <v>813</v>
      </c>
      <c r="H510" s="71" t="s">
        <v>955</v>
      </c>
      <c r="I510" s="405"/>
      <c r="J510" s="1043"/>
      <c r="K510" s="398"/>
      <c r="L510" s="405"/>
      <c r="M510" s="1044">
        <v>10000</v>
      </c>
      <c r="N510" s="312" t="s">
        <v>101</v>
      </c>
      <c r="O510" s="312" t="s">
        <v>26</v>
      </c>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c r="AE510" s="1205">
        <v>1</v>
      </c>
    </row>
    <row r="511" spans="1:31" s="1205" customFormat="1" ht="15.75" customHeight="1">
      <c r="A511" s="327" t="str">
        <f>IF(B511&lt;&gt;"",IF(AND(B511='IN-TC'!$S$4,OR(TH!N511="1111",TH!O511="1111")),TH!D511,""),"")</f>
        <v/>
      </c>
      <c r="B511" s="62">
        <f t="shared" si="131"/>
        <v>1</v>
      </c>
      <c r="C511" s="63">
        <v>42754</v>
      </c>
      <c r="D511" s="309" t="s">
        <v>1022</v>
      </c>
      <c r="E511" s="309">
        <f t="shared" si="124"/>
        <v>42754</v>
      </c>
      <c r="F511" s="66" t="s">
        <v>1018</v>
      </c>
      <c r="G511" s="66" t="s">
        <v>813</v>
      </c>
      <c r="H511" s="71" t="s">
        <v>955</v>
      </c>
      <c r="I511" s="405"/>
      <c r="J511" s="1043"/>
      <c r="K511" s="398"/>
      <c r="L511" s="405"/>
      <c r="M511" s="1044">
        <v>1000</v>
      </c>
      <c r="N511" s="312" t="s">
        <v>9</v>
      </c>
      <c r="O511" s="312" t="s">
        <v>26</v>
      </c>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c r="AE511">
        <v>1</v>
      </c>
    </row>
    <row r="512" spans="1:31" s="1205" customFormat="1" ht="15.75" customHeight="1">
      <c r="A512" s="327" t="str">
        <f>IF(B512&lt;&gt;"",IF(AND(B512='IN-TC'!$S$4,OR(TH!N512="1111",TH!O512="1111")),TH!D512,""),"")</f>
        <v/>
      </c>
      <c r="B512" s="62">
        <f t="shared" ref="B512:B514" si="137">IF(C512&lt;&gt;"",MONTH(C512),"")</f>
        <v>1</v>
      </c>
      <c r="C512" s="63">
        <v>42754</v>
      </c>
      <c r="D512" s="309" t="s">
        <v>1022</v>
      </c>
      <c r="E512" s="309">
        <f t="shared" ref="E512:E514" si="138">C512</f>
        <v>42754</v>
      </c>
      <c r="F512" s="66" t="s">
        <v>1031</v>
      </c>
      <c r="G512" s="66" t="s">
        <v>813</v>
      </c>
      <c r="H512" s="330" t="s">
        <v>610</v>
      </c>
      <c r="I512" s="405"/>
      <c r="J512" s="1043"/>
      <c r="K512" s="398"/>
      <c r="L512" s="405"/>
      <c r="M512" s="1044">
        <v>1560000</v>
      </c>
      <c r="N512" s="312" t="s">
        <v>8</v>
      </c>
      <c r="O512" s="312" t="s">
        <v>26</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1" s="1205" customFormat="1" ht="15.75" customHeight="1">
      <c r="A513" s="327" t="str">
        <f>IF(B513&lt;&gt;"",IF(AND(B513='IN-TC'!$S$4,OR(TH!N513="1111",TH!O513="1111")),TH!D513,""),"")</f>
        <v/>
      </c>
      <c r="B513" s="62">
        <f t="shared" si="137"/>
        <v>1</v>
      </c>
      <c r="C513" s="63">
        <v>42754</v>
      </c>
      <c r="D513" s="309" t="s">
        <v>1022</v>
      </c>
      <c r="E513" s="309">
        <f t="shared" si="138"/>
        <v>42754</v>
      </c>
      <c r="F513" s="66" t="s">
        <v>990</v>
      </c>
      <c r="G513" s="66" t="s">
        <v>813</v>
      </c>
      <c r="H513" s="71" t="s">
        <v>955</v>
      </c>
      <c r="I513" s="405"/>
      <c r="J513" s="1043"/>
      <c r="K513" s="398"/>
      <c r="L513" s="405"/>
      <c r="M513" s="1044">
        <v>10000</v>
      </c>
      <c r="N513" s="312" t="s">
        <v>101</v>
      </c>
      <c r="O513" s="312" t="s">
        <v>26</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c r="AE513" s="1205">
        <v>1</v>
      </c>
    </row>
    <row r="514" spans="1:31" s="1205" customFormat="1" ht="15.75" customHeight="1">
      <c r="A514" s="327" t="str">
        <f>IF(B514&lt;&gt;"",IF(AND(B514='IN-TC'!$S$4,OR(TH!N514="1111",TH!O514="1111")),TH!D514,""),"")</f>
        <v/>
      </c>
      <c r="B514" s="62">
        <f t="shared" si="137"/>
        <v>1</v>
      </c>
      <c r="C514" s="63">
        <v>42754</v>
      </c>
      <c r="D514" s="309" t="s">
        <v>1022</v>
      </c>
      <c r="E514" s="309">
        <f t="shared" si="138"/>
        <v>42754</v>
      </c>
      <c r="F514" s="66" t="s">
        <v>1018</v>
      </c>
      <c r="G514" s="66" t="s">
        <v>813</v>
      </c>
      <c r="H514" s="71" t="s">
        <v>955</v>
      </c>
      <c r="I514" s="405"/>
      <c r="J514" s="1043"/>
      <c r="K514" s="398"/>
      <c r="L514" s="405"/>
      <c r="M514" s="1044">
        <v>1000</v>
      </c>
      <c r="N514" s="312" t="s">
        <v>9</v>
      </c>
      <c r="O514" s="312" t="s">
        <v>26</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c r="AE514">
        <v>1</v>
      </c>
    </row>
    <row r="515" spans="1:31" s="1205" customFormat="1" ht="15.75" customHeight="1">
      <c r="A515" s="327" t="str">
        <f>IF(B515&lt;&gt;"",IF(AND(B515='IN-TC'!$S$4,OR(TH!N515="1111",TH!O515="1111")),TH!D515,""),"")</f>
        <v/>
      </c>
      <c r="B515" s="62">
        <f t="shared" ref="B515:B517" si="139">IF(C515&lt;&gt;"",MONTH(C515),"")</f>
        <v>1</v>
      </c>
      <c r="C515" s="63">
        <v>42754</v>
      </c>
      <c r="D515" s="309" t="s">
        <v>1022</v>
      </c>
      <c r="E515" s="309">
        <f t="shared" ref="E515:E517" si="140">C515</f>
        <v>42754</v>
      </c>
      <c r="F515" s="66" t="s">
        <v>1032</v>
      </c>
      <c r="G515" s="66" t="s">
        <v>813</v>
      </c>
      <c r="H515" s="330" t="s">
        <v>613</v>
      </c>
      <c r="I515" s="405"/>
      <c r="J515" s="1043"/>
      <c r="K515" s="398"/>
      <c r="L515" s="405"/>
      <c r="M515" s="1044">
        <v>31261560</v>
      </c>
      <c r="N515" s="312" t="s">
        <v>8</v>
      </c>
      <c r="O515" s="312" t="s">
        <v>26</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1" s="1205" customFormat="1" ht="15.75" customHeight="1">
      <c r="A516" s="327" t="str">
        <f>IF(B516&lt;&gt;"",IF(AND(B516='IN-TC'!$S$4,OR(TH!N516="1111",TH!O516="1111")),TH!D516,""),"")</f>
        <v/>
      </c>
      <c r="B516" s="62">
        <f t="shared" si="139"/>
        <v>1</v>
      </c>
      <c r="C516" s="63">
        <v>42754</v>
      </c>
      <c r="D516" s="309" t="s">
        <v>1022</v>
      </c>
      <c r="E516" s="309">
        <f t="shared" si="140"/>
        <v>42754</v>
      </c>
      <c r="F516" s="66" t="s">
        <v>990</v>
      </c>
      <c r="G516" s="66" t="s">
        <v>813</v>
      </c>
      <c r="H516" s="71" t="s">
        <v>955</v>
      </c>
      <c r="I516" s="405"/>
      <c r="J516" s="1043"/>
      <c r="K516" s="398"/>
      <c r="L516" s="405"/>
      <c r="M516" s="1044">
        <v>10000</v>
      </c>
      <c r="N516" s="312" t="s">
        <v>101</v>
      </c>
      <c r="O516" s="312" t="s">
        <v>26</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c r="AE516" s="1205">
        <v>1</v>
      </c>
    </row>
    <row r="517" spans="1:31" s="1205" customFormat="1" ht="15.75" customHeight="1">
      <c r="A517" s="327" t="str">
        <f>IF(B517&lt;&gt;"",IF(AND(B517='IN-TC'!$S$4,OR(TH!N517="1111",TH!O517="1111")),TH!D517,""),"")</f>
        <v/>
      </c>
      <c r="B517" s="62">
        <f t="shared" si="139"/>
        <v>1</v>
      </c>
      <c r="C517" s="63">
        <v>42754</v>
      </c>
      <c r="D517" s="309" t="s">
        <v>1022</v>
      </c>
      <c r="E517" s="309">
        <f t="shared" si="140"/>
        <v>42754</v>
      </c>
      <c r="F517" s="66" t="s">
        <v>1018</v>
      </c>
      <c r="G517" s="66" t="s">
        <v>813</v>
      </c>
      <c r="H517" s="71" t="s">
        <v>955</v>
      </c>
      <c r="I517" s="405"/>
      <c r="J517" s="1043"/>
      <c r="K517" s="398"/>
      <c r="L517" s="405"/>
      <c r="M517" s="1044">
        <v>1000</v>
      </c>
      <c r="N517" s="312" t="s">
        <v>9</v>
      </c>
      <c r="O517" s="312" t="s">
        <v>26</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c r="AE517">
        <v>1</v>
      </c>
    </row>
    <row r="518" spans="1:31" s="1205" customFormat="1" ht="15.75" customHeight="1">
      <c r="A518" s="327" t="str">
        <f>IF(B518&lt;&gt;"",IF(AND(B518='IN-TC'!$S$4,OR(TH!N518="1111",TH!O518="1111")),TH!D518,""),"")</f>
        <v/>
      </c>
      <c r="B518" s="62">
        <f t="shared" ref="B518" si="141">IF(C518&lt;&gt;"",MONTH(C518),"")</f>
        <v>1</v>
      </c>
      <c r="C518" s="63">
        <v>42754</v>
      </c>
      <c r="D518" s="309" t="s">
        <v>1023</v>
      </c>
      <c r="E518" s="309">
        <f t="shared" ref="E518" si="142">C518</f>
        <v>42754</v>
      </c>
      <c r="F518" s="310" t="s">
        <v>1044</v>
      </c>
      <c r="G518" s="66" t="s">
        <v>813</v>
      </c>
      <c r="H518" s="1091" t="s">
        <v>1139</v>
      </c>
      <c r="I518" s="405"/>
      <c r="J518" s="1043"/>
      <c r="K518" s="398">
        <v>51100</v>
      </c>
      <c r="L518" s="405">
        <v>22553</v>
      </c>
      <c r="M518" s="1044">
        <f>ROUND(L518*K518,0)</f>
        <v>1152458300</v>
      </c>
      <c r="N518" s="312" t="s">
        <v>26</v>
      </c>
      <c r="O518" s="312" t="s">
        <v>258</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1" s="1205" customFormat="1" ht="15.75" customHeight="1">
      <c r="A519" s="327" t="str">
        <f>IF(B519&lt;&gt;"",IF(AND(B519='IN-TC'!$S$4,OR(TH!N519="1111",TH!O519="1111")),TH!D519,""),"")</f>
        <v/>
      </c>
      <c r="B519" s="62">
        <f t="shared" ref="B519:B521" si="143">IF(C519&lt;&gt;"",MONTH(C519),"")</f>
        <v>1</v>
      </c>
      <c r="C519" s="63">
        <v>42755</v>
      </c>
      <c r="D519" s="309" t="s">
        <v>1022</v>
      </c>
      <c r="E519" s="309">
        <f t="shared" ref="E519:E521" si="144">C519</f>
        <v>42755</v>
      </c>
      <c r="F519" s="66" t="s">
        <v>1019</v>
      </c>
      <c r="G519" s="66" t="s">
        <v>813</v>
      </c>
      <c r="H519" s="330" t="s">
        <v>604</v>
      </c>
      <c r="I519" s="405"/>
      <c r="J519" s="1043"/>
      <c r="K519" s="398"/>
      <c r="L519" s="405"/>
      <c r="M519" s="1044">
        <v>100000000</v>
      </c>
      <c r="N519" s="312" t="s">
        <v>8</v>
      </c>
      <c r="O519" s="312" t="s">
        <v>26</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1" s="1205" customFormat="1" ht="15.75" customHeight="1">
      <c r="A520" s="327" t="str">
        <f>IF(B520&lt;&gt;"",IF(AND(B520='IN-TC'!$S$4,OR(TH!N520="1111",TH!O520="1111")),TH!D520,""),"")</f>
        <v/>
      </c>
      <c r="B520" s="62">
        <f t="shared" si="143"/>
        <v>1</v>
      </c>
      <c r="C520" s="63">
        <v>42755</v>
      </c>
      <c r="D520" s="309" t="s">
        <v>1022</v>
      </c>
      <c r="E520" s="309">
        <f t="shared" si="144"/>
        <v>42755</v>
      </c>
      <c r="F520" s="66" t="s">
        <v>990</v>
      </c>
      <c r="G520" s="66" t="s">
        <v>813</v>
      </c>
      <c r="H520" s="71" t="s">
        <v>955</v>
      </c>
      <c r="I520" s="405"/>
      <c r="J520" s="1043"/>
      <c r="K520" s="398"/>
      <c r="L520" s="405"/>
      <c r="M520" s="1044">
        <v>10000</v>
      </c>
      <c r="N520" s="312" t="s">
        <v>101</v>
      </c>
      <c r="O520" s="312" t="s">
        <v>26</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c r="AE520" s="1205">
        <v>1</v>
      </c>
    </row>
    <row r="521" spans="1:31" s="1205" customFormat="1" ht="15.75" customHeight="1">
      <c r="A521" s="327" t="str">
        <f>IF(B521&lt;&gt;"",IF(AND(B521='IN-TC'!$S$4,OR(TH!N521="1111",TH!O521="1111")),TH!D521,""),"")</f>
        <v/>
      </c>
      <c r="B521" s="62">
        <f t="shared" si="143"/>
        <v>1</v>
      </c>
      <c r="C521" s="63">
        <v>42755</v>
      </c>
      <c r="D521" s="309" t="s">
        <v>1022</v>
      </c>
      <c r="E521" s="309">
        <f t="shared" si="144"/>
        <v>42755</v>
      </c>
      <c r="F521" s="66" t="s">
        <v>1018</v>
      </c>
      <c r="G521" s="66" t="s">
        <v>813</v>
      </c>
      <c r="H521" s="71" t="s">
        <v>955</v>
      </c>
      <c r="I521" s="405"/>
      <c r="J521" s="1043"/>
      <c r="K521" s="398"/>
      <c r="L521" s="405"/>
      <c r="M521" s="1044">
        <v>1000</v>
      </c>
      <c r="N521" s="312" t="s">
        <v>9</v>
      </c>
      <c r="O521" s="312" t="s">
        <v>26</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c r="AE521">
        <v>1</v>
      </c>
    </row>
    <row r="522" spans="1:31" s="1205" customFormat="1" ht="15.75" customHeight="1">
      <c r="A522" s="327" t="str">
        <f>IF(B522&lt;&gt;"",IF(AND(B522='IN-TC'!$S$4,OR(TH!N522="1111",TH!O522="1111")),TH!D522,""),"")</f>
        <v/>
      </c>
      <c r="B522" s="62">
        <f t="shared" ref="B522:B527" si="145">IF(C522&lt;&gt;"",MONTH(C522),"")</f>
        <v>1</v>
      </c>
      <c r="C522" s="63">
        <v>42755</v>
      </c>
      <c r="D522" s="309" t="s">
        <v>1022</v>
      </c>
      <c r="E522" s="309">
        <f t="shared" ref="E522:E527" si="146">C522</f>
        <v>42755</v>
      </c>
      <c r="F522" s="66" t="s">
        <v>1033</v>
      </c>
      <c r="G522" s="66" t="s">
        <v>813</v>
      </c>
      <c r="H522" s="71" t="s">
        <v>621</v>
      </c>
      <c r="I522" s="405"/>
      <c r="J522" s="1043"/>
      <c r="K522" s="398"/>
      <c r="L522" s="405"/>
      <c r="M522" s="1044">
        <v>157080000</v>
      </c>
      <c r="N522" s="312" t="s">
        <v>8</v>
      </c>
      <c r="O522" s="312" t="s">
        <v>26</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1" s="1205" customFormat="1" ht="15.75" customHeight="1">
      <c r="A523" s="327" t="str">
        <f>IF(B523&lt;&gt;"",IF(AND(B523='IN-TC'!$S$4,OR(TH!N523="1111",TH!O523="1111")),TH!D523,""),"")</f>
        <v/>
      </c>
      <c r="B523" s="62">
        <f t="shared" si="145"/>
        <v>1</v>
      </c>
      <c r="C523" s="63">
        <v>42755</v>
      </c>
      <c r="D523" s="309" t="s">
        <v>1022</v>
      </c>
      <c r="E523" s="309">
        <f t="shared" si="146"/>
        <v>42755</v>
      </c>
      <c r="F523" s="66" t="s">
        <v>990</v>
      </c>
      <c r="G523" s="66" t="s">
        <v>813</v>
      </c>
      <c r="H523" s="71" t="s">
        <v>955</v>
      </c>
      <c r="I523" s="405"/>
      <c r="J523" s="1043"/>
      <c r="K523" s="398"/>
      <c r="L523" s="405"/>
      <c r="M523" s="1044">
        <v>10000</v>
      </c>
      <c r="N523" s="312" t="s">
        <v>101</v>
      </c>
      <c r="O523" s="312" t="s">
        <v>26</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c r="AE523" s="1205">
        <v>1</v>
      </c>
    </row>
    <row r="524" spans="1:31" s="1205" customFormat="1" ht="15.75" customHeight="1">
      <c r="A524" s="327" t="str">
        <f>IF(B524&lt;&gt;"",IF(AND(B524='IN-TC'!$S$4,OR(TH!N524="1111",TH!O524="1111")),TH!D524,""),"")</f>
        <v/>
      </c>
      <c r="B524" s="62">
        <f t="shared" si="145"/>
        <v>1</v>
      </c>
      <c r="C524" s="63">
        <v>42755</v>
      </c>
      <c r="D524" s="309" t="s">
        <v>1022</v>
      </c>
      <c r="E524" s="309">
        <f t="shared" si="146"/>
        <v>42755</v>
      </c>
      <c r="F524" s="66" t="s">
        <v>1018</v>
      </c>
      <c r="G524" s="66" t="s">
        <v>813</v>
      </c>
      <c r="H524" s="71" t="s">
        <v>955</v>
      </c>
      <c r="I524" s="405"/>
      <c r="J524" s="1043"/>
      <c r="K524" s="398"/>
      <c r="L524" s="405"/>
      <c r="M524" s="1044">
        <v>1000</v>
      </c>
      <c r="N524" s="312" t="s">
        <v>9</v>
      </c>
      <c r="O524" s="312" t="s">
        <v>26</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
      </c>
      <c r="AC524" s="81" t="str">
        <f>IF(AND(OR(LEFT(TH!N524,2)="15",LEFT(TH!O524,2)="15"),TK!$E$7=TH!F524),"x","")</f>
        <v/>
      </c>
      <c r="AD524" s="81" t="str">
        <f>IF(AND(N524="1521",MONTH(C524)='BK-NL'!$M$11),"x","")</f>
        <v/>
      </c>
      <c r="AE524">
        <v>1</v>
      </c>
    </row>
    <row r="525" spans="1:31" s="1205" customFormat="1" ht="15.75" customHeight="1">
      <c r="A525" s="327" t="str">
        <f>IF(B525&lt;&gt;"",IF(AND(B525='IN-TC'!$S$4,OR(TH!N525="1111",TH!O525="1111")),TH!D525,""),"")</f>
        <v/>
      </c>
      <c r="B525" s="62">
        <f t="shared" si="145"/>
        <v>1</v>
      </c>
      <c r="C525" s="63">
        <v>42755</v>
      </c>
      <c r="D525" s="309" t="s">
        <v>1022</v>
      </c>
      <c r="E525" s="309">
        <f t="shared" si="146"/>
        <v>42755</v>
      </c>
      <c r="F525" s="66" t="s">
        <v>1017</v>
      </c>
      <c r="G525" s="66" t="s">
        <v>813</v>
      </c>
      <c r="H525" s="71" t="s">
        <v>681</v>
      </c>
      <c r="I525" s="405"/>
      <c r="J525" s="1043"/>
      <c r="K525" s="398"/>
      <c r="L525" s="405"/>
      <c r="M525" s="1044">
        <v>600000000</v>
      </c>
      <c r="N525" s="312" t="s">
        <v>8</v>
      </c>
      <c r="O525" s="312" t="s">
        <v>26</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1" s="1205" customFormat="1" ht="15.75" customHeight="1">
      <c r="A526" s="327" t="str">
        <f>IF(B526&lt;&gt;"",IF(AND(B526='IN-TC'!$S$4,OR(TH!N526="1111",TH!O526="1111")),TH!D526,""),"")</f>
        <v/>
      </c>
      <c r="B526" s="62">
        <f t="shared" si="145"/>
        <v>1</v>
      </c>
      <c r="C526" s="63">
        <v>42755</v>
      </c>
      <c r="D526" s="309" t="s">
        <v>1022</v>
      </c>
      <c r="E526" s="309">
        <f t="shared" si="146"/>
        <v>42755</v>
      </c>
      <c r="F526" s="310" t="s">
        <v>990</v>
      </c>
      <c r="G526" s="1063" t="s">
        <v>813</v>
      </c>
      <c r="H526" s="71" t="s">
        <v>955</v>
      </c>
      <c r="I526" s="405"/>
      <c r="J526" s="1043"/>
      <c r="K526" s="398"/>
      <c r="L526" s="405"/>
      <c r="M526" s="1044">
        <v>180000</v>
      </c>
      <c r="N526" s="312" t="s">
        <v>101</v>
      </c>
      <c r="O526" s="312" t="s">
        <v>26</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c r="AE526" s="1205">
        <v>1</v>
      </c>
    </row>
    <row r="527" spans="1:31" s="1205" customFormat="1" ht="15.75" customHeight="1">
      <c r="A527" s="327" t="str">
        <f>IF(B527&lt;&gt;"",IF(AND(B527='IN-TC'!$S$4,OR(TH!N527="1111",TH!O527="1111")),TH!D527,""),"")</f>
        <v/>
      </c>
      <c r="B527" s="62">
        <f t="shared" si="145"/>
        <v>1</v>
      </c>
      <c r="C527" s="63">
        <v>42755</v>
      </c>
      <c r="D527" s="309" t="s">
        <v>1022</v>
      </c>
      <c r="E527" s="309">
        <f t="shared" si="146"/>
        <v>42755</v>
      </c>
      <c r="F527" s="310" t="s">
        <v>1018</v>
      </c>
      <c r="G527" s="1063" t="s">
        <v>813</v>
      </c>
      <c r="H527" s="71" t="s">
        <v>955</v>
      </c>
      <c r="I527" s="405"/>
      <c r="J527" s="1043"/>
      <c r="K527" s="398"/>
      <c r="L527" s="405"/>
      <c r="M527" s="1044">
        <v>18000</v>
      </c>
      <c r="N527" s="312" t="s">
        <v>9</v>
      </c>
      <c r="O527" s="312" t="s">
        <v>26</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c r="AE527">
        <v>1</v>
      </c>
    </row>
    <row r="528" spans="1:31" s="1205" customFormat="1" ht="15.75" customHeight="1">
      <c r="A528" s="327" t="str">
        <f>IF(B528&lt;&gt;"",IF(AND(B528='IN-TC'!$S$4,OR(TH!N528="1111",TH!O528="1111")),TH!D528,""),"")</f>
        <v/>
      </c>
      <c r="B528" s="62">
        <f t="shared" si="131"/>
        <v>1</v>
      </c>
      <c r="C528" s="63">
        <v>42760</v>
      </c>
      <c r="D528" s="309" t="s">
        <v>1023</v>
      </c>
      <c r="E528" s="309">
        <f t="shared" si="124"/>
        <v>42760</v>
      </c>
      <c r="F528" s="66" t="s">
        <v>1034</v>
      </c>
      <c r="G528" s="1063" t="s">
        <v>813</v>
      </c>
      <c r="H528" s="71" t="s">
        <v>955</v>
      </c>
      <c r="I528" s="405"/>
      <c r="J528" s="1043"/>
      <c r="K528" s="398"/>
      <c r="L528" s="405"/>
      <c r="M528" s="1044">
        <v>58252</v>
      </c>
      <c r="N528" s="312" t="s">
        <v>26</v>
      </c>
      <c r="O528" s="312" t="s">
        <v>43</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1" s="1205" customFormat="1" ht="15.75" customHeight="1">
      <c r="A529" s="327" t="str">
        <f>IF(B529&lt;&gt;"",IF(AND(B529='IN-TC'!$S$4,OR(TH!N529="1111",TH!O529="1111")),TH!D529,""),"")</f>
        <v/>
      </c>
      <c r="B529" s="62">
        <f t="shared" ref="B529:B531" si="147">IF(C529&lt;&gt;"",MONTH(C529),"")</f>
        <v>1</v>
      </c>
      <c r="C529" s="63">
        <v>42760</v>
      </c>
      <c r="D529" s="309" t="s">
        <v>1022</v>
      </c>
      <c r="E529" s="309">
        <f t="shared" ref="E529:E531" si="148">C529</f>
        <v>42760</v>
      </c>
      <c r="F529" s="66" t="s">
        <v>1035</v>
      </c>
      <c r="G529" s="1063" t="s">
        <v>813</v>
      </c>
      <c r="H529" s="71" t="s">
        <v>955</v>
      </c>
      <c r="I529" s="405"/>
      <c r="J529" s="1043"/>
      <c r="K529" s="398"/>
      <c r="L529" s="405"/>
      <c r="M529" s="1044">
        <v>124575</v>
      </c>
      <c r="N529" s="312" t="s">
        <v>101</v>
      </c>
      <c r="O529" s="312" t="s">
        <v>26</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1" s="1205" customFormat="1" ht="15.75" customHeight="1">
      <c r="A530" s="327" t="str">
        <f>IF(B530&lt;&gt;"",IF(AND(B530='IN-TC'!$S$4,OR(TH!N530="1111",TH!O530="1111")),TH!D530,""),"")</f>
        <v/>
      </c>
      <c r="B530" s="62">
        <f t="shared" si="147"/>
        <v>1</v>
      </c>
      <c r="C530" s="63">
        <v>42760</v>
      </c>
      <c r="D530" s="309" t="s">
        <v>1022</v>
      </c>
      <c r="E530" s="309">
        <f t="shared" si="148"/>
        <v>42760</v>
      </c>
      <c r="F530" s="66" t="s">
        <v>1035</v>
      </c>
      <c r="G530" s="1063" t="s">
        <v>813</v>
      </c>
      <c r="H530" s="71" t="s">
        <v>955</v>
      </c>
      <c r="I530" s="405"/>
      <c r="J530" s="1043"/>
      <c r="K530" s="398"/>
      <c r="L530" s="405"/>
      <c r="M530" s="1044">
        <v>1262941</v>
      </c>
      <c r="N530" s="312" t="s">
        <v>101</v>
      </c>
      <c r="O530" s="312" t="s">
        <v>26</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1" s="1205" customFormat="1" ht="15.75" customHeight="1">
      <c r="A531" s="327" t="str">
        <f>IF(B531&lt;&gt;"",IF(AND(B531='IN-TC'!$S$4,OR(TH!N531="1111",TH!O531="1111")),TH!D531,""),"")</f>
        <v/>
      </c>
      <c r="B531" s="62">
        <f t="shared" si="147"/>
        <v>1</v>
      </c>
      <c r="C531" s="309">
        <v>42760</v>
      </c>
      <c r="D531" s="309" t="s">
        <v>1023</v>
      </c>
      <c r="E531" s="309">
        <f t="shared" si="148"/>
        <v>42760</v>
      </c>
      <c r="F531" s="310" t="s">
        <v>1145</v>
      </c>
      <c r="G531" s="1063" t="s">
        <v>813</v>
      </c>
      <c r="H531" s="1091" t="s">
        <v>1146</v>
      </c>
      <c r="I531" s="405"/>
      <c r="J531" s="1043"/>
      <c r="K531" s="398">
        <v>17000</v>
      </c>
      <c r="L531" s="405">
        <v>22500</v>
      </c>
      <c r="M531" s="1044">
        <f t="shared" ref="M531:M540" si="149">ROUND(L531*K531,0)</f>
        <v>382500000</v>
      </c>
      <c r="N531" s="312" t="s">
        <v>26</v>
      </c>
      <c r="O531" s="312" t="s">
        <v>258</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1" s="1205" customFormat="1" ht="15.75" customHeight="1">
      <c r="A532" s="327" t="str">
        <f>IF(B532&lt;&gt;"",IF(AND(B532='IN-TC'!$S$4,OR(TH!N532="1111",TH!O532="1111")),TH!D532,""),"")</f>
        <v/>
      </c>
      <c r="B532" s="62">
        <f t="shared" si="131"/>
        <v>1</v>
      </c>
      <c r="C532" s="63">
        <v>42740</v>
      </c>
      <c r="D532" s="309" t="s">
        <v>1022</v>
      </c>
      <c r="E532" s="309">
        <f t="shared" si="124"/>
        <v>42740</v>
      </c>
      <c r="F532" s="66" t="s">
        <v>1036</v>
      </c>
      <c r="G532" s="66" t="s">
        <v>813</v>
      </c>
      <c r="H532" s="330" t="s">
        <v>955</v>
      </c>
      <c r="I532" s="405"/>
      <c r="J532" s="1043"/>
      <c r="K532" s="398">
        <v>103.84</v>
      </c>
      <c r="L532" s="405">
        <v>22500</v>
      </c>
      <c r="M532" s="1044">
        <f t="shared" si="149"/>
        <v>2336400</v>
      </c>
      <c r="N532" s="312" t="s">
        <v>99</v>
      </c>
      <c r="O532" s="312" t="s">
        <v>264</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1" s="1205" customFormat="1" ht="15.75" customHeight="1">
      <c r="A533" s="327" t="str">
        <f>IF(B533&lt;&gt;"",IF(AND(B533='IN-TC'!$S$4,OR(TH!N533="1111",TH!O533="1111")),TH!D533,""),"")</f>
        <v/>
      </c>
      <c r="B533" s="62">
        <f t="shared" si="131"/>
        <v>1</v>
      </c>
      <c r="C533" s="63">
        <v>42740</v>
      </c>
      <c r="D533" s="309" t="s">
        <v>1022</v>
      </c>
      <c r="E533" s="309">
        <f t="shared" si="124"/>
        <v>42740</v>
      </c>
      <c r="F533" s="66" t="s">
        <v>1036</v>
      </c>
      <c r="G533" s="66" t="s">
        <v>813</v>
      </c>
      <c r="H533" s="330" t="s">
        <v>955</v>
      </c>
      <c r="I533" s="405"/>
      <c r="J533" s="1043"/>
      <c r="K533" s="398">
        <v>76.510000000000005</v>
      </c>
      <c r="L533" s="405">
        <v>22500</v>
      </c>
      <c r="M533" s="1044">
        <f t="shared" si="149"/>
        <v>1721475</v>
      </c>
      <c r="N533" s="312" t="s">
        <v>99</v>
      </c>
      <c r="O533" s="312" t="s">
        <v>264</v>
      </c>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1" s="1205" customFormat="1" ht="15.75" customHeight="1">
      <c r="A534" s="327" t="str">
        <f>IF(B534&lt;&gt;"",IF(AND(B534='IN-TC'!$S$4,OR(TH!N534="1111",TH!O534="1111")),TH!D534,""),"")</f>
        <v/>
      </c>
      <c r="B534" s="62">
        <f t="shared" si="131"/>
        <v>1</v>
      </c>
      <c r="C534" s="63">
        <v>42741</v>
      </c>
      <c r="D534" s="309" t="s">
        <v>1023</v>
      </c>
      <c r="E534" s="309">
        <f t="shared" si="124"/>
        <v>42741</v>
      </c>
      <c r="F534" s="66" t="s">
        <v>1038</v>
      </c>
      <c r="G534" s="66" t="s">
        <v>813</v>
      </c>
      <c r="H534" s="71" t="s">
        <v>850</v>
      </c>
      <c r="I534" s="405"/>
      <c r="J534" s="1043"/>
      <c r="K534" s="398">
        <v>144188.68</v>
      </c>
      <c r="L534" s="405">
        <v>22500</v>
      </c>
      <c r="M534" s="1044">
        <f t="shared" si="149"/>
        <v>3244245300</v>
      </c>
      <c r="N534" s="312" t="s">
        <v>264</v>
      </c>
      <c r="O534" s="312" t="s">
        <v>579</v>
      </c>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x</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1" s="1205" customFormat="1" ht="15.75" customHeight="1">
      <c r="A535" s="327" t="str">
        <f>IF(B535&lt;&gt;"",IF(AND(B535='IN-TC'!$S$4,OR(TH!N535="1111",TH!O535="1111")),TH!D535,""),"")</f>
        <v/>
      </c>
      <c r="B535" s="62">
        <f t="shared" ref="B535" si="150">IF(C535&lt;&gt;"",MONTH(C535),"")</f>
        <v>1</v>
      </c>
      <c r="C535" s="63">
        <v>42741</v>
      </c>
      <c r="D535" s="309" t="s">
        <v>573</v>
      </c>
      <c r="E535" s="309">
        <f t="shared" ref="E535" si="151">C535</f>
        <v>42741</v>
      </c>
      <c r="F535" s="66" t="s">
        <v>1130</v>
      </c>
      <c r="G535" s="66" t="s">
        <v>813</v>
      </c>
      <c r="H535" s="71" t="s">
        <v>850</v>
      </c>
      <c r="I535" s="405"/>
      <c r="J535" s="1043"/>
      <c r="K535" s="398">
        <v>12</v>
      </c>
      <c r="L535" s="405">
        <v>22500</v>
      </c>
      <c r="M535" s="1044">
        <f t="shared" si="149"/>
        <v>270000</v>
      </c>
      <c r="N535" s="312" t="s">
        <v>101</v>
      </c>
      <c r="O535" s="312" t="s">
        <v>579</v>
      </c>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x</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1" s="1205" customFormat="1" ht="15.75" customHeight="1">
      <c r="A536" s="327" t="str">
        <f>IF(B536&lt;&gt;"",IF(AND(B536='IN-TC'!$S$4,OR(TH!N536="1111",TH!O536="1111")),TH!D536,""),"")</f>
        <v/>
      </c>
      <c r="B536" s="62">
        <f t="shared" si="131"/>
        <v>1</v>
      </c>
      <c r="C536" s="63">
        <v>42741</v>
      </c>
      <c r="D536" s="309" t="s">
        <v>1022</v>
      </c>
      <c r="E536" s="309">
        <f t="shared" si="124"/>
        <v>42741</v>
      </c>
      <c r="F536" s="66" t="s">
        <v>1039</v>
      </c>
      <c r="G536" s="66" t="s">
        <v>1046</v>
      </c>
      <c r="H536" s="330" t="s">
        <v>955</v>
      </c>
      <c r="I536" s="405"/>
      <c r="J536" s="1043"/>
      <c r="K536" s="398">
        <v>43500</v>
      </c>
      <c r="L536" s="405">
        <v>22500</v>
      </c>
      <c r="M536" s="1044">
        <f t="shared" si="149"/>
        <v>978750000</v>
      </c>
      <c r="N536" s="312" t="s">
        <v>264</v>
      </c>
      <c r="O536" s="312" t="s">
        <v>264</v>
      </c>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x</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1" s="1205" customFormat="1" ht="15.75" customHeight="1">
      <c r="A537" s="327" t="str">
        <f>IF(B537&lt;&gt;"",IF(AND(B537='IN-TC'!$S$4,OR(TH!N537="1111",TH!O537="1111")),TH!D537,""),"")</f>
        <v/>
      </c>
      <c r="B537" s="62">
        <f t="shared" ref="B537:B538" si="152">IF(C537&lt;&gt;"",MONTH(C537),"")</f>
        <v>1</v>
      </c>
      <c r="C537" s="63">
        <v>42741</v>
      </c>
      <c r="D537" s="309" t="s">
        <v>1022</v>
      </c>
      <c r="E537" s="309">
        <f t="shared" ref="E537:E538" si="153">C537</f>
        <v>42741</v>
      </c>
      <c r="F537" s="66" t="s">
        <v>1040</v>
      </c>
      <c r="G537" s="66" t="s">
        <v>813</v>
      </c>
      <c r="H537" s="330" t="s">
        <v>955</v>
      </c>
      <c r="I537" s="405"/>
      <c r="J537" s="1043"/>
      <c r="K537" s="398">
        <v>3</v>
      </c>
      <c r="L537" s="405">
        <v>22500</v>
      </c>
      <c r="M537" s="1044">
        <f t="shared" si="149"/>
        <v>67500</v>
      </c>
      <c r="N537" s="312" t="s">
        <v>101</v>
      </c>
      <c r="O537" s="312" t="s">
        <v>264</v>
      </c>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c r="AE537" s="1205">
        <v>1</v>
      </c>
    </row>
    <row r="538" spans="1:31" s="1205" customFormat="1" ht="15.75" customHeight="1">
      <c r="A538" s="327" t="str">
        <f>IF(B538&lt;&gt;"",IF(AND(B538='IN-TC'!$S$4,OR(TH!N538="1111",TH!O538="1111")),TH!D538,""),"")</f>
        <v/>
      </c>
      <c r="B538" s="62">
        <f t="shared" si="152"/>
        <v>1</v>
      </c>
      <c r="C538" s="63">
        <v>42741</v>
      </c>
      <c r="D538" s="309" t="s">
        <v>1022</v>
      </c>
      <c r="E538" s="309">
        <f t="shared" si="153"/>
        <v>42741</v>
      </c>
      <c r="F538" s="66" t="s">
        <v>1041</v>
      </c>
      <c r="G538" s="66" t="s">
        <v>813</v>
      </c>
      <c r="H538" s="330" t="s">
        <v>955</v>
      </c>
      <c r="I538" s="405"/>
      <c r="J538" s="1043"/>
      <c r="K538" s="398">
        <v>0.3</v>
      </c>
      <c r="L538" s="405">
        <v>22500</v>
      </c>
      <c r="M538" s="1044">
        <f t="shared" si="149"/>
        <v>6750</v>
      </c>
      <c r="N538" s="312" t="s">
        <v>9</v>
      </c>
      <c r="O538" s="312" t="s">
        <v>264</v>
      </c>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c r="AE538">
        <v>1</v>
      </c>
    </row>
    <row r="539" spans="1:31" s="1205" customFormat="1" ht="15.75" customHeight="1">
      <c r="A539" s="327" t="str">
        <f>IF(B539&lt;&gt;"",IF(AND(B539='IN-TC'!$S$4,OR(TH!N539="1111",TH!O539="1111")),TH!D539,""),"")</f>
        <v/>
      </c>
      <c r="B539" s="62">
        <f t="shared" ref="B539" si="154">IF(C539&lt;&gt;"",MONTH(C539),"")</f>
        <v>1</v>
      </c>
      <c r="C539" s="63">
        <v>42741</v>
      </c>
      <c r="D539" s="309" t="s">
        <v>1022</v>
      </c>
      <c r="E539" s="309">
        <f t="shared" ref="E539" si="155">C539</f>
        <v>42741</v>
      </c>
      <c r="F539" s="66" t="s">
        <v>1037</v>
      </c>
      <c r="G539" s="66" t="s">
        <v>813</v>
      </c>
      <c r="H539" s="977" t="s">
        <v>846</v>
      </c>
      <c r="I539" s="405"/>
      <c r="J539" s="1043"/>
      <c r="K539" s="398">
        <v>88934.61</v>
      </c>
      <c r="L539" s="405">
        <v>22500</v>
      </c>
      <c r="M539" s="1044">
        <f t="shared" si="149"/>
        <v>2001028725</v>
      </c>
      <c r="N539" s="312" t="s">
        <v>258</v>
      </c>
      <c r="O539" s="312" t="s">
        <v>264</v>
      </c>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x</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1" s="1205" customFormat="1" ht="15.75" customHeight="1">
      <c r="A540" s="327" t="str">
        <f>IF(B540&lt;&gt;"",IF(AND(B540='IN-TC'!$S$4,OR(TH!N540="1111",TH!O540="1111")),TH!D540,""),"")</f>
        <v/>
      </c>
      <c r="B540" s="62">
        <f t="shared" ref="B540" si="156">IF(C540&lt;&gt;"",MONTH(C540),"")</f>
        <v>1</v>
      </c>
      <c r="C540" s="63">
        <v>42741</v>
      </c>
      <c r="D540" s="309" t="s">
        <v>573</v>
      </c>
      <c r="E540" s="309">
        <f t="shared" ref="E540" si="157">C540</f>
        <v>42741</v>
      </c>
      <c r="F540" s="66" t="s">
        <v>1138</v>
      </c>
      <c r="G540" s="66" t="s">
        <v>813</v>
      </c>
      <c r="H540" s="977" t="s">
        <v>846</v>
      </c>
      <c r="I540" s="405"/>
      <c r="J540" s="1043"/>
      <c r="K540" s="398">
        <v>65.39</v>
      </c>
      <c r="L540" s="405">
        <v>22500</v>
      </c>
      <c r="M540" s="1044">
        <f t="shared" si="149"/>
        <v>1471275</v>
      </c>
      <c r="N540" s="312" t="s">
        <v>258</v>
      </c>
      <c r="O540" s="312" t="s">
        <v>103</v>
      </c>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x</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1" s="1205" customFormat="1" ht="15.75" customHeight="1">
      <c r="A541" s="327" t="str">
        <f>IF(B541&lt;&gt;"",IF(AND(B541='IN-TC'!$S$4,OR(TH!N541="1111",TH!O541="1111")),TH!D541,""),"")</f>
        <v/>
      </c>
      <c r="B541" s="62">
        <f t="shared" ref="B541" si="158">IF(C541&lt;&gt;"",MONTH(C541),"")</f>
        <v>1</v>
      </c>
      <c r="C541" s="63">
        <v>42741</v>
      </c>
      <c r="D541" s="309" t="s">
        <v>573</v>
      </c>
      <c r="E541" s="309">
        <f t="shared" ref="E541" si="159">C541</f>
        <v>42741</v>
      </c>
      <c r="F541" s="66" t="s">
        <v>1137</v>
      </c>
      <c r="G541" s="66" t="s">
        <v>813</v>
      </c>
      <c r="H541" s="977" t="s">
        <v>846</v>
      </c>
      <c r="I541" s="405"/>
      <c r="J541" s="1043"/>
      <c r="K541" s="398"/>
      <c r="L541" s="405"/>
      <c r="M541" s="1044">
        <v>18512000</v>
      </c>
      <c r="N541" s="312" t="s">
        <v>99</v>
      </c>
      <c r="O541" s="312" t="s">
        <v>258</v>
      </c>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x</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1" s="1205" customFormat="1" ht="15.75" customHeight="1">
      <c r="A542" s="327" t="str">
        <f>IF(B542&lt;&gt;"",IF(AND(B542='IN-TC'!$S$4,OR(TH!N542="1111",TH!O542="1111")),TH!D542,""),"")</f>
        <v/>
      </c>
      <c r="B542" s="62">
        <f t="shared" si="131"/>
        <v>1</v>
      </c>
      <c r="C542" s="63">
        <v>42745</v>
      </c>
      <c r="D542" s="309" t="s">
        <v>1022</v>
      </c>
      <c r="E542" s="309">
        <f t="shared" si="124"/>
        <v>42745</v>
      </c>
      <c r="F542" s="66" t="s">
        <v>1042</v>
      </c>
      <c r="G542" s="66" t="s">
        <v>813</v>
      </c>
      <c r="H542" s="330" t="s">
        <v>955</v>
      </c>
      <c r="I542" s="405"/>
      <c r="J542" s="1043"/>
      <c r="K542" s="398">
        <v>10</v>
      </c>
      <c r="L542" s="405">
        <v>22500</v>
      </c>
      <c r="M542" s="1044">
        <f t="shared" ref="M542:M548" si="160">ROUND(L542*K542,0)</f>
        <v>225000</v>
      </c>
      <c r="N542" s="312" t="s">
        <v>101</v>
      </c>
      <c r="O542" s="312" t="s">
        <v>264</v>
      </c>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1" s="1205" customFormat="1" ht="15.75" customHeight="1">
      <c r="A543" s="327" t="str">
        <f>IF(B543&lt;&gt;"",IF(AND(B543='IN-TC'!$S$4,OR(TH!N543="1111",TH!O543="1111")),TH!D543,""),"")</f>
        <v/>
      </c>
      <c r="B543" s="62">
        <f t="shared" ref="B543:B545" si="161">IF(C543&lt;&gt;"",MONTH(C543),"")</f>
        <v>1</v>
      </c>
      <c r="C543" s="63">
        <v>42746</v>
      </c>
      <c r="D543" s="309" t="s">
        <v>1023</v>
      </c>
      <c r="E543" s="309">
        <f t="shared" ref="E543:E545" si="162">C543</f>
        <v>42746</v>
      </c>
      <c r="F543" s="66" t="s">
        <v>1038</v>
      </c>
      <c r="G543" s="66" t="s">
        <v>813</v>
      </c>
      <c r="H543" s="71" t="s">
        <v>850</v>
      </c>
      <c r="I543" s="405"/>
      <c r="J543" s="1043"/>
      <c r="K543" s="398">
        <v>294308</v>
      </c>
      <c r="L543" s="405">
        <v>22500</v>
      </c>
      <c r="M543" s="1044">
        <f t="shared" si="160"/>
        <v>6621930000</v>
      </c>
      <c r="N543" s="312" t="s">
        <v>264</v>
      </c>
      <c r="O543" s="312" t="s">
        <v>579</v>
      </c>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x</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1" s="1205" customFormat="1" ht="15.75" customHeight="1">
      <c r="A544" s="327" t="str">
        <f>IF(B544&lt;&gt;"",IF(AND(B544='IN-TC'!$S$4,OR(TH!N544="1111",TH!O544="1111")),TH!D544,""),"")</f>
        <v/>
      </c>
      <c r="B544" s="62">
        <f t="shared" ref="B544" si="163">IF(C544&lt;&gt;"",MONTH(C544),"")</f>
        <v>1</v>
      </c>
      <c r="C544" s="63">
        <v>42746</v>
      </c>
      <c r="D544" s="309" t="s">
        <v>573</v>
      </c>
      <c r="E544" s="309">
        <f t="shared" ref="E544" si="164">C544</f>
        <v>42746</v>
      </c>
      <c r="F544" s="66" t="s">
        <v>1166</v>
      </c>
      <c r="G544" s="66" t="s">
        <v>813</v>
      </c>
      <c r="H544" s="71" t="s">
        <v>850</v>
      </c>
      <c r="I544" s="405"/>
      <c r="J544" s="1043"/>
      <c r="K544" s="398">
        <v>12</v>
      </c>
      <c r="L544" s="405">
        <v>22500</v>
      </c>
      <c r="M544" s="1044">
        <f t="shared" si="160"/>
        <v>270000</v>
      </c>
      <c r="N544" s="312" t="s">
        <v>101</v>
      </c>
      <c r="O544" s="312" t="s">
        <v>579</v>
      </c>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x</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s="1205" customFormat="1" ht="15.75" customHeight="1">
      <c r="A545" s="327" t="str">
        <f>IF(B545&lt;&gt;"",IF(AND(B545='IN-TC'!$S$4,OR(TH!N545="1111",TH!O545="1111")),TH!D545,""),"")</f>
        <v/>
      </c>
      <c r="B545" s="62">
        <f t="shared" si="161"/>
        <v>1</v>
      </c>
      <c r="C545" s="63">
        <v>42746</v>
      </c>
      <c r="D545" s="309" t="s">
        <v>1022</v>
      </c>
      <c r="E545" s="309">
        <f t="shared" si="162"/>
        <v>42746</v>
      </c>
      <c r="F545" s="66" t="s">
        <v>1043</v>
      </c>
      <c r="G545" s="66" t="s">
        <v>813</v>
      </c>
      <c r="H545" s="330" t="s">
        <v>955</v>
      </c>
      <c r="I545" s="405"/>
      <c r="J545" s="1043"/>
      <c r="K545" s="398">
        <v>110</v>
      </c>
      <c r="L545" s="405">
        <v>22500</v>
      </c>
      <c r="M545" s="1044">
        <f t="shared" si="160"/>
        <v>2475000</v>
      </c>
      <c r="N545" s="312" t="s">
        <v>101</v>
      </c>
      <c r="O545" s="312" t="s">
        <v>264</v>
      </c>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s="1205" customFormat="1" ht="15.75" customHeight="1">
      <c r="A546" s="327" t="str">
        <f>IF(B546&lt;&gt;"",IF(AND(B546='IN-TC'!$S$4,OR(TH!N546="1111",TH!O546="1111")),TH!D546,""),"")</f>
        <v/>
      </c>
      <c r="B546" s="62">
        <f t="shared" si="131"/>
        <v>1</v>
      </c>
      <c r="C546" s="63">
        <v>42758</v>
      </c>
      <c r="D546" s="309" t="s">
        <v>1022</v>
      </c>
      <c r="E546" s="309">
        <f t="shared" si="124"/>
        <v>42758</v>
      </c>
      <c r="F546" s="66" t="s">
        <v>1036</v>
      </c>
      <c r="G546" s="66" t="s">
        <v>813</v>
      </c>
      <c r="H546" s="330" t="s">
        <v>955</v>
      </c>
      <c r="I546" s="405"/>
      <c r="J546" s="1043"/>
      <c r="K546" s="398">
        <v>38.770000000000003</v>
      </c>
      <c r="L546" s="405">
        <v>22500</v>
      </c>
      <c r="M546" s="1044">
        <f t="shared" si="160"/>
        <v>872325</v>
      </c>
      <c r="N546" s="312" t="s">
        <v>99</v>
      </c>
      <c r="O546" s="312" t="s">
        <v>264</v>
      </c>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s="1205" customFormat="1" ht="15.75" customHeight="1">
      <c r="A547" s="327" t="str">
        <f>IF(B547&lt;&gt;"",IF(AND(B547='IN-TC'!$S$4,OR(TH!N547="1111",TH!O547="1111")),TH!D547,""),"")</f>
        <v/>
      </c>
      <c r="B547" s="62">
        <f t="shared" si="131"/>
        <v>1</v>
      </c>
      <c r="C547" s="63">
        <v>42760</v>
      </c>
      <c r="D547" s="309" t="s">
        <v>1023</v>
      </c>
      <c r="E547" s="309">
        <f t="shared" si="124"/>
        <v>42760</v>
      </c>
      <c r="F547" s="66" t="s">
        <v>1038</v>
      </c>
      <c r="G547" s="66" t="s">
        <v>813</v>
      </c>
      <c r="H547" s="330" t="s">
        <v>942</v>
      </c>
      <c r="I547" s="405"/>
      <c r="J547" s="1043"/>
      <c r="K547" s="398">
        <v>42100</v>
      </c>
      <c r="L547" s="405">
        <v>22500</v>
      </c>
      <c r="M547" s="1044">
        <f t="shared" si="160"/>
        <v>947250000</v>
      </c>
      <c r="N547" s="312" t="s">
        <v>264</v>
      </c>
      <c r="O547" s="312" t="s">
        <v>579</v>
      </c>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s="1205" customFormat="1" ht="15.75" customHeight="1">
      <c r="A548" s="327" t="str">
        <f>IF(B548&lt;&gt;"",IF(AND(B548='IN-TC'!$S$4,OR(TH!N548="1111",TH!O548="1111")),TH!D548,""),"")</f>
        <v/>
      </c>
      <c r="B548" s="62">
        <f t="shared" ref="B548" si="165">IF(C548&lt;&gt;"",MONTH(C548),"")</f>
        <v>1</v>
      </c>
      <c r="C548" s="63">
        <v>42760</v>
      </c>
      <c r="D548" s="309" t="s">
        <v>573</v>
      </c>
      <c r="E548" s="309">
        <f t="shared" ref="E548" si="166">C548</f>
        <v>42760</v>
      </c>
      <c r="F548" s="66" t="s">
        <v>1130</v>
      </c>
      <c r="G548" s="66" t="s">
        <v>813</v>
      </c>
      <c r="H548" s="330" t="s">
        <v>942</v>
      </c>
      <c r="I548" s="405"/>
      <c r="J548" s="1043"/>
      <c r="K548" s="398">
        <v>140</v>
      </c>
      <c r="L548" s="405">
        <v>22500</v>
      </c>
      <c r="M548" s="1044">
        <f t="shared" si="160"/>
        <v>3150000</v>
      </c>
      <c r="N548" s="312" t="s">
        <v>101</v>
      </c>
      <c r="O548" s="312" t="s">
        <v>579</v>
      </c>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s="1205" customFormat="1" ht="15.75" customHeight="1">
      <c r="A549" s="327" t="str">
        <f>IF(B549&lt;&gt;"",IF(AND(B549='IN-TC'!$S$4,OR(TH!N549="1111",TH!O549="1111")),TH!D549,""),"")</f>
        <v/>
      </c>
      <c r="B549" s="62">
        <f t="shared" ref="B549" si="167">IF(C549&lt;&gt;"",MONTH(C549),"")</f>
        <v>1</v>
      </c>
      <c r="C549" s="63">
        <v>42760</v>
      </c>
      <c r="D549" s="309" t="s">
        <v>573</v>
      </c>
      <c r="E549" s="309">
        <f t="shared" ref="E549" si="168">C549</f>
        <v>42760</v>
      </c>
      <c r="F549" s="66" t="s">
        <v>1137</v>
      </c>
      <c r="G549" s="66" t="s">
        <v>813</v>
      </c>
      <c r="H549" s="330" t="s">
        <v>942</v>
      </c>
      <c r="I549" s="405"/>
      <c r="J549" s="1043"/>
      <c r="K549" s="398"/>
      <c r="L549" s="405"/>
      <c r="M549" s="1044">
        <v>4012800</v>
      </c>
      <c r="N549" s="312" t="s">
        <v>99</v>
      </c>
      <c r="O549" s="312" t="s">
        <v>579</v>
      </c>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ht="15.75" customHeight="1">
      <c r="A550" s="327" t="str">
        <f>IF(B550&lt;&gt;"",IF(AND(B550='IN-TC'!$S$4,OR(TH!N550="1111",TH!O550="1111")),TH!D550,""),"")</f>
        <v/>
      </c>
      <c r="B550" s="62">
        <f t="shared" si="131"/>
        <v>1</v>
      </c>
      <c r="C550" s="63">
        <v>42760</v>
      </c>
      <c r="D550" s="309" t="s">
        <v>1022</v>
      </c>
      <c r="E550" s="309">
        <f t="shared" si="124"/>
        <v>42760</v>
      </c>
      <c r="F550" s="66" t="s">
        <v>1045</v>
      </c>
      <c r="G550" s="66" t="s">
        <v>813</v>
      </c>
      <c r="H550" s="1091" t="s">
        <v>1142</v>
      </c>
      <c r="I550" s="405"/>
      <c r="J550" s="1043"/>
      <c r="K550" s="398">
        <v>40000</v>
      </c>
      <c r="L550" s="405">
        <v>22500</v>
      </c>
      <c r="M550" s="1044">
        <f t="shared" ref="M550:M551" si="169">ROUND(L550*K550,0)</f>
        <v>900000000</v>
      </c>
      <c r="N550" s="312" t="s">
        <v>258</v>
      </c>
      <c r="O550" s="312" t="s">
        <v>264</v>
      </c>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ht="15.75" customHeight="1">
      <c r="A551" s="327" t="str">
        <f>IF(B551&lt;&gt;"",IF(AND(B551='IN-TC'!$S$4,OR(TH!N551="1111",TH!O551="1111")),TH!D551,""),"")</f>
        <v/>
      </c>
      <c r="B551" s="62">
        <f t="shared" ref="B551" si="170">IF(C551&lt;&gt;"",MONTH(C551),"")</f>
        <v>1</v>
      </c>
      <c r="C551" s="63">
        <v>42760</v>
      </c>
      <c r="D551" s="309" t="s">
        <v>1022</v>
      </c>
      <c r="E551" s="309">
        <f t="shared" ref="E551" si="171">C551</f>
        <v>42760</v>
      </c>
      <c r="F551" s="66" t="s">
        <v>1143</v>
      </c>
      <c r="G551" s="66" t="s">
        <v>813</v>
      </c>
      <c r="H551" s="1091" t="s">
        <v>1142</v>
      </c>
      <c r="I551" s="405"/>
      <c r="J551" s="1043"/>
      <c r="K551" s="398">
        <v>40.01</v>
      </c>
      <c r="L551" s="405">
        <v>22500</v>
      </c>
      <c r="M551" s="1044">
        <f t="shared" si="169"/>
        <v>900225</v>
      </c>
      <c r="N551" s="312" t="s">
        <v>99</v>
      </c>
      <c r="O551" s="312" t="s">
        <v>264</v>
      </c>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ht="15.75" customHeight="1">
      <c r="A552" s="327" t="str">
        <f>IF(B552&lt;&gt;"",IF(AND(B552='IN-TC'!$S$4,OR(TH!N552="1111",TH!O552="1111")),TH!D552,""),"")</f>
        <v/>
      </c>
      <c r="B552" s="62">
        <f t="shared" ref="B552" si="172">IF(C552&lt;&gt;"",MONTH(C552),"")</f>
        <v>1</v>
      </c>
      <c r="C552" s="63">
        <v>42760</v>
      </c>
      <c r="D552" s="309" t="s">
        <v>573</v>
      </c>
      <c r="E552" s="309">
        <f t="shared" ref="E552" si="173">C552</f>
        <v>42760</v>
      </c>
      <c r="F552" s="66" t="s">
        <v>1137</v>
      </c>
      <c r="G552" s="66" t="s">
        <v>813</v>
      </c>
      <c r="H552" s="1091" t="s">
        <v>1142</v>
      </c>
      <c r="I552" s="405"/>
      <c r="J552" s="1043"/>
      <c r="K552" s="398"/>
      <c r="L552" s="405"/>
      <c r="M552" s="1044">
        <v>2200000</v>
      </c>
      <c r="N552" s="312" t="s">
        <v>258</v>
      </c>
      <c r="O552" s="312" t="s">
        <v>103</v>
      </c>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ht="15.75" customHeight="1">
      <c r="A553" s="327" t="str">
        <f>IF(B553&lt;&gt;"",IF(AND(B553='IN-TC'!$S$4,OR(TH!N553="1111",TH!O553="1111")),TH!D553,""),"")</f>
        <v/>
      </c>
      <c r="B553" s="62">
        <f t="shared" ref="B553:B554" si="174">IF(C553&lt;&gt;"",MONTH(C553),"")</f>
        <v>1</v>
      </c>
      <c r="C553" s="63">
        <v>42760</v>
      </c>
      <c r="D553" s="309" t="s">
        <v>1023</v>
      </c>
      <c r="E553" s="309">
        <f t="shared" ref="E553:E554" si="175">C553</f>
        <v>42760</v>
      </c>
      <c r="F553" s="66" t="s">
        <v>1044</v>
      </c>
      <c r="G553" s="66" t="s">
        <v>813</v>
      </c>
      <c r="H553" s="1091" t="s">
        <v>1146</v>
      </c>
      <c r="I553" s="405"/>
      <c r="J553" s="1043"/>
      <c r="K553" s="398">
        <v>51400</v>
      </c>
      <c r="L553" s="405">
        <v>22500</v>
      </c>
      <c r="M553" s="1044">
        <f t="shared" ref="M553:M555" si="176">ROUND(L553*K553,0)</f>
        <v>1156500000</v>
      </c>
      <c r="N553" s="312" t="s">
        <v>264</v>
      </c>
      <c r="O553" s="312" t="s">
        <v>258</v>
      </c>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ht="15.75" customHeight="1">
      <c r="A554" s="327" t="str">
        <f>IF(B554&lt;&gt;"",IF(AND(B554='IN-TC'!$S$4,OR(TH!N554="1111",TH!O554="1111")),TH!D554,""),"")</f>
        <v/>
      </c>
      <c r="B554" s="62">
        <f t="shared" si="174"/>
        <v>1</v>
      </c>
      <c r="C554" s="63">
        <v>42760</v>
      </c>
      <c r="D554" s="309" t="s">
        <v>1022</v>
      </c>
      <c r="E554" s="309">
        <f t="shared" si="175"/>
        <v>42760</v>
      </c>
      <c r="F554" s="66" t="s">
        <v>1045</v>
      </c>
      <c r="G554" s="66" t="s">
        <v>813</v>
      </c>
      <c r="H554" s="330" t="s">
        <v>1133</v>
      </c>
      <c r="I554" s="405"/>
      <c r="J554" s="1043"/>
      <c r="K554" s="398">
        <v>50400</v>
      </c>
      <c r="L554" s="405">
        <v>22500</v>
      </c>
      <c r="M554" s="1044">
        <f t="shared" si="176"/>
        <v>1134000000</v>
      </c>
      <c r="N554" s="312" t="s">
        <v>258</v>
      </c>
      <c r="O554" s="312" t="s">
        <v>264</v>
      </c>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ht="15.75" customHeight="1">
      <c r="A555" s="327" t="str">
        <f>IF(B555&lt;&gt;"",IF(AND(B555='IN-TC'!$S$4,OR(TH!N555="1111",TH!O555="1111")),TH!D555,""),"")</f>
        <v/>
      </c>
      <c r="B555" s="62">
        <f t="shared" ref="B555" si="177">IF(C555&lt;&gt;"",MONTH(C555),"")</f>
        <v>1</v>
      </c>
      <c r="C555" s="63">
        <v>42760</v>
      </c>
      <c r="D555" s="309" t="s">
        <v>1022</v>
      </c>
      <c r="E555" s="309">
        <f t="shared" ref="E555" si="178">C555</f>
        <v>42760</v>
      </c>
      <c r="F555" s="66" t="s">
        <v>1143</v>
      </c>
      <c r="G555" s="66" t="s">
        <v>813</v>
      </c>
      <c r="H555" s="330" t="s">
        <v>1133</v>
      </c>
      <c r="I555" s="405"/>
      <c r="J555" s="1043"/>
      <c r="K555" s="398">
        <v>142.83000000000001</v>
      </c>
      <c r="L555" s="405">
        <v>22500</v>
      </c>
      <c r="M555" s="1044">
        <f t="shared" si="176"/>
        <v>3213675</v>
      </c>
      <c r="N555" s="312" t="s">
        <v>99</v>
      </c>
      <c r="O555" s="312" t="s">
        <v>264</v>
      </c>
      <c r="P555" s="81" t="str">
        <f>IF(AND('331-CT'!$E$7=TH!H555,OR(N555="331",O555="331")),"x","")</f>
        <v/>
      </c>
      <c r="Q555" s="81" t="str">
        <f>IF(AND(B555='111'!$L$11,OR($N555=$Q$7,$O555=$Q$7)),"x","")</f>
        <v/>
      </c>
      <c r="R555" s="81" t="str">
        <f>IF(AND($N555=$Q$7,$B555&lt;'111'!$L$11),"x","")</f>
        <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ht="15.75" customHeight="1">
      <c r="A556" s="327" t="str">
        <f>IF(B556&lt;&gt;"",IF(AND(B556='IN-TC'!$S$4,OR(TH!N556="1111",TH!O556="1111")),TH!D556,""),"")</f>
        <v/>
      </c>
      <c r="B556" s="62">
        <f t="shared" ref="B556" si="179">IF(C556&lt;&gt;"",MONTH(C556),"")</f>
        <v>1</v>
      </c>
      <c r="C556" s="63">
        <v>42760</v>
      </c>
      <c r="D556" s="309" t="s">
        <v>573</v>
      </c>
      <c r="E556" s="309">
        <f t="shared" ref="E556" si="180">C556</f>
        <v>42760</v>
      </c>
      <c r="F556" s="66" t="s">
        <v>1137</v>
      </c>
      <c r="G556" s="66" t="s">
        <v>813</v>
      </c>
      <c r="H556" s="330" t="s">
        <v>1133</v>
      </c>
      <c r="I556" s="405"/>
      <c r="J556" s="1043"/>
      <c r="K556" s="398"/>
      <c r="L556" s="405"/>
      <c r="M556" s="1044">
        <v>5644800</v>
      </c>
      <c r="N556" s="312" t="s">
        <v>258</v>
      </c>
      <c r="O556" s="312" t="s">
        <v>103</v>
      </c>
      <c r="P556" s="81" t="str">
        <f>IF(AND('331-CT'!$E$7=TH!H556,OR(N556="331",O556="331")),"x","")</f>
        <v/>
      </c>
      <c r="Q556" s="81" t="str">
        <f>IF(AND(B556='111'!$L$11,OR($N556=$Q$7,$O556=$Q$7)),"x","")</f>
        <v/>
      </c>
      <c r="R556" s="81" t="str">
        <f>IF(AND($N556=$Q$7,$B556&lt;'111'!$L$11),"x","")</f>
        <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ht="15.75" customHeight="1">
      <c r="A557" s="998" t="str">
        <f>IF(B557&lt;&gt;"",IF(AND(B557='IN-TC'!$S$4,OR(TH!N557="1111",TH!O557="1111")),TH!D557,""),"")</f>
        <v/>
      </c>
      <c r="B557" s="62">
        <f t="shared" si="131"/>
        <v>1</v>
      </c>
      <c r="C557" s="63">
        <v>42760</v>
      </c>
      <c r="D557" s="309" t="s">
        <v>1022</v>
      </c>
      <c r="E557" s="309">
        <f t="shared" si="124"/>
        <v>42760</v>
      </c>
      <c r="F557" s="66" t="s">
        <v>1036</v>
      </c>
      <c r="G557" s="66" t="s">
        <v>813</v>
      </c>
      <c r="H557" s="330" t="s">
        <v>955</v>
      </c>
      <c r="I557" s="405"/>
      <c r="J557" s="1043"/>
      <c r="K557" s="398">
        <v>192.44</v>
      </c>
      <c r="L557" s="405">
        <v>22500</v>
      </c>
      <c r="M557" s="1044">
        <f t="shared" ref="M557:M567" si="181">ROUND(L557*K557,0)</f>
        <v>4329900</v>
      </c>
      <c r="N557" s="312" t="s">
        <v>99</v>
      </c>
      <c r="O557" s="312" t="s">
        <v>264</v>
      </c>
      <c r="P557" s="81" t="str">
        <f>IF(AND('331-CT'!$E$7=TH!H557,OR(N557="331",O557="331")),"x","")</f>
        <v/>
      </c>
      <c r="Q557" s="81" t="str">
        <f>IF(AND(B557='111'!$L$11,OR($N557=$Q$7,$O557=$Q$7)),"x","")</f>
        <v/>
      </c>
      <c r="R557" s="81" t="str">
        <f>IF(AND($N557=$Q$7,$B557&lt;'111'!$L$11),"x","")</f>
        <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ht="15.75" customHeight="1">
      <c r="A558" s="998" t="str">
        <f>IF(B558&lt;&gt;"",IF(AND(B558='IN-TC'!$S$4,OR(TH!N558="1111",TH!O558="1111")),TH!D558,""),"")</f>
        <v/>
      </c>
      <c r="B558" s="62">
        <f t="shared" si="131"/>
        <v>1</v>
      </c>
      <c r="C558" s="63">
        <v>42760</v>
      </c>
      <c r="D558" s="309" t="s">
        <v>1022</v>
      </c>
      <c r="E558" s="309">
        <f t="shared" si="124"/>
        <v>42760</v>
      </c>
      <c r="F558" s="66" t="s">
        <v>1036</v>
      </c>
      <c r="G558" s="66" t="s">
        <v>813</v>
      </c>
      <c r="H558" s="330" t="s">
        <v>955</v>
      </c>
      <c r="I558" s="405"/>
      <c r="J558" s="1043"/>
      <c r="K558" s="398">
        <v>162.75</v>
      </c>
      <c r="L558" s="405">
        <v>22500</v>
      </c>
      <c r="M558" s="1044">
        <f t="shared" si="181"/>
        <v>3661875</v>
      </c>
      <c r="N558" s="312" t="s">
        <v>99</v>
      </c>
      <c r="O558" s="312" t="s">
        <v>264</v>
      </c>
      <c r="P558" s="81" t="str">
        <f>IF(AND('331-CT'!$E$7=TH!H558,OR(N558="331",O558="331")),"x","")</f>
        <v/>
      </c>
      <c r="Q558" s="81" t="str">
        <f>IF(AND(B558='111'!$L$11,OR($N558=$Q$7,$O558=$Q$7)),"x","")</f>
        <v/>
      </c>
      <c r="R558" s="81" t="str">
        <f>IF(AND($N558=$Q$7,$B558&lt;'111'!$L$11),"x","")</f>
        <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ht="15.75" customHeight="1">
      <c r="A559" s="999" t="str">
        <f>IF(B559&lt;&gt;"",IF(AND(B559='IN-TC'!$S$4,OR(TH!N559="1111",TH!O559="1111")),TH!D559,""),"")</f>
        <v/>
      </c>
      <c r="B559" s="62">
        <f t="shared" si="131"/>
        <v>1</v>
      </c>
      <c r="C559" s="63">
        <v>42760</v>
      </c>
      <c r="D559" s="309" t="s">
        <v>1022</v>
      </c>
      <c r="E559" s="309">
        <f t="shared" si="124"/>
        <v>42760</v>
      </c>
      <c r="F559" s="66" t="s">
        <v>1036</v>
      </c>
      <c r="G559" s="66" t="s">
        <v>813</v>
      </c>
      <c r="H559" s="330" t="s">
        <v>955</v>
      </c>
      <c r="I559" s="405"/>
      <c r="J559" s="1043"/>
      <c r="K559" s="398">
        <v>229.91</v>
      </c>
      <c r="L559" s="405">
        <v>22500</v>
      </c>
      <c r="M559" s="1044">
        <f t="shared" si="181"/>
        <v>5172975</v>
      </c>
      <c r="N559" s="312" t="s">
        <v>99</v>
      </c>
      <c r="O559" s="312" t="s">
        <v>264</v>
      </c>
      <c r="P559" s="81" t="str">
        <f>IF(AND('331-CT'!$E$7=TH!H559,OR(N559="331",O559="331")),"x","")</f>
        <v/>
      </c>
      <c r="Q559" s="81" t="str">
        <f>IF(AND(B559='111'!$L$11,OR($N559=$Q$7,$O559=$Q$7)),"x","")</f>
        <v/>
      </c>
      <c r="R559" s="81" t="str">
        <f>IF(AND($N559=$Q$7,$B559&lt;'111'!$L$11),"x","")</f>
        <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ht="15.75" customHeight="1">
      <c r="A560" s="998" t="str">
        <f>IF(B560&lt;&gt;"",IF(AND(B560='IN-TC'!$S$4,OR(TH!N560="1111",TH!O560="1111")),TH!D560,""),"")</f>
        <v/>
      </c>
      <c r="B560" s="62">
        <f t="shared" si="131"/>
        <v>1</v>
      </c>
      <c r="C560" s="63">
        <v>42760</v>
      </c>
      <c r="D560" s="309" t="s">
        <v>1022</v>
      </c>
      <c r="E560" s="309">
        <f t="shared" si="124"/>
        <v>42760</v>
      </c>
      <c r="F560" s="66" t="s">
        <v>1036</v>
      </c>
      <c r="G560" s="66" t="s">
        <v>813</v>
      </c>
      <c r="H560" s="330" t="s">
        <v>955</v>
      </c>
      <c r="I560" s="405"/>
      <c r="J560" s="1043"/>
      <c r="K560" s="398">
        <v>211.83</v>
      </c>
      <c r="L560" s="405">
        <v>22500</v>
      </c>
      <c r="M560" s="1044">
        <f t="shared" si="181"/>
        <v>4766175</v>
      </c>
      <c r="N560" s="312" t="s">
        <v>99</v>
      </c>
      <c r="O560" s="312" t="s">
        <v>264</v>
      </c>
      <c r="P560" s="81" t="str">
        <f>IF(AND('331-CT'!$E$7=TH!H560,OR(N560="331",O560="331")),"x","")</f>
        <v/>
      </c>
      <c r="Q560" s="81" t="str">
        <f>IF(AND(B560='111'!$L$11,OR($N560=$Q$7,$O560=$Q$7)),"x","")</f>
        <v/>
      </c>
      <c r="R560" s="81" t="str">
        <f>IF(AND($N560=$Q$7,$B560&lt;'111'!$L$11),"x","")</f>
        <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1" ht="15.75" customHeight="1">
      <c r="A561" s="998" t="str">
        <f>IF(B561&lt;&gt;"",IF(AND(B561='IN-TC'!$S$4,OR(TH!N561="1111",TH!O561="1111")),TH!D561,""),"")</f>
        <v/>
      </c>
      <c r="B561" s="62">
        <f t="shared" si="131"/>
        <v>1</v>
      </c>
      <c r="C561" s="63">
        <v>42760</v>
      </c>
      <c r="D561" s="309" t="s">
        <v>1022</v>
      </c>
      <c r="E561" s="309">
        <f t="shared" ref="E561:E580" si="182">C561</f>
        <v>42760</v>
      </c>
      <c r="F561" s="66" t="s">
        <v>1036</v>
      </c>
      <c r="G561" s="66" t="s">
        <v>813</v>
      </c>
      <c r="H561" s="330" t="s">
        <v>955</v>
      </c>
      <c r="I561" s="405"/>
      <c r="J561" s="1043"/>
      <c r="K561" s="398">
        <v>248</v>
      </c>
      <c r="L561" s="405">
        <v>22500</v>
      </c>
      <c r="M561" s="1044">
        <f t="shared" si="181"/>
        <v>5580000</v>
      </c>
      <c r="N561" s="312" t="s">
        <v>99</v>
      </c>
      <c r="O561" s="312" t="s">
        <v>264</v>
      </c>
      <c r="P561" s="81" t="str">
        <f>IF(AND('331-CT'!$E$7=TH!H561,OR(N561="331",O561="331")),"x","")</f>
        <v/>
      </c>
      <c r="Q561" s="81" t="str">
        <f>IF(AND(B561='111'!$L$11,OR($N561=$Q$7,$O561=$Q$7)),"x","")</f>
        <v/>
      </c>
      <c r="R561" s="81" t="str">
        <f>IF(AND($N561=$Q$7,$B561&lt;'111'!$L$11),"x","")</f>
        <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1" ht="15.75" customHeight="1">
      <c r="A562" s="998" t="str">
        <f>IF(B562&lt;&gt;"",IF(AND(B562='IN-TC'!$S$4,OR(TH!N562="1111",TH!O562="1111")),TH!D562,""),"")</f>
        <v/>
      </c>
      <c r="B562" s="62">
        <f t="shared" si="131"/>
        <v>1</v>
      </c>
      <c r="C562" s="63">
        <v>42760</v>
      </c>
      <c r="D562" s="309" t="s">
        <v>1022</v>
      </c>
      <c r="E562" s="309">
        <f t="shared" si="182"/>
        <v>42760</v>
      </c>
      <c r="F562" s="66" t="s">
        <v>1036</v>
      </c>
      <c r="G562" s="66" t="s">
        <v>813</v>
      </c>
      <c r="H562" s="330" t="s">
        <v>955</v>
      </c>
      <c r="I562" s="405"/>
      <c r="J562" s="1043"/>
      <c r="K562" s="398">
        <v>227.34</v>
      </c>
      <c r="L562" s="405">
        <v>22500</v>
      </c>
      <c r="M562" s="1044">
        <f t="shared" si="181"/>
        <v>5115150</v>
      </c>
      <c r="N562" s="312" t="s">
        <v>99</v>
      </c>
      <c r="O562" s="312" t="s">
        <v>264</v>
      </c>
      <c r="P562" s="81" t="str">
        <f>IF(AND('331-CT'!$E$7=TH!H562,OR(N562="331",O562="331")),"x","")</f>
        <v/>
      </c>
      <c r="Q562" s="81" t="str">
        <f>IF(AND(B562='111'!$L$11,OR($N562=$Q$7,$O562=$Q$7)),"x","")</f>
        <v/>
      </c>
      <c r="R562" s="81" t="str">
        <f>IF(AND($N562=$Q$7,$B562&lt;'111'!$L$11),"x","")</f>
        <v/>
      </c>
      <c r="S562" s="81" t="str">
        <f>IF(AND($O562=$Q$7,$B562&lt;'111'!$L$11),"x","")</f>
        <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row>
    <row r="563" spans="1:31" ht="15.75" customHeight="1">
      <c r="A563" s="998" t="str">
        <f>IF(B563&lt;&gt;"",IF(AND(B563='IN-TC'!$S$4,OR(TH!N563="1111",TH!O563="1111")),TH!D563,""),"")</f>
        <v/>
      </c>
      <c r="B563" s="62">
        <f t="shared" si="131"/>
        <v>1</v>
      </c>
      <c r="C563" s="63">
        <v>42760</v>
      </c>
      <c r="D563" s="309" t="s">
        <v>1022</v>
      </c>
      <c r="E563" s="309">
        <f t="shared" si="182"/>
        <v>42760</v>
      </c>
      <c r="F563" s="66" t="s">
        <v>1036</v>
      </c>
      <c r="G563" s="66" t="s">
        <v>813</v>
      </c>
      <c r="H563" s="330" t="s">
        <v>955</v>
      </c>
      <c r="I563" s="405"/>
      <c r="J563" s="1043"/>
      <c r="K563" s="398">
        <v>248</v>
      </c>
      <c r="L563" s="405">
        <v>22500</v>
      </c>
      <c r="M563" s="1044">
        <f t="shared" si="181"/>
        <v>5580000</v>
      </c>
      <c r="N563" s="312" t="s">
        <v>99</v>
      </c>
      <c r="O563" s="312" t="s">
        <v>264</v>
      </c>
      <c r="P563" s="81" t="str">
        <f>IF(AND('331-CT'!$E$7=TH!H563,OR(N563="331",O563="331")),"x","")</f>
        <v/>
      </c>
      <c r="Q563" s="81" t="str">
        <f>IF(AND(B563='111'!$L$11,OR($N563=$Q$7,$O563=$Q$7)),"x","")</f>
        <v/>
      </c>
      <c r="R563" s="81" t="str">
        <f>IF(AND($N563=$Q$7,$B563&lt;'111'!$L$11),"x","")</f>
        <v/>
      </c>
      <c r="S563" s="81" t="str">
        <f>IF(AND($O563=$Q$7,$B563&lt;'111'!$L$11),"x","")</f>
        <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row>
    <row r="564" spans="1:31" ht="15.75" customHeight="1">
      <c r="A564" s="998" t="str">
        <f>IF(B564&lt;&gt;"",IF(AND(B564='IN-TC'!$S$4,OR(TH!N564="1111",TH!O564="1111")),TH!D564,""),"")</f>
        <v/>
      </c>
      <c r="B564" s="62">
        <f t="shared" si="131"/>
        <v>1</v>
      </c>
      <c r="C564" s="63">
        <v>42760</v>
      </c>
      <c r="D564" s="309" t="s">
        <v>1022</v>
      </c>
      <c r="E564" s="309">
        <f t="shared" si="182"/>
        <v>42760</v>
      </c>
      <c r="F564" s="66" t="s">
        <v>1036</v>
      </c>
      <c r="G564" s="66" t="s">
        <v>813</v>
      </c>
      <c r="H564" s="330" t="s">
        <v>955</v>
      </c>
      <c r="I564" s="405"/>
      <c r="J564" s="1043"/>
      <c r="K564" s="398">
        <v>124</v>
      </c>
      <c r="L564" s="405">
        <v>22500</v>
      </c>
      <c r="M564" s="1044">
        <f t="shared" si="181"/>
        <v>2790000</v>
      </c>
      <c r="N564" s="312" t="s">
        <v>99</v>
      </c>
      <c r="O564" s="312" t="s">
        <v>264</v>
      </c>
      <c r="P564" s="81" t="str">
        <f>IF(AND('331-CT'!$E$7=TH!H564,OR(N564="331",O564="331")),"x","")</f>
        <v/>
      </c>
      <c r="Q564" s="81" t="str">
        <f>IF(AND(B564='111'!$L$11,OR($N564=$Q$7,$O564=$Q$7)),"x","")</f>
        <v/>
      </c>
      <c r="R564" s="81" t="str">
        <f>IF(AND($N564=$Q$7,$B564&lt;'111'!$L$11),"x","")</f>
        <v/>
      </c>
      <c r="S564" s="81" t="str">
        <f>IF(AND($O564=$Q$7,$B564&lt;'111'!$L$11),"x","")</f>
        <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row>
    <row r="565" spans="1:31" ht="15.75" customHeight="1">
      <c r="A565" s="998" t="str">
        <f>IF(B565&lt;&gt;"",IF(AND(B565='IN-TC'!$S$4,OR(TH!N565="1111",TH!O565="1111")),TH!D565,""),"")</f>
        <v/>
      </c>
      <c r="B565" s="62">
        <f t="shared" si="131"/>
        <v>1</v>
      </c>
      <c r="C565" s="63">
        <v>42760</v>
      </c>
      <c r="D565" s="309" t="s">
        <v>1022</v>
      </c>
      <c r="E565" s="309">
        <f t="shared" si="182"/>
        <v>42760</v>
      </c>
      <c r="F565" s="66" t="s">
        <v>1036</v>
      </c>
      <c r="G565" s="66" t="s">
        <v>813</v>
      </c>
      <c r="H565" s="330" t="s">
        <v>955</v>
      </c>
      <c r="I565" s="405"/>
      <c r="J565" s="1043"/>
      <c r="K565" s="398">
        <v>170</v>
      </c>
      <c r="L565" s="405">
        <v>22500</v>
      </c>
      <c r="M565" s="1044">
        <f t="shared" si="181"/>
        <v>3825000</v>
      </c>
      <c r="N565" s="312" t="s">
        <v>99</v>
      </c>
      <c r="O565" s="312" t="s">
        <v>264</v>
      </c>
      <c r="P565" s="81" t="str">
        <f>IF(AND('331-CT'!$E$7=TH!H565,OR(N565="331",O565="331")),"x","")</f>
        <v/>
      </c>
      <c r="Q565" s="81" t="str">
        <f>IF(AND(B565='111'!$L$11,OR($N565=$Q$7,$O565=$Q$7)),"x","")</f>
        <v/>
      </c>
      <c r="R565" s="81" t="str">
        <f>IF(AND($N565=$Q$7,$B565&lt;'111'!$L$11),"x","")</f>
        <v/>
      </c>
      <c r="S565" s="81" t="str">
        <f>IF(AND($O565=$Q$7,$B565&lt;'111'!$L$11),"x","")</f>
        <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row>
    <row r="566" spans="1:31" ht="15.75" customHeight="1">
      <c r="A566" s="998" t="str">
        <f>IF(B566&lt;&gt;"",IF(AND(B566='IN-TC'!$S$4,OR(TH!N566="1111",TH!O566="1111")),TH!D566,""),"")</f>
        <v/>
      </c>
      <c r="B566" s="62">
        <f t="shared" si="131"/>
        <v>1</v>
      </c>
      <c r="C566" s="63">
        <v>42760</v>
      </c>
      <c r="D566" s="309" t="s">
        <v>1022</v>
      </c>
      <c r="E566" s="309">
        <f t="shared" si="182"/>
        <v>42760</v>
      </c>
      <c r="F566" s="66" t="s">
        <v>1036</v>
      </c>
      <c r="G566" s="66" t="s">
        <v>813</v>
      </c>
      <c r="H566" s="330" t="s">
        <v>955</v>
      </c>
      <c r="I566" s="398"/>
      <c r="J566" s="1043"/>
      <c r="K566" s="398">
        <v>353.92</v>
      </c>
      <c r="L566" s="405">
        <v>22500</v>
      </c>
      <c r="M566" s="1044">
        <f t="shared" si="181"/>
        <v>7963200</v>
      </c>
      <c r="N566" s="312" t="s">
        <v>99</v>
      </c>
      <c r="O566" s="312" t="s">
        <v>264</v>
      </c>
      <c r="P566" s="81" t="str">
        <f>IF(AND('331-CT'!$E$7=TH!H566,OR(N566="331",O566="331")),"x","")</f>
        <v/>
      </c>
      <c r="Q566" s="81" t="str">
        <f>IF(AND(B566='111'!$L$11,OR($N566=$Q$7,$O566=$Q$7)),"x","")</f>
        <v/>
      </c>
      <c r="R566" s="81" t="str">
        <f>IF(AND($N566=$Q$7,$B566&lt;'111'!$L$11),"x","")</f>
        <v/>
      </c>
      <c r="S566" s="81" t="str">
        <f>IF(AND($O566=$Q$7,$B566&lt;'111'!$L$11),"x","")</f>
        <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1" ht="15.75" customHeight="1">
      <c r="A567" s="998" t="str">
        <f>IF(B567&lt;&gt;"",IF(AND(B567='IN-TC'!$S$4,OR(TH!N567="1111",TH!O567="1111")),TH!D567,""),"")</f>
        <v/>
      </c>
      <c r="B567" s="62">
        <f t="shared" si="131"/>
        <v>1</v>
      </c>
      <c r="C567" s="63">
        <v>42742</v>
      </c>
      <c r="D567" s="309" t="s">
        <v>1023</v>
      </c>
      <c r="E567" s="309">
        <f t="shared" si="182"/>
        <v>42742</v>
      </c>
      <c r="F567" s="66" t="s">
        <v>1047</v>
      </c>
      <c r="G567" s="66" t="s">
        <v>639</v>
      </c>
      <c r="H567" s="330" t="s">
        <v>1048</v>
      </c>
      <c r="I567" s="405"/>
      <c r="J567" s="1043"/>
      <c r="K567" s="398">
        <v>43000</v>
      </c>
      <c r="L567" s="405">
        <v>22545</v>
      </c>
      <c r="M567" s="1044">
        <f t="shared" si="181"/>
        <v>969435000</v>
      </c>
      <c r="N567" s="312" t="s">
        <v>26</v>
      </c>
      <c r="O567" s="312" t="s">
        <v>258</v>
      </c>
      <c r="P567" s="81" t="str">
        <f>IF(AND('331-CT'!$E$7=TH!H567,OR(N567="331",O567="331")),"x","")</f>
        <v/>
      </c>
      <c r="Q567" s="81" t="str">
        <f>IF(AND(B567='111'!$L$11,OR($N567=$Q$7,$O567=$Q$7)),"x","")</f>
        <v/>
      </c>
      <c r="R567" s="81" t="str">
        <f>IF(AND($N567=$Q$7,$B567&lt;'111'!$L$11),"x","")</f>
        <v/>
      </c>
      <c r="S567" s="81" t="str">
        <f>IF(AND($O567=$Q$7,$B567&lt;'111'!$L$11),"x","")</f>
        <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row>
    <row r="568" spans="1:31" ht="15.75" customHeight="1">
      <c r="A568" s="999" t="str">
        <f>IF(B568&lt;&gt;"",IF(AND(B568='IN-TC'!$S$4,OR(TH!N568="1111",TH!O568="1111")),TH!D568,""),"")</f>
        <v/>
      </c>
      <c r="B568" s="62">
        <f t="shared" si="131"/>
        <v>1</v>
      </c>
      <c r="C568" s="63">
        <v>42742</v>
      </c>
      <c r="D568" s="309" t="s">
        <v>1023</v>
      </c>
      <c r="E568" s="309">
        <f t="shared" si="182"/>
        <v>42742</v>
      </c>
      <c r="F568" s="66" t="s">
        <v>1005</v>
      </c>
      <c r="G568" s="66" t="s">
        <v>639</v>
      </c>
      <c r="H568" s="330" t="s">
        <v>965</v>
      </c>
      <c r="I568" s="405"/>
      <c r="J568" s="1043"/>
      <c r="K568" s="398"/>
      <c r="L568" s="405"/>
      <c r="M568" s="1044">
        <v>2350000000</v>
      </c>
      <c r="N568" s="312" t="s">
        <v>26</v>
      </c>
      <c r="O568" s="312" t="s">
        <v>63</v>
      </c>
      <c r="P568" s="81" t="str">
        <f>IF(AND('331-CT'!$E$7=TH!H568,OR(N568="331",O568="331")),"x","")</f>
        <v/>
      </c>
      <c r="Q568" s="81" t="str">
        <f>IF(AND(B568='111'!$L$11,OR($N568=$Q$7,$O568=$Q$7)),"x","")</f>
        <v/>
      </c>
      <c r="R568" s="81" t="str">
        <f>IF(AND($N568=$Q$7,$B568&lt;'111'!$L$11),"x","")</f>
        <v/>
      </c>
      <c r="S568" s="81" t="str">
        <f>IF(AND($O568=$Q$7,$B568&lt;'111'!$L$11),"x","")</f>
        <v>x</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row>
    <row r="569" spans="1:31" ht="15.75" customHeight="1">
      <c r="A569" s="999" t="str">
        <f>IF(B569&lt;&gt;"",IF(AND(B569='IN-TC'!$S$4,OR(TH!N569="1111",TH!O569="1111")),TH!D569,""),"")</f>
        <v/>
      </c>
      <c r="B569" s="62">
        <f t="shared" si="131"/>
        <v>1</v>
      </c>
      <c r="C569" s="63">
        <v>42744</v>
      </c>
      <c r="D569" s="309" t="s">
        <v>1022</v>
      </c>
      <c r="E569" s="309">
        <f t="shared" si="182"/>
        <v>42744</v>
      </c>
      <c r="F569" s="66" t="s">
        <v>1049</v>
      </c>
      <c r="G569" s="66" t="s">
        <v>639</v>
      </c>
      <c r="H569" s="330" t="s">
        <v>965</v>
      </c>
      <c r="I569" s="405"/>
      <c r="J569" s="1043"/>
      <c r="K569" s="398"/>
      <c r="L569" s="405"/>
      <c r="M569" s="1044">
        <v>600170</v>
      </c>
      <c r="N569" s="312" t="s">
        <v>101</v>
      </c>
      <c r="O569" s="312" t="s">
        <v>26</v>
      </c>
      <c r="P569" s="81" t="str">
        <f>IF(AND('331-CT'!$E$7=TH!H569,OR(N569="331",O569="331")),"x","")</f>
        <v/>
      </c>
      <c r="Q569" s="81" t="str">
        <f>IF(AND(B569='111'!$L$11,OR($N569=$Q$7,$O569=$Q$7)),"x","")</f>
        <v/>
      </c>
      <c r="R569" s="81" t="str">
        <f>IF(AND($N569=$Q$7,$B569&lt;'111'!$L$11),"x","")</f>
        <v/>
      </c>
      <c r="S569" s="81" t="str">
        <f>IF(AND($O569=$Q$7,$B569&lt;'111'!$L$11),"x","")</f>
        <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c r="AE569">
        <v>1</v>
      </c>
    </row>
    <row r="570" spans="1:31" ht="15.75" customHeight="1">
      <c r="A570" s="999" t="str">
        <f>IF(B570&lt;&gt;"",IF(AND(B570='IN-TC'!$S$4,OR(TH!N570="1111",TH!O570="1111")),TH!D570,""),"")</f>
        <v/>
      </c>
      <c r="B570" s="62">
        <f t="shared" si="131"/>
        <v>1</v>
      </c>
      <c r="C570" s="63">
        <v>42744</v>
      </c>
      <c r="D570" s="309" t="s">
        <v>1022</v>
      </c>
      <c r="E570" s="309">
        <f t="shared" ref="E570" si="183">C570</f>
        <v>42744</v>
      </c>
      <c r="F570" s="66" t="s">
        <v>1050</v>
      </c>
      <c r="G570" s="66" t="s">
        <v>639</v>
      </c>
      <c r="H570" s="330" t="s">
        <v>965</v>
      </c>
      <c r="I570" s="405"/>
      <c r="J570" s="1043"/>
      <c r="K570" s="398"/>
      <c r="L570" s="405"/>
      <c r="M570" s="1044">
        <v>60017</v>
      </c>
      <c r="N570" s="312" t="s">
        <v>9</v>
      </c>
      <c r="O570" s="312" t="s">
        <v>26</v>
      </c>
      <c r="P570" s="81" t="str">
        <f>IF(AND('331-CT'!$E$7=TH!H570,OR(N570="331",O570="331")),"x","")</f>
        <v/>
      </c>
      <c r="Q570" s="81" t="str">
        <f>IF(AND(B570='111'!$L$11,OR($N570=$Q$7,$O570=$Q$7)),"x","")</f>
        <v/>
      </c>
      <c r="R570" s="81" t="str">
        <f>IF(AND($N570=$Q$7,$B570&lt;'111'!$L$11),"x","")</f>
        <v/>
      </c>
      <c r="S570" s="81" t="str">
        <f>IF(AND($O570=$Q$7,$B570&lt;'111'!$L$11),"x","")</f>
        <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c r="AE570">
        <v>1</v>
      </c>
    </row>
    <row r="571" spans="1:31" ht="15.75" customHeight="1">
      <c r="A571" s="999" t="str">
        <f>IF(B571&lt;&gt;"",IF(AND(B571='IN-TC'!$S$4,OR(TH!N571="1111",TH!O571="1111")),TH!D571,""),"")</f>
        <v/>
      </c>
      <c r="B571" s="62">
        <f t="shared" ref="B571:B573" si="184">IF(C571&lt;&gt;"",MONTH(C571),"")</f>
        <v>1</v>
      </c>
      <c r="C571" s="63">
        <v>42744</v>
      </c>
      <c r="D571" s="309" t="s">
        <v>1022</v>
      </c>
      <c r="E571" s="309">
        <f t="shared" ref="E571:E573" si="185">C571</f>
        <v>42744</v>
      </c>
      <c r="F571" s="66" t="s">
        <v>1017</v>
      </c>
      <c r="G571" s="66" t="s">
        <v>639</v>
      </c>
      <c r="H571" s="71" t="s">
        <v>894</v>
      </c>
      <c r="I571" s="405"/>
      <c r="J571" s="1043"/>
      <c r="K571" s="398"/>
      <c r="L571" s="405"/>
      <c r="M571" s="1044">
        <v>329056000</v>
      </c>
      <c r="N571" s="312" t="s">
        <v>8</v>
      </c>
      <c r="O571" s="312" t="s">
        <v>26</v>
      </c>
      <c r="P571" s="81" t="str">
        <f>IF(AND('331-CT'!$E$7=TH!H571,OR(N571="331",O571="331")),"x","")</f>
        <v/>
      </c>
      <c r="Q571" s="81" t="str">
        <f>IF(AND(B571='111'!$L$11,OR($N571=$Q$7,$O571=$Q$7)),"x","")</f>
        <v/>
      </c>
      <c r="R571" s="81" t="str">
        <f>IF(AND($N571=$Q$7,$B571&lt;'111'!$L$11),"x","")</f>
        <v/>
      </c>
      <c r="S571" s="81" t="str">
        <f>IF(AND($O571=$Q$7,$B571&lt;'111'!$L$11),"x","")</f>
        <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1" ht="15.75" customHeight="1">
      <c r="A572" s="999" t="str">
        <f>IF(B572&lt;&gt;"",IF(AND(B572='IN-TC'!$S$4,OR(TH!N572="1111",TH!O572="1111")),TH!D572,""),"")</f>
        <v/>
      </c>
      <c r="B572" s="62">
        <f t="shared" si="184"/>
        <v>1</v>
      </c>
      <c r="C572" s="63">
        <v>42744</v>
      </c>
      <c r="D572" s="309" t="s">
        <v>1022</v>
      </c>
      <c r="E572" s="309">
        <f t="shared" si="185"/>
        <v>42744</v>
      </c>
      <c r="F572" s="66" t="s">
        <v>990</v>
      </c>
      <c r="G572" s="66" t="s">
        <v>639</v>
      </c>
      <c r="H572" s="330" t="s">
        <v>965</v>
      </c>
      <c r="I572" s="405"/>
      <c r="J572" s="1043"/>
      <c r="K572" s="398"/>
      <c r="L572" s="405"/>
      <c r="M572" s="1044">
        <v>164528</v>
      </c>
      <c r="N572" s="312" t="s">
        <v>101</v>
      </c>
      <c r="O572" s="312" t="s">
        <v>26</v>
      </c>
      <c r="P572" s="81" t="str">
        <f>IF(AND('331-CT'!$E$7=TH!H572,OR(N572="331",O572="331")),"x","")</f>
        <v/>
      </c>
      <c r="Q572" s="81" t="str">
        <f>IF(AND(B572='111'!$L$11,OR($N572=$Q$7,$O572=$Q$7)),"x","")</f>
        <v/>
      </c>
      <c r="R572" s="81" t="str">
        <f>IF(AND($N572=$Q$7,$B572&lt;'111'!$L$11),"x","")</f>
        <v/>
      </c>
      <c r="S572" s="81" t="str">
        <f>IF(AND($O572=$Q$7,$B572&lt;'111'!$L$11),"x","")</f>
        <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c r="AE572">
        <v>1</v>
      </c>
    </row>
    <row r="573" spans="1:31" ht="15.75" customHeight="1">
      <c r="A573" s="999" t="str">
        <f>IF(B573&lt;&gt;"",IF(AND(B573='IN-TC'!$S$4,OR(TH!N573="1111",TH!O573="1111")),TH!D573,""),"")</f>
        <v/>
      </c>
      <c r="B573" s="62">
        <f t="shared" si="184"/>
        <v>1</v>
      </c>
      <c r="C573" s="63">
        <v>42744</v>
      </c>
      <c r="D573" s="309" t="s">
        <v>1022</v>
      </c>
      <c r="E573" s="309">
        <f t="shared" si="185"/>
        <v>42744</v>
      </c>
      <c r="F573" s="66" t="s">
        <v>1018</v>
      </c>
      <c r="G573" s="66" t="s">
        <v>639</v>
      </c>
      <c r="H573" s="330" t="s">
        <v>965</v>
      </c>
      <c r="I573" s="405"/>
      <c r="J573" s="1043"/>
      <c r="K573" s="398"/>
      <c r="L573" s="405"/>
      <c r="M573" s="1044">
        <v>16453</v>
      </c>
      <c r="N573" s="312" t="s">
        <v>9</v>
      </c>
      <c r="O573" s="312" t="s">
        <v>26</v>
      </c>
      <c r="P573" s="81" t="str">
        <f>IF(AND('331-CT'!$E$7=TH!H573,OR(N573="331",O573="331")),"x","")</f>
        <v/>
      </c>
      <c r="Q573" s="81" t="str">
        <f>IF(AND(B573='111'!$L$11,OR($N573=$Q$7,$O573=$Q$7)),"x","")</f>
        <v/>
      </c>
      <c r="R573" s="81" t="str">
        <f>IF(AND($N573=$Q$7,$B573&lt;'111'!$L$11),"x","")</f>
        <v/>
      </c>
      <c r="S573" s="81" t="str">
        <f>IF(AND($O573=$Q$7,$B573&lt;'111'!$L$11),"x","")</f>
        <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c r="AE573">
        <v>1</v>
      </c>
    </row>
    <row r="574" spans="1:31" ht="15.75" customHeight="1">
      <c r="A574" s="998" t="str">
        <f>IF(B574&lt;&gt;"",IF(AND(B574='IN-TC'!$S$4,OR(TH!N574="1111",TH!O574="1111")),TH!D574,""),"")</f>
        <v/>
      </c>
      <c r="B574" s="831">
        <f t="shared" ref="B574:B575" si="186">IF(C574&lt;&gt;"",MONTH(C574),"")</f>
        <v>1</v>
      </c>
      <c r="C574" s="63">
        <v>42744</v>
      </c>
      <c r="D574" s="309" t="s">
        <v>1022</v>
      </c>
      <c r="E574" s="309">
        <f t="shared" ref="E574:E579" si="187">C574</f>
        <v>42744</v>
      </c>
      <c r="F574" s="66" t="s">
        <v>1031</v>
      </c>
      <c r="G574" s="66" t="s">
        <v>639</v>
      </c>
      <c r="H574" s="330" t="s">
        <v>610</v>
      </c>
      <c r="I574" s="405"/>
      <c r="J574" s="1043"/>
      <c r="K574" s="398"/>
      <c r="L574" s="405"/>
      <c r="M574" s="1044">
        <v>1170000</v>
      </c>
      <c r="N574" s="312" t="s">
        <v>8</v>
      </c>
      <c r="O574" s="312" t="s">
        <v>26</v>
      </c>
      <c r="P574" s="81" t="str">
        <f>IF(AND('331-CT'!$E$7=TH!H574,OR(N574="331",O574="331")),"x","")</f>
        <v/>
      </c>
      <c r="Q574" s="81" t="str">
        <f>IF(AND(B574='111'!$L$11,OR($N574=$Q$7,$O574=$Q$7)),"x","")</f>
        <v/>
      </c>
      <c r="R574" s="81" t="str">
        <f>IF(AND($N574=$Q$7,$B574&lt;'111'!$L$11),"x","")</f>
        <v/>
      </c>
      <c r="S574" s="81" t="str">
        <f>IF(AND($O574=$Q$7,$B574&lt;'111'!$L$11),"x","")</f>
        <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row>
    <row r="575" spans="1:31" ht="15.75" customHeight="1">
      <c r="A575" s="998" t="str">
        <f>IF(B575&lt;&gt;"",IF(AND(B575='IN-TC'!$S$4,OR(TH!N575="1111",TH!O575="1111")),TH!D575,""),"")</f>
        <v/>
      </c>
      <c r="B575" s="831">
        <f t="shared" si="186"/>
        <v>1</v>
      </c>
      <c r="C575" s="63">
        <v>42744</v>
      </c>
      <c r="D575" s="309" t="s">
        <v>1022</v>
      </c>
      <c r="E575" s="309">
        <f t="shared" si="187"/>
        <v>42744</v>
      </c>
      <c r="F575" s="66" t="s">
        <v>990</v>
      </c>
      <c r="G575" s="66" t="s">
        <v>639</v>
      </c>
      <c r="H575" s="330" t="s">
        <v>965</v>
      </c>
      <c r="I575" s="405"/>
      <c r="J575" s="1043"/>
      <c r="K575" s="398"/>
      <c r="L575" s="405"/>
      <c r="M575" s="1044">
        <v>20000</v>
      </c>
      <c r="N575" s="312" t="s">
        <v>101</v>
      </c>
      <c r="O575" s="312" t="s">
        <v>26</v>
      </c>
      <c r="P575" s="81" t="str">
        <f>IF(AND('331-CT'!$E$7=TH!H575,OR(N575="331",O575="331")),"x","")</f>
        <v/>
      </c>
      <c r="Q575" s="81" t="str">
        <f>IF(AND(B575='111'!$L$11,OR($N575=$Q$7,$O575=$Q$7)),"x","")</f>
        <v/>
      </c>
      <c r="R575" s="81" t="str">
        <f>IF(AND($N575=$Q$7,$B575&lt;'111'!$L$11),"x","")</f>
        <v/>
      </c>
      <c r="S575" s="81" t="str">
        <f>IF(AND($O575=$Q$7,$B575&lt;'111'!$L$11),"x","")</f>
        <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c r="AE575">
        <v>1</v>
      </c>
    </row>
    <row r="576" spans="1:31" ht="15.75" customHeight="1">
      <c r="A576" s="999" t="str">
        <f>IF(B576&lt;&gt;"",IF(AND(B576='IN-TC'!$S$4,OR(TH!N576="1111",TH!O576="1111")),TH!D576,""),"")</f>
        <v/>
      </c>
      <c r="B576" s="62">
        <f t="shared" ref="B576:B577" si="188">IF(C576&lt;&gt;"",MONTH(C576),"")</f>
        <v>1</v>
      </c>
      <c r="C576" s="63">
        <v>42744</v>
      </c>
      <c r="D576" s="309" t="s">
        <v>1022</v>
      </c>
      <c r="E576" s="309">
        <f t="shared" si="187"/>
        <v>42744</v>
      </c>
      <c r="F576" s="66" t="s">
        <v>1018</v>
      </c>
      <c r="G576" s="66" t="s">
        <v>639</v>
      </c>
      <c r="H576" s="330" t="s">
        <v>965</v>
      </c>
      <c r="I576" s="405"/>
      <c r="J576" s="1043"/>
      <c r="K576" s="398"/>
      <c r="L576" s="405"/>
      <c r="M576" s="1044">
        <v>2000</v>
      </c>
      <c r="N576" s="312" t="s">
        <v>9</v>
      </c>
      <c r="O576" s="312" t="s">
        <v>26</v>
      </c>
      <c r="P576" s="81" t="str">
        <f>IF(AND('331-CT'!$E$7=TH!H576,OR(N576="331",O576="331")),"x","")</f>
        <v/>
      </c>
      <c r="Q576" s="81" t="str">
        <f>IF(AND(B576='111'!$L$11,OR($N576=$Q$7,$O576=$Q$7)),"x","")</f>
        <v/>
      </c>
      <c r="R576" s="81" t="str">
        <f>IF(AND($N576=$Q$7,$B576&lt;'111'!$L$11),"x","")</f>
        <v/>
      </c>
      <c r="S576" s="81" t="str">
        <f>IF(AND($O576=$Q$7,$B576&lt;'111'!$L$11),"x","")</f>
        <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c r="AE576">
        <v>1</v>
      </c>
    </row>
    <row r="577" spans="1:31" ht="15.75" customHeight="1">
      <c r="A577" s="999" t="str">
        <f>IF(B577&lt;&gt;"",IF(AND(B577='IN-TC'!$S$4,OR(TH!N577="1111",TH!O577="1111")),TH!D577,""),"")</f>
        <v/>
      </c>
      <c r="B577" s="62">
        <f t="shared" si="188"/>
        <v>1</v>
      </c>
      <c r="C577" s="63">
        <v>42744</v>
      </c>
      <c r="D577" s="309" t="s">
        <v>1022</v>
      </c>
      <c r="E577" s="309">
        <f t="shared" si="187"/>
        <v>42744</v>
      </c>
      <c r="F577" s="66" t="s">
        <v>1031</v>
      </c>
      <c r="G577" s="66" t="s">
        <v>639</v>
      </c>
      <c r="H577" s="330" t="s">
        <v>610</v>
      </c>
      <c r="I577" s="405"/>
      <c r="J577" s="1043"/>
      <c r="K577" s="398"/>
      <c r="L577" s="405"/>
      <c r="M577" s="1044">
        <v>7015000</v>
      </c>
      <c r="N577" s="312" t="s">
        <v>8</v>
      </c>
      <c r="O577" s="312" t="s">
        <v>26</v>
      </c>
      <c r="P577" s="81" t="str">
        <f>IF(AND('331-CT'!$E$7=TH!H577,OR(N577="331",O577="331")),"x","")</f>
        <v/>
      </c>
      <c r="Q577" s="81" t="str">
        <f>IF(AND(B577='111'!$L$11,OR($N577=$Q$7,$O577=$Q$7)),"x","")</f>
        <v/>
      </c>
      <c r="R577" s="81" t="str">
        <f>IF(AND($N577=$Q$7,$B577&lt;'111'!$L$11),"x","")</f>
        <v/>
      </c>
      <c r="S577" s="81" t="str">
        <f>IF(AND($O577=$Q$7,$B577&lt;'111'!$L$11),"x","")</f>
        <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row>
    <row r="578" spans="1:31" ht="15.75" customHeight="1">
      <c r="A578" s="998" t="str">
        <f>IF(B578&lt;&gt;"",IF(AND(B578='IN-TC'!$S$4,OR(TH!N578="1111",TH!O578="1111")),TH!D578,""),"")</f>
        <v/>
      </c>
      <c r="B578" s="831">
        <f t="shared" ref="B578:B579" si="189">IF(C578&lt;&gt;"",MONTH(C578),"")</f>
        <v>1</v>
      </c>
      <c r="C578" s="63">
        <v>42744</v>
      </c>
      <c r="D578" s="309" t="s">
        <v>1022</v>
      </c>
      <c r="E578" s="309">
        <f t="shared" si="187"/>
        <v>42744</v>
      </c>
      <c r="F578" s="66" t="s">
        <v>990</v>
      </c>
      <c r="G578" s="66" t="s">
        <v>639</v>
      </c>
      <c r="H578" s="330" t="s">
        <v>965</v>
      </c>
      <c r="I578" s="405"/>
      <c r="J578" s="1043"/>
      <c r="K578" s="398"/>
      <c r="L578" s="405"/>
      <c r="M578" s="1044">
        <v>20000</v>
      </c>
      <c r="N578" s="312" t="s">
        <v>101</v>
      </c>
      <c r="O578" s="312" t="s">
        <v>26</v>
      </c>
      <c r="P578" s="81" t="str">
        <f>IF(AND('331-CT'!$E$7=TH!H578,OR(N578="331",O578="331")),"x","")</f>
        <v/>
      </c>
      <c r="Q578" s="81" t="str">
        <f>IF(AND(B578='111'!$L$11,OR($N578=$Q$7,$O578=$Q$7)),"x","")</f>
        <v/>
      </c>
      <c r="R578" s="81" t="str">
        <f>IF(AND($N578=$Q$7,$B578&lt;'111'!$L$11),"x","")</f>
        <v/>
      </c>
      <c r="S578" s="81" t="str">
        <f>IF(AND($O578=$Q$7,$B578&lt;'111'!$L$11),"x","")</f>
        <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c r="AE578">
        <v>1</v>
      </c>
    </row>
    <row r="579" spans="1:31" ht="15.75" customHeight="1">
      <c r="A579" s="998" t="str">
        <f>IF(B579&lt;&gt;"",IF(AND(B579='IN-TC'!$S$4,OR(TH!N579="1111",TH!O579="1111")),TH!D579,""),"")</f>
        <v/>
      </c>
      <c r="B579" s="831">
        <f t="shared" si="189"/>
        <v>1</v>
      </c>
      <c r="C579" s="63">
        <v>42744</v>
      </c>
      <c r="D579" s="309" t="s">
        <v>1022</v>
      </c>
      <c r="E579" s="309">
        <f t="shared" si="187"/>
        <v>42744</v>
      </c>
      <c r="F579" s="66" t="s">
        <v>1018</v>
      </c>
      <c r="G579" s="66" t="s">
        <v>639</v>
      </c>
      <c r="H579" s="330" t="s">
        <v>965</v>
      </c>
      <c r="I579" s="405"/>
      <c r="J579" s="1043"/>
      <c r="K579" s="398"/>
      <c r="L579" s="405"/>
      <c r="M579" s="1044">
        <v>2000</v>
      </c>
      <c r="N579" s="312" t="s">
        <v>9</v>
      </c>
      <c r="O579" s="312" t="s">
        <v>26</v>
      </c>
      <c r="P579" s="81" t="str">
        <f>IF(AND('331-CT'!$E$7=TH!H579,OR(N579="331",O579="331")),"x","")</f>
        <v/>
      </c>
      <c r="Q579" s="81" t="str">
        <f>IF(AND(B579='111'!$L$11,OR($N579=$Q$7,$O579=$Q$7)),"x","")</f>
        <v/>
      </c>
      <c r="R579" s="81" t="str">
        <f>IF(AND($N579=$Q$7,$B579&lt;'111'!$L$11),"x","")</f>
        <v/>
      </c>
      <c r="S579" s="81" t="str">
        <f>IF(AND($O579=$Q$7,$B579&lt;'111'!$L$11),"x","")</f>
        <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c r="AE579">
        <v>1</v>
      </c>
    </row>
    <row r="580" spans="1:31" ht="15.75" customHeight="1">
      <c r="A580" s="999" t="str">
        <f>IF(B580&lt;&gt;"",IF(AND(B580='IN-TC'!$S$4,OR(TH!N580="1111",TH!O580="1111")),TH!D580,""),"")</f>
        <v/>
      </c>
      <c r="B580" s="62">
        <f t="shared" ref="B580" si="190">IF(C580&lt;&gt;"",MONTH(C580),"")</f>
        <v>1</v>
      </c>
      <c r="C580" s="63">
        <v>42754</v>
      </c>
      <c r="D580" s="309" t="s">
        <v>1023</v>
      </c>
      <c r="E580" s="309">
        <f t="shared" si="182"/>
        <v>42754</v>
      </c>
      <c r="F580" s="66" t="s">
        <v>1038</v>
      </c>
      <c r="G580" s="66" t="s">
        <v>639</v>
      </c>
      <c r="H580" s="330" t="s">
        <v>915</v>
      </c>
      <c r="I580" s="405"/>
      <c r="J580" s="1043"/>
      <c r="K580" s="398"/>
      <c r="L580" s="405"/>
      <c r="M580" s="1044">
        <v>55196900</v>
      </c>
      <c r="N580" s="312" t="s">
        <v>26</v>
      </c>
      <c r="O580" s="312" t="s">
        <v>579</v>
      </c>
      <c r="P580" s="81" t="str">
        <f>IF(AND('331-CT'!$E$7=TH!H580,OR(N580="331",O580="331")),"x","")</f>
        <v/>
      </c>
      <c r="Q580" s="81" t="str">
        <f>IF(AND(B580='111'!$L$11,OR($N580=$Q$7,$O580=$Q$7)),"x","")</f>
        <v/>
      </c>
      <c r="R580" s="81" t="str">
        <f>IF(AND($N580=$Q$7,$B580&lt;'111'!$L$11),"x","")</f>
        <v/>
      </c>
      <c r="S580" s="81" t="str">
        <f>IF(AND($O580=$Q$7,$B580&lt;'111'!$L$11),"x","")</f>
        <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row>
    <row r="581" spans="1:31" ht="15.75" customHeight="1">
      <c r="A581" s="999" t="str">
        <f>IF(B581&lt;&gt;"",IF(AND(B581='IN-TC'!$S$4,OR(TH!N581="1111",TH!O581="1111")),TH!D581,""),"")</f>
        <v/>
      </c>
      <c r="B581" s="62">
        <f t="shared" ref="B581" si="191">IF(C581&lt;&gt;"",MONTH(C581),"")</f>
        <v>1</v>
      </c>
      <c r="C581" s="63">
        <v>42754</v>
      </c>
      <c r="D581" s="309" t="s">
        <v>1022</v>
      </c>
      <c r="E581" s="309">
        <f>C581</f>
        <v>42754</v>
      </c>
      <c r="F581" s="310" t="s">
        <v>1019</v>
      </c>
      <c r="G581" s="66" t="s">
        <v>639</v>
      </c>
      <c r="H581" s="71" t="s">
        <v>800</v>
      </c>
      <c r="I581" s="405"/>
      <c r="J581" s="1043"/>
      <c r="K581" s="398"/>
      <c r="L581" s="405"/>
      <c r="M581" s="1044">
        <v>38500000</v>
      </c>
      <c r="N581" s="312" t="s">
        <v>8</v>
      </c>
      <c r="O581" s="312" t="s">
        <v>26</v>
      </c>
      <c r="P581" s="81" t="str">
        <f>IF(AND('331-CT'!$E$7=TH!H581,OR(N581="331",O581="331")),"x","")</f>
        <v/>
      </c>
      <c r="Q581" s="81" t="str">
        <f>IF(AND(B581='111'!$L$11,OR($N581=$Q$7,$O581=$Q$7)),"x","")</f>
        <v/>
      </c>
      <c r="R581" s="81" t="str">
        <f>IF(AND($N581=$Q$7,$B581&lt;'111'!$L$11),"x","")</f>
        <v/>
      </c>
      <c r="S581" s="81" t="str">
        <f>IF(AND($O581=$Q$7,$B581&lt;'111'!$L$11),"x","")</f>
        <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row>
    <row r="582" spans="1:31" ht="15.75" customHeight="1">
      <c r="A582" s="327" t="str">
        <f>IF(B582&lt;&gt;"",IF(AND(B582='IN-TC'!$S$4,OR(TH!N582="1111",TH!O582="1111")),TH!D582,""),"")</f>
        <v/>
      </c>
      <c r="B582" s="62">
        <f t="shared" ref="B582:B714" si="192">IF(C582&lt;&gt;"",MONTH(C582),"")</f>
        <v>1</v>
      </c>
      <c r="C582" s="63">
        <v>42754</v>
      </c>
      <c r="D582" s="309" t="s">
        <v>1022</v>
      </c>
      <c r="E582" s="309">
        <f t="shared" ref="E582:E583" si="193">C582</f>
        <v>42754</v>
      </c>
      <c r="F582" s="310" t="s">
        <v>990</v>
      </c>
      <c r="G582" s="66" t="s">
        <v>639</v>
      </c>
      <c r="H582" s="330" t="s">
        <v>965</v>
      </c>
      <c r="I582" s="405"/>
      <c r="J582" s="1043"/>
      <c r="K582" s="398"/>
      <c r="L582" s="405"/>
      <c r="M582" s="1044">
        <v>20000</v>
      </c>
      <c r="N582" s="312" t="s">
        <v>101</v>
      </c>
      <c r="O582" s="312" t="s">
        <v>26</v>
      </c>
      <c r="P582" s="81" t="str">
        <f>IF(AND('331-CT'!$E$7=TH!H582,OR(N582="331",O582="331")),"x","")</f>
        <v/>
      </c>
      <c r="Q582" s="81" t="str">
        <f>IF(AND(B582='111'!$L$11,OR($N582=$Q$7,$O582=$Q$7)),"x","")</f>
        <v/>
      </c>
      <c r="R582" s="81" t="str">
        <f>IF(AND($N582=$Q$7,$B582&lt;'111'!$L$11),"x","")</f>
        <v/>
      </c>
      <c r="S582" s="81" t="str">
        <f>IF(AND($O582=$Q$7,$B582&lt;'111'!$L$11),"x","")</f>
        <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c r="AE582">
        <v>1</v>
      </c>
    </row>
    <row r="583" spans="1:31" ht="15.75" customHeight="1">
      <c r="A583" s="327" t="str">
        <f>IF(B583&lt;&gt;"",IF(AND(B583='IN-TC'!$S$4,OR(TH!N583="1111",TH!O583="1111")),TH!D583,""),"")</f>
        <v/>
      </c>
      <c r="B583" s="62">
        <f t="shared" si="192"/>
        <v>1</v>
      </c>
      <c r="C583" s="63">
        <v>42754</v>
      </c>
      <c r="D583" s="309" t="s">
        <v>1022</v>
      </c>
      <c r="E583" s="309">
        <f t="shared" si="193"/>
        <v>42754</v>
      </c>
      <c r="F583" s="310" t="s">
        <v>1018</v>
      </c>
      <c r="G583" s="66" t="s">
        <v>639</v>
      </c>
      <c r="H583" s="330" t="s">
        <v>965</v>
      </c>
      <c r="I583" s="405"/>
      <c r="J583" s="1043"/>
      <c r="K583" s="398"/>
      <c r="L583" s="405"/>
      <c r="M583" s="1044">
        <v>2000</v>
      </c>
      <c r="N583" s="312" t="s">
        <v>9</v>
      </c>
      <c r="O583" s="312" t="s">
        <v>26</v>
      </c>
      <c r="P583" s="81" t="str">
        <f>IF(AND('331-CT'!$E$7=TH!H583,OR(N583="331",O583="331")),"x","")</f>
        <v/>
      </c>
      <c r="Q583" s="81" t="str">
        <f>IF(AND(B583='111'!$L$11,OR($N583=$Q$7,$O583=$Q$7)),"x","")</f>
        <v/>
      </c>
      <c r="R583" s="81" t="str">
        <f>IF(AND($N583=$Q$7,$B583&lt;'111'!$L$11),"x","")</f>
        <v/>
      </c>
      <c r="S583" s="81" t="str">
        <f>IF(AND($O583=$Q$7,$B583&lt;'111'!$L$11),"x","")</f>
        <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c r="AE583">
        <v>1</v>
      </c>
    </row>
    <row r="584" spans="1:31" ht="15.75" customHeight="1">
      <c r="A584" s="327" t="str">
        <f>IF(B584&lt;&gt;"",IF(AND(B584='IN-TC'!$S$4,OR(TH!N584="1111",TH!O584="1111")),TH!D584,""),"")</f>
        <v/>
      </c>
      <c r="B584" s="62">
        <f t="shared" si="192"/>
        <v>1</v>
      </c>
      <c r="C584" s="63">
        <v>42754</v>
      </c>
      <c r="D584" s="309" t="s">
        <v>1022</v>
      </c>
      <c r="E584" s="309">
        <f>C584</f>
        <v>42754</v>
      </c>
      <c r="F584" s="310" t="s">
        <v>1051</v>
      </c>
      <c r="G584" s="66" t="s">
        <v>639</v>
      </c>
      <c r="H584" s="71" t="s">
        <v>844</v>
      </c>
      <c r="I584" s="405"/>
      <c r="J584" s="1043"/>
      <c r="K584" s="398"/>
      <c r="L584" s="405"/>
      <c r="M584" s="1044">
        <v>23710344</v>
      </c>
      <c r="N584" s="312" t="s">
        <v>8</v>
      </c>
      <c r="O584" s="312" t="s">
        <v>26</v>
      </c>
      <c r="P584" s="81" t="str">
        <f>IF(AND('331-CT'!$E$7=TH!H584,OR(N584="331",O584="331")),"x","")</f>
        <v/>
      </c>
      <c r="Q584" s="81" t="str">
        <f>IF(AND(B584='111'!$L$11,OR($N584=$Q$7,$O584=$Q$7)),"x","")</f>
        <v/>
      </c>
      <c r="R584" s="81" t="str">
        <f>IF(AND($N584=$Q$7,$B584&lt;'111'!$L$11),"x","")</f>
        <v/>
      </c>
      <c r="S584" s="81" t="str">
        <f>IF(AND($O584=$Q$7,$B584&lt;'111'!$L$11),"x","")</f>
        <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row>
    <row r="585" spans="1:31" ht="15.75" customHeight="1">
      <c r="A585" s="327" t="str">
        <f>IF(B585&lt;&gt;"",IF(AND(B585='IN-TC'!$S$4,OR(TH!N585="1111",TH!O585="1111")),TH!D585,""),"")</f>
        <v/>
      </c>
      <c r="B585" s="62">
        <f t="shared" si="192"/>
        <v>1</v>
      </c>
      <c r="C585" s="63">
        <v>42754</v>
      </c>
      <c r="D585" s="309" t="s">
        <v>1022</v>
      </c>
      <c r="E585" s="309">
        <f t="shared" ref="E585:E664" si="194">C585</f>
        <v>42754</v>
      </c>
      <c r="F585" s="310" t="s">
        <v>990</v>
      </c>
      <c r="G585" s="66" t="s">
        <v>639</v>
      </c>
      <c r="H585" s="330" t="s">
        <v>965</v>
      </c>
      <c r="I585" s="405"/>
      <c r="J585" s="1043"/>
      <c r="K585" s="398"/>
      <c r="L585" s="405"/>
      <c r="M585" s="1044">
        <v>20000</v>
      </c>
      <c r="N585" s="312" t="s">
        <v>101</v>
      </c>
      <c r="O585" s="312" t="s">
        <v>26</v>
      </c>
      <c r="P585" s="81" t="str">
        <f>IF(AND('331-CT'!$E$7=TH!H585,OR(N585="331",O585="331")),"x","")</f>
        <v/>
      </c>
      <c r="Q585" s="81" t="str">
        <f>IF(AND(B585='111'!$L$11,OR($N585=$Q$7,$O585=$Q$7)),"x","")</f>
        <v/>
      </c>
      <c r="R585" s="81" t="str">
        <f>IF(AND($N585=$Q$7,$B585&lt;'111'!$L$11),"x","")</f>
        <v/>
      </c>
      <c r="S585" s="81" t="str">
        <f>IF(AND($O585=$Q$7,$B585&lt;'111'!$L$11),"x","")</f>
        <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c r="AE585">
        <v>1</v>
      </c>
    </row>
    <row r="586" spans="1:31" ht="15.75" customHeight="1">
      <c r="A586" s="327" t="str">
        <f>IF(B586&lt;&gt;"",IF(AND(B586='IN-TC'!$S$4,OR(TH!N586="1111",TH!O586="1111")),TH!D586,""),"")</f>
        <v/>
      </c>
      <c r="B586" s="62">
        <f t="shared" si="192"/>
        <v>1</v>
      </c>
      <c r="C586" s="63">
        <v>42754</v>
      </c>
      <c r="D586" s="309" t="s">
        <v>1022</v>
      </c>
      <c r="E586" s="309">
        <f t="shared" si="194"/>
        <v>42754</v>
      </c>
      <c r="F586" s="310" t="s">
        <v>1018</v>
      </c>
      <c r="G586" s="66" t="s">
        <v>639</v>
      </c>
      <c r="H586" s="330" t="s">
        <v>965</v>
      </c>
      <c r="I586" s="405"/>
      <c r="J586" s="1043"/>
      <c r="K586" s="398"/>
      <c r="L586" s="405"/>
      <c r="M586" s="1044">
        <v>2000</v>
      </c>
      <c r="N586" s="312" t="s">
        <v>9</v>
      </c>
      <c r="O586" s="312" t="s">
        <v>26</v>
      </c>
      <c r="P586" s="81" t="str">
        <f>IF(AND('331-CT'!$E$7=TH!H586,OR(N586="331",O586="331")),"x","")</f>
        <v/>
      </c>
      <c r="Q586" s="81" t="str">
        <f>IF(AND(B586='111'!$L$11,OR($N586=$Q$7,$O586=$Q$7)),"x","")</f>
        <v/>
      </c>
      <c r="R586" s="81" t="str">
        <f>IF(AND($N586=$Q$7,$B586&lt;'111'!$L$11),"x","")</f>
        <v/>
      </c>
      <c r="S586" s="81" t="str">
        <f>IF(AND($O586=$Q$7,$B586&lt;'111'!$L$11),"x","")</f>
        <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c r="AE586">
        <v>1</v>
      </c>
    </row>
    <row r="587" spans="1:31" ht="15.75" customHeight="1">
      <c r="A587" s="327" t="str">
        <f>IF(B587&lt;&gt;"",IF(AND(B587='IN-TC'!$S$4,OR(TH!N587="1111",TH!O587="1111")),TH!D587,""),"")</f>
        <v/>
      </c>
      <c r="B587" s="62">
        <f t="shared" si="192"/>
        <v>1</v>
      </c>
      <c r="C587" s="63">
        <v>42759</v>
      </c>
      <c r="D587" s="309" t="s">
        <v>1022</v>
      </c>
      <c r="E587" s="309">
        <f t="shared" si="194"/>
        <v>42759</v>
      </c>
      <c r="F587" s="66" t="s">
        <v>1052</v>
      </c>
      <c r="G587" s="66" t="s">
        <v>639</v>
      </c>
      <c r="H587" s="330" t="s">
        <v>965</v>
      </c>
      <c r="I587" s="405"/>
      <c r="J587" s="405"/>
      <c r="K587" s="398"/>
      <c r="L587" s="405"/>
      <c r="M587" s="64">
        <v>4756014</v>
      </c>
      <c r="N587" s="65" t="s">
        <v>99</v>
      </c>
      <c r="O587" s="65" t="s">
        <v>26</v>
      </c>
      <c r="P587" s="81" t="str">
        <f>IF(AND('331-CT'!$E$7=TH!H587,OR(N587="331",O587="331")),"x","")</f>
        <v/>
      </c>
      <c r="Q587" s="81" t="str">
        <f>IF(AND(B587='111'!$L$11,OR($N587=$Q$7,$O587=$Q$7)),"x","")</f>
        <v/>
      </c>
      <c r="R587" s="81" t="str">
        <f>IF(AND($N587=$Q$7,$B587&lt;'111'!$L$11),"x","")</f>
        <v/>
      </c>
      <c r="S587" s="81" t="str">
        <f>IF(AND($O587=$Q$7,$B587&lt;'111'!$L$11),"x","")</f>
        <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row>
    <row r="588" spans="1:31" ht="15.75" customHeight="1">
      <c r="A588" s="327" t="str">
        <f>IF(B588&lt;&gt;"",IF(AND(B588='IN-TC'!$S$4,OR(TH!N588="1111",TH!O588="1111")),TH!D588,""),"")</f>
        <v/>
      </c>
      <c r="B588" s="62">
        <f t="shared" si="192"/>
        <v>1</v>
      </c>
      <c r="C588" s="63">
        <v>42759</v>
      </c>
      <c r="D588" s="63" t="s">
        <v>1023</v>
      </c>
      <c r="E588" s="309">
        <f t="shared" si="194"/>
        <v>42759</v>
      </c>
      <c r="F588" s="66" t="s">
        <v>1034</v>
      </c>
      <c r="G588" s="66" t="s">
        <v>639</v>
      </c>
      <c r="H588" s="330" t="s">
        <v>965</v>
      </c>
      <c r="I588" s="405"/>
      <c r="J588" s="405"/>
      <c r="K588" s="398"/>
      <c r="L588" s="405"/>
      <c r="M588" s="64">
        <v>57205</v>
      </c>
      <c r="N588" s="1045" t="s">
        <v>26</v>
      </c>
      <c r="O588" s="65" t="s">
        <v>43</v>
      </c>
      <c r="P588" s="81" t="str">
        <f>IF(AND('331-CT'!$E$7=TH!H588,OR(N588="331",O588="331")),"x","")</f>
        <v/>
      </c>
      <c r="Q588" s="81" t="str">
        <f>IF(AND(B588='111'!$L$11,OR($N588=$Q$7,$O588=$Q$7)),"x","")</f>
        <v/>
      </c>
      <c r="R588" s="81" t="str">
        <f>IF(AND($N588=$Q$7,$B588&lt;'111'!$L$11),"x","")</f>
        <v/>
      </c>
      <c r="S588" s="81" t="str">
        <f>IF(AND($O588=$Q$7,$B588&lt;'111'!$L$11),"x","")</f>
        <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row>
    <row r="589" spans="1:31" ht="15.75" customHeight="1">
      <c r="A589" s="327" t="str">
        <f>IF(B589&lt;&gt;"",IF(AND(B589='IN-TC'!$S$4,OR(TH!N589="1111",TH!O589="1111")),TH!D589,""),"")</f>
        <v/>
      </c>
      <c r="B589" s="62">
        <f t="shared" si="192"/>
        <v>1</v>
      </c>
      <c r="C589" s="63">
        <v>42741</v>
      </c>
      <c r="D589" s="63" t="s">
        <v>1022</v>
      </c>
      <c r="E589" s="309">
        <f t="shared" si="194"/>
        <v>42741</v>
      </c>
      <c r="F589" s="66" t="s">
        <v>1053</v>
      </c>
      <c r="G589" s="66" t="s">
        <v>639</v>
      </c>
      <c r="H589" s="71" t="s">
        <v>848</v>
      </c>
      <c r="I589" s="405"/>
      <c r="J589" s="405"/>
      <c r="K589" s="398">
        <v>43000</v>
      </c>
      <c r="L589" s="405">
        <v>22750</v>
      </c>
      <c r="M589" s="1044">
        <f t="shared" ref="M589:M590" si="195">ROUND(L589*K589,0)</f>
        <v>978250000</v>
      </c>
      <c r="N589" s="1045" t="s">
        <v>258</v>
      </c>
      <c r="O589" s="65" t="s">
        <v>264</v>
      </c>
      <c r="P589" s="81" t="str">
        <f>IF(AND('331-CT'!$E$7=TH!H589,OR(N589="331",O589="331")),"x","")</f>
        <v/>
      </c>
      <c r="Q589" s="81" t="str">
        <f>IF(AND(B589='111'!$L$11,OR($N589=$Q$7,$O589=$Q$7)),"x","")</f>
        <v/>
      </c>
      <c r="R589" s="81" t="str">
        <f>IF(AND($N589=$Q$7,$B589&lt;'111'!$L$11),"x","")</f>
        <v/>
      </c>
      <c r="S589" s="81" t="str">
        <f>IF(AND($O589=$Q$7,$B589&lt;'111'!$L$11),"x","")</f>
        <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x</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row>
    <row r="590" spans="1:31" ht="15.75" customHeight="1">
      <c r="A590" s="327" t="str">
        <f>IF(B590&lt;&gt;"",IF(AND(B590='IN-TC'!$S$4,OR(TH!N590="1111",TH!O590="1111")),TH!D590,""),"")</f>
        <v/>
      </c>
      <c r="B590" s="62">
        <f t="shared" ref="B590" si="196">IF(C590&lt;&gt;"",MONTH(C590),"")</f>
        <v>1</v>
      </c>
      <c r="C590" s="63">
        <v>42741</v>
      </c>
      <c r="D590" s="63" t="s">
        <v>1022</v>
      </c>
      <c r="E590" s="309">
        <f t="shared" ref="E590" si="197">C590</f>
        <v>42741</v>
      </c>
      <c r="F590" s="66" t="s">
        <v>1054</v>
      </c>
      <c r="G590" s="66" t="s">
        <v>639</v>
      </c>
      <c r="H590" s="71" t="s">
        <v>848</v>
      </c>
      <c r="I590" s="405"/>
      <c r="J590" s="405"/>
      <c r="K590" s="398">
        <v>82.42</v>
      </c>
      <c r="L590" s="405">
        <v>22750</v>
      </c>
      <c r="M590" s="1044">
        <f t="shared" si="195"/>
        <v>1875055</v>
      </c>
      <c r="N590" s="1045" t="s">
        <v>99</v>
      </c>
      <c r="O590" s="65" t="s">
        <v>264</v>
      </c>
      <c r="P590" s="81" t="str">
        <f>IF(AND('331-CT'!$E$7=TH!H590,OR(N590="331",O590="331")),"x","")</f>
        <v/>
      </c>
      <c r="Q590" s="81" t="str">
        <f>IF(AND(B590='111'!$L$11,OR($N590=$Q$7,$O590=$Q$7)),"x","")</f>
        <v/>
      </c>
      <c r="R590" s="81" t="str">
        <f>IF(AND($N590=$Q$7,$B590&lt;'111'!$L$11),"x","")</f>
        <v/>
      </c>
      <c r="S590" s="81" t="str">
        <f>IF(AND($O590=$Q$7,$B590&lt;'111'!$L$11),"x","")</f>
        <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x</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row>
    <row r="591" spans="1:31" ht="15.75" customHeight="1">
      <c r="A591" s="327" t="str">
        <f>IF(B591&lt;&gt;"",IF(AND(B591='IN-TC'!$S$4,OR(TH!N591="1111",TH!O591="1111")),TH!D591,""),"")</f>
        <v/>
      </c>
      <c r="B591" s="62">
        <f t="shared" ref="B591" si="198">IF(C591&lt;&gt;"",MONTH(C591),"")</f>
        <v>1</v>
      </c>
      <c r="C591" s="63">
        <v>42741</v>
      </c>
      <c r="D591" s="63" t="s">
        <v>573</v>
      </c>
      <c r="E591" s="309">
        <f t="shared" ref="E591" si="199">C591</f>
        <v>42741</v>
      </c>
      <c r="F591" s="66" t="s">
        <v>1137</v>
      </c>
      <c r="G591" s="66" t="s">
        <v>639</v>
      </c>
      <c r="H591" s="71" t="s">
        <v>848</v>
      </c>
      <c r="I591" s="405"/>
      <c r="J591" s="405"/>
      <c r="K591" s="398"/>
      <c r="L591" s="405"/>
      <c r="M591" s="64">
        <v>18920000</v>
      </c>
      <c r="N591" s="1045" t="s">
        <v>99</v>
      </c>
      <c r="O591" s="65" t="s">
        <v>258</v>
      </c>
      <c r="P591" s="81" t="str">
        <f>IF(AND('331-CT'!$E$7=TH!H591,OR(N591="331",O591="331")),"x","")</f>
        <v/>
      </c>
      <c r="Q591" s="81" t="str">
        <f>IF(AND(B591='111'!$L$11,OR($N591=$Q$7,$O591=$Q$7)),"x","")</f>
        <v/>
      </c>
      <c r="R591" s="81" t="str">
        <f>IF(AND($N591=$Q$7,$B591&lt;'111'!$L$11),"x","")</f>
        <v/>
      </c>
      <c r="S591" s="81" t="str">
        <f>IF(AND($O591=$Q$7,$B591&lt;'111'!$L$11),"x","")</f>
        <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row>
    <row r="592" spans="1:31" ht="15.75" customHeight="1">
      <c r="A592" s="327" t="str">
        <f>IF(B592&lt;&gt;"",IF(AND(B592='IN-TC'!$S$4,OR(TH!N592="1111",TH!O592="1111")),TH!D592,""),"")</f>
        <v/>
      </c>
      <c r="B592" s="62">
        <f t="shared" si="192"/>
        <v>1</v>
      </c>
      <c r="C592" s="63">
        <v>42758</v>
      </c>
      <c r="D592" s="63" t="s">
        <v>1022</v>
      </c>
      <c r="E592" s="309">
        <f t="shared" si="194"/>
        <v>42758</v>
      </c>
      <c r="F592" s="66" t="s">
        <v>1055</v>
      </c>
      <c r="G592" s="66" t="s">
        <v>639</v>
      </c>
      <c r="H592" s="71" t="s">
        <v>849</v>
      </c>
      <c r="I592" s="405"/>
      <c r="J592" s="405"/>
      <c r="K592" s="398">
        <v>135.25</v>
      </c>
      <c r="L592" s="405">
        <v>22750</v>
      </c>
      <c r="M592" s="1044">
        <f t="shared" ref="M592:M594" si="200">ROUND(L592*K592,0)</f>
        <v>3076938</v>
      </c>
      <c r="N592" s="1045" t="s">
        <v>99</v>
      </c>
      <c r="O592" s="65" t="s">
        <v>264</v>
      </c>
      <c r="P592" s="81" t="str">
        <f>IF(AND('331-CT'!$E$7=TH!H592,OR(N592="331",O592="331")),"x","")</f>
        <v/>
      </c>
      <c r="Q592" s="81" t="str">
        <f>IF(AND(B592='111'!$L$11,OR($N592=$Q$7,$O592=$Q$7)),"x","")</f>
        <v/>
      </c>
      <c r="R592" s="81" t="str">
        <f>IF(AND($N592=$Q$7,$B592&lt;'111'!$L$11),"x","")</f>
        <v/>
      </c>
      <c r="S592" s="81" t="str">
        <f>IF(AND($O592=$Q$7,$B592&lt;'111'!$L$11),"x","")</f>
        <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x</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row>
    <row r="593" spans="1:31" ht="15.75" customHeight="1">
      <c r="A593" s="327" t="str">
        <f>IF(B593&lt;&gt;"",IF(AND(B593='IN-TC'!$S$4,OR(TH!N593="1111",TH!O593="1111")),TH!D593,""),"")</f>
        <v/>
      </c>
      <c r="B593" s="62">
        <f t="shared" si="192"/>
        <v>1</v>
      </c>
      <c r="C593" s="63">
        <v>42758</v>
      </c>
      <c r="D593" s="63" t="s">
        <v>1022</v>
      </c>
      <c r="E593" s="309">
        <f t="shared" si="194"/>
        <v>42758</v>
      </c>
      <c r="F593" s="66" t="s">
        <v>1056</v>
      </c>
      <c r="G593" s="66" t="s">
        <v>639</v>
      </c>
      <c r="H593" s="71" t="s">
        <v>927</v>
      </c>
      <c r="I593" s="405"/>
      <c r="J593" s="405"/>
      <c r="K593" s="398">
        <v>156.80000000000001</v>
      </c>
      <c r="L593" s="405">
        <v>22750</v>
      </c>
      <c r="M593" s="1044">
        <f t="shared" si="200"/>
        <v>3567200</v>
      </c>
      <c r="N593" s="1045" t="s">
        <v>99</v>
      </c>
      <c r="O593" s="65" t="s">
        <v>264</v>
      </c>
      <c r="P593" s="81" t="str">
        <f>IF(AND('331-CT'!$E$7=TH!H593,OR(N593="331",O593="331")),"x","")</f>
        <v/>
      </c>
      <c r="Q593" s="81" t="str">
        <f>IF(AND(B593='111'!$L$11,OR($N593=$Q$7,$O593=$Q$7)),"x","")</f>
        <v/>
      </c>
      <c r="R593" s="81" t="str">
        <f>IF(AND($N593=$Q$7,$B593&lt;'111'!$L$11),"x","")</f>
        <v/>
      </c>
      <c r="S593" s="81" t="str">
        <f>IF(AND($O593=$Q$7,$B593&lt;'111'!$L$11),"x","")</f>
        <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x</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row>
    <row r="594" spans="1:31" ht="15.75" customHeight="1">
      <c r="A594" s="327" t="str">
        <f>IF(B594&lt;&gt;"",IF(AND(B594='IN-TC'!$S$4,OR(TH!N594="1111",TH!O594="1111")),TH!D594,""),"")</f>
        <v/>
      </c>
      <c r="B594" s="62">
        <f t="shared" si="192"/>
        <v>1</v>
      </c>
      <c r="C594" s="63">
        <v>42759</v>
      </c>
      <c r="D594" s="63" t="s">
        <v>1022</v>
      </c>
      <c r="E594" s="309">
        <f t="shared" si="194"/>
        <v>42759</v>
      </c>
      <c r="F594" s="66" t="s">
        <v>1052</v>
      </c>
      <c r="G594" s="66" t="s">
        <v>639</v>
      </c>
      <c r="H594" s="71" t="s">
        <v>926</v>
      </c>
      <c r="I594" s="405"/>
      <c r="J594" s="405"/>
      <c r="K594" s="398">
        <v>100</v>
      </c>
      <c r="L594" s="405">
        <v>22750</v>
      </c>
      <c r="M594" s="1044">
        <f t="shared" si="200"/>
        <v>2275000</v>
      </c>
      <c r="N594" s="1045" t="s">
        <v>99</v>
      </c>
      <c r="O594" s="65" t="s">
        <v>264</v>
      </c>
      <c r="P594" s="81" t="str">
        <f>IF(AND('331-CT'!$E$7=TH!H594,OR(N594="331",O594="331")),"x","")</f>
        <v/>
      </c>
      <c r="Q594" s="81" t="str">
        <f>IF(AND(B594='111'!$L$11,OR($N594=$Q$7,$O594=$Q$7)),"x","")</f>
        <v/>
      </c>
      <c r="R594" s="81" t="str">
        <f>IF(AND($N594=$Q$7,$B594&lt;'111'!$L$11),"x","")</f>
        <v/>
      </c>
      <c r="S594" s="81" t="str">
        <f>IF(AND($O594=$Q$7,$B594&lt;'111'!$L$11),"x","")</f>
        <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x</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row>
    <row r="595" spans="1:31" ht="15.75" customHeight="1">
      <c r="A595" s="327" t="str">
        <f>IF(B595&lt;&gt;"",IF(AND(B595='IN-TC'!$S$4,OR(TH!N595="1111",TH!O595="1111")),TH!D595,""),"")</f>
        <v/>
      </c>
      <c r="B595" s="62">
        <f t="shared" si="192"/>
        <v>1</v>
      </c>
      <c r="C595" s="63">
        <v>42744</v>
      </c>
      <c r="D595" s="63" t="s">
        <v>1022</v>
      </c>
      <c r="E595" s="309">
        <f t="shared" si="194"/>
        <v>42744</v>
      </c>
      <c r="F595" s="66" t="s">
        <v>1107</v>
      </c>
      <c r="G595" s="66" t="s">
        <v>640</v>
      </c>
      <c r="H595" s="71" t="s">
        <v>1108</v>
      </c>
      <c r="I595" s="405"/>
      <c r="J595" s="405"/>
      <c r="K595" s="398"/>
      <c r="L595" s="405"/>
      <c r="M595" s="64">
        <v>2000000</v>
      </c>
      <c r="N595" s="65" t="s">
        <v>79</v>
      </c>
      <c r="O595" s="65" t="s">
        <v>26</v>
      </c>
      <c r="P595" s="81" t="str">
        <f>IF(AND('331-CT'!$E$7=TH!H595,OR(N595="331",O595="331")),"x","")</f>
        <v/>
      </c>
      <c r="Q595" s="81" t="str">
        <f>IF(AND(B595='111'!$L$11,OR($N595=$Q$7,$O595=$Q$7)),"x","")</f>
        <v/>
      </c>
      <c r="R595" s="81" t="str">
        <f>IF(AND($N595=$Q$7,$B595&lt;'111'!$L$11),"x","")</f>
        <v/>
      </c>
      <c r="S595" s="81" t="str">
        <f>IF(AND($O595=$Q$7,$B595&lt;'111'!$L$11),"x","")</f>
        <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row>
    <row r="596" spans="1:31" ht="15.75" customHeight="1">
      <c r="A596" s="327" t="str">
        <f>IF(B596&lt;&gt;"",IF(AND(B596='IN-TC'!$S$4,OR(TH!N596="1111",TH!O596="1111")),TH!D596,""),"")</f>
        <v/>
      </c>
      <c r="B596" s="62">
        <f t="shared" ref="B596" si="201">IF(C596&lt;&gt;"",MONTH(C596),"")</f>
        <v>1</v>
      </c>
      <c r="C596" s="63">
        <v>42744</v>
      </c>
      <c r="D596" s="63" t="s">
        <v>1022</v>
      </c>
      <c r="E596" s="309">
        <f t="shared" ref="E596:E660" si="202">C596</f>
        <v>42744</v>
      </c>
      <c r="F596" s="66" t="s">
        <v>990</v>
      </c>
      <c r="G596" s="66" t="s">
        <v>640</v>
      </c>
      <c r="H596" s="71" t="s">
        <v>1108</v>
      </c>
      <c r="I596" s="405"/>
      <c r="J596" s="405"/>
      <c r="K596" s="398"/>
      <c r="L596" s="405"/>
      <c r="M596" s="64">
        <v>11000</v>
      </c>
      <c r="N596" s="65" t="s">
        <v>101</v>
      </c>
      <c r="O596" s="65" t="s">
        <v>26</v>
      </c>
      <c r="P596" s="81" t="str">
        <f>IF(AND('331-CT'!$E$7=TH!H596,OR(N596="331",O596="331")),"x","")</f>
        <v/>
      </c>
      <c r="Q596" s="81" t="str">
        <f>IF(AND(B596='111'!$L$11,OR($N596=$Q$7,$O596=$Q$7)),"x","")</f>
        <v/>
      </c>
      <c r="R596" s="81" t="str">
        <f>IF(AND($N596=$Q$7,$B596&lt;'111'!$L$11),"x","")</f>
        <v/>
      </c>
      <c r="S596" s="81" t="str">
        <f>IF(AND($O596=$Q$7,$B596&lt;'111'!$L$11),"x","")</f>
        <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row>
    <row r="597" spans="1:31" ht="15.75" customHeight="1">
      <c r="A597" s="327" t="str">
        <f>IF(B597&lt;&gt;"",IF(AND(B597='IN-TC'!$S$4,OR(TH!N597="1111",TH!O597="1111")),TH!D597,""),"")</f>
        <v/>
      </c>
      <c r="B597" s="62">
        <f t="shared" ref="B597:B661" si="203">IF(C597&lt;&gt;"",MONTH(C597),"")</f>
        <v>2</v>
      </c>
      <c r="C597" s="63">
        <v>42775</v>
      </c>
      <c r="D597" s="63" t="s">
        <v>1023</v>
      </c>
      <c r="E597" s="309">
        <f t="shared" si="202"/>
        <v>42775</v>
      </c>
      <c r="F597" s="66" t="s">
        <v>1227</v>
      </c>
      <c r="G597" s="66" t="s">
        <v>639</v>
      </c>
      <c r="H597" s="66" t="s">
        <v>1237</v>
      </c>
      <c r="I597" s="405"/>
      <c r="J597" s="405"/>
      <c r="K597" s="398"/>
      <c r="L597" s="405"/>
      <c r="M597" s="64">
        <v>1185118000</v>
      </c>
      <c r="N597" s="65" t="s">
        <v>26</v>
      </c>
      <c r="O597" s="65" t="s">
        <v>258</v>
      </c>
      <c r="P597" s="81" t="str">
        <f>IF(AND('331-CT'!$E$7=TH!H597,OR(N597="331",O597="331")),"x","")</f>
        <v/>
      </c>
      <c r="Q597" s="81" t="str">
        <f>IF(AND(B597='111'!$L$11,OR($N597=$Q$7,$O597=$Q$7)),"x","")</f>
        <v/>
      </c>
      <c r="R597" s="81" t="str">
        <f>IF(AND($N597=$Q$7,$B597&lt;'111'!$L$11),"x","")</f>
        <v/>
      </c>
      <c r="S597" s="81" t="str">
        <f>IF(AND($O597=$Q$7,$B597&lt;'111'!$L$11),"x","")</f>
        <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row>
    <row r="598" spans="1:31" ht="15.75" customHeight="1">
      <c r="A598" s="327" t="str">
        <f>IF(B598&lt;&gt;"",IF(AND(B598='IN-TC'!$S$4,OR(TH!N598="1111",TH!O598="1111")),TH!D598,""),"")</f>
        <v/>
      </c>
      <c r="B598" s="62">
        <f t="shared" si="203"/>
        <v>2</v>
      </c>
      <c r="C598" s="63">
        <v>42779</v>
      </c>
      <c r="D598" s="63" t="s">
        <v>1022</v>
      </c>
      <c r="E598" s="309">
        <f t="shared" si="202"/>
        <v>42779</v>
      </c>
      <c r="F598" s="66" t="s">
        <v>1234</v>
      </c>
      <c r="G598" s="66" t="s">
        <v>639</v>
      </c>
      <c r="H598" s="330" t="s">
        <v>613</v>
      </c>
      <c r="I598" s="405"/>
      <c r="J598" s="405"/>
      <c r="K598" s="398"/>
      <c r="L598" s="405"/>
      <c r="M598" s="64">
        <v>66142120</v>
      </c>
      <c r="N598" s="65" t="s">
        <v>8</v>
      </c>
      <c r="O598" s="65" t="s">
        <v>26</v>
      </c>
      <c r="P598" s="81" t="str">
        <f>IF(AND('331-CT'!$E$7=TH!H598,OR(N598="331",O598="331")),"x","")</f>
        <v/>
      </c>
      <c r="Q598" s="81" t="str">
        <f>IF(AND(B598='111'!$L$11,OR($N598=$Q$7,$O598=$Q$7)),"x","")</f>
        <v/>
      </c>
      <c r="R598" s="81" t="str">
        <f>IF(AND($N598=$Q$7,$B598&lt;'111'!$L$11),"x","")</f>
        <v/>
      </c>
      <c r="S598" s="81" t="str">
        <f>IF(AND($O598=$Q$7,$B598&lt;'111'!$L$11),"x","")</f>
        <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row>
    <row r="599" spans="1:31" ht="15.75" customHeight="1">
      <c r="A599" s="327" t="str">
        <f>IF(B599&lt;&gt;"",IF(AND(B599='IN-TC'!$S$4,OR(TH!N599="1111",TH!O599="1111")),TH!D599,""),"")</f>
        <v/>
      </c>
      <c r="B599" s="62">
        <f t="shared" si="203"/>
        <v>2</v>
      </c>
      <c r="C599" s="63">
        <v>42779</v>
      </c>
      <c r="D599" s="63" t="s">
        <v>1022</v>
      </c>
      <c r="E599" s="309">
        <f t="shared" ref="E599:E600" si="204">C599</f>
        <v>42779</v>
      </c>
      <c r="F599" s="66" t="s">
        <v>990</v>
      </c>
      <c r="G599" s="66" t="s">
        <v>639</v>
      </c>
      <c r="H599" s="71" t="s">
        <v>965</v>
      </c>
      <c r="I599" s="405"/>
      <c r="J599" s="405"/>
      <c r="K599" s="398"/>
      <c r="L599" s="405"/>
      <c r="M599" s="64">
        <v>53071</v>
      </c>
      <c r="N599" s="65" t="s">
        <v>101</v>
      </c>
      <c r="O599" s="65" t="s">
        <v>26</v>
      </c>
      <c r="P599" s="81" t="str">
        <f>IF(AND('331-CT'!$E$7=TH!H599,OR(N599="331",O599="331")),"x","")</f>
        <v/>
      </c>
      <c r="Q599" s="81" t="str">
        <f>IF(AND(B599='111'!$L$11,OR($N599=$Q$7,$O599=$Q$7)),"x","")</f>
        <v/>
      </c>
      <c r="R599" s="81" t="str">
        <f>IF(AND($N599=$Q$7,$B599&lt;'111'!$L$11),"x","")</f>
        <v/>
      </c>
      <c r="S599" s="81" t="str">
        <f>IF(AND($O599=$Q$7,$B599&lt;'111'!$L$11),"x","")</f>
        <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c r="AE599">
        <v>2</v>
      </c>
    </row>
    <row r="600" spans="1:31" ht="15.75" customHeight="1">
      <c r="A600" s="327" t="str">
        <f>IF(B600&lt;&gt;"",IF(AND(B600='IN-TC'!$S$4,OR(TH!N600="1111",TH!O600="1111")),TH!D600,""),"")</f>
        <v/>
      </c>
      <c r="B600" s="62">
        <f t="shared" si="203"/>
        <v>2</v>
      </c>
      <c r="C600" s="63">
        <v>42779</v>
      </c>
      <c r="D600" s="63" t="s">
        <v>1022</v>
      </c>
      <c r="E600" s="309">
        <f t="shared" si="204"/>
        <v>42779</v>
      </c>
      <c r="F600" s="66" t="s">
        <v>1018</v>
      </c>
      <c r="G600" s="66" t="s">
        <v>639</v>
      </c>
      <c r="H600" s="71" t="s">
        <v>965</v>
      </c>
      <c r="I600" s="405"/>
      <c r="J600" s="405"/>
      <c r="K600" s="398"/>
      <c r="L600" s="405"/>
      <c r="M600" s="64">
        <v>5307</v>
      </c>
      <c r="N600" s="65" t="s">
        <v>9</v>
      </c>
      <c r="O600" s="65" t="s">
        <v>26</v>
      </c>
      <c r="P600" s="81" t="str">
        <f>IF(AND('331-CT'!$E$7=TH!H600,OR(N600="331",O600="331")),"x","")</f>
        <v/>
      </c>
      <c r="Q600" s="81" t="str">
        <f>IF(AND(B600='111'!$L$11,OR($N600=$Q$7,$O600=$Q$7)),"x","")</f>
        <v/>
      </c>
      <c r="R600" s="81" t="str">
        <f>IF(AND($N600=$Q$7,$B600&lt;'111'!$L$11),"x","")</f>
        <v/>
      </c>
      <c r="S600" s="81" t="str">
        <f>IF(AND($O600=$Q$7,$B600&lt;'111'!$L$11),"x","")</f>
        <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c r="AE600">
        <v>2</v>
      </c>
    </row>
    <row r="601" spans="1:31" ht="15.75" customHeight="1">
      <c r="A601" s="327" t="str">
        <f>IF(B601&lt;&gt;"",IF(AND(B601='IN-TC'!$S$4,OR(TH!N601="1111",TH!O601="1111")),TH!D601,""),"")</f>
        <v/>
      </c>
      <c r="B601" s="62">
        <f t="shared" si="203"/>
        <v>2</v>
      </c>
      <c r="C601" s="63">
        <v>42780</v>
      </c>
      <c r="D601" s="63" t="s">
        <v>1023</v>
      </c>
      <c r="E601" s="309">
        <f t="shared" si="202"/>
        <v>42780</v>
      </c>
      <c r="F601" s="66" t="s">
        <v>1228</v>
      </c>
      <c r="G601" s="66" t="s">
        <v>639</v>
      </c>
      <c r="H601" s="330" t="s">
        <v>898</v>
      </c>
      <c r="I601" s="405"/>
      <c r="J601" s="405"/>
      <c r="K601" s="398"/>
      <c r="L601" s="405"/>
      <c r="M601" s="64">
        <v>876755952</v>
      </c>
      <c r="N601" s="65" t="s">
        <v>26</v>
      </c>
      <c r="O601" s="65" t="s">
        <v>579</v>
      </c>
      <c r="P601" s="81" t="str">
        <f>IF(AND('331-CT'!$E$7=TH!H601,OR(N601="331",O601="331")),"x","")</f>
        <v/>
      </c>
      <c r="Q601" s="81" t="str">
        <f>IF(AND(B601='111'!$L$11,OR($N601=$Q$7,$O601=$Q$7)),"x","")</f>
        <v/>
      </c>
      <c r="R601" s="81" t="str">
        <f>IF(AND($N601=$Q$7,$B601&lt;'111'!$L$11),"x","")</f>
        <v/>
      </c>
      <c r="S601" s="81" t="str">
        <f>IF(AND($O601=$Q$7,$B601&lt;'111'!$L$11),"x","")</f>
        <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row>
    <row r="602" spans="1:31" ht="15.75" customHeight="1">
      <c r="A602" s="327" t="str">
        <f>IF(B602&lt;&gt;"",IF(AND(B602='IN-TC'!$S$4,OR(TH!N602="1111",TH!O602="1111")),TH!D602,""),"")</f>
        <v/>
      </c>
      <c r="B602" s="62">
        <f t="shared" si="203"/>
        <v>2</v>
      </c>
      <c r="C602" s="63">
        <v>42781</v>
      </c>
      <c r="D602" s="63" t="s">
        <v>1022</v>
      </c>
      <c r="E602" s="309">
        <f t="shared" si="202"/>
        <v>42781</v>
      </c>
      <c r="F602" s="66" t="s">
        <v>1017</v>
      </c>
      <c r="G602" s="66" t="s">
        <v>639</v>
      </c>
      <c r="H602" s="71" t="s">
        <v>681</v>
      </c>
      <c r="I602" s="405"/>
      <c r="J602" s="405"/>
      <c r="K602" s="398"/>
      <c r="L602" s="405"/>
      <c r="M602" s="64">
        <v>180000000</v>
      </c>
      <c r="N602" s="65" t="s">
        <v>8</v>
      </c>
      <c r="O602" s="65" t="s">
        <v>26</v>
      </c>
      <c r="P602" s="81" t="str">
        <f>IF(AND('331-CT'!$E$7=TH!H602,OR(N602="331",O602="331")),"x","")</f>
        <v/>
      </c>
      <c r="Q602" s="81" t="str">
        <f>IF(AND(B602='111'!$L$11,OR($N602=$Q$7,$O602=$Q$7)),"x","")</f>
        <v/>
      </c>
      <c r="R602" s="81" t="str">
        <f>IF(AND($N602=$Q$7,$B602&lt;'111'!$L$11),"x","")</f>
        <v/>
      </c>
      <c r="S602" s="81" t="str">
        <f>IF(AND($O602=$Q$7,$B602&lt;'111'!$L$11),"x","")</f>
        <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row>
    <row r="603" spans="1:31" ht="15.75" customHeight="1">
      <c r="A603" s="327" t="str">
        <f>IF(B603&lt;&gt;"",IF(AND(B603='IN-TC'!$S$4,OR(TH!N603="1111",TH!O603="1111")),TH!D603,""),"")</f>
        <v/>
      </c>
      <c r="B603" s="62">
        <f t="shared" ref="B603:B605" si="205">IF(C603&lt;&gt;"",MONTH(C603),"")</f>
        <v>2</v>
      </c>
      <c r="C603" s="63">
        <v>42781</v>
      </c>
      <c r="D603" s="63" t="s">
        <v>1022</v>
      </c>
      <c r="E603" s="309">
        <f t="shared" ref="E603:E605" si="206">C603</f>
        <v>42781</v>
      </c>
      <c r="F603" s="66" t="s">
        <v>1229</v>
      </c>
      <c r="G603" s="66" t="s">
        <v>639</v>
      </c>
      <c r="H603" s="311" t="s">
        <v>679</v>
      </c>
      <c r="I603" s="405"/>
      <c r="J603" s="405"/>
      <c r="K603" s="398"/>
      <c r="L603" s="405"/>
      <c r="M603" s="64">
        <v>100000000</v>
      </c>
      <c r="N603" s="65" t="s">
        <v>8</v>
      </c>
      <c r="O603" s="65" t="s">
        <v>26</v>
      </c>
      <c r="P603" s="81" t="str">
        <f>IF(AND('331-CT'!$E$7=TH!H603,OR(N603="331",O603="331")),"x","")</f>
        <v/>
      </c>
      <c r="Q603" s="81" t="str">
        <f>IF(AND(B603='111'!$L$11,OR($N603=$Q$7,$O603=$Q$7)),"x","")</f>
        <v/>
      </c>
      <c r="R603" s="81" t="str">
        <f>IF(AND($N603=$Q$7,$B603&lt;'111'!$L$11),"x","")</f>
        <v/>
      </c>
      <c r="S603" s="81" t="str">
        <f>IF(AND($O603=$Q$7,$B603&lt;'111'!$L$11),"x","")</f>
        <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row>
    <row r="604" spans="1:31" ht="15.75" customHeight="1">
      <c r="A604" s="327" t="str">
        <f>IF(B604&lt;&gt;"",IF(AND(B604='IN-TC'!$S$4,OR(TH!N604="1111",TH!O604="1111")),TH!D604,""),"")</f>
        <v/>
      </c>
      <c r="B604" s="62">
        <f t="shared" si="205"/>
        <v>2</v>
      </c>
      <c r="C604" s="63">
        <v>42781</v>
      </c>
      <c r="D604" s="63" t="s">
        <v>1022</v>
      </c>
      <c r="E604" s="309">
        <f t="shared" si="206"/>
        <v>42781</v>
      </c>
      <c r="F604" s="66" t="s">
        <v>990</v>
      </c>
      <c r="G604" s="66" t="s">
        <v>639</v>
      </c>
      <c r="H604" s="71" t="s">
        <v>965</v>
      </c>
      <c r="I604" s="405"/>
      <c r="J604" s="405"/>
      <c r="K604" s="398"/>
      <c r="L604" s="405"/>
      <c r="M604" s="64">
        <v>30000</v>
      </c>
      <c r="N604" s="65" t="s">
        <v>101</v>
      </c>
      <c r="O604" s="65" t="s">
        <v>26</v>
      </c>
      <c r="P604" s="81" t="str">
        <f>IF(AND('331-CT'!$E$7=TH!H604,OR(N604="331",O604="331")),"x","")</f>
        <v/>
      </c>
      <c r="Q604" s="81" t="str">
        <f>IF(AND(B604='111'!$L$11,OR($N604=$Q$7,$O604=$Q$7)),"x","")</f>
        <v/>
      </c>
      <c r="R604" s="81" t="str">
        <f>IF(AND($N604=$Q$7,$B604&lt;'111'!$L$11),"x","")</f>
        <v/>
      </c>
      <c r="S604" s="81" t="str">
        <f>IF(AND($O604=$Q$7,$B604&lt;'111'!$L$11),"x","")</f>
        <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c r="AE604">
        <v>2</v>
      </c>
    </row>
    <row r="605" spans="1:31" ht="15.75" customHeight="1">
      <c r="A605" s="327" t="str">
        <f>IF(B605&lt;&gt;"",IF(AND(B605='IN-TC'!$S$4,OR(TH!N605="1111",TH!O605="1111")),TH!D605,""),"")</f>
        <v/>
      </c>
      <c r="B605" s="62">
        <f t="shared" si="205"/>
        <v>2</v>
      </c>
      <c r="C605" s="63">
        <v>42781</v>
      </c>
      <c r="D605" s="63" t="s">
        <v>1022</v>
      </c>
      <c r="E605" s="309">
        <f t="shared" si="206"/>
        <v>42781</v>
      </c>
      <c r="F605" s="66" t="s">
        <v>1018</v>
      </c>
      <c r="G605" s="66" t="s">
        <v>639</v>
      </c>
      <c r="H605" s="71" t="s">
        <v>965</v>
      </c>
      <c r="I605" s="405"/>
      <c r="J605" s="405"/>
      <c r="K605" s="398"/>
      <c r="L605" s="405"/>
      <c r="M605" s="64">
        <v>3000</v>
      </c>
      <c r="N605" s="65" t="s">
        <v>9</v>
      </c>
      <c r="O605" s="65" t="s">
        <v>26</v>
      </c>
      <c r="P605" s="81" t="str">
        <f>IF(AND('331-CT'!$E$7=TH!H605,OR(N605="331",O605="331")),"x","")</f>
        <v/>
      </c>
      <c r="Q605" s="81" t="str">
        <f>IF(AND(B605='111'!$L$11,OR($N605=$Q$7,$O605=$Q$7)),"x","")</f>
        <v/>
      </c>
      <c r="R605" s="81" t="str">
        <f>IF(AND($N605=$Q$7,$B605&lt;'111'!$L$11),"x","")</f>
        <v/>
      </c>
      <c r="S605" s="81" t="str">
        <f>IF(AND($O605=$Q$7,$B605&lt;'111'!$L$11),"x","")</f>
        <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c r="AE605">
        <v>2</v>
      </c>
    </row>
    <row r="606" spans="1:31" ht="15.75" customHeight="1">
      <c r="A606" s="327" t="str">
        <f>IF(B606&lt;&gt;"",IF(AND(B606='IN-TC'!$S$4,OR(TH!N606="1111",TH!O606="1111")),TH!D606,""),"")</f>
        <v/>
      </c>
      <c r="B606" s="62">
        <f t="shared" si="203"/>
        <v>2</v>
      </c>
      <c r="C606" s="63">
        <v>42781</v>
      </c>
      <c r="D606" s="63" t="s">
        <v>1022</v>
      </c>
      <c r="E606" s="309">
        <f t="shared" ref="E606:E608" si="207">C606</f>
        <v>42781</v>
      </c>
      <c r="F606" s="66" t="s">
        <v>1229</v>
      </c>
      <c r="G606" s="66" t="s">
        <v>639</v>
      </c>
      <c r="H606" s="311" t="s">
        <v>803</v>
      </c>
      <c r="I606" s="405"/>
      <c r="J606" s="405"/>
      <c r="K606" s="398"/>
      <c r="L606" s="405"/>
      <c r="M606" s="64">
        <v>100000000</v>
      </c>
      <c r="N606" s="65" t="s">
        <v>8</v>
      </c>
      <c r="O606" s="65" t="s">
        <v>26</v>
      </c>
      <c r="P606" s="81" t="str">
        <f>IF(AND('331-CT'!$E$7=TH!H606,OR(N606="331",O606="331")),"x","")</f>
        <v/>
      </c>
      <c r="Q606" s="81" t="str">
        <f>IF(AND(B606='111'!$L$11,OR($N606=$Q$7,$O606=$Q$7)),"x","")</f>
        <v/>
      </c>
      <c r="R606" s="81" t="str">
        <f>IF(AND($N606=$Q$7,$B606&lt;'111'!$L$11),"x","")</f>
        <v/>
      </c>
      <c r="S606" s="81" t="str">
        <f>IF(AND($O606=$Q$7,$B606&lt;'111'!$L$11),"x","")</f>
        <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row>
    <row r="607" spans="1:31" ht="15.75" customHeight="1">
      <c r="A607" s="327" t="str">
        <f>IF(B607&lt;&gt;"",IF(AND(B607='IN-TC'!$S$4,OR(TH!N607="1111",TH!O607="1111")),TH!D607,""),"")</f>
        <v/>
      </c>
      <c r="B607" s="62">
        <f t="shared" si="203"/>
        <v>2</v>
      </c>
      <c r="C607" s="63">
        <v>42781</v>
      </c>
      <c r="D607" s="63" t="s">
        <v>1022</v>
      </c>
      <c r="E607" s="309">
        <f t="shared" si="207"/>
        <v>42781</v>
      </c>
      <c r="F607" s="66" t="s">
        <v>990</v>
      </c>
      <c r="G607" s="66" t="s">
        <v>639</v>
      </c>
      <c r="H607" s="71" t="s">
        <v>965</v>
      </c>
      <c r="I607" s="405"/>
      <c r="J607" s="405"/>
      <c r="K607" s="398"/>
      <c r="L607" s="405"/>
      <c r="M607" s="64">
        <v>30000</v>
      </c>
      <c r="N607" s="65" t="s">
        <v>101</v>
      </c>
      <c r="O607" s="65" t="s">
        <v>26</v>
      </c>
      <c r="P607" s="81" t="str">
        <f>IF(AND('331-CT'!$E$7=TH!H607,OR(N607="331",O607="331")),"x","")</f>
        <v/>
      </c>
      <c r="Q607" s="81" t="str">
        <f>IF(AND(B607='111'!$L$11,OR($N607=$Q$7,$O607=$Q$7)),"x","")</f>
        <v/>
      </c>
      <c r="R607" s="81" t="str">
        <f>IF(AND($N607=$Q$7,$B607&lt;'111'!$L$11),"x","")</f>
        <v/>
      </c>
      <c r="S607" s="81" t="str">
        <f>IF(AND($O607=$Q$7,$B607&lt;'111'!$L$11),"x","")</f>
        <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c r="AE607">
        <v>2</v>
      </c>
    </row>
    <row r="608" spans="1:31" ht="15.75" customHeight="1">
      <c r="A608" s="327" t="str">
        <f>IF(B608&lt;&gt;"",IF(AND(B608='IN-TC'!$S$4,OR(TH!N608="1111",TH!O608="1111")),TH!D608,""),"")</f>
        <v/>
      </c>
      <c r="B608" s="62">
        <f t="shared" si="203"/>
        <v>2</v>
      </c>
      <c r="C608" s="63">
        <v>42781</v>
      </c>
      <c r="D608" s="63" t="s">
        <v>1022</v>
      </c>
      <c r="E608" s="309">
        <f t="shared" si="207"/>
        <v>42781</v>
      </c>
      <c r="F608" s="66" t="s">
        <v>1018</v>
      </c>
      <c r="G608" s="66" t="s">
        <v>639</v>
      </c>
      <c r="H608" s="71" t="s">
        <v>965</v>
      </c>
      <c r="I608" s="405"/>
      <c r="J608" s="405"/>
      <c r="K608" s="398"/>
      <c r="L608" s="405"/>
      <c r="M608" s="64">
        <v>3000</v>
      </c>
      <c r="N608" s="65" t="s">
        <v>9</v>
      </c>
      <c r="O608" s="65" t="s">
        <v>26</v>
      </c>
      <c r="P608" s="81" t="str">
        <f>IF(AND('331-CT'!$E$7=TH!H608,OR(N608="331",O608="331")),"x","")</f>
        <v/>
      </c>
      <c r="Q608" s="81" t="str">
        <f>IF(AND(B608='111'!$L$11,OR($N608=$Q$7,$O608=$Q$7)),"x","")</f>
        <v/>
      </c>
      <c r="R608" s="81" t="str">
        <f>IF(AND($N608=$Q$7,$B608&lt;'111'!$L$11),"x","")</f>
        <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c r="AE608">
        <v>2</v>
      </c>
    </row>
    <row r="609" spans="1:31" ht="15.75" customHeight="1">
      <c r="A609" s="327" t="str">
        <f>IF(B609&lt;&gt;"",IF(AND(B609='IN-TC'!$S$4,OR(TH!N609="1111",TH!O609="1111")),TH!D609,""),"")</f>
        <v/>
      </c>
      <c r="B609" s="62">
        <f t="shared" si="203"/>
        <v>2</v>
      </c>
      <c r="C609" s="63">
        <v>42782</v>
      </c>
      <c r="D609" s="63" t="s">
        <v>1022</v>
      </c>
      <c r="E609" s="309">
        <f t="shared" si="202"/>
        <v>42782</v>
      </c>
      <c r="F609" s="66" t="s">
        <v>1230</v>
      </c>
      <c r="G609" s="66" t="s">
        <v>639</v>
      </c>
      <c r="H609" s="71" t="s">
        <v>965</v>
      </c>
      <c r="I609" s="405"/>
      <c r="J609" s="405"/>
      <c r="K609" s="398"/>
      <c r="L609" s="405"/>
      <c r="M609" s="64">
        <v>50000</v>
      </c>
      <c r="N609" s="65" t="s">
        <v>101</v>
      </c>
      <c r="O609" s="65" t="s">
        <v>26</v>
      </c>
      <c r="P609" s="81" t="str">
        <f>IF(AND('331-CT'!$E$7=TH!H609,OR(N609="331",O609="331")),"x","")</f>
        <v/>
      </c>
      <c r="Q609" s="81" t="str">
        <f>IF(AND(B609='111'!$L$11,OR($N609=$Q$7,$O609=$Q$7)),"x","")</f>
        <v/>
      </c>
      <c r="R609" s="81" t="str">
        <f>IF(AND($N609=$Q$7,$B609&lt;'111'!$L$11),"x","")</f>
        <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c r="AE609">
        <v>2</v>
      </c>
    </row>
    <row r="610" spans="1:31" ht="15.75" customHeight="1">
      <c r="A610" s="327" t="str">
        <f>IF(B610&lt;&gt;"",IF(AND(B610='IN-TC'!$S$4,OR(TH!N610="1111",TH!O610="1111")),TH!D610,""),"")</f>
        <v/>
      </c>
      <c r="B610" s="62">
        <f t="shared" si="203"/>
        <v>2</v>
      </c>
      <c r="C610" s="63">
        <v>42782</v>
      </c>
      <c r="D610" s="63" t="s">
        <v>1022</v>
      </c>
      <c r="E610" s="309">
        <f t="shared" si="202"/>
        <v>42782</v>
      </c>
      <c r="F610" s="66" t="s">
        <v>1231</v>
      </c>
      <c r="G610" s="66" t="s">
        <v>639</v>
      </c>
      <c r="H610" s="71" t="s">
        <v>965</v>
      </c>
      <c r="I610" s="405"/>
      <c r="J610" s="405"/>
      <c r="K610" s="398"/>
      <c r="L610" s="405"/>
      <c r="M610" s="64">
        <v>5000</v>
      </c>
      <c r="N610" s="65" t="s">
        <v>9</v>
      </c>
      <c r="O610" s="65" t="s">
        <v>26</v>
      </c>
      <c r="P610" s="81" t="str">
        <f>IF(AND('331-CT'!$E$7=TH!H610,OR(N610="331",O610="331")),"x","")</f>
        <v/>
      </c>
      <c r="Q610" s="81" t="str">
        <f>IF(AND(B610='111'!$L$11,OR($N610=$Q$7,$O610=$Q$7)),"x","")</f>
        <v/>
      </c>
      <c r="R610" s="81" t="str">
        <f>IF(AND($N610=$Q$7,$B610&lt;'111'!$L$11),"x","")</f>
        <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c r="AE610">
        <v>2</v>
      </c>
    </row>
    <row r="611" spans="1:31" ht="15.75" customHeight="1">
      <c r="A611" s="327" t="str">
        <f>IF(B611&lt;&gt;"",IF(AND(B611='IN-TC'!$S$4,OR(TH!N611="1111",TH!O611="1111")),TH!D611,""),"")</f>
        <v/>
      </c>
      <c r="B611" s="62">
        <f t="shared" si="203"/>
        <v>2</v>
      </c>
      <c r="C611" s="63">
        <v>42782</v>
      </c>
      <c r="D611" s="63" t="s">
        <v>1022</v>
      </c>
      <c r="E611" s="309">
        <f t="shared" si="202"/>
        <v>42782</v>
      </c>
      <c r="F611" s="66" t="s">
        <v>1230</v>
      </c>
      <c r="G611" s="66" t="s">
        <v>639</v>
      </c>
      <c r="H611" s="71" t="s">
        <v>965</v>
      </c>
      <c r="I611" s="405"/>
      <c r="J611" s="405"/>
      <c r="K611" s="398"/>
      <c r="L611" s="405"/>
      <c r="M611" s="64">
        <v>50000</v>
      </c>
      <c r="N611" s="65" t="s">
        <v>101</v>
      </c>
      <c r="O611" s="65" t="s">
        <v>26</v>
      </c>
      <c r="P611" s="81" t="str">
        <f>IF(AND('331-CT'!$E$7=TH!H611,OR(N611="331",O611="331")),"x","")</f>
        <v/>
      </c>
      <c r="Q611" s="81" t="str">
        <f>IF(AND(B611='111'!$L$11,OR($N611=$Q$7,$O611=$Q$7)),"x","")</f>
        <v/>
      </c>
      <c r="R611" s="81" t="str">
        <f>IF(AND($N611=$Q$7,$B611&lt;'111'!$L$11),"x","")</f>
        <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c r="AE611">
        <v>2</v>
      </c>
    </row>
    <row r="612" spans="1:31" ht="15.75" customHeight="1">
      <c r="A612" s="327" t="str">
        <f>IF(B612&lt;&gt;"",IF(AND(B612='IN-TC'!$S$4,OR(TH!N612="1111",TH!O612="1111")),TH!D612,""),"")</f>
        <v/>
      </c>
      <c r="B612" s="62">
        <f t="shared" si="203"/>
        <v>2</v>
      </c>
      <c r="C612" s="63">
        <v>42782</v>
      </c>
      <c r="D612" s="63" t="s">
        <v>1022</v>
      </c>
      <c r="E612" s="309">
        <f t="shared" si="202"/>
        <v>42782</v>
      </c>
      <c r="F612" s="66" t="s">
        <v>1231</v>
      </c>
      <c r="G612" s="66" t="s">
        <v>639</v>
      </c>
      <c r="H612" s="71" t="s">
        <v>965</v>
      </c>
      <c r="I612" s="405"/>
      <c r="J612" s="405"/>
      <c r="K612" s="398"/>
      <c r="L612" s="405"/>
      <c r="M612" s="64">
        <v>5000</v>
      </c>
      <c r="N612" s="65" t="s">
        <v>9</v>
      </c>
      <c r="O612" s="65" t="s">
        <v>26</v>
      </c>
      <c r="P612" s="81" t="str">
        <f>IF(AND('331-CT'!$E$7=TH!H612,OR(N612="331",O612="331")),"x","")</f>
        <v/>
      </c>
      <c r="Q612" s="81" t="str">
        <f>IF(AND(B612='111'!$L$11,OR($N612=$Q$7,$O612=$Q$7)),"x","")</f>
        <v/>
      </c>
      <c r="R612" s="81" t="str">
        <f>IF(AND($N612=$Q$7,$B612&lt;'111'!$L$11),"x","")</f>
        <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c r="AE612">
        <v>2</v>
      </c>
    </row>
    <row r="613" spans="1:31" ht="15.75" customHeight="1">
      <c r="A613" s="327" t="str">
        <f>IF(B613&lt;&gt;"",IF(AND(B613='IN-TC'!$S$4,OR(TH!N613="1111",TH!O613="1111")),TH!D613,""),"")</f>
        <v/>
      </c>
      <c r="B613" s="62">
        <f t="shared" si="203"/>
        <v>2</v>
      </c>
      <c r="C613" s="63">
        <v>42786</v>
      </c>
      <c r="D613" s="63" t="s">
        <v>1023</v>
      </c>
      <c r="E613" s="309">
        <f t="shared" si="202"/>
        <v>42786</v>
      </c>
      <c r="F613" s="66" t="s">
        <v>1228</v>
      </c>
      <c r="G613" s="66" t="s">
        <v>639</v>
      </c>
      <c r="H613" s="330" t="s">
        <v>915</v>
      </c>
      <c r="I613" s="405"/>
      <c r="J613" s="405"/>
      <c r="K613" s="398"/>
      <c r="L613" s="405"/>
      <c r="M613" s="64">
        <v>56870000</v>
      </c>
      <c r="N613" s="65" t="s">
        <v>26</v>
      </c>
      <c r="O613" s="65" t="s">
        <v>579</v>
      </c>
      <c r="P613" s="81" t="str">
        <f>IF(AND('331-CT'!$E$7=TH!H613,OR(N613="331",O613="331")),"x","")</f>
        <v/>
      </c>
      <c r="Q613" s="81" t="str">
        <f>IF(AND(B613='111'!$L$11,OR($N613=$Q$7,$O613=$Q$7)),"x","")</f>
        <v/>
      </c>
      <c r="R613" s="81" t="str">
        <f>IF(AND($N613=$Q$7,$B613&lt;'111'!$L$11),"x","")</f>
        <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1" ht="15.75" customHeight="1">
      <c r="A614" s="327" t="str">
        <f>IF(B614&lt;&gt;"",IF(AND(B614='IN-TC'!$S$4,OR(TH!N614="1111",TH!O614="1111")),TH!D614,""),"")</f>
        <v/>
      </c>
      <c r="B614" s="62">
        <f t="shared" si="203"/>
        <v>2</v>
      </c>
      <c r="C614" s="63">
        <v>42788</v>
      </c>
      <c r="D614" s="63" t="s">
        <v>1023</v>
      </c>
      <c r="E614" s="309">
        <f t="shared" si="202"/>
        <v>42788</v>
      </c>
      <c r="F614" s="66" t="s">
        <v>1232</v>
      </c>
      <c r="G614" s="66" t="s">
        <v>1233</v>
      </c>
      <c r="H614" s="71" t="s">
        <v>965</v>
      </c>
      <c r="I614" s="405"/>
      <c r="J614" s="405"/>
      <c r="K614" s="398"/>
      <c r="L614" s="405"/>
      <c r="M614" s="64">
        <v>22500000</v>
      </c>
      <c r="N614" s="65" t="s">
        <v>26</v>
      </c>
      <c r="O614" s="65" t="s">
        <v>26</v>
      </c>
      <c r="P614" s="81" t="str">
        <f>IF(AND('331-CT'!$E$7=TH!H614,OR(N614="331",O614="331")),"x","")</f>
        <v/>
      </c>
      <c r="Q614" s="81" t="str">
        <f>IF(AND(B614='111'!$L$11,OR($N614=$Q$7,$O614=$Q$7)),"x","")</f>
        <v/>
      </c>
      <c r="R614" s="81" t="str">
        <f>IF(AND($N614=$Q$7,$B614&lt;'111'!$L$11),"x","")</f>
        <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1" ht="15.75" customHeight="1">
      <c r="A615" s="327" t="str">
        <f>IF(B615&lt;&gt;"",IF(AND(B615='IN-TC'!$S$4,OR(TH!N615="1111",TH!O615="1111")),TH!D615,""),"")</f>
        <v/>
      </c>
      <c r="B615" s="62">
        <f t="shared" ref="B615" si="208">IF(C615&lt;&gt;"",MONTH(C615),"")</f>
        <v>2</v>
      </c>
      <c r="C615" s="63">
        <v>42788</v>
      </c>
      <c r="D615" s="63" t="s">
        <v>1022</v>
      </c>
      <c r="E615" s="309">
        <f t="shared" ref="E615" si="209">C615</f>
        <v>42788</v>
      </c>
      <c r="F615" s="66" t="s">
        <v>1017</v>
      </c>
      <c r="G615" s="66" t="s">
        <v>639</v>
      </c>
      <c r="H615" s="71" t="s">
        <v>681</v>
      </c>
      <c r="I615" s="405"/>
      <c r="J615" s="405"/>
      <c r="K615" s="398"/>
      <c r="L615" s="405"/>
      <c r="M615" s="64">
        <v>80000000</v>
      </c>
      <c r="N615" s="65" t="s">
        <v>8</v>
      </c>
      <c r="O615" s="65" t="s">
        <v>26</v>
      </c>
      <c r="P615" s="81" t="str">
        <f>IF(AND('331-CT'!$E$7=TH!H615,OR(N615="331",O615="331")),"x","")</f>
        <v/>
      </c>
      <c r="Q615" s="81" t="str">
        <f>IF(AND(B615='111'!$L$11,OR($N615=$Q$7,$O615=$Q$7)),"x","")</f>
        <v/>
      </c>
      <c r="R615" s="81" t="str">
        <f>IF(AND($N615=$Q$7,$B615&lt;'111'!$L$11),"x","")</f>
        <v/>
      </c>
      <c r="S615" s="81" t="str">
        <f>IF(AND($O615=$Q$7,$B615&lt;'111'!$L$11),"x","")</f>
        <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row>
    <row r="616" spans="1:31" ht="15.75" customHeight="1">
      <c r="A616" s="327" t="str">
        <f>IF(B616&lt;&gt;"",IF(AND(B616='IN-TC'!$S$4,OR(TH!N616="1111",TH!O616="1111")),TH!D616,""),"")</f>
        <v/>
      </c>
      <c r="B616" s="62">
        <f t="shared" si="203"/>
        <v>2</v>
      </c>
      <c r="C616" s="63">
        <v>42790</v>
      </c>
      <c r="D616" s="63" t="s">
        <v>1023</v>
      </c>
      <c r="E616" s="309">
        <f t="shared" si="202"/>
        <v>42790</v>
      </c>
      <c r="F616" s="66" t="s">
        <v>1034</v>
      </c>
      <c r="G616" s="66" t="s">
        <v>639</v>
      </c>
      <c r="H616" s="71" t="s">
        <v>965</v>
      </c>
      <c r="I616" s="405"/>
      <c r="J616" s="405"/>
      <c r="K616" s="398"/>
      <c r="L616" s="405"/>
      <c r="M616" s="64">
        <v>12828</v>
      </c>
      <c r="N616" s="65" t="s">
        <v>26</v>
      </c>
      <c r="O616" s="65" t="s">
        <v>43</v>
      </c>
      <c r="P616" s="81" t="str">
        <f>IF(AND('331-CT'!$E$7=TH!H616,OR(N616="331",O616="331")),"x","")</f>
        <v/>
      </c>
      <c r="Q616" s="81" t="str">
        <f>IF(AND(B616='111'!$L$11,OR($N616=$Q$7,$O616=$Q$7)),"x","")</f>
        <v/>
      </c>
      <c r="R616" s="81" t="str">
        <f>IF(AND($N616=$Q$7,$B616&lt;'111'!$L$11),"x","")</f>
        <v/>
      </c>
      <c r="S616" s="81" t="str">
        <f>IF(AND($O616=$Q$7,$B616&lt;'111'!$L$11),"x","")</f>
        <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row>
    <row r="617" spans="1:31" ht="15.75" customHeight="1">
      <c r="A617" s="327" t="str">
        <f>IF(B617&lt;&gt;"",IF(AND(B617='IN-TC'!$S$4,OR(TH!N617="1111",TH!O617="1111")),TH!D617,""),"")</f>
        <v/>
      </c>
      <c r="B617" s="62">
        <f t="shared" si="203"/>
        <v>2</v>
      </c>
      <c r="C617" s="63">
        <v>42793</v>
      </c>
      <c r="D617" s="63" t="s">
        <v>1023</v>
      </c>
      <c r="E617" s="309">
        <f t="shared" si="202"/>
        <v>42793</v>
      </c>
      <c r="F617" s="66" t="s">
        <v>1027</v>
      </c>
      <c r="G617" s="66" t="s">
        <v>639</v>
      </c>
      <c r="H617" s="71" t="s">
        <v>965</v>
      </c>
      <c r="I617" s="405"/>
      <c r="J617" s="405"/>
      <c r="K617" s="398">
        <v>450000</v>
      </c>
      <c r="L617" s="405">
        <v>22776</v>
      </c>
      <c r="M617" s="64">
        <f>K617*L617</f>
        <v>10249200000</v>
      </c>
      <c r="N617" s="65" t="s">
        <v>26</v>
      </c>
      <c r="O617" s="65" t="s">
        <v>264</v>
      </c>
      <c r="P617" s="81" t="str">
        <f>IF(AND('331-CT'!$E$7=TH!H617,OR(N617="331",O617="331")),"x","")</f>
        <v/>
      </c>
      <c r="Q617" s="81" t="str">
        <f>IF(AND(B617='111'!$L$11,OR($N617=$Q$7,$O617=$Q$7)),"x","")</f>
        <v/>
      </c>
      <c r="R617" s="81" t="str">
        <f>IF(AND($N617=$Q$7,$B617&lt;'111'!$L$11),"x","")</f>
        <v/>
      </c>
      <c r="S617" s="81" t="str">
        <f>IF(AND($O617=$Q$7,$B617&lt;'111'!$L$11),"x","")</f>
        <v/>
      </c>
      <c r="T617" s="81" t="str">
        <f>IF(ISERROR(FIND('112'!$M$9,G617,1)),"",IF((AND(FIND('112'!$M$9,G617,1)&gt;=1,B617='112'!$K$9,OR($N617='112'!$I$6,$O617='112'!$I$6))),"x",""))</f>
        <v>x</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row>
    <row r="618" spans="1:31" ht="15.75" customHeight="1">
      <c r="A618" s="327" t="str">
        <f>IF(B618&lt;&gt;"",IF(AND(B618='IN-TC'!$S$4,OR(TH!N618="1111",TH!O618="1111")),TH!D618,""),"")</f>
        <v/>
      </c>
      <c r="B618" s="62">
        <f t="shared" si="203"/>
        <v>2</v>
      </c>
      <c r="C618" s="63">
        <v>42793</v>
      </c>
      <c r="D618" s="63" t="s">
        <v>1022</v>
      </c>
      <c r="E618" s="309">
        <f t="shared" si="202"/>
        <v>42793</v>
      </c>
      <c r="F618" s="66" t="s">
        <v>1017</v>
      </c>
      <c r="G618" s="66" t="s">
        <v>639</v>
      </c>
      <c r="H618" s="71" t="s">
        <v>681</v>
      </c>
      <c r="I618" s="405"/>
      <c r="J618" s="405"/>
      <c r="K618" s="398"/>
      <c r="L618" s="405"/>
      <c r="M618" s="64">
        <v>5249911000</v>
      </c>
      <c r="N618" s="65" t="s">
        <v>8</v>
      </c>
      <c r="O618" s="65" t="s">
        <v>26</v>
      </c>
      <c r="P618" s="81" t="str">
        <f>IF(AND('331-CT'!$E$7=TH!H618,OR(N618="331",O618="331")),"x","")</f>
        <v/>
      </c>
      <c r="Q618" s="81" t="str">
        <f>IF(AND(B618='111'!$L$11,OR($N618=$Q$7,$O618=$Q$7)),"x","")</f>
        <v/>
      </c>
      <c r="R618" s="81" t="str">
        <f>IF(AND($N618=$Q$7,$B618&lt;'111'!$L$11),"x","")</f>
        <v/>
      </c>
      <c r="S618" s="81" t="str">
        <f>IF(AND($O618=$Q$7,$B618&lt;'111'!$L$11),"x","")</f>
        <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row>
    <row r="619" spans="1:31" ht="15.75" customHeight="1">
      <c r="A619" s="327" t="str">
        <f>IF(B619&lt;&gt;"",IF(AND(B619='IN-TC'!$S$4,OR(TH!N619="1111",TH!O619="1111")),TH!D619,""),"")</f>
        <v/>
      </c>
      <c r="B619" s="62">
        <f t="shared" ref="B619:B621" si="210">IF(C619&lt;&gt;"",MONTH(C619),"")</f>
        <v>2</v>
      </c>
      <c r="C619" s="63">
        <v>42793</v>
      </c>
      <c r="D619" s="63" t="s">
        <v>1022</v>
      </c>
      <c r="E619" s="309">
        <f t="shared" ref="E619:E621" si="211">C619</f>
        <v>42793</v>
      </c>
      <c r="F619" s="66" t="s">
        <v>1235</v>
      </c>
      <c r="G619" s="66" t="s">
        <v>639</v>
      </c>
      <c r="H619" s="330" t="s">
        <v>613</v>
      </c>
      <c r="I619" s="405"/>
      <c r="J619" s="405"/>
      <c r="K619" s="398"/>
      <c r="L619" s="405"/>
      <c r="M619" s="64">
        <v>45487970</v>
      </c>
      <c r="N619" s="65" t="s">
        <v>8</v>
      </c>
      <c r="O619" s="65" t="s">
        <v>26</v>
      </c>
      <c r="P619" s="81" t="str">
        <f>IF(AND('331-CT'!$E$7=TH!H619,OR(N619="331",O619="331")),"x","")</f>
        <v/>
      </c>
      <c r="Q619" s="81" t="str">
        <f>IF(AND(B619='111'!$L$11,OR($N619=$Q$7,$O619=$Q$7)),"x","")</f>
        <v/>
      </c>
      <c r="R619" s="81" t="str">
        <f>IF(AND($N619=$Q$7,$B619&lt;'111'!$L$11),"x","")</f>
        <v/>
      </c>
      <c r="S619" s="81" t="str">
        <f>IF(AND($O619=$Q$7,$B619&lt;'111'!$L$11),"x","")</f>
        <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row>
    <row r="620" spans="1:31" ht="15.75" customHeight="1">
      <c r="A620" s="327" t="str">
        <f>IF(B620&lt;&gt;"",IF(AND(B620='IN-TC'!$S$4,OR(TH!N620="1111",TH!O620="1111")),TH!D620,""),"")</f>
        <v/>
      </c>
      <c r="B620" s="62">
        <f t="shared" si="210"/>
        <v>2</v>
      </c>
      <c r="C620" s="63">
        <v>42793</v>
      </c>
      <c r="D620" s="63" t="s">
        <v>1022</v>
      </c>
      <c r="E620" s="309">
        <f t="shared" si="211"/>
        <v>42793</v>
      </c>
      <c r="F620" s="66" t="s">
        <v>990</v>
      </c>
      <c r="G620" s="66" t="s">
        <v>639</v>
      </c>
      <c r="H620" s="71" t="s">
        <v>965</v>
      </c>
      <c r="I620" s="405"/>
      <c r="J620" s="405"/>
      <c r="K620" s="398"/>
      <c r="L620" s="405"/>
      <c r="M620" s="64">
        <v>25000</v>
      </c>
      <c r="N620" s="65" t="s">
        <v>101</v>
      </c>
      <c r="O620" s="65" t="s">
        <v>26</v>
      </c>
      <c r="P620" s="81" t="str">
        <f>IF(AND('331-CT'!$E$7=TH!H620,OR(N620="331",O620="331")),"x","")</f>
        <v/>
      </c>
      <c r="Q620" s="81" t="str">
        <f>IF(AND(B620='111'!$L$11,OR($N620=$Q$7,$O620=$Q$7)),"x","")</f>
        <v/>
      </c>
      <c r="R620" s="81" t="str">
        <f>IF(AND($N620=$Q$7,$B620&lt;'111'!$L$11),"x","")</f>
        <v/>
      </c>
      <c r="S620" s="81" t="str">
        <f>IF(AND($O620=$Q$7,$B620&lt;'111'!$L$11),"x","")</f>
        <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c r="AE620">
        <v>2</v>
      </c>
    </row>
    <row r="621" spans="1:31" ht="15.75" customHeight="1">
      <c r="A621" s="327" t="str">
        <f>IF(B621&lt;&gt;"",IF(AND(B621='IN-TC'!$S$4,OR(TH!N621="1111",TH!O621="1111")),TH!D621,""),"")</f>
        <v/>
      </c>
      <c r="B621" s="62">
        <f t="shared" si="210"/>
        <v>2</v>
      </c>
      <c r="C621" s="63">
        <v>42793</v>
      </c>
      <c r="D621" s="63" t="s">
        <v>1022</v>
      </c>
      <c r="E621" s="309">
        <f t="shared" si="211"/>
        <v>42793</v>
      </c>
      <c r="F621" s="66" t="s">
        <v>1018</v>
      </c>
      <c r="G621" s="66" t="s">
        <v>639</v>
      </c>
      <c r="H621" s="71" t="s">
        <v>965</v>
      </c>
      <c r="I621" s="405"/>
      <c r="J621" s="405"/>
      <c r="K621" s="398"/>
      <c r="L621" s="405"/>
      <c r="M621" s="64">
        <v>2500</v>
      </c>
      <c r="N621" s="65" t="s">
        <v>9</v>
      </c>
      <c r="O621" s="65" t="s">
        <v>26</v>
      </c>
      <c r="P621" s="81" t="str">
        <f>IF(AND('331-CT'!$E$7=TH!H621,OR(N621="331",O621="331")),"x","")</f>
        <v/>
      </c>
      <c r="Q621" s="81" t="str">
        <f>IF(AND(B621='111'!$L$11,OR($N621=$Q$7,$O621=$Q$7)),"x","")</f>
        <v/>
      </c>
      <c r="R621" s="81" t="str">
        <f>IF(AND($N621=$Q$7,$B621&lt;'111'!$L$11),"x","")</f>
        <v/>
      </c>
      <c r="S621" s="81" t="str">
        <f>IF(AND($O621=$Q$7,$B621&lt;'111'!$L$11),"x","")</f>
        <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c r="AE621">
        <v>2</v>
      </c>
    </row>
    <row r="622" spans="1:31" ht="15.75" customHeight="1">
      <c r="A622" s="327" t="str">
        <f>IF(B622&lt;&gt;"",IF(AND(B622='IN-TC'!$S$4,OR(TH!N622="1111",TH!O622="1111")),TH!D622,""),"")</f>
        <v/>
      </c>
      <c r="B622" s="62">
        <f t="shared" si="203"/>
        <v>2</v>
      </c>
      <c r="C622" s="63">
        <v>42794</v>
      </c>
      <c r="D622" s="63" t="s">
        <v>1022</v>
      </c>
      <c r="E622" s="309">
        <f t="shared" si="202"/>
        <v>42794</v>
      </c>
      <c r="F622" s="66" t="s">
        <v>990</v>
      </c>
      <c r="G622" s="66" t="s">
        <v>639</v>
      </c>
      <c r="H622" s="71" t="s">
        <v>965</v>
      </c>
      <c r="I622" s="405"/>
      <c r="J622" s="405"/>
      <c r="K622" s="398"/>
      <c r="L622" s="405"/>
      <c r="M622" s="64">
        <v>70688</v>
      </c>
      <c r="N622" s="65" t="s">
        <v>101</v>
      </c>
      <c r="O622" s="65" t="s">
        <v>26</v>
      </c>
      <c r="P622" s="81" t="str">
        <f>IF(AND('331-CT'!$E$7=TH!H622,OR(N622="331",O622="331")),"x","")</f>
        <v/>
      </c>
      <c r="Q622" s="81" t="str">
        <f>IF(AND(B622='111'!$L$11,OR($N622=$Q$7,$O622=$Q$7)),"x","")</f>
        <v/>
      </c>
      <c r="R622" s="81" t="str">
        <f>IF(AND($N622=$Q$7,$B622&lt;'111'!$L$11),"x","")</f>
        <v/>
      </c>
      <c r="S622" s="81" t="str">
        <f>IF(AND($O622=$Q$7,$B622&lt;'111'!$L$11),"x","")</f>
        <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c r="AE622">
        <v>2</v>
      </c>
    </row>
    <row r="623" spans="1:31" ht="15.75" customHeight="1">
      <c r="A623" s="327" t="str">
        <f>IF(B623&lt;&gt;"",IF(AND(B623='IN-TC'!$S$4,OR(TH!N623="1111",TH!O623="1111")),TH!D623,""),"")</f>
        <v/>
      </c>
      <c r="B623" s="62">
        <f t="shared" si="203"/>
        <v>2</v>
      </c>
      <c r="C623" s="63">
        <v>42794</v>
      </c>
      <c r="D623" s="63" t="s">
        <v>1022</v>
      </c>
      <c r="E623" s="309">
        <f t="shared" si="202"/>
        <v>42794</v>
      </c>
      <c r="F623" s="66" t="s">
        <v>1018</v>
      </c>
      <c r="G623" s="66" t="s">
        <v>639</v>
      </c>
      <c r="H623" s="71" t="s">
        <v>965</v>
      </c>
      <c r="I623" s="405"/>
      <c r="J623" s="405"/>
      <c r="K623" s="398"/>
      <c r="L623" s="405"/>
      <c r="M623" s="64">
        <v>7069</v>
      </c>
      <c r="N623" s="65" t="s">
        <v>9</v>
      </c>
      <c r="O623" s="65" t="s">
        <v>26</v>
      </c>
      <c r="P623" s="81" t="str">
        <f>IF(AND('331-CT'!$E$7=TH!H623,OR(N623="331",O623="331")),"x","")</f>
        <v/>
      </c>
      <c r="Q623" s="81" t="str">
        <f>IF(AND(B623='111'!$L$11,OR($N623=$Q$7,$O623=$Q$7)),"x","")</f>
        <v/>
      </c>
      <c r="R623" s="81" t="str">
        <f>IF(AND($N623=$Q$7,$B623&lt;'111'!$L$11),"x","")</f>
        <v/>
      </c>
      <c r="S623" s="81" t="str">
        <f>IF(AND($O623=$Q$7,$B623&lt;'111'!$L$11),"x","")</f>
        <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c r="AE623">
        <v>2</v>
      </c>
    </row>
    <row r="624" spans="1:31" ht="15.75" customHeight="1">
      <c r="A624" s="327" t="str">
        <f>IF(B624&lt;&gt;"",IF(AND(B624='IN-TC'!$S$4,OR(TH!N624="1111",TH!O624="1111")),TH!D624,""),"")</f>
        <v/>
      </c>
      <c r="B624" s="62">
        <f t="shared" si="203"/>
        <v>2</v>
      </c>
      <c r="C624" s="63">
        <v>42774</v>
      </c>
      <c r="D624" s="63" t="s">
        <v>1022</v>
      </c>
      <c r="E624" s="309">
        <f t="shared" si="202"/>
        <v>42774</v>
      </c>
      <c r="F624" s="66" t="s">
        <v>1238</v>
      </c>
      <c r="G624" s="66" t="s">
        <v>639</v>
      </c>
      <c r="H624" s="66" t="s">
        <v>849</v>
      </c>
      <c r="I624" s="405"/>
      <c r="J624" s="405"/>
      <c r="K624" s="398">
        <v>52300</v>
      </c>
      <c r="L624" s="405">
        <v>22770</v>
      </c>
      <c r="M624" s="64">
        <f>K624*L624</f>
        <v>1190871000</v>
      </c>
      <c r="N624" s="65" t="s">
        <v>258</v>
      </c>
      <c r="O624" s="65" t="s">
        <v>264</v>
      </c>
      <c r="P624" s="81" t="str">
        <f>IF(AND('331-CT'!$E$7=TH!H624,OR(N624="331",O624="331")),"x","")</f>
        <v/>
      </c>
      <c r="Q624" s="81" t="str">
        <f>IF(AND(B624='111'!$L$11,OR($N624=$Q$7,$O624=$Q$7)),"x","")</f>
        <v/>
      </c>
      <c r="R624" s="81" t="str">
        <f>IF(AND($N624=$Q$7,$B624&lt;'111'!$L$11),"x","")</f>
        <v/>
      </c>
      <c r="S624" s="81" t="str">
        <f>IF(AND($O624=$Q$7,$B624&lt;'111'!$L$11),"x","")</f>
        <v/>
      </c>
      <c r="T624" s="81" t="str">
        <f>IF(ISERROR(FIND('112'!$M$9,G624,1)),"",IF((AND(FIND('112'!$M$9,G624,1)&gt;=1,B624='112'!$K$9,OR($N624='112'!$I$6,$O624='112'!$I$6))),"x",""))</f>
        <v>x</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row>
    <row r="625" spans="1:30" ht="15.75" customHeight="1">
      <c r="A625" s="327" t="str">
        <f>IF(B625&lt;&gt;"",IF(AND(B625='IN-TC'!$S$4,OR(TH!N625="1111",TH!O625="1111")),TH!D625,""),"")</f>
        <v/>
      </c>
      <c r="B625" s="62">
        <f t="shared" ref="B625" si="212">IF(C625&lt;&gt;"",MONTH(C625),"")</f>
        <v>2</v>
      </c>
      <c r="C625" s="63">
        <v>42774</v>
      </c>
      <c r="D625" s="63" t="s">
        <v>1022</v>
      </c>
      <c r="E625" s="309">
        <f t="shared" ref="E625" si="213">C625</f>
        <v>42774</v>
      </c>
      <c r="F625" s="66" t="s">
        <v>1239</v>
      </c>
      <c r="G625" s="66" t="s">
        <v>639</v>
      </c>
      <c r="H625" s="66" t="s">
        <v>849</v>
      </c>
      <c r="I625" s="405"/>
      <c r="J625" s="405"/>
      <c r="K625" s="398">
        <v>111.14</v>
      </c>
      <c r="L625" s="405">
        <v>22770</v>
      </c>
      <c r="M625" s="64">
        <f>K625*L625</f>
        <v>2530657.7999999998</v>
      </c>
      <c r="N625" s="65" t="s">
        <v>99</v>
      </c>
      <c r="O625" s="65" t="s">
        <v>264</v>
      </c>
      <c r="P625" s="81" t="str">
        <f>IF(AND('331-CT'!$E$7=TH!H625,OR(N625="331",O625="331")),"x","")</f>
        <v/>
      </c>
      <c r="Q625" s="81" t="str">
        <f>IF(AND(B625='111'!$L$11,OR($N625=$Q$7,$O625=$Q$7)),"x","")</f>
        <v/>
      </c>
      <c r="R625" s="81" t="str">
        <f>IF(AND($N625=$Q$7,$B625&lt;'111'!$L$11),"x","")</f>
        <v/>
      </c>
      <c r="S625" s="81" t="str">
        <f>IF(AND($O625=$Q$7,$B625&lt;'111'!$L$11),"x","")</f>
        <v/>
      </c>
      <c r="T625" s="81" t="str">
        <f>IF(ISERROR(FIND('112'!$M$9,G625,1)),"",IF((AND(FIND('112'!$M$9,G625,1)&gt;=1,B625='112'!$K$9,OR($N625='112'!$I$6,$O625='112'!$I$6))),"x",""))</f>
        <v>x</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row>
    <row r="626" spans="1:30" ht="15.75" customHeight="1">
      <c r="A626" s="327" t="str">
        <f>IF(B626&lt;&gt;"",IF(AND(B626='IN-TC'!$S$4,OR(TH!N626="1111",TH!O626="1111")),TH!D626,""),"")</f>
        <v/>
      </c>
      <c r="B626" s="62">
        <f t="shared" ref="B626" si="214">IF(C626&lt;&gt;"",MONTH(C626),"")</f>
        <v>2</v>
      </c>
      <c r="C626" s="63">
        <v>42774</v>
      </c>
      <c r="D626" s="63" t="s">
        <v>573</v>
      </c>
      <c r="E626" s="309">
        <f t="shared" ref="E626" si="215">C626</f>
        <v>42774</v>
      </c>
      <c r="F626" s="66" t="s">
        <v>1137</v>
      </c>
      <c r="G626" s="66" t="s">
        <v>639</v>
      </c>
      <c r="H626" s="66" t="s">
        <v>849</v>
      </c>
      <c r="I626" s="405"/>
      <c r="J626" s="405"/>
      <c r="K626" s="398"/>
      <c r="L626" s="405"/>
      <c r="M626" s="64">
        <v>24842500</v>
      </c>
      <c r="N626" s="65" t="s">
        <v>99</v>
      </c>
      <c r="O626" s="65" t="s">
        <v>258</v>
      </c>
      <c r="P626" s="81" t="str">
        <f>IF(AND('331-CT'!$E$7=TH!H626,OR(N626="331",O626="331")),"x","")</f>
        <v/>
      </c>
      <c r="Q626" s="81" t="str">
        <f>IF(AND(B626='111'!$L$11,OR($N626=$Q$7,$O626=$Q$7)),"x","")</f>
        <v/>
      </c>
      <c r="R626" s="81" t="str">
        <f>IF(AND($N626=$Q$7,$B626&lt;'111'!$L$11),"x","")</f>
        <v/>
      </c>
      <c r="S626" s="81" t="str">
        <f>IF(AND($O626=$Q$7,$B626&lt;'111'!$L$11),"x","")</f>
        <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row>
    <row r="627" spans="1:30" ht="15.75" customHeight="1">
      <c r="A627" s="327" t="str">
        <f>IF(B627&lt;&gt;"",IF(AND(B627='IN-TC'!$S$4,OR(TH!N627="1111",TH!O627="1111")),TH!D627,""),"")</f>
        <v/>
      </c>
      <c r="B627" s="62">
        <f t="shared" ref="B627:B629" si="216">IF(C627&lt;&gt;"",MONTH(C627),"")</f>
        <v>2</v>
      </c>
      <c r="C627" s="63">
        <v>42781</v>
      </c>
      <c r="D627" s="63" t="s">
        <v>1022</v>
      </c>
      <c r="E627" s="309">
        <f t="shared" ref="E627:E629" si="217">C627</f>
        <v>42781</v>
      </c>
      <c r="F627" s="66" t="s">
        <v>1239</v>
      </c>
      <c r="G627" s="66" t="s">
        <v>639</v>
      </c>
      <c r="H627" s="66" t="s">
        <v>926</v>
      </c>
      <c r="I627" s="405"/>
      <c r="J627" s="405"/>
      <c r="K627" s="398">
        <v>240.25</v>
      </c>
      <c r="L627" s="405">
        <v>22770</v>
      </c>
      <c r="M627" s="64">
        <f t="shared" ref="M627:M629" si="218">K627*L627</f>
        <v>5470492.5</v>
      </c>
      <c r="N627" s="65" t="s">
        <v>99</v>
      </c>
      <c r="O627" s="65" t="s">
        <v>264</v>
      </c>
      <c r="P627" s="81" t="str">
        <f>IF(AND('331-CT'!$E$7=TH!H627,OR(N627="331",O627="331")),"x","")</f>
        <v/>
      </c>
      <c r="Q627" s="81" t="str">
        <f>IF(AND(B627='111'!$L$11,OR($N627=$Q$7,$O627=$Q$7)),"x","")</f>
        <v/>
      </c>
      <c r="R627" s="81" t="str">
        <f>IF(AND($N627=$Q$7,$B627&lt;'111'!$L$11),"x","")</f>
        <v/>
      </c>
      <c r="S627" s="81" t="str">
        <f>IF(AND($O627=$Q$7,$B627&lt;'111'!$L$11),"x","")</f>
        <v/>
      </c>
      <c r="T627" s="81" t="str">
        <f>IF(ISERROR(FIND('112'!$M$9,G627,1)),"",IF((AND(FIND('112'!$M$9,G627,1)&gt;=1,B627='112'!$K$9,OR($N627='112'!$I$6,$O627='112'!$I$6))),"x",""))</f>
        <v>x</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row>
    <row r="628" spans="1:30" ht="15.75" customHeight="1">
      <c r="A628" s="327" t="str">
        <f>IF(B628&lt;&gt;"",IF(AND(B628='IN-TC'!$S$4,OR(TH!N628="1111",TH!O628="1111")),TH!D628,""),"")</f>
        <v/>
      </c>
      <c r="B628" s="62">
        <f t="shared" si="216"/>
        <v>2</v>
      </c>
      <c r="C628" s="63">
        <v>42781</v>
      </c>
      <c r="D628" s="63" t="s">
        <v>1022</v>
      </c>
      <c r="E628" s="309">
        <f t="shared" si="217"/>
        <v>42781</v>
      </c>
      <c r="F628" s="66" t="s">
        <v>1239</v>
      </c>
      <c r="G628" s="66" t="s">
        <v>639</v>
      </c>
      <c r="H628" s="66" t="s">
        <v>927</v>
      </c>
      <c r="I628" s="405"/>
      <c r="J628" s="405"/>
      <c r="K628" s="398">
        <v>151.77000000000001</v>
      </c>
      <c r="L628" s="405">
        <v>22770</v>
      </c>
      <c r="M628" s="64">
        <f t="shared" si="218"/>
        <v>3455802.9000000004</v>
      </c>
      <c r="N628" s="65" t="s">
        <v>99</v>
      </c>
      <c r="O628" s="65" t="s">
        <v>264</v>
      </c>
      <c r="P628" s="81" t="str">
        <f>IF(AND('331-CT'!$E$7=TH!H628,OR(N628="331",O628="331")),"x","")</f>
        <v/>
      </c>
      <c r="Q628" s="81" t="str">
        <f>IF(AND(B628='111'!$L$11,OR($N628=$Q$7,$O628=$Q$7)),"x","")</f>
        <v/>
      </c>
      <c r="R628" s="81" t="str">
        <f>IF(AND($N628=$Q$7,$B628&lt;'111'!$L$11),"x","")</f>
        <v/>
      </c>
      <c r="S628" s="81" t="str">
        <f>IF(AND($O628=$Q$7,$B628&lt;'111'!$L$11),"x","")</f>
        <v/>
      </c>
      <c r="T628" s="81" t="str">
        <f>IF(ISERROR(FIND('112'!$M$9,G628,1)),"",IF((AND(FIND('112'!$M$9,G628,1)&gt;=1,B628='112'!$K$9,OR($N628='112'!$I$6,$O628='112'!$I$6))),"x",""))</f>
        <v>x</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row>
    <row r="629" spans="1:30" ht="15.75" customHeight="1">
      <c r="A629" s="327" t="str">
        <f>IF(B629&lt;&gt;"",IF(AND(B629='IN-TC'!$S$4,OR(TH!N629="1111",TH!O629="1111")),TH!D629,""),"")</f>
        <v/>
      </c>
      <c r="B629" s="62">
        <f t="shared" si="216"/>
        <v>2</v>
      </c>
      <c r="C629" s="63">
        <v>42781</v>
      </c>
      <c r="D629" s="63" t="s">
        <v>1022</v>
      </c>
      <c r="E629" s="309">
        <f t="shared" si="217"/>
        <v>42781</v>
      </c>
      <c r="F629" s="66" t="s">
        <v>1239</v>
      </c>
      <c r="G629" s="66" t="s">
        <v>639</v>
      </c>
      <c r="H629" s="66" t="s">
        <v>1048</v>
      </c>
      <c r="I629" s="405"/>
      <c r="J629" s="405"/>
      <c r="K629" s="398">
        <v>116.46</v>
      </c>
      <c r="L629" s="405">
        <v>22770</v>
      </c>
      <c r="M629" s="64">
        <f t="shared" si="218"/>
        <v>2651794.1999999997</v>
      </c>
      <c r="N629" s="65" t="s">
        <v>99</v>
      </c>
      <c r="O629" s="65" t="s">
        <v>264</v>
      </c>
      <c r="P629" s="81" t="str">
        <f>IF(AND('331-CT'!$E$7=TH!H629,OR(N629="331",O629="331")),"x","")</f>
        <v/>
      </c>
      <c r="Q629" s="81" t="str">
        <f>IF(AND(B629='111'!$L$11,OR($N629=$Q$7,$O629=$Q$7)),"x","")</f>
        <v/>
      </c>
      <c r="R629" s="81" t="str">
        <f>IF(AND($N629=$Q$7,$B629&lt;'111'!$L$11),"x","")</f>
        <v/>
      </c>
      <c r="S629" s="81" t="str">
        <f>IF(AND($O629=$Q$7,$B629&lt;'111'!$L$11),"x","")</f>
        <v/>
      </c>
      <c r="T629" s="81" t="str">
        <f>IF(ISERROR(FIND('112'!$M$9,G629,1)),"",IF((AND(FIND('112'!$M$9,G629,1)&gt;=1,B629='112'!$K$9,OR($N629='112'!$I$6,$O629='112'!$I$6))),"x",""))</f>
        <v>x</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row>
    <row r="630" spans="1:30" ht="15.75" customHeight="1">
      <c r="A630" s="327" t="str">
        <f>IF(B630&lt;&gt;"",IF(AND(B630='IN-TC'!$S$4,OR(TH!N630="1111",TH!O630="1111")),TH!D630,""),"")</f>
        <v/>
      </c>
      <c r="B630" s="62" t="str">
        <f t="shared" si="203"/>
        <v/>
      </c>
      <c r="C630" s="63"/>
      <c r="D630" s="63"/>
      <c r="E630" s="309">
        <f t="shared" si="202"/>
        <v>0</v>
      </c>
      <c r="F630" s="66"/>
      <c r="G630" s="66"/>
      <c r="H630" s="71"/>
      <c r="I630" s="405"/>
      <c r="J630" s="405"/>
      <c r="K630" s="398"/>
      <c r="L630" s="405"/>
      <c r="M630" s="64"/>
      <c r="N630" s="65"/>
      <c r="O630" s="65"/>
      <c r="P630" s="81" t="str">
        <f>IF(AND('331-CT'!$E$7=TH!H630,OR(N630="331",O630="331")),"x","")</f>
        <v/>
      </c>
      <c r="Q630" s="81" t="str">
        <f>IF(AND(B630='111'!$L$11,OR($N630=$Q$7,$O630=$Q$7)),"x","")</f>
        <v/>
      </c>
      <c r="R630" s="81" t="str">
        <f>IF(AND($N630=$Q$7,$B630&lt;'111'!$L$11),"x","")</f>
        <v/>
      </c>
      <c r="S630" s="81" t="str">
        <f>IF(AND($O630=$Q$7,$B630&lt;'111'!$L$11),"x","")</f>
        <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row>
    <row r="631" spans="1:30" ht="15.75" customHeight="1">
      <c r="A631" s="327" t="str">
        <f>IF(B631&lt;&gt;"",IF(AND(B631='IN-TC'!$S$4,OR(TH!N631="1111",TH!O631="1111")),TH!D631,""),"")</f>
        <v/>
      </c>
      <c r="B631" s="62" t="str">
        <f t="shared" si="203"/>
        <v/>
      </c>
      <c r="C631" s="63"/>
      <c r="D631" s="63"/>
      <c r="E631" s="309">
        <f t="shared" si="202"/>
        <v>0</v>
      </c>
      <c r="F631" s="66"/>
      <c r="G631" s="66"/>
      <c r="H631" s="71"/>
      <c r="I631" s="405"/>
      <c r="J631" s="405"/>
      <c r="K631" s="398"/>
      <c r="L631" s="405"/>
      <c r="M631" s="64"/>
      <c r="N631" s="65"/>
      <c r="O631" s="65"/>
      <c r="P631" s="81" t="str">
        <f>IF(AND('331-CT'!$E$7=TH!H631,OR(N631="331",O631="331")),"x","")</f>
        <v/>
      </c>
      <c r="Q631" s="81" t="str">
        <f>IF(AND(B631='111'!$L$11,OR($N631=$Q$7,$O631=$Q$7)),"x","")</f>
        <v/>
      </c>
      <c r="R631" s="81" t="str">
        <f>IF(AND($N631=$Q$7,$B631&lt;'111'!$L$11),"x","")</f>
        <v/>
      </c>
      <c r="S631" s="81" t="str">
        <f>IF(AND($O631=$Q$7,$B631&lt;'111'!$L$11),"x","")</f>
        <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0" ht="15.75" customHeight="1">
      <c r="A632" s="327" t="str">
        <f>IF(B632&lt;&gt;"",IF(AND(B632='IN-TC'!$S$4,OR(TH!N632="1111",TH!O632="1111")),TH!D632,""),"")</f>
        <v/>
      </c>
      <c r="B632" s="62" t="str">
        <f t="shared" si="203"/>
        <v/>
      </c>
      <c r="C632" s="63"/>
      <c r="D632" s="63"/>
      <c r="E632" s="309">
        <f t="shared" si="202"/>
        <v>0</v>
      </c>
      <c r="F632" s="66"/>
      <c r="G632" s="66"/>
      <c r="H632" s="71"/>
      <c r="I632" s="405"/>
      <c r="J632" s="405"/>
      <c r="K632" s="398"/>
      <c r="L632" s="405"/>
      <c r="M632" s="64"/>
      <c r="N632" s="65"/>
      <c r="O632" s="65"/>
      <c r="P632" s="81" t="str">
        <f>IF(AND('331-CT'!$E$7=TH!H632,OR(N632="331",O632="331")),"x","")</f>
        <v/>
      </c>
      <c r="Q632" s="81" t="str">
        <f>IF(AND(B632='111'!$L$11,OR($N632=$Q$7,$O632=$Q$7)),"x","")</f>
        <v/>
      </c>
      <c r="R632" s="81" t="str">
        <f>IF(AND($N632=$Q$7,$B632&lt;'111'!$L$11),"x","")</f>
        <v/>
      </c>
      <c r="S632" s="81" t="str">
        <f>IF(AND($O632=$Q$7,$B632&lt;'111'!$L$11),"x","")</f>
        <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row>
    <row r="633" spans="1:30" ht="15.75" customHeight="1">
      <c r="A633" s="327" t="str">
        <f>IF(B633&lt;&gt;"",IF(AND(B633='IN-TC'!$S$4,OR(TH!N633="1111",TH!O633="1111")),TH!D633,""),"")</f>
        <v/>
      </c>
      <c r="B633" s="62" t="str">
        <f t="shared" si="203"/>
        <v/>
      </c>
      <c r="C633" s="63"/>
      <c r="D633" s="63"/>
      <c r="E633" s="309">
        <f t="shared" si="202"/>
        <v>0</v>
      </c>
      <c r="F633" s="66"/>
      <c r="G633" s="66"/>
      <c r="H633" s="71"/>
      <c r="I633" s="405"/>
      <c r="J633" s="405"/>
      <c r="K633" s="398"/>
      <c r="L633" s="405"/>
      <c r="M633" s="64"/>
      <c r="N633" s="65"/>
      <c r="O633" s="65"/>
      <c r="P633" s="81" t="str">
        <f>IF(AND('331-CT'!$E$7=TH!H633,OR(N633="331",O633="331")),"x","")</f>
        <v/>
      </c>
      <c r="Q633" s="81" t="str">
        <f>IF(AND(B633='111'!$L$11,OR($N633=$Q$7,$O633=$Q$7)),"x","")</f>
        <v/>
      </c>
      <c r="R633" s="81" t="str">
        <f>IF(AND($N633=$Q$7,$B633&lt;'111'!$L$11),"x","")</f>
        <v/>
      </c>
      <c r="S633" s="81" t="str">
        <f>IF(AND($O633=$Q$7,$B633&lt;'111'!$L$11),"x","")</f>
        <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row>
    <row r="634" spans="1:30" ht="15.75" customHeight="1">
      <c r="A634" s="327" t="str">
        <f>IF(B634&lt;&gt;"",IF(AND(B634='IN-TC'!$S$4,OR(TH!N634="1111",TH!O634="1111")),TH!D634,""),"")</f>
        <v/>
      </c>
      <c r="B634" s="62" t="str">
        <f t="shared" si="203"/>
        <v/>
      </c>
      <c r="C634" s="63"/>
      <c r="D634" s="63"/>
      <c r="E634" s="309">
        <f t="shared" si="202"/>
        <v>0</v>
      </c>
      <c r="F634" s="66"/>
      <c r="G634" s="66"/>
      <c r="H634" s="71"/>
      <c r="I634" s="405"/>
      <c r="J634" s="405"/>
      <c r="K634" s="398"/>
      <c r="L634" s="405"/>
      <c r="M634" s="64"/>
      <c r="N634" s="65"/>
      <c r="O634" s="65"/>
      <c r="P634" s="81" t="str">
        <f>IF(AND('331-CT'!$E$7=TH!H634,OR(N634="331",O634="331")),"x","")</f>
        <v/>
      </c>
      <c r="Q634" s="81" t="str">
        <f>IF(AND(B634='111'!$L$11,OR($N634=$Q$7,$O634=$Q$7)),"x","")</f>
        <v/>
      </c>
      <c r="R634" s="81" t="str">
        <f>IF(AND($N634=$Q$7,$B634&lt;'111'!$L$11),"x","")</f>
        <v/>
      </c>
      <c r="S634" s="81" t="str">
        <f>IF(AND($O634=$Q$7,$B634&lt;'111'!$L$11),"x","")</f>
        <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row>
    <row r="635" spans="1:30" ht="15.75" customHeight="1">
      <c r="A635" s="327" t="str">
        <f>IF(B635&lt;&gt;"",IF(AND(B635='IN-TC'!$S$4,OR(TH!N635="1111",TH!O635="1111")),TH!D635,""),"")</f>
        <v/>
      </c>
      <c r="B635" s="62" t="str">
        <f t="shared" si="203"/>
        <v/>
      </c>
      <c r="C635" s="63"/>
      <c r="D635" s="63"/>
      <c r="E635" s="309">
        <f t="shared" si="202"/>
        <v>0</v>
      </c>
      <c r="F635" s="66"/>
      <c r="G635" s="66"/>
      <c r="H635" s="71"/>
      <c r="I635" s="405"/>
      <c r="J635" s="405"/>
      <c r="K635" s="398"/>
      <c r="L635" s="405"/>
      <c r="M635" s="64"/>
      <c r="N635" s="65"/>
      <c r="O635" s="65"/>
      <c r="P635" s="81" t="str">
        <f>IF(AND('331-CT'!$E$7=TH!H635,OR(N635="331",O635="331")),"x","")</f>
        <v/>
      </c>
      <c r="Q635" s="81" t="str">
        <f>IF(AND(B635='111'!$L$11,OR($N635=$Q$7,$O635=$Q$7)),"x","")</f>
        <v/>
      </c>
      <c r="R635" s="81" t="str">
        <f>IF(AND($N635=$Q$7,$B635&lt;'111'!$L$11),"x","")</f>
        <v/>
      </c>
      <c r="S635" s="81" t="str">
        <f>IF(AND($O635=$Q$7,$B635&lt;'111'!$L$11),"x","")</f>
        <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row>
    <row r="636" spans="1:30" ht="15.75" customHeight="1">
      <c r="A636" s="327" t="str">
        <f>IF(B636&lt;&gt;"",IF(AND(B636='IN-TC'!$S$4,OR(TH!N636="1111",TH!O636="1111")),TH!D636,""),"")</f>
        <v/>
      </c>
      <c r="B636" s="62" t="str">
        <f t="shared" si="203"/>
        <v/>
      </c>
      <c r="C636" s="63"/>
      <c r="D636" s="63"/>
      <c r="E636" s="309">
        <f t="shared" si="202"/>
        <v>0</v>
      </c>
      <c r="F636" s="66"/>
      <c r="G636" s="66"/>
      <c r="H636" s="71"/>
      <c r="I636" s="405"/>
      <c r="J636" s="405"/>
      <c r="K636" s="398"/>
      <c r="L636" s="405"/>
      <c r="M636" s="64"/>
      <c r="N636" s="65"/>
      <c r="O636" s="65"/>
      <c r="P636" s="81" t="str">
        <f>IF(AND('331-CT'!$E$7=TH!H636,OR(N636="331",O636="331")),"x","")</f>
        <v/>
      </c>
      <c r="Q636" s="81" t="str">
        <f>IF(AND(B636='111'!$L$11,OR($N636=$Q$7,$O636=$Q$7)),"x","")</f>
        <v/>
      </c>
      <c r="R636" s="81" t="str">
        <f>IF(AND($N636=$Q$7,$B636&lt;'111'!$L$11),"x","")</f>
        <v/>
      </c>
      <c r="S636" s="81" t="str">
        <f>IF(AND($O636=$Q$7,$B636&lt;'111'!$L$11),"x","")</f>
        <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row>
    <row r="637" spans="1:30" ht="15.75" customHeight="1">
      <c r="A637" s="327" t="str">
        <f>IF(B637&lt;&gt;"",IF(AND(B637='IN-TC'!$S$4,OR(TH!N637="1111",TH!O637="1111")),TH!D637,""),"")</f>
        <v/>
      </c>
      <c r="B637" s="62" t="str">
        <f t="shared" si="203"/>
        <v/>
      </c>
      <c r="C637" s="63"/>
      <c r="D637" s="63"/>
      <c r="E637" s="309">
        <f t="shared" si="202"/>
        <v>0</v>
      </c>
      <c r="F637" s="66"/>
      <c r="G637" s="66"/>
      <c r="H637" s="71"/>
      <c r="I637" s="405"/>
      <c r="J637" s="405"/>
      <c r="K637" s="398"/>
      <c r="L637" s="405"/>
      <c r="M637" s="64"/>
      <c r="N637" s="65"/>
      <c r="O637" s="65"/>
      <c r="P637" s="81" t="str">
        <f>IF(AND('331-CT'!$E$7=TH!H637,OR(N637="331",O637="331")),"x","")</f>
        <v/>
      </c>
      <c r="Q637" s="81" t="str">
        <f>IF(AND(B637='111'!$L$11,OR($N637=$Q$7,$O637=$Q$7)),"x","")</f>
        <v/>
      </c>
      <c r="R637" s="81" t="str">
        <f>IF(AND($N637=$Q$7,$B637&lt;'111'!$L$11),"x","")</f>
        <v/>
      </c>
      <c r="S637" s="81" t="str">
        <f>IF(AND($O637=$Q$7,$B637&lt;'111'!$L$11),"x","")</f>
        <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row>
    <row r="638" spans="1:30" ht="15.75" customHeight="1">
      <c r="A638" s="327" t="str">
        <f>IF(B638&lt;&gt;"",IF(AND(B638='IN-TC'!$S$4,OR(TH!N638="1111",TH!O638="1111")),TH!D638,""),"")</f>
        <v/>
      </c>
      <c r="B638" s="62" t="str">
        <f t="shared" si="203"/>
        <v/>
      </c>
      <c r="C638" s="63"/>
      <c r="D638" s="63"/>
      <c r="E638" s="309">
        <f t="shared" si="202"/>
        <v>0</v>
      </c>
      <c r="F638" s="66"/>
      <c r="G638" s="66"/>
      <c r="H638" s="71"/>
      <c r="I638" s="405"/>
      <c r="J638" s="405"/>
      <c r="K638" s="398"/>
      <c r="L638" s="405"/>
      <c r="M638" s="64"/>
      <c r="N638" s="65"/>
      <c r="O638" s="65"/>
      <c r="P638" s="81" t="str">
        <f>IF(AND('331-CT'!$E$7=TH!H638,OR(N638="331",O638="331")),"x","")</f>
        <v/>
      </c>
      <c r="Q638" s="81" t="str">
        <f>IF(AND(B638='111'!$L$11,OR($N638=$Q$7,$O638=$Q$7)),"x","")</f>
        <v/>
      </c>
      <c r="R638" s="81" t="str">
        <f>IF(AND($N638=$Q$7,$B638&lt;'111'!$L$11),"x","")</f>
        <v/>
      </c>
      <c r="S638" s="81" t="str">
        <f>IF(AND($O638=$Q$7,$B638&lt;'111'!$L$11),"x","")</f>
        <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row>
    <row r="639" spans="1:30" ht="15.75" customHeight="1">
      <c r="A639" s="327" t="str">
        <f>IF(B639&lt;&gt;"",IF(AND(B639='IN-TC'!$S$4,OR(TH!N639="1111",TH!O639="1111")),TH!D639,""),"")</f>
        <v/>
      </c>
      <c r="B639" s="62" t="str">
        <f t="shared" si="203"/>
        <v/>
      </c>
      <c r="C639" s="63"/>
      <c r="D639" s="63"/>
      <c r="E639" s="309">
        <f t="shared" si="202"/>
        <v>0</v>
      </c>
      <c r="F639" s="66"/>
      <c r="G639" s="66"/>
      <c r="H639" s="71"/>
      <c r="I639" s="405"/>
      <c r="J639" s="405"/>
      <c r="K639" s="398"/>
      <c r="L639" s="405"/>
      <c r="M639" s="64"/>
      <c r="N639" s="65"/>
      <c r="O639" s="65"/>
      <c r="P639" s="81" t="str">
        <f>IF(AND('331-CT'!$E$7=TH!H639,OR(N639="331",O639="331")),"x","")</f>
        <v/>
      </c>
      <c r="Q639" s="81" t="str">
        <f>IF(AND(B639='111'!$L$11,OR($N639=$Q$7,$O639=$Q$7)),"x","")</f>
        <v/>
      </c>
      <c r="R639" s="81" t="str">
        <f>IF(AND($N639=$Q$7,$B639&lt;'111'!$L$11),"x","")</f>
        <v/>
      </c>
      <c r="S639" s="81" t="str">
        <f>IF(AND($O639=$Q$7,$B639&lt;'111'!$L$11),"x","")</f>
        <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row>
    <row r="640" spans="1:30" ht="15.75" customHeight="1">
      <c r="A640" s="327" t="str">
        <f>IF(B640&lt;&gt;"",IF(AND(B640='IN-TC'!$S$4,OR(TH!N640="1111",TH!O640="1111")),TH!D640,""),"")</f>
        <v/>
      </c>
      <c r="B640" s="62" t="str">
        <f t="shared" si="203"/>
        <v/>
      </c>
      <c r="C640" s="63"/>
      <c r="D640" s="63"/>
      <c r="E640" s="309">
        <f t="shared" si="202"/>
        <v>0</v>
      </c>
      <c r="F640" s="66"/>
      <c r="G640" s="66"/>
      <c r="H640" s="71"/>
      <c r="I640" s="405"/>
      <c r="J640" s="405"/>
      <c r="K640" s="398"/>
      <c r="L640" s="405"/>
      <c r="M640" s="64"/>
      <c r="N640" s="65"/>
      <c r="O640" s="65"/>
      <c r="P640" s="81" t="str">
        <f>IF(AND('331-CT'!$E$7=TH!H640,OR(N640="331",O640="331")),"x","")</f>
        <v/>
      </c>
      <c r="Q640" s="81" t="str">
        <f>IF(AND(B640='111'!$L$11,OR($N640=$Q$7,$O640=$Q$7)),"x","")</f>
        <v/>
      </c>
      <c r="R640" s="81" t="str">
        <f>IF(AND($N640=$Q$7,$B640&lt;'111'!$L$11),"x","")</f>
        <v/>
      </c>
      <c r="S640" s="81" t="str">
        <f>IF(AND($O640=$Q$7,$B640&lt;'111'!$L$11),"x","")</f>
        <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row>
    <row r="641" spans="1:30" ht="15.75" customHeight="1">
      <c r="A641" s="327" t="str">
        <f>IF(B641&lt;&gt;"",IF(AND(B641='IN-TC'!$S$4,OR(TH!N641="1111",TH!O641="1111")),TH!D641,""),"")</f>
        <v/>
      </c>
      <c r="B641" s="62" t="str">
        <f t="shared" si="203"/>
        <v/>
      </c>
      <c r="C641" s="63"/>
      <c r="D641" s="63"/>
      <c r="E641" s="309">
        <f t="shared" si="202"/>
        <v>0</v>
      </c>
      <c r="F641" s="66"/>
      <c r="G641" s="66"/>
      <c r="H641" s="71"/>
      <c r="I641" s="405"/>
      <c r="J641" s="405"/>
      <c r="K641" s="398"/>
      <c r="L641" s="405"/>
      <c r="M641" s="64"/>
      <c r="N641" s="65"/>
      <c r="O641" s="65"/>
      <c r="P641" s="81" t="str">
        <f>IF(AND('331-CT'!$E$7=TH!H641,OR(N641="331",O641="331")),"x","")</f>
        <v/>
      </c>
      <c r="Q641" s="81" t="str">
        <f>IF(AND(B641='111'!$L$11,OR($N641=$Q$7,$O641=$Q$7)),"x","")</f>
        <v/>
      </c>
      <c r="R641" s="81" t="str">
        <f>IF(AND($N641=$Q$7,$B641&lt;'111'!$L$11),"x","")</f>
        <v/>
      </c>
      <c r="S641" s="81" t="str">
        <f>IF(AND($O641=$Q$7,$B641&lt;'111'!$L$11),"x","")</f>
        <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row>
    <row r="642" spans="1:30" ht="15.75" customHeight="1">
      <c r="A642" s="327" t="str">
        <f>IF(B642&lt;&gt;"",IF(AND(B642='IN-TC'!$S$4,OR(TH!N642="1111",TH!O642="1111")),TH!D642,""),"")</f>
        <v/>
      </c>
      <c r="B642" s="62" t="str">
        <f t="shared" si="203"/>
        <v/>
      </c>
      <c r="C642" s="63"/>
      <c r="D642" s="63"/>
      <c r="E642" s="309">
        <f t="shared" si="202"/>
        <v>0</v>
      </c>
      <c r="F642" s="66"/>
      <c r="G642" s="66"/>
      <c r="H642" s="71"/>
      <c r="I642" s="405"/>
      <c r="J642" s="405"/>
      <c r="K642" s="398"/>
      <c r="L642" s="405"/>
      <c r="M642" s="64"/>
      <c r="N642" s="65"/>
      <c r="O642" s="65"/>
      <c r="P642" s="81" t="str">
        <f>IF(AND('331-CT'!$E$7=TH!H642,OR(N642="331",O642="331")),"x","")</f>
        <v/>
      </c>
      <c r="Q642" s="81" t="str">
        <f>IF(AND(B642='111'!$L$11,OR($N642=$Q$7,$O642=$Q$7)),"x","")</f>
        <v/>
      </c>
      <c r="R642" s="81" t="str">
        <f>IF(AND($N642=$Q$7,$B642&lt;'111'!$L$11),"x","")</f>
        <v/>
      </c>
      <c r="S642" s="81" t="str">
        <f>IF(AND($O642=$Q$7,$B642&lt;'111'!$L$11),"x","")</f>
        <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row>
    <row r="643" spans="1:30" ht="15.75" customHeight="1">
      <c r="A643" s="327" t="str">
        <f>IF(B643&lt;&gt;"",IF(AND(B643='IN-TC'!$S$4,OR(TH!N643="1111",TH!O643="1111")),TH!D643,""),"")</f>
        <v/>
      </c>
      <c r="B643" s="62" t="str">
        <f t="shared" si="203"/>
        <v/>
      </c>
      <c r="C643" s="63"/>
      <c r="D643" s="63"/>
      <c r="E643" s="309">
        <f t="shared" si="202"/>
        <v>0</v>
      </c>
      <c r="F643" s="66"/>
      <c r="G643" s="66"/>
      <c r="H643" s="71"/>
      <c r="I643" s="405"/>
      <c r="J643" s="405"/>
      <c r="K643" s="398"/>
      <c r="L643" s="405"/>
      <c r="M643" s="64"/>
      <c r="N643" s="65"/>
      <c r="O643" s="65"/>
      <c r="P643" s="81" t="str">
        <f>IF(AND('331-CT'!$E$7=TH!H643,OR(N643="331",O643="331")),"x","")</f>
        <v/>
      </c>
      <c r="Q643" s="81" t="str">
        <f>IF(AND(B643='111'!$L$11,OR($N643=$Q$7,$O643=$Q$7)),"x","")</f>
        <v/>
      </c>
      <c r="R643" s="81" t="str">
        <f>IF(AND($N643=$Q$7,$B643&lt;'111'!$L$11),"x","")</f>
        <v/>
      </c>
      <c r="S643" s="81" t="str">
        <f>IF(AND($O643=$Q$7,$B643&lt;'111'!$L$11),"x","")</f>
        <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row>
    <row r="644" spans="1:30" ht="15.75" customHeight="1">
      <c r="A644" s="327" t="str">
        <f>IF(B644&lt;&gt;"",IF(AND(B644='IN-TC'!$S$4,OR(TH!N644="1111",TH!O644="1111")),TH!D644,""),"")</f>
        <v/>
      </c>
      <c r="B644" s="62" t="str">
        <f t="shared" si="203"/>
        <v/>
      </c>
      <c r="C644" s="63"/>
      <c r="D644" s="63"/>
      <c r="E644" s="309">
        <f t="shared" si="202"/>
        <v>0</v>
      </c>
      <c r="F644" s="66"/>
      <c r="G644" s="66"/>
      <c r="H644" s="71"/>
      <c r="I644" s="405"/>
      <c r="J644" s="405"/>
      <c r="K644" s="398"/>
      <c r="L644" s="405"/>
      <c r="M644" s="64"/>
      <c r="N644" s="65"/>
      <c r="O644" s="65"/>
      <c r="P644" s="81" t="str">
        <f>IF(AND('331-CT'!$E$7=TH!H644,OR(N644="331",O644="331")),"x","")</f>
        <v/>
      </c>
      <c r="Q644" s="81" t="str">
        <f>IF(AND(B644='111'!$L$11,OR($N644=$Q$7,$O644=$Q$7)),"x","")</f>
        <v/>
      </c>
      <c r="R644" s="81" t="str">
        <f>IF(AND($N644=$Q$7,$B644&lt;'111'!$L$11),"x","")</f>
        <v/>
      </c>
      <c r="S644" s="81" t="str">
        <f>IF(AND($O644=$Q$7,$B644&lt;'111'!$L$11),"x","")</f>
        <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row>
    <row r="645" spans="1:30" ht="15.75" customHeight="1">
      <c r="A645" s="327" t="str">
        <f>IF(B645&lt;&gt;"",IF(AND(B645='IN-TC'!$S$4,OR(TH!N645="1111",TH!O645="1111")),TH!D645,""),"")</f>
        <v/>
      </c>
      <c r="B645" s="62" t="str">
        <f t="shared" si="203"/>
        <v/>
      </c>
      <c r="C645" s="63"/>
      <c r="D645" s="63"/>
      <c r="E645" s="309">
        <f t="shared" si="202"/>
        <v>0</v>
      </c>
      <c r="F645" s="66"/>
      <c r="G645" s="66"/>
      <c r="H645" s="71"/>
      <c r="I645" s="405"/>
      <c r="J645" s="405"/>
      <c r="K645" s="398"/>
      <c r="L645" s="405"/>
      <c r="M645" s="64"/>
      <c r="N645" s="65"/>
      <c r="O645" s="65"/>
      <c r="P645" s="81" t="str">
        <f>IF(AND('331-CT'!$E$7=TH!H645,OR(N645="331",O645="331")),"x","")</f>
        <v/>
      </c>
      <c r="Q645" s="81" t="str">
        <f>IF(AND(B645='111'!$L$11,OR($N645=$Q$7,$O645=$Q$7)),"x","")</f>
        <v/>
      </c>
      <c r="R645" s="81" t="str">
        <f>IF(AND($N645=$Q$7,$B645&lt;'111'!$L$11),"x","")</f>
        <v/>
      </c>
      <c r="S645" s="81" t="str">
        <f>IF(AND($O645=$Q$7,$B645&lt;'111'!$L$11),"x","")</f>
        <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row>
    <row r="646" spans="1:30" ht="15.75" customHeight="1">
      <c r="A646" s="327" t="str">
        <f>IF(B646&lt;&gt;"",IF(AND(B646='IN-TC'!$S$4,OR(TH!N646="1111",TH!O646="1111")),TH!D646,""),"")</f>
        <v/>
      </c>
      <c r="B646" s="62" t="str">
        <f t="shared" si="203"/>
        <v/>
      </c>
      <c r="C646" s="63"/>
      <c r="D646" s="63"/>
      <c r="E646" s="309">
        <f t="shared" si="202"/>
        <v>0</v>
      </c>
      <c r="F646" s="66"/>
      <c r="G646" s="66"/>
      <c r="H646" s="71"/>
      <c r="I646" s="405"/>
      <c r="J646" s="405"/>
      <c r="K646" s="398"/>
      <c r="L646" s="405"/>
      <c r="M646" s="64"/>
      <c r="N646" s="65"/>
      <c r="O646" s="65"/>
      <c r="P646" s="81" t="str">
        <f>IF(AND('331-CT'!$E$7=TH!H646,OR(N646="331",O646="331")),"x","")</f>
        <v/>
      </c>
      <c r="Q646" s="81" t="str">
        <f>IF(AND(B646='111'!$L$11,OR($N646=$Q$7,$O646=$Q$7)),"x","")</f>
        <v/>
      </c>
      <c r="R646" s="81" t="str">
        <f>IF(AND($N646=$Q$7,$B646&lt;'111'!$L$11),"x","")</f>
        <v/>
      </c>
      <c r="S646" s="81" t="str">
        <f>IF(AND($O646=$Q$7,$B646&lt;'111'!$L$11),"x","")</f>
        <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row>
    <row r="647" spans="1:30" ht="15.75" customHeight="1">
      <c r="A647" s="327" t="str">
        <f>IF(B647&lt;&gt;"",IF(AND(B647='IN-TC'!$S$4,OR(TH!N647="1111",TH!O647="1111")),TH!D647,""),"")</f>
        <v/>
      </c>
      <c r="B647" s="62" t="str">
        <f t="shared" si="203"/>
        <v/>
      </c>
      <c r="C647" s="63"/>
      <c r="D647" s="63"/>
      <c r="E647" s="309">
        <f t="shared" si="202"/>
        <v>0</v>
      </c>
      <c r="F647" s="66"/>
      <c r="G647" s="66"/>
      <c r="H647" s="71"/>
      <c r="I647" s="405"/>
      <c r="J647" s="405"/>
      <c r="K647" s="398"/>
      <c r="L647" s="405"/>
      <c r="M647" s="64"/>
      <c r="N647" s="65"/>
      <c r="O647" s="65"/>
      <c r="P647" s="81" t="str">
        <f>IF(AND('331-CT'!$E$7=TH!H647,OR(N647="331",O647="331")),"x","")</f>
        <v/>
      </c>
      <c r="Q647" s="81" t="str">
        <f>IF(AND(B647='111'!$L$11,OR($N647=$Q$7,$O647=$Q$7)),"x","")</f>
        <v/>
      </c>
      <c r="R647" s="81" t="str">
        <f>IF(AND($N647=$Q$7,$B647&lt;'111'!$L$11),"x","")</f>
        <v/>
      </c>
      <c r="S647" s="81" t="str">
        <f>IF(AND($O647=$Q$7,$B647&lt;'111'!$L$11),"x","")</f>
        <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row>
    <row r="648" spans="1:30" ht="15.75" customHeight="1">
      <c r="A648" s="327" t="str">
        <f>IF(B648&lt;&gt;"",IF(AND(B648='IN-TC'!$S$4,OR(TH!N648="1111",TH!O648="1111")),TH!D648,""),"")</f>
        <v/>
      </c>
      <c r="B648" s="62" t="str">
        <f t="shared" si="203"/>
        <v/>
      </c>
      <c r="C648" s="63"/>
      <c r="D648" s="63"/>
      <c r="E648" s="309">
        <f t="shared" si="202"/>
        <v>0</v>
      </c>
      <c r="F648" s="66"/>
      <c r="G648" s="66"/>
      <c r="H648" s="71"/>
      <c r="I648" s="405"/>
      <c r="J648" s="405"/>
      <c r="K648" s="398"/>
      <c r="L648" s="405"/>
      <c r="M648" s="64"/>
      <c r="N648" s="65"/>
      <c r="O648" s="65"/>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row>
    <row r="649" spans="1:30" ht="15.75" customHeight="1">
      <c r="A649" s="327" t="str">
        <f>IF(B649&lt;&gt;"",IF(AND(B649='IN-TC'!$S$4,OR(TH!N649="1111",TH!O649="1111")),TH!D649,""),"")</f>
        <v/>
      </c>
      <c r="B649" s="62" t="str">
        <f t="shared" si="203"/>
        <v/>
      </c>
      <c r="C649" s="63"/>
      <c r="D649" s="63"/>
      <c r="E649" s="309">
        <f t="shared" si="202"/>
        <v>0</v>
      </c>
      <c r="F649" s="66"/>
      <c r="G649" s="66"/>
      <c r="H649" s="71"/>
      <c r="I649" s="405"/>
      <c r="J649" s="405"/>
      <c r="K649" s="398"/>
      <c r="L649" s="405"/>
      <c r="M649" s="64"/>
      <c r="N649" s="65"/>
      <c r="O649" s="65"/>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row>
    <row r="650" spans="1:30" ht="15.75" customHeight="1">
      <c r="A650" s="327" t="str">
        <f>IF(B650&lt;&gt;"",IF(AND(B650='IN-TC'!$S$4,OR(TH!N650="1111",TH!O650="1111")),TH!D650,""),"")</f>
        <v/>
      </c>
      <c r="B650" s="62" t="str">
        <f t="shared" si="203"/>
        <v/>
      </c>
      <c r="C650" s="63"/>
      <c r="D650" s="63"/>
      <c r="E650" s="309">
        <f t="shared" si="202"/>
        <v>0</v>
      </c>
      <c r="F650" s="66"/>
      <c r="G650" s="66"/>
      <c r="H650" s="71"/>
      <c r="I650" s="405"/>
      <c r="J650" s="405"/>
      <c r="K650" s="398"/>
      <c r="L650" s="405"/>
      <c r="M650" s="64"/>
      <c r="N650" s="65"/>
      <c r="O650" s="65"/>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row>
    <row r="651" spans="1:30" ht="15.75" customHeight="1">
      <c r="A651" s="327" t="str">
        <f>IF(B651&lt;&gt;"",IF(AND(B651='IN-TC'!$S$4,OR(TH!N651="1111",TH!O651="1111")),TH!D651,""),"")</f>
        <v/>
      </c>
      <c r="B651" s="62" t="str">
        <f t="shared" si="203"/>
        <v/>
      </c>
      <c r="C651" s="63"/>
      <c r="D651" s="63"/>
      <c r="E651" s="309">
        <f t="shared" si="202"/>
        <v>0</v>
      </c>
      <c r="F651" s="66"/>
      <c r="G651" s="66"/>
      <c r="H651" s="71"/>
      <c r="I651" s="405"/>
      <c r="J651" s="405"/>
      <c r="K651" s="398"/>
      <c r="L651" s="405"/>
      <c r="M651" s="64"/>
      <c r="N651" s="65"/>
      <c r="O651" s="65"/>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row>
    <row r="652" spans="1:30" ht="15.75" customHeight="1">
      <c r="A652" s="327" t="str">
        <f>IF(B652&lt;&gt;"",IF(AND(B652='IN-TC'!$S$4,OR(TH!N652="1111",TH!O652="1111")),TH!D652,""),"")</f>
        <v/>
      </c>
      <c r="B652" s="62" t="str">
        <f t="shared" si="203"/>
        <v/>
      </c>
      <c r="C652" s="63"/>
      <c r="D652" s="63"/>
      <c r="E652" s="309">
        <f t="shared" si="202"/>
        <v>0</v>
      </c>
      <c r="F652" s="66"/>
      <c r="G652" s="66"/>
      <c r="H652" s="71"/>
      <c r="I652" s="405"/>
      <c r="J652" s="405"/>
      <c r="K652" s="398"/>
      <c r="L652" s="405"/>
      <c r="M652" s="64"/>
      <c r="N652" s="65"/>
      <c r="O652" s="65"/>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row>
    <row r="653" spans="1:30" ht="15.75" customHeight="1">
      <c r="A653" s="327" t="str">
        <f>IF(B653&lt;&gt;"",IF(AND(B653='IN-TC'!$S$4,OR(TH!N653="1111",TH!O653="1111")),TH!D653,""),"")</f>
        <v/>
      </c>
      <c r="B653" s="62" t="str">
        <f t="shared" si="203"/>
        <v/>
      </c>
      <c r="C653" s="63"/>
      <c r="D653" s="63"/>
      <c r="E653" s="309">
        <f t="shared" si="202"/>
        <v>0</v>
      </c>
      <c r="F653" s="66"/>
      <c r="G653" s="66"/>
      <c r="H653" s="71"/>
      <c r="I653" s="405"/>
      <c r="J653" s="405"/>
      <c r="K653" s="398"/>
      <c r="L653" s="405"/>
      <c r="M653" s="64"/>
      <c r="N653" s="65"/>
      <c r="O653" s="65"/>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row>
    <row r="654" spans="1:30" ht="15.75" customHeight="1">
      <c r="A654" s="327" t="str">
        <f>IF(B654&lt;&gt;"",IF(AND(B654='IN-TC'!$S$4,OR(TH!N654="1111",TH!O654="1111")),TH!D654,""),"")</f>
        <v/>
      </c>
      <c r="B654" s="62" t="str">
        <f t="shared" si="203"/>
        <v/>
      </c>
      <c r="C654" s="63"/>
      <c r="D654" s="63"/>
      <c r="E654" s="309">
        <f t="shared" si="202"/>
        <v>0</v>
      </c>
      <c r="F654" s="66"/>
      <c r="G654" s="66"/>
      <c r="H654" s="71"/>
      <c r="I654" s="405"/>
      <c r="J654" s="405"/>
      <c r="K654" s="398"/>
      <c r="L654" s="405"/>
      <c r="M654" s="64"/>
      <c r="N654" s="65"/>
      <c r="O654" s="65"/>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row>
    <row r="655" spans="1:30" ht="15.75" customHeight="1">
      <c r="A655" s="327" t="str">
        <f>IF(B655&lt;&gt;"",IF(AND(B655='IN-TC'!$S$4,OR(TH!N655="1111",TH!O655="1111")),TH!D655,""),"")</f>
        <v/>
      </c>
      <c r="B655" s="62" t="str">
        <f t="shared" si="203"/>
        <v/>
      </c>
      <c r="C655" s="63"/>
      <c r="D655" s="63"/>
      <c r="E655" s="309">
        <f t="shared" si="202"/>
        <v>0</v>
      </c>
      <c r="F655" s="66"/>
      <c r="G655" s="66"/>
      <c r="H655" s="71"/>
      <c r="I655" s="405"/>
      <c r="J655" s="405"/>
      <c r="K655" s="398"/>
      <c r="L655" s="405"/>
      <c r="M655" s="64"/>
      <c r="N655" s="65"/>
      <c r="O655" s="65"/>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0" ht="15.75" customHeight="1">
      <c r="A656" s="327" t="str">
        <f>IF(B656&lt;&gt;"",IF(AND(B656='IN-TC'!$S$4,OR(TH!N656="1111",TH!O656="1111")),TH!D656,""),"")</f>
        <v/>
      </c>
      <c r="B656" s="62" t="str">
        <f t="shared" si="203"/>
        <v/>
      </c>
      <c r="C656" s="63"/>
      <c r="D656" s="63"/>
      <c r="E656" s="309">
        <f t="shared" si="202"/>
        <v>0</v>
      </c>
      <c r="F656" s="66"/>
      <c r="G656" s="66"/>
      <c r="H656" s="71"/>
      <c r="I656" s="405"/>
      <c r="J656" s="405"/>
      <c r="K656" s="398"/>
      <c r="L656" s="405"/>
      <c r="M656" s="64"/>
      <c r="N656" s="65"/>
      <c r="O656" s="65"/>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1" ht="15.75" customHeight="1">
      <c r="A657" s="327" t="str">
        <f>IF(B657&lt;&gt;"",IF(AND(B657='IN-TC'!$S$4,OR(TH!N657="1111",TH!O657="1111")),TH!D657,""),"")</f>
        <v/>
      </c>
      <c r="B657" s="62" t="str">
        <f t="shared" si="203"/>
        <v/>
      </c>
      <c r="C657" s="63"/>
      <c r="D657" s="63"/>
      <c r="E657" s="309">
        <f t="shared" si="202"/>
        <v>0</v>
      </c>
      <c r="F657" s="66"/>
      <c r="G657" s="66"/>
      <c r="H657" s="71"/>
      <c r="I657" s="405"/>
      <c r="J657" s="405"/>
      <c r="K657" s="398"/>
      <c r="L657" s="405"/>
      <c r="M657" s="64"/>
      <c r="N657" s="65"/>
      <c r="O657" s="65"/>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1" ht="15.75" customHeight="1">
      <c r="A658" s="327" t="str">
        <f>IF(B658&lt;&gt;"",IF(AND(B658='IN-TC'!$S$4,OR(TH!N658="1111",TH!O658="1111")),TH!D658,""),"")</f>
        <v/>
      </c>
      <c r="B658" s="62" t="str">
        <f t="shared" si="203"/>
        <v/>
      </c>
      <c r="C658" s="63"/>
      <c r="D658" s="63"/>
      <c r="E658" s="309">
        <f t="shared" si="202"/>
        <v>0</v>
      </c>
      <c r="F658" s="66"/>
      <c r="G658" s="66"/>
      <c r="H658" s="71"/>
      <c r="I658" s="405"/>
      <c r="J658" s="405"/>
      <c r="K658" s="398"/>
      <c r="L658" s="405"/>
      <c r="M658" s="64"/>
      <c r="N658" s="65"/>
      <c r="O658" s="65"/>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1" ht="15.75" customHeight="1">
      <c r="A659" s="327" t="str">
        <f>IF(B659&lt;&gt;"",IF(AND(B659='IN-TC'!$S$4,OR(TH!N659="1111",TH!O659="1111")),TH!D659,""),"")</f>
        <v/>
      </c>
      <c r="B659" s="62" t="str">
        <f t="shared" si="203"/>
        <v/>
      </c>
      <c r="C659" s="63"/>
      <c r="D659" s="63"/>
      <c r="E659" s="309">
        <f t="shared" si="202"/>
        <v>0</v>
      </c>
      <c r="F659" s="66"/>
      <c r="G659" s="66"/>
      <c r="H659" s="71"/>
      <c r="I659" s="405"/>
      <c r="J659" s="405"/>
      <c r="K659" s="398"/>
      <c r="L659" s="405"/>
      <c r="M659" s="64"/>
      <c r="N659" s="65"/>
      <c r="O659" s="65"/>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1" ht="15.75" customHeight="1">
      <c r="A660" s="327" t="str">
        <f>IF(B660&lt;&gt;"",IF(AND(B660='IN-TC'!$S$4,OR(TH!N660="1111",TH!O660="1111")),TH!D660,""),"")</f>
        <v/>
      </c>
      <c r="B660" s="62" t="str">
        <f t="shared" si="203"/>
        <v/>
      </c>
      <c r="C660" s="63"/>
      <c r="D660" s="63"/>
      <c r="E660" s="309">
        <f t="shared" si="202"/>
        <v>0</v>
      </c>
      <c r="F660" s="66"/>
      <c r="G660" s="66"/>
      <c r="H660" s="71"/>
      <c r="I660" s="405"/>
      <c r="J660" s="405"/>
      <c r="K660" s="398"/>
      <c r="L660" s="405"/>
      <c r="M660" s="64"/>
      <c r="N660" s="65"/>
      <c r="O660" s="65"/>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1" ht="15.75" customHeight="1">
      <c r="A661" s="327" t="str">
        <f>IF(B661&lt;&gt;"",IF(AND(B661='IN-TC'!$S$4,OR(TH!N661="1111",TH!O661="1111")),TH!D661,""),"")</f>
        <v/>
      </c>
      <c r="B661" s="62" t="str">
        <f t="shared" si="203"/>
        <v/>
      </c>
      <c r="C661" s="63"/>
      <c r="D661" s="63"/>
      <c r="E661" s="309">
        <f t="shared" ref="E661:E663" si="219">C661</f>
        <v>0</v>
      </c>
      <c r="F661" s="66"/>
      <c r="G661" s="66"/>
      <c r="H661" s="71"/>
      <c r="I661" s="405"/>
      <c r="J661" s="405"/>
      <c r="K661" s="398"/>
      <c r="L661" s="405"/>
      <c r="M661" s="64"/>
      <c r="N661" s="65"/>
      <c r="O661" s="65"/>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1" ht="15.75" customHeight="1">
      <c r="A662" s="327" t="str">
        <f>IF(B662&lt;&gt;"",IF(AND(B662='IN-TC'!$S$4,OR(TH!N662="1111",TH!O662="1111")),TH!D662,""),"")</f>
        <v/>
      </c>
      <c r="B662" s="62" t="str">
        <f t="shared" ref="B662:B663" si="220">IF(C662&lt;&gt;"",MONTH(C662),"")</f>
        <v/>
      </c>
      <c r="C662" s="63"/>
      <c r="D662" s="63"/>
      <c r="E662" s="309">
        <f t="shared" si="219"/>
        <v>0</v>
      </c>
      <c r="F662" s="66"/>
      <c r="G662" s="66"/>
      <c r="H662" s="71"/>
      <c r="I662" s="405"/>
      <c r="J662" s="405"/>
      <c r="K662" s="398"/>
      <c r="L662" s="405"/>
      <c r="M662" s="64"/>
      <c r="N662" s="65"/>
      <c r="O662" s="65"/>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row>
    <row r="663" spans="1:31" ht="15.75" customHeight="1">
      <c r="A663" s="327" t="str">
        <f>IF(B663&lt;&gt;"",IF(AND(B663='IN-TC'!$S$4,OR(TH!N663="1111",TH!O663="1111")),TH!D663,""),"")</f>
        <v/>
      </c>
      <c r="B663" s="62" t="str">
        <f t="shared" si="220"/>
        <v/>
      </c>
      <c r="C663" s="63"/>
      <c r="D663" s="63"/>
      <c r="E663" s="309">
        <f t="shared" si="219"/>
        <v>0</v>
      </c>
      <c r="F663" s="66"/>
      <c r="G663" s="66"/>
      <c r="H663" s="71"/>
      <c r="I663" s="405"/>
      <c r="J663" s="405"/>
      <c r="K663" s="398"/>
      <c r="L663" s="405"/>
      <c r="M663" s="64"/>
      <c r="N663" s="65"/>
      <c r="O663" s="65"/>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row>
    <row r="664" spans="1:31" ht="15.75" customHeight="1">
      <c r="A664" s="327" t="str">
        <f>IF(B664&lt;&gt;"",IF(AND(B664='IN-TC'!$S$4,OR(TH!N664="1111",TH!O664="1111")),TH!D664,""),"")</f>
        <v/>
      </c>
      <c r="B664" s="62">
        <f t="shared" si="192"/>
        <v>2</v>
      </c>
      <c r="C664" s="63">
        <v>42768</v>
      </c>
      <c r="D664" s="63" t="s">
        <v>1022</v>
      </c>
      <c r="E664" s="309">
        <f t="shared" si="194"/>
        <v>42768</v>
      </c>
      <c r="F664" s="66" t="s">
        <v>1155</v>
      </c>
      <c r="G664" s="66" t="s">
        <v>813</v>
      </c>
      <c r="H664" s="71" t="s">
        <v>955</v>
      </c>
      <c r="I664" s="405"/>
      <c r="J664" s="405"/>
      <c r="K664" s="398"/>
      <c r="L664" s="405"/>
      <c r="M664" s="64">
        <v>1294004</v>
      </c>
      <c r="N664" s="1045" t="s">
        <v>101</v>
      </c>
      <c r="O664" s="65" t="s">
        <v>26</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c r="AE664">
        <v>2</v>
      </c>
    </row>
    <row r="665" spans="1:31" ht="15.75" customHeight="1">
      <c r="A665" s="327" t="str">
        <f>IF(B665&lt;&gt;"",IF(AND(B665='IN-TC'!$S$4,OR(TH!N665="1111",TH!O665="1111")),TH!D665,""),"")</f>
        <v/>
      </c>
      <c r="B665" s="62">
        <f t="shared" ref="B665:B668" si="221">IF(C665&lt;&gt;"",MONTH(C665),"")</f>
        <v>2</v>
      </c>
      <c r="C665" s="63">
        <v>42768</v>
      </c>
      <c r="D665" s="63" t="s">
        <v>1022</v>
      </c>
      <c r="E665" s="309">
        <f t="shared" ref="E665:E668" si="222">C665</f>
        <v>42768</v>
      </c>
      <c r="F665" s="66" t="s">
        <v>1197</v>
      </c>
      <c r="G665" s="66" t="s">
        <v>813</v>
      </c>
      <c r="H665" s="71" t="s">
        <v>955</v>
      </c>
      <c r="I665" s="405"/>
      <c r="J665" s="405"/>
      <c r="K665" s="398"/>
      <c r="L665" s="405"/>
      <c r="M665" s="64">
        <v>129400</v>
      </c>
      <c r="N665" s="1045" t="s">
        <v>9</v>
      </c>
      <c r="O665" s="65" t="s">
        <v>26</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c r="AE665">
        <v>2</v>
      </c>
    </row>
    <row r="666" spans="1:31" ht="15.75" customHeight="1">
      <c r="A666" s="327" t="str">
        <f>IF(B666&lt;&gt;"",IF(AND(B666='IN-TC'!$S$4,OR(TH!N666="1111",TH!O666="1111")),TH!D666,""),"")</f>
        <v/>
      </c>
      <c r="B666" s="62">
        <f t="shared" si="221"/>
        <v>2</v>
      </c>
      <c r="C666" s="63">
        <v>42768</v>
      </c>
      <c r="D666" s="63" t="s">
        <v>1022</v>
      </c>
      <c r="E666" s="309">
        <f t="shared" si="222"/>
        <v>42768</v>
      </c>
      <c r="F666" s="66" t="s">
        <v>1156</v>
      </c>
      <c r="G666" s="66" t="s">
        <v>813</v>
      </c>
      <c r="H666" s="71" t="s">
        <v>955</v>
      </c>
      <c r="I666" s="405"/>
      <c r="J666" s="405"/>
      <c r="K666" s="398"/>
      <c r="L666" s="405"/>
      <c r="M666" s="64">
        <v>3051382</v>
      </c>
      <c r="N666" s="1045" t="s">
        <v>101</v>
      </c>
      <c r="O666" s="65" t="s">
        <v>26</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c r="AE666">
        <v>2</v>
      </c>
    </row>
    <row r="667" spans="1:31" ht="15.75" customHeight="1">
      <c r="A667" s="327" t="str">
        <f>IF(B667&lt;&gt;"",IF(AND(B667='IN-TC'!$S$4,OR(TH!N667="1111",TH!O667="1111")),TH!D667,""),"")</f>
        <v/>
      </c>
      <c r="B667" s="62">
        <f t="shared" si="221"/>
        <v>2</v>
      </c>
      <c r="C667" s="63">
        <v>42768</v>
      </c>
      <c r="D667" s="63" t="s">
        <v>1022</v>
      </c>
      <c r="E667" s="309">
        <f t="shared" si="222"/>
        <v>42768</v>
      </c>
      <c r="F667" s="66" t="s">
        <v>1196</v>
      </c>
      <c r="G667" s="66" t="s">
        <v>813</v>
      </c>
      <c r="H667" s="71" t="s">
        <v>955</v>
      </c>
      <c r="I667" s="405"/>
      <c r="J667" s="405"/>
      <c r="K667" s="398"/>
      <c r="L667" s="405"/>
      <c r="M667" s="64">
        <v>305138</v>
      </c>
      <c r="N667" s="1045" t="s">
        <v>9</v>
      </c>
      <c r="O667" s="65" t="s">
        <v>26</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c r="AE667">
        <v>2</v>
      </c>
    </row>
    <row r="668" spans="1:31" ht="15.75" customHeight="1">
      <c r="A668" s="327" t="str">
        <f>IF(B668&lt;&gt;"",IF(AND(B668='IN-TC'!$S$4,OR(TH!N668="1111",TH!O668="1111")),TH!D668,""),"")</f>
        <v/>
      </c>
      <c r="B668" s="62">
        <f t="shared" si="221"/>
        <v>2</v>
      </c>
      <c r="C668" s="63">
        <v>42768</v>
      </c>
      <c r="D668" s="63" t="s">
        <v>1022</v>
      </c>
      <c r="E668" s="309">
        <f t="shared" si="222"/>
        <v>42768</v>
      </c>
      <c r="F668" s="66" t="s">
        <v>1157</v>
      </c>
      <c r="G668" s="66" t="s">
        <v>813</v>
      </c>
      <c r="H668" s="71" t="s">
        <v>955</v>
      </c>
      <c r="I668" s="405"/>
      <c r="J668" s="405"/>
      <c r="K668" s="398"/>
      <c r="L668" s="405"/>
      <c r="M668" s="64">
        <v>1249344</v>
      </c>
      <c r="N668" s="1045" t="s">
        <v>101</v>
      </c>
      <c r="O668" s="65" t="s">
        <v>26</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c r="AE668">
        <v>2</v>
      </c>
    </row>
    <row r="669" spans="1:31" ht="15.75" customHeight="1">
      <c r="A669" s="327" t="str">
        <f>IF(B669&lt;&gt;"",IF(AND(B669='IN-TC'!$S$4,OR(TH!N669="1111",TH!O669="1111")),TH!D669,""),"")</f>
        <v/>
      </c>
      <c r="B669" s="62">
        <f t="shared" ref="B669" si="223">IF(C669&lt;&gt;"",MONTH(C669),"")</f>
        <v>2</v>
      </c>
      <c r="C669" s="63">
        <v>42768</v>
      </c>
      <c r="D669" s="63" t="s">
        <v>1022</v>
      </c>
      <c r="E669" s="309">
        <f t="shared" ref="E669" si="224">C669</f>
        <v>42768</v>
      </c>
      <c r="F669" s="66" t="s">
        <v>1195</v>
      </c>
      <c r="G669" s="66" t="s">
        <v>813</v>
      </c>
      <c r="H669" s="71" t="s">
        <v>955</v>
      </c>
      <c r="I669" s="405"/>
      <c r="J669" s="405"/>
      <c r="K669" s="398"/>
      <c r="L669" s="405"/>
      <c r="M669" s="64">
        <v>124934</v>
      </c>
      <c r="N669" s="1045" t="s">
        <v>9</v>
      </c>
      <c r="O669" s="65" t="s">
        <v>26</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c r="AE669">
        <v>2</v>
      </c>
    </row>
    <row r="670" spans="1:31" ht="15.75" customHeight="1">
      <c r="A670" s="327" t="str">
        <f>IF(B670&lt;&gt;"",IF(AND(B670='IN-TC'!$S$4,OR(TH!N670="1111",TH!O670="1111")),TH!D670,""),"")</f>
        <v/>
      </c>
      <c r="B670" s="62">
        <f t="shared" ref="B670" si="225">IF(C670&lt;&gt;"",MONTH(C670),"")</f>
        <v>2</v>
      </c>
      <c r="C670" s="63">
        <v>42773</v>
      </c>
      <c r="D670" s="63" t="s">
        <v>1022</v>
      </c>
      <c r="E670" s="309">
        <f t="shared" ref="E670" si="226">C670</f>
        <v>42773</v>
      </c>
      <c r="F670" s="66" t="s">
        <v>1158</v>
      </c>
      <c r="G670" s="66" t="s">
        <v>813</v>
      </c>
      <c r="H670" s="71" t="s">
        <v>955</v>
      </c>
      <c r="I670" s="405"/>
      <c r="J670" s="405"/>
      <c r="K670" s="398"/>
      <c r="L670" s="405"/>
      <c r="M670" s="64">
        <v>80000</v>
      </c>
      <c r="N670" s="1045" t="s">
        <v>582</v>
      </c>
      <c r="O670" s="65" t="s">
        <v>26</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1" ht="15.75" customHeight="1">
      <c r="A671" s="327" t="str">
        <f>IF(B671&lt;&gt;"",IF(AND(B671='IN-TC'!$S$4,OR(TH!N671="1111",TH!O671="1111")),TH!D671,""),"")</f>
        <v/>
      </c>
      <c r="B671" s="62">
        <f t="shared" ref="B671" si="227">IF(C671&lt;&gt;"",MONTH(C671),"")</f>
        <v>2</v>
      </c>
      <c r="C671" s="63">
        <v>42773</v>
      </c>
      <c r="D671" s="63" t="s">
        <v>1022</v>
      </c>
      <c r="E671" s="309">
        <f t="shared" ref="E671" si="228">C671</f>
        <v>42773</v>
      </c>
      <c r="F671" s="66" t="s">
        <v>990</v>
      </c>
      <c r="G671" s="66" t="s">
        <v>813</v>
      </c>
      <c r="H671" s="71" t="s">
        <v>955</v>
      </c>
      <c r="I671" s="405"/>
      <c r="J671" s="405"/>
      <c r="K671" s="398"/>
      <c r="L671" s="405"/>
      <c r="M671" s="64">
        <v>10000</v>
      </c>
      <c r="N671" s="1045" t="s">
        <v>101</v>
      </c>
      <c r="O671" s="65" t="s">
        <v>26</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c r="AE671">
        <v>2</v>
      </c>
    </row>
    <row r="672" spans="1:31" ht="15.75" customHeight="1">
      <c r="A672" s="327" t="str">
        <f>IF(B672&lt;&gt;"",IF(AND(B672='IN-TC'!$S$4,OR(TH!N672="1111",TH!O672="1111")),TH!D672,""),"")</f>
        <v/>
      </c>
      <c r="B672" s="62">
        <f t="shared" si="192"/>
        <v>2</v>
      </c>
      <c r="C672" s="63">
        <v>42773</v>
      </c>
      <c r="D672" s="63" t="s">
        <v>1022</v>
      </c>
      <c r="E672" s="309">
        <f t="shared" ref="E672:E674" si="229">C672</f>
        <v>42773</v>
      </c>
      <c r="F672" s="66" t="s">
        <v>1018</v>
      </c>
      <c r="G672" s="66" t="s">
        <v>813</v>
      </c>
      <c r="H672" s="71" t="s">
        <v>955</v>
      </c>
      <c r="I672" s="405"/>
      <c r="J672" s="405"/>
      <c r="K672" s="398"/>
      <c r="L672" s="405"/>
      <c r="M672" s="64">
        <v>1000</v>
      </c>
      <c r="N672" s="1045" t="s">
        <v>9</v>
      </c>
      <c r="O672" s="65" t="s">
        <v>26</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c r="AE672">
        <v>2</v>
      </c>
    </row>
    <row r="673" spans="1:31" ht="15.75" customHeight="1">
      <c r="A673" s="327" t="str">
        <f>IF(B673&lt;&gt;"",IF(AND(B673='IN-TC'!$S$4,OR(TH!N673="1111",TH!O673="1111")),TH!D673,""),"")</f>
        <v/>
      </c>
      <c r="B673" s="62">
        <f t="shared" si="192"/>
        <v>2</v>
      </c>
      <c r="C673" s="63">
        <v>42773</v>
      </c>
      <c r="D673" s="63" t="s">
        <v>1022</v>
      </c>
      <c r="E673" s="309">
        <f t="shared" si="229"/>
        <v>42773</v>
      </c>
      <c r="F673" s="66" t="s">
        <v>1158</v>
      </c>
      <c r="G673" s="66" t="s">
        <v>813</v>
      </c>
      <c r="H673" s="71" t="s">
        <v>955</v>
      </c>
      <c r="I673" s="405"/>
      <c r="J673" s="405"/>
      <c r="K673" s="398"/>
      <c r="L673" s="405"/>
      <c r="M673" s="64">
        <v>40000</v>
      </c>
      <c r="N673" s="1045" t="s">
        <v>582</v>
      </c>
      <c r="O673" s="65" t="s">
        <v>26</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row>
    <row r="674" spans="1:31" ht="15.75" customHeight="1">
      <c r="A674" s="327" t="str">
        <f>IF(B674&lt;&gt;"",IF(AND(B674='IN-TC'!$S$4,OR(TH!N674="1111",TH!O674="1111")),TH!D674,""),"")</f>
        <v/>
      </c>
      <c r="B674" s="62">
        <f t="shared" si="192"/>
        <v>2</v>
      </c>
      <c r="C674" s="63">
        <v>42773</v>
      </c>
      <c r="D674" s="63" t="s">
        <v>1022</v>
      </c>
      <c r="E674" s="309">
        <f t="shared" si="229"/>
        <v>42773</v>
      </c>
      <c r="F674" s="66" t="s">
        <v>990</v>
      </c>
      <c r="G674" s="66" t="s">
        <v>813</v>
      </c>
      <c r="H674" s="71" t="s">
        <v>955</v>
      </c>
      <c r="I674" s="405"/>
      <c r="J674" s="405"/>
      <c r="K674" s="398"/>
      <c r="L674" s="405"/>
      <c r="M674" s="64">
        <v>10000</v>
      </c>
      <c r="N674" s="1045" t="s">
        <v>101</v>
      </c>
      <c r="O674" s="65" t="s">
        <v>26</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c r="AE674">
        <v>2</v>
      </c>
    </row>
    <row r="675" spans="1:31" ht="15.75" customHeight="1">
      <c r="A675" s="327" t="str">
        <f>IF(B675&lt;&gt;"",IF(AND(B675='IN-TC'!$S$4,OR(TH!N675="1111",TH!O675="1111")),TH!D675,""),"")</f>
        <v/>
      </c>
      <c r="B675" s="62">
        <f t="shared" ref="B675:B681" si="230">IF(C675&lt;&gt;"",MONTH(C675),"")</f>
        <v>2</v>
      </c>
      <c r="C675" s="63">
        <v>42773</v>
      </c>
      <c r="D675" s="63" t="s">
        <v>1022</v>
      </c>
      <c r="E675" s="309">
        <f t="shared" ref="E675:E686" si="231">C675</f>
        <v>42773</v>
      </c>
      <c r="F675" s="66" t="s">
        <v>1018</v>
      </c>
      <c r="G675" s="66" t="s">
        <v>813</v>
      </c>
      <c r="H675" s="71" t="s">
        <v>955</v>
      </c>
      <c r="I675" s="405"/>
      <c r="J675" s="405"/>
      <c r="K675" s="398"/>
      <c r="L675" s="405"/>
      <c r="M675" s="64">
        <v>1000</v>
      </c>
      <c r="N675" s="1045" t="s">
        <v>9</v>
      </c>
      <c r="O675" s="65" t="s">
        <v>26</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c r="AE675">
        <v>2</v>
      </c>
    </row>
    <row r="676" spans="1:31" ht="15.75" customHeight="1">
      <c r="A676" s="327" t="str">
        <f>IF(B676&lt;&gt;"",IF(AND(B676='IN-TC'!$S$4,OR(TH!N676="1111",TH!O676="1111")),TH!D676,""),"")</f>
        <v/>
      </c>
      <c r="B676" s="62">
        <f t="shared" si="230"/>
        <v>2</v>
      </c>
      <c r="C676" s="63">
        <v>42773</v>
      </c>
      <c r="D676" s="63" t="s">
        <v>1022</v>
      </c>
      <c r="E676" s="309">
        <f t="shared" si="231"/>
        <v>42773</v>
      </c>
      <c r="F676" s="66" t="s">
        <v>1158</v>
      </c>
      <c r="G676" s="66" t="s">
        <v>813</v>
      </c>
      <c r="H676" s="71" t="s">
        <v>955</v>
      </c>
      <c r="I676" s="405"/>
      <c r="J676" s="405"/>
      <c r="K676" s="398"/>
      <c r="L676" s="405"/>
      <c r="M676" s="64">
        <v>820000</v>
      </c>
      <c r="N676" s="1045" t="s">
        <v>582</v>
      </c>
      <c r="O676" s="65" t="s">
        <v>26</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row>
    <row r="677" spans="1:31" ht="15.75" customHeight="1">
      <c r="A677" s="327" t="str">
        <f>IF(B677&lt;&gt;"",IF(AND(B677='IN-TC'!$S$4,OR(TH!N677="1111",TH!O677="1111")),TH!D677,""),"")</f>
        <v/>
      </c>
      <c r="B677" s="62">
        <f t="shared" si="230"/>
        <v>2</v>
      </c>
      <c r="C677" s="63">
        <v>42773</v>
      </c>
      <c r="D677" s="63" t="s">
        <v>1022</v>
      </c>
      <c r="E677" s="309">
        <f t="shared" si="231"/>
        <v>42773</v>
      </c>
      <c r="F677" s="66" t="s">
        <v>990</v>
      </c>
      <c r="G677" s="66" t="s">
        <v>813</v>
      </c>
      <c r="H677" s="71" t="s">
        <v>955</v>
      </c>
      <c r="I677" s="405"/>
      <c r="J677" s="405"/>
      <c r="K677" s="398"/>
      <c r="L677" s="405"/>
      <c r="M677" s="64">
        <v>10000</v>
      </c>
      <c r="N677" s="1045" t="s">
        <v>101</v>
      </c>
      <c r="O677" s="65" t="s">
        <v>26</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c r="AE677">
        <v>2</v>
      </c>
    </row>
    <row r="678" spans="1:31" ht="15.75" customHeight="1">
      <c r="A678" s="327" t="str">
        <f>IF(B678&lt;&gt;"",IF(AND(B678='IN-TC'!$S$4,OR(TH!N678="1111",TH!O678="1111")),TH!D678,""),"")</f>
        <v/>
      </c>
      <c r="B678" s="62">
        <f t="shared" si="230"/>
        <v>2</v>
      </c>
      <c r="C678" s="63">
        <v>42773</v>
      </c>
      <c r="D678" s="63" t="s">
        <v>1022</v>
      </c>
      <c r="E678" s="309">
        <f t="shared" si="231"/>
        <v>42773</v>
      </c>
      <c r="F678" s="66" t="s">
        <v>1018</v>
      </c>
      <c r="G678" s="66" t="s">
        <v>813</v>
      </c>
      <c r="H678" s="71" t="s">
        <v>955</v>
      </c>
      <c r="I678" s="405"/>
      <c r="J678" s="405"/>
      <c r="K678" s="398"/>
      <c r="L678" s="405"/>
      <c r="M678" s="64">
        <v>1000</v>
      </c>
      <c r="N678" s="1045" t="s">
        <v>9</v>
      </c>
      <c r="O678" s="65" t="s">
        <v>26</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c r="AE678">
        <v>2</v>
      </c>
    </row>
    <row r="679" spans="1:31" ht="15.75" customHeight="1">
      <c r="A679" s="327" t="str">
        <f>IF(B679&lt;&gt;"",IF(AND(B679='IN-TC'!$S$4,OR(TH!N679="1111",TH!O679="1111")),TH!D679,""),"")</f>
        <v/>
      </c>
      <c r="B679" s="62">
        <f t="shared" si="230"/>
        <v>2</v>
      </c>
      <c r="C679" s="63">
        <v>42773</v>
      </c>
      <c r="D679" s="63" t="s">
        <v>1022</v>
      </c>
      <c r="E679" s="309">
        <f t="shared" si="231"/>
        <v>42773</v>
      </c>
      <c r="F679" s="66" t="s">
        <v>1158</v>
      </c>
      <c r="G679" s="66" t="s">
        <v>813</v>
      </c>
      <c r="H679" s="71" t="s">
        <v>955</v>
      </c>
      <c r="I679" s="405"/>
      <c r="J679" s="405"/>
      <c r="K679" s="398"/>
      <c r="L679" s="405"/>
      <c r="M679" s="64">
        <v>20000</v>
      </c>
      <c r="N679" s="1045" t="s">
        <v>582</v>
      </c>
      <c r="O679" s="65" t="s">
        <v>26</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row>
    <row r="680" spans="1:31" ht="15.75" customHeight="1">
      <c r="A680" s="327" t="str">
        <f>IF(B680&lt;&gt;"",IF(AND(B680='IN-TC'!$S$4,OR(TH!N680="1111",TH!O680="1111")),TH!D680,""),"")</f>
        <v/>
      </c>
      <c r="B680" s="62">
        <f t="shared" si="230"/>
        <v>2</v>
      </c>
      <c r="C680" s="63">
        <v>42773</v>
      </c>
      <c r="D680" s="63" t="s">
        <v>1022</v>
      </c>
      <c r="E680" s="309">
        <f t="shared" si="231"/>
        <v>42773</v>
      </c>
      <c r="F680" s="66" t="s">
        <v>990</v>
      </c>
      <c r="G680" s="66" t="s">
        <v>813</v>
      </c>
      <c r="H680" s="71" t="s">
        <v>955</v>
      </c>
      <c r="I680" s="405"/>
      <c r="J680" s="405"/>
      <c r="K680" s="398"/>
      <c r="L680" s="405"/>
      <c r="M680" s="64">
        <v>10000</v>
      </c>
      <c r="N680" s="1045" t="s">
        <v>101</v>
      </c>
      <c r="O680" s="65" t="s">
        <v>26</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c r="AE680">
        <v>2</v>
      </c>
    </row>
    <row r="681" spans="1:31" ht="15.75" customHeight="1">
      <c r="A681" s="327" t="str">
        <f>IF(B681&lt;&gt;"",IF(AND(B681='IN-TC'!$S$4,OR(TH!N681="1111",TH!O681="1111")),TH!D681,""),"")</f>
        <v/>
      </c>
      <c r="B681" s="62">
        <f t="shared" si="230"/>
        <v>2</v>
      </c>
      <c r="C681" s="63">
        <v>42773</v>
      </c>
      <c r="D681" s="63" t="s">
        <v>1022</v>
      </c>
      <c r="E681" s="309">
        <f t="shared" si="231"/>
        <v>42773</v>
      </c>
      <c r="F681" s="66" t="s">
        <v>1018</v>
      </c>
      <c r="G681" s="66" t="s">
        <v>813</v>
      </c>
      <c r="H681" s="71" t="s">
        <v>955</v>
      </c>
      <c r="I681" s="405"/>
      <c r="J681" s="405"/>
      <c r="K681" s="398"/>
      <c r="L681" s="405"/>
      <c r="M681" s="64">
        <v>1000</v>
      </c>
      <c r="N681" s="1045" t="s">
        <v>9</v>
      </c>
      <c r="O681" s="65" t="s">
        <v>26</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c r="AE681">
        <v>2</v>
      </c>
    </row>
    <row r="682" spans="1:31" ht="15.75" customHeight="1">
      <c r="A682" s="327" t="str">
        <f>IF(B682&lt;&gt;"",IF(AND(B682='IN-TC'!$S$4,OR(TH!N682="1111",TH!O682="1111")),TH!D682,""),"")</f>
        <v/>
      </c>
      <c r="B682" s="62">
        <f t="shared" si="192"/>
        <v>2</v>
      </c>
      <c r="C682" s="63">
        <v>42774</v>
      </c>
      <c r="D682" s="63" t="s">
        <v>1022</v>
      </c>
      <c r="E682" s="63">
        <f t="shared" si="231"/>
        <v>42774</v>
      </c>
      <c r="F682" s="66" t="s">
        <v>1159</v>
      </c>
      <c r="G682" s="66" t="s">
        <v>813</v>
      </c>
      <c r="H682" s="71" t="s">
        <v>955</v>
      </c>
      <c r="I682" s="405"/>
      <c r="J682" s="405"/>
      <c r="K682" s="398"/>
      <c r="L682" s="405"/>
      <c r="M682" s="64">
        <v>1861474</v>
      </c>
      <c r="N682" s="1045" t="s">
        <v>101</v>
      </c>
      <c r="O682" s="65" t="s">
        <v>26</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1" ht="15.75" customHeight="1">
      <c r="A683" s="327" t="str">
        <f>IF(B683&lt;&gt;"",IF(AND(B683='IN-TC'!$S$4,OR(TH!N683="1111",TH!O683="1111")),TH!D683,""),"")</f>
        <v/>
      </c>
      <c r="B683" s="62">
        <f t="shared" si="192"/>
        <v>2</v>
      </c>
      <c r="C683" s="63">
        <v>42774</v>
      </c>
      <c r="D683" s="63" t="s">
        <v>1022</v>
      </c>
      <c r="E683" s="309">
        <f t="shared" si="231"/>
        <v>42774</v>
      </c>
      <c r="F683" s="66" t="s">
        <v>1160</v>
      </c>
      <c r="G683" s="66" t="s">
        <v>813</v>
      </c>
      <c r="H683" s="71" t="s">
        <v>955</v>
      </c>
      <c r="I683" s="405"/>
      <c r="J683" s="405"/>
      <c r="K683" s="398"/>
      <c r="L683" s="405"/>
      <c r="M683" s="64">
        <v>2074780</v>
      </c>
      <c r="N683" s="1045" t="s">
        <v>101</v>
      </c>
      <c r="O683" s="65" t="s">
        <v>26</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c r="AE683">
        <v>2</v>
      </c>
    </row>
    <row r="684" spans="1:31" ht="15.75" customHeight="1">
      <c r="A684" s="327" t="str">
        <f>IF(B684&lt;&gt;"",IF(AND(B684='IN-TC'!$S$4,OR(TH!N684="1111",TH!O684="1111")),TH!D684,""),"")</f>
        <v/>
      </c>
      <c r="B684" s="62">
        <f t="shared" si="192"/>
        <v>2</v>
      </c>
      <c r="C684" s="63">
        <v>42774</v>
      </c>
      <c r="D684" s="63" t="s">
        <v>1022</v>
      </c>
      <c r="E684" s="309">
        <f t="shared" si="231"/>
        <v>42774</v>
      </c>
      <c r="F684" s="66" t="s">
        <v>1198</v>
      </c>
      <c r="G684" s="66" t="s">
        <v>813</v>
      </c>
      <c r="H684" s="71" t="s">
        <v>955</v>
      </c>
      <c r="I684" s="405"/>
      <c r="J684" s="405"/>
      <c r="K684" s="398"/>
      <c r="L684" s="405"/>
      <c r="M684" s="64">
        <v>207478</v>
      </c>
      <c r="N684" s="1045" t="s">
        <v>9</v>
      </c>
      <c r="O684" s="65" t="s">
        <v>26</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c r="AE684">
        <v>2</v>
      </c>
    </row>
    <row r="685" spans="1:31" ht="15.75" customHeight="1">
      <c r="A685" s="327" t="str">
        <f>IF(B685&lt;&gt;"",IF(AND(B685='IN-TC'!$S$4,OR(TH!N685="1111",TH!O685="1111")),TH!D685,""),"")</f>
        <v/>
      </c>
      <c r="B685" s="62">
        <f t="shared" si="192"/>
        <v>2</v>
      </c>
      <c r="C685" s="63">
        <v>42774</v>
      </c>
      <c r="D685" s="63" t="s">
        <v>1023</v>
      </c>
      <c r="E685" s="63">
        <f t="shared" si="231"/>
        <v>42774</v>
      </c>
      <c r="F685" s="66" t="s">
        <v>1027</v>
      </c>
      <c r="G685" s="66" t="s">
        <v>813</v>
      </c>
      <c r="H685" s="71" t="s">
        <v>955</v>
      </c>
      <c r="I685" s="405"/>
      <c r="J685" s="405"/>
      <c r="K685" s="398">
        <v>48500</v>
      </c>
      <c r="L685" s="405">
        <v>22661</v>
      </c>
      <c r="M685" s="1044">
        <f>ROUND(L685*K685,0)</f>
        <v>1099058500</v>
      </c>
      <c r="N685" s="65" t="s">
        <v>26</v>
      </c>
      <c r="O685" s="65" t="s">
        <v>264</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1" s="1205" customFormat="1" ht="15.75" customHeight="1">
      <c r="A686" s="327" t="str">
        <f>IF(B686&lt;&gt;"",IF(AND(B686='IN-TC'!$S$4,OR(TH!N686="1111",TH!O686="1111")),TH!D686,""),"")</f>
        <v/>
      </c>
      <c r="B686" s="62">
        <f t="shared" si="192"/>
        <v>2</v>
      </c>
      <c r="C686" s="63">
        <v>42774</v>
      </c>
      <c r="D686" s="63" t="s">
        <v>1023</v>
      </c>
      <c r="E686" s="63">
        <f t="shared" si="231"/>
        <v>42774</v>
      </c>
      <c r="F686" s="66" t="s">
        <v>1024</v>
      </c>
      <c r="G686" s="66" t="s">
        <v>813</v>
      </c>
      <c r="H686" s="71" t="s">
        <v>1222</v>
      </c>
      <c r="I686" s="405"/>
      <c r="J686" s="405"/>
      <c r="K686" s="398">
        <v>63000</v>
      </c>
      <c r="L686" s="405">
        <v>22661</v>
      </c>
      <c r="M686" s="1044">
        <f>ROUND(L686*K686,0)</f>
        <v>1427643000</v>
      </c>
      <c r="N686" s="65" t="s">
        <v>26</v>
      </c>
      <c r="O686" s="65" t="s">
        <v>258</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row>
    <row r="687" spans="1:31" ht="15.75" customHeight="1">
      <c r="A687" s="327" t="str">
        <f>IF(B687&lt;&gt;"",IF(AND(B687='IN-TC'!$S$4,OR(TH!N687="1111",TH!O687="1111")),TH!D687,""),"")</f>
        <v/>
      </c>
      <c r="B687" s="62">
        <f t="shared" ref="B687:B688" si="232">IF(C687&lt;&gt;"",MONTH(C687),"")</f>
        <v>2</v>
      </c>
      <c r="C687" s="63">
        <v>42779</v>
      </c>
      <c r="D687" s="63" t="s">
        <v>1022</v>
      </c>
      <c r="E687" s="63">
        <f t="shared" ref="E687:E688" si="233">C687</f>
        <v>42779</v>
      </c>
      <c r="F687" s="66" t="s">
        <v>1162</v>
      </c>
      <c r="G687" s="66" t="s">
        <v>813</v>
      </c>
      <c r="H687" s="71" t="s">
        <v>955</v>
      </c>
      <c r="I687" s="405"/>
      <c r="J687" s="405"/>
      <c r="K687" s="398"/>
      <c r="L687" s="405"/>
      <c r="M687" s="64">
        <v>2499200</v>
      </c>
      <c r="N687" s="1045" t="s">
        <v>101</v>
      </c>
      <c r="O687" s="65" t="s">
        <v>26</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row>
    <row r="688" spans="1:31" ht="15.75" customHeight="1">
      <c r="A688" s="327" t="str">
        <f>IF(B688&lt;&gt;"",IF(AND(B688='IN-TC'!$S$4,OR(TH!N688="1111",TH!O688="1111")),TH!D688,""),"")</f>
        <v/>
      </c>
      <c r="B688" s="62">
        <f t="shared" si="232"/>
        <v>2</v>
      </c>
      <c r="C688" s="63">
        <v>42779</v>
      </c>
      <c r="D688" s="63" t="s">
        <v>1023</v>
      </c>
      <c r="E688" s="63">
        <f t="shared" si="233"/>
        <v>42779</v>
      </c>
      <c r="F688" s="66" t="s">
        <v>1027</v>
      </c>
      <c r="G688" s="66" t="s">
        <v>813</v>
      </c>
      <c r="H688" s="71" t="s">
        <v>955</v>
      </c>
      <c r="I688" s="405"/>
      <c r="J688" s="405"/>
      <c r="K688" s="398">
        <v>277600</v>
      </c>
      <c r="L688" s="405">
        <v>22672</v>
      </c>
      <c r="M688" s="1044">
        <f>ROUND(L688*K688,0)</f>
        <v>6293747200</v>
      </c>
      <c r="N688" s="65" t="s">
        <v>26</v>
      </c>
      <c r="O688" s="65" t="s">
        <v>264</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1" ht="15.75" customHeight="1">
      <c r="A689" s="327" t="str">
        <f>IF(B689&lt;&gt;"",IF(AND(B689='IN-TC'!$S$4,OR(TH!N689="1111",TH!O689="1111")),TH!D689,""),"")</f>
        <v/>
      </c>
      <c r="B689" s="62">
        <f t="shared" si="192"/>
        <v>2</v>
      </c>
      <c r="C689" s="63">
        <v>42779</v>
      </c>
      <c r="D689" s="63" t="s">
        <v>1022</v>
      </c>
      <c r="E689" s="63">
        <f>C689</f>
        <v>42779</v>
      </c>
      <c r="F689" s="66" t="s">
        <v>1017</v>
      </c>
      <c r="G689" s="66" t="s">
        <v>813</v>
      </c>
      <c r="H689" s="71" t="s">
        <v>681</v>
      </c>
      <c r="I689" s="405"/>
      <c r="J689" s="405"/>
      <c r="K689" s="398"/>
      <c r="L689" s="405"/>
      <c r="M689" s="64">
        <v>6280000000</v>
      </c>
      <c r="N689" s="1045" t="s">
        <v>8</v>
      </c>
      <c r="O689" s="65" t="s">
        <v>26</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row>
    <row r="690" spans="1:31" ht="15.75" customHeight="1">
      <c r="A690" s="327" t="str">
        <f>IF(B690&lt;&gt;"",IF(AND(B690='IN-TC'!$S$4,OR(TH!N690="1111",TH!O690="1111")),TH!D690,""),"")</f>
        <v/>
      </c>
      <c r="B690" s="62">
        <f t="shared" ref="B690:B693" si="234">IF(C690&lt;&gt;"",MONTH(C690),"")</f>
        <v>2</v>
      </c>
      <c r="C690" s="63">
        <v>42779</v>
      </c>
      <c r="D690" s="63" t="s">
        <v>1022</v>
      </c>
      <c r="E690" s="309">
        <f t="shared" ref="E690:E696" si="235">C690</f>
        <v>42779</v>
      </c>
      <c r="F690" s="66" t="s">
        <v>990</v>
      </c>
      <c r="G690" s="66" t="s">
        <v>813</v>
      </c>
      <c r="H690" s="71" t="s">
        <v>955</v>
      </c>
      <c r="I690" s="405"/>
      <c r="J690" s="405"/>
      <c r="K690" s="398"/>
      <c r="L690" s="405"/>
      <c r="M690" s="64">
        <v>1000000</v>
      </c>
      <c r="N690" s="1045" t="s">
        <v>101</v>
      </c>
      <c r="O690" s="65" t="s">
        <v>26</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c r="AE690">
        <v>2</v>
      </c>
    </row>
    <row r="691" spans="1:31" ht="15.75" customHeight="1">
      <c r="A691" s="327" t="str">
        <f>IF(B691&lt;&gt;"",IF(AND(B691='IN-TC'!$S$4,OR(TH!N691="1111",TH!O691="1111")),TH!D691,""),"")</f>
        <v/>
      </c>
      <c r="B691" s="62">
        <f t="shared" si="234"/>
        <v>2</v>
      </c>
      <c r="C691" s="63">
        <v>42779</v>
      </c>
      <c r="D691" s="63" t="s">
        <v>1022</v>
      </c>
      <c r="E691" s="309">
        <f t="shared" si="235"/>
        <v>42779</v>
      </c>
      <c r="F691" s="66" t="s">
        <v>1018</v>
      </c>
      <c r="G691" s="66" t="s">
        <v>813</v>
      </c>
      <c r="H691" s="71" t="s">
        <v>955</v>
      </c>
      <c r="I691" s="405"/>
      <c r="J691" s="405"/>
      <c r="K691" s="398"/>
      <c r="L691" s="405"/>
      <c r="M691" s="64">
        <v>100000</v>
      </c>
      <c r="N691" s="1045" t="s">
        <v>9</v>
      </c>
      <c r="O691" s="65" t="s">
        <v>26</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c r="AE691">
        <v>2</v>
      </c>
    </row>
    <row r="692" spans="1:31" ht="15.75" customHeight="1">
      <c r="A692" s="327" t="str">
        <f>IF(B692&lt;&gt;"",IF(AND(B692='IN-TC'!$S$4,OR(TH!N692="1111",TH!O692="1111")),TH!D692,""),"")</f>
        <v/>
      </c>
      <c r="B692" s="62">
        <f t="shared" si="234"/>
        <v>2</v>
      </c>
      <c r="C692" s="63">
        <v>42782</v>
      </c>
      <c r="D692" s="63" t="s">
        <v>1022</v>
      </c>
      <c r="E692" s="63">
        <f t="shared" si="235"/>
        <v>42782</v>
      </c>
      <c r="F692" s="66" t="s">
        <v>1163</v>
      </c>
      <c r="G692" s="66" t="s">
        <v>813</v>
      </c>
      <c r="H692" s="71" t="s">
        <v>955</v>
      </c>
      <c r="I692" s="405"/>
      <c r="J692" s="405"/>
      <c r="K692" s="398"/>
      <c r="L692" s="405"/>
      <c r="M692" s="64">
        <v>2510200</v>
      </c>
      <c r="N692" s="1045" t="s">
        <v>101</v>
      </c>
      <c r="O692" s="65" t="s">
        <v>26</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1" ht="15.75" customHeight="1">
      <c r="A693" s="327" t="str">
        <f>IF(B693&lt;&gt;"",IF(AND(B693='IN-TC'!$S$4,OR(TH!N693="1111",TH!O693="1111")),TH!D693,""),"")</f>
        <v/>
      </c>
      <c r="B693" s="62">
        <f t="shared" si="234"/>
        <v>2</v>
      </c>
      <c r="C693" s="63">
        <v>42782</v>
      </c>
      <c r="D693" s="63" t="s">
        <v>1023</v>
      </c>
      <c r="E693" s="63">
        <f t="shared" si="235"/>
        <v>42782</v>
      </c>
      <c r="F693" s="66" t="s">
        <v>1027</v>
      </c>
      <c r="G693" s="66" t="s">
        <v>813</v>
      </c>
      <c r="H693" s="71" t="s">
        <v>955</v>
      </c>
      <c r="I693" s="405"/>
      <c r="J693" s="405"/>
      <c r="K693" s="398">
        <v>441500</v>
      </c>
      <c r="L693" s="405">
        <v>22750</v>
      </c>
      <c r="M693" s="1044">
        <f t="shared" ref="M693:M695" si="236">ROUND(L693*K693,0)</f>
        <v>10044125000</v>
      </c>
      <c r="N693" s="65" t="s">
        <v>26</v>
      </c>
      <c r="O693" s="65" t="s">
        <v>264</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1" ht="15.75" customHeight="1">
      <c r="A694" s="327" t="str">
        <f>IF(B694&lt;&gt;"",IF(AND(B694='IN-TC'!$S$4,OR(TH!N694="1111",TH!O694="1111")),TH!D694,""),"")</f>
        <v/>
      </c>
      <c r="B694" s="62">
        <f t="shared" si="192"/>
        <v>2</v>
      </c>
      <c r="C694" s="63">
        <v>42788</v>
      </c>
      <c r="D694" s="63" t="s">
        <v>1023</v>
      </c>
      <c r="E694" s="63">
        <f t="shared" ref="E694" si="237">C694</f>
        <v>42788</v>
      </c>
      <c r="F694" s="66" t="s">
        <v>1027</v>
      </c>
      <c r="G694" s="66" t="s">
        <v>813</v>
      </c>
      <c r="H694" s="71" t="s">
        <v>955</v>
      </c>
      <c r="I694" s="405"/>
      <c r="J694" s="405"/>
      <c r="K694" s="398">
        <v>356000</v>
      </c>
      <c r="L694" s="405">
        <v>22830</v>
      </c>
      <c r="M694" s="1044">
        <f t="shared" si="236"/>
        <v>8127480000</v>
      </c>
      <c r="N694" s="65" t="s">
        <v>26</v>
      </c>
      <c r="O694" s="65" t="s">
        <v>264</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1" s="1205" customFormat="1" ht="15.75" customHeight="1">
      <c r="A695" s="327" t="str">
        <f>IF(B695&lt;&gt;"",IF(AND(B695='IN-TC'!$S$4,OR(TH!N695="1111",TH!O695="1111")),TH!D695,""),"")</f>
        <v/>
      </c>
      <c r="B695" s="62">
        <f t="shared" ref="B695" si="238">IF(C695&lt;&gt;"",MONTH(C695),"")</f>
        <v>2</v>
      </c>
      <c r="C695" s="63">
        <v>42788</v>
      </c>
      <c r="D695" s="63" t="s">
        <v>1023</v>
      </c>
      <c r="E695" s="63">
        <f t="shared" ref="E695" si="239">C695</f>
        <v>42788</v>
      </c>
      <c r="F695" s="66" t="s">
        <v>1024</v>
      </c>
      <c r="G695" s="66" t="s">
        <v>813</v>
      </c>
      <c r="H695" s="71" t="s">
        <v>1223</v>
      </c>
      <c r="I695" s="405"/>
      <c r="J695" s="405"/>
      <c r="K695" s="398">
        <v>83500</v>
      </c>
      <c r="L695" s="405">
        <v>22830</v>
      </c>
      <c r="M695" s="1044">
        <f t="shared" si="236"/>
        <v>1906305000</v>
      </c>
      <c r="N695" s="65" t="s">
        <v>26</v>
      </c>
      <c r="O695" s="65" t="s">
        <v>258</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1" ht="15.75" customHeight="1">
      <c r="A696" s="327" t="str">
        <f>IF(B696&lt;&gt;"",IF(AND(B696='IN-TC'!$S$4,OR(TH!N696="1111",TH!O696="1111")),TH!D696,""),"")</f>
        <v/>
      </c>
      <c r="B696" s="62">
        <f t="shared" si="192"/>
        <v>2</v>
      </c>
      <c r="C696" s="63">
        <v>42790</v>
      </c>
      <c r="D696" s="63" t="s">
        <v>1022</v>
      </c>
      <c r="E696" s="63">
        <f t="shared" si="235"/>
        <v>42790</v>
      </c>
      <c r="F696" s="66" t="s">
        <v>990</v>
      </c>
      <c r="G696" s="66" t="s">
        <v>813</v>
      </c>
      <c r="H696" s="330" t="s">
        <v>955</v>
      </c>
      <c r="I696" s="405"/>
      <c r="J696" s="405"/>
      <c r="K696" s="398"/>
      <c r="L696" s="405"/>
      <c r="M696" s="64">
        <v>2286000</v>
      </c>
      <c r="N696" s="65" t="s">
        <v>101</v>
      </c>
      <c r="O696" s="65" t="s">
        <v>26</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c r="AE696">
        <v>2</v>
      </c>
    </row>
    <row r="697" spans="1:31" ht="15.75" customHeight="1">
      <c r="A697" s="327" t="str">
        <f>IF(B697&lt;&gt;"",IF(AND(B697='IN-TC'!$S$4,OR(TH!N697="1111",TH!O697="1111")),TH!D697,""),"")</f>
        <v/>
      </c>
      <c r="B697" s="62">
        <f t="shared" ref="B697" si="240">IF(C697&lt;&gt;"",MONTH(C697),"")</f>
        <v>2</v>
      </c>
      <c r="C697" s="63">
        <v>42790</v>
      </c>
      <c r="D697" s="63" t="s">
        <v>1022</v>
      </c>
      <c r="E697" s="63">
        <f t="shared" ref="E697:E698" si="241">C697</f>
        <v>42790</v>
      </c>
      <c r="F697" s="66" t="s">
        <v>1018</v>
      </c>
      <c r="G697" s="66" t="s">
        <v>813</v>
      </c>
      <c r="H697" s="330" t="s">
        <v>955</v>
      </c>
      <c r="I697" s="405"/>
      <c r="J697" s="405"/>
      <c r="K697" s="398"/>
      <c r="L697" s="405"/>
      <c r="M697" s="64">
        <v>228600</v>
      </c>
      <c r="N697" s="65" t="s">
        <v>9</v>
      </c>
      <c r="O697" s="65" t="s">
        <v>26</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c r="AE697">
        <v>2</v>
      </c>
    </row>
    <row r="698" spans="1:31" ht="15.75" customHeight="1">
      <c r="A698" s="327" t="str">
        <f>IF(B698&lt;&gt;"",IF(AND(B698='IN-TC'!$S$4,OR(TH!N698="1111",TH!O698="1111")),TH!D698,""),"")</f>
        <v/>
      </c>
      <c r="B698" s="62">
        <f t="shared" si="192"/>
        <v>2</v>
      </c>
      <c r="C698" s="63">
        <v>42791</v>
      </c>
      <c r="D698" s="63" t="s">
        <v>1023</v>
      </c>
      <c r="E698" s="63">
        <f t="shared" si="241"/>
        <v>42791</v>
      </c>
      <c r="F698" s="66" t="s">
        <v>1034</v>
      </c>
      <c r="G698" s="66" t="s">
        <v>813</v>
      </c>
      <c r="H698" s="330" t="s">
        <v>955</v>
      </c>
      <c r="I698" s="405"/>
      <c r="J698" s="405"/>
      <c r="K698" s="398"/>
      <c r="L698" s="405"/>
      <c r="M698" s="64">
        <v>193515</v>
      </c>
      <c r="N698" s="65" t="s">
        <v>26</v>
      </c>
      <c r="O698" s="65" t="s">
        <v>43</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1" s="1205" customFormat="1" ht="15.75" customHeight="1">
      <c r="A699" s="327" t="str">
        <f>IF(B699&lt;&gt;"",IF(AND(B699='IN-TC'!$S$4,OR(TH!N699="1111",TH!O699="1111")),TH!D699,""),"")</f>
        <v/>
      </c>
      <c r="B699" s="62">
        <f t="shared" si="192"/>
        <v>2</v>
      </c>
      <c r="C699" s="63">
        <v>42768</v>
      </c>
      <c r="D699" s="63" t="s">
        <v>1023</v>
      </c>
      <c r="E699" s="63">
        <f t="shared" ref="E699:E707" si="242">C699</f>
        <v>42768</v>
      </c>
      <c r="F699" s="66" t="s">
        <v>1220</v>
      </c>
      <c r="G699" s="66" t="s">
        <v>813</v>
      </c>
      <c r="H699" s="816" t="s">
        <v>590</v>
      </c>
      <c r="I699" s="405"/>
      <c r="J699" s="405"/>
      <c r="K699" s="398">
        <v>43317</v>
      </c>
      <c r="L699" s="405">
        <v>22700</v>
      </c>
      <c r="M699" s="1044">
        <f t="shared" ref="M699:M700" si="243">ROUND(L699*K699,0)</f>
        <v>983295900</v>
      </c>
      <c r="N699" s="65" t="s">
        <v>264</v>
      </c>
      <c r="O699" s="65" t="s">
        <v>579</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1" s="1205" customFormat="1" ht="15.75" customHeight="1">
      <c r="A700" s="327" t="str">
        <f>IF(B700&lt;&gt;"",IF(AND(B700='IN-TC'!$S$4,OR(TH!N700="1111",TH!O700="1111")),TH!D700,""),"")</f>
        <v/>
      </c>
      <c r="B700" s="62">
        <f t="shared" ref="B700" si="244">IF(C700&lt;&gt;"",MONTH(C700),"")</f>
        <v>2</v>
      </c>
      <c r="C700" s="63">
        <v>42768</v>
      </c>
      <c r="D700" s="63" t="s">
        <v>573</v>
      </c>
      <c r="E700" s="63">
        <f t="shared" si="242"/>
        <v>42768</v>
      </c>
      <c r="F700" s="66" t="s">
        <v>1221</v>
      </c>
      <c r="G700" s="66" t="s">
        <v>813</v>
      </c>
      <c r="H700" s="816" t="s">
        <v>590</v>
      </c>
      <c r="I700" s="405"/>
      <c r="J700" s="405"/>
      <c r="K700" s="398">
        <v>84</v>
      </c>
      <c r="L700" s="405">
        <v>22700</v>
      </c>
      <c r="M700" s="1044">
        <f t="shared" si="243"/>
        <v>1906800</v>
      </c>
      <c r="N700" s="65" t="s">
        <v>101</v>
      </c>
      <c r="O700" s="65" t="s">
        <v>579</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row>
    <row r="701" spans="1:31" s="1205" customFormat="1" ht="15.75" customHeight="1">
      <c r="A701" s="327" t="str">
        <f>IF(B701&lt;&gt;"",IF(AND(B701='IN-TC'!$S$4,OR(TH!N701="1111",TH!O701="1111")),TH!D701,""),"")</f>
        <v/>
      </c>
      <c r="B701" s="62">
        <f t="shared" ref="B701" si="245">IF(C701&lt;&gt;"",MONTH(C701),"")</f>
        <v>2</v>
      </c>
      <c r="C701" s="63">
        <v>42768</v>
      </c>
      <c r="D701" s="63" t="s">
        <v>573</v>
      </c>
      <c r="E701" s="63">
        <f t="shared" si="242"/>
        <v>42768</v>
      </c>
      <c r="F701" s="66" t="s">
        <v>1137</v>
      </c>
      <c r="G701" s="66" t="s">
        <v>813</v>
      </c>
      <c r="H701" s="816" t="s">
        <v>590</v>
      </c>
      <c r="I701" s="405"/>
      <c r="J701" s="405"/>
      <c r="K701" s="398"/>
      <c r="L701" s="405"/>
      <c r="M701" s="64">
        <v>4557105</v>
      </c>
      <c r="N701" s="65" t="s">
        <v>579</v>
      </c>
      <c r="O701" s="65" t="s">
        <v>43</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row>
    <row r="702" spans="1:31" s="1205" customFormat="1" ht="15.75" customHeight="1">
      <c r="A702" s="327" t="str">
        <f>IF(B702&lt;&gt;"",IF(AND(B702='IN-TC'!$S$4,OR(TH!N702="1111",TH!O702="1111")),TH!D702,""),"")</f>
        <v/>
      </c>
      <c r="B702" s="62">
        <f t="shared" si="192"/>
        <v>2</v>
      </c>
      <c r="C702" s="63">
        <v>42768</v>
      </c>
      <c r="D702" s="63" t="s">
        <v>1023</v>
      </c>
      <c r="E702" s="63">
        <f t="shared" si="242"/>
        <v>42768</v>
      </c>
      <c r="F702" s="66" t="s">
        <v>1220</v>
      </c>
      <c r="G702" s="66" t="s">
        <v>813</v>
      </c>
      <c r="H702" s="816" t="s">
        <v>942</v>
      </c>
      <c r="I702" s="405"/>
      <c r="J702" s="405"/>
      <c r="K702" s="398">
        <v>107860</v>
      </c>
      <c r="L702" s="405">
        <v>22700</v>
      </c>
      <c r="M702" s="1044">
        <f t="shared" ref="M702:M703" si="246">ROUND(L702*K702,0)</f>
        <v>2448422000</v>
      </c>
      <c r="N702" s="65" t="s">
        <v>264</v>
      </c>
      <c r="O702" s="65" t="s">
        <v>579</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
      </c>
      <c r="X702" s="81" t="str">
        <f>IF(OR(TH!N702=TH!$X$7,O702=TH!$X$7),"x","")</f>
        <v/>
      </c>
      <c r="Y702" s="81" t="str">
        <f>IF(AND(OR(N702="131",O702="131"),H702='131-CT'!$H$9),"x","")</f>
        <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1" s="1205" customFormat="1" ht="15.75" customHeight="1">
      <c r="A703" s="327" t="str">
        <f>IF(B703&lt;&gt;"",IF(AND(B703='IN-TC'!$S$4,OR(TH!N703="1111",TH!O703="1111")),TH!D703,""),"")</f>
        <v/>
      </c>
      <c r="B703" s="62">
        <f t="shared" ref="B703" si="247">IF(C703&lt;&gt;"",MONTH(C703),"")</f>
        <v>2</v>
      </c>
      <c r="C703" s="63">
        <v>42768</v>
      </c>
      <c r="D703" s="63" t="s">
        <v>573</v>
      </c>
      <c r="E703" s="63">
        <f t="shared" si="242"/>
        <v>42768</v>
      </c>
      <c r="F703" s="66" t="s">
        <v>1221</v>
      </c>
      <c r="G703" s="66" t="s">
        <v>813</v>
      </c>
      <c r="H703" s="816" t="s">
        <v>942</v>
      </c>
      <c r="I703" s="405"/>
      <c r="J703" s="405"/>
      <c r="K703" s="398">
        <v>140</v>
      </c>
      <c r="L703" s="405">
        <v>22700</v>
      </c>
      <c r="M703" s="1044">
        <f t="shared" si="246"/>
        <v>3178000</v>
      </c>
      <c r="N703" s="65" t="s">
        <v>101</v>
      </c>
      <c r="O703" s="65" t="s">
        <v>579</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
      </c>
      <c r="X703" s="81" t="str">
        <f>IF(OR(TH!N703=TH!$X$7,O703=TH!$X$7),"x","")</f>
        <v/>
      </c>
      <c r="Y703" s="81" t="str">
        <f>IF(AND(OR(N703="131",O703="131"),H703='131-CT'!$H$9),"x","")</f>
        <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1" s="1205" customFormat="1" ht="15.75" customHeight="1">
      <c r="A704" s="327" t="str">
        <f>IF(B704&lt;&gt;"",IF(AND(B704='IN-TC'!$S$4,OR(TH!N704="1111",TH!O704="1111")),TH!D704,""),"")</f>
        <v/>
      </c>
      <c r="B704" s="62">
        <f t="shared" ref="B704" si="248">IF(C704&lt;&gt;"",MONTH(C704),"")</f>
        <v>2</v>
      </c>
      <c r="C704" s="63">
        <v>42768</v>
      </c>
      <c r="D704" s="63" t="s">
        <v>573</v>
      </c>
      <c r="E704" s="63">
        <f t="shared" si="242"/>
        <v>42768</v>
      </c>
      <c r="F704" s="66" t="s">
        <v>1137</v>
      </c>
      <c r="G704" s="66" t="s">
        <v>813</v>
      </c>
      <c r="H704" s="816" t="s">
        <v>942</v>
      </c>
      <c r="I704" s="405"/>
      <c r="J704" s="405"/>
      <c r="K704" s="398"/>
      <c r="L704" s="405"/>
      <c r="M704" s="64">
        <v>11340000</v>
      </c>
      <c r="N704" s="65" t="s">
        <v>579</v>
      </c>
      <c r="O704" s="65" t="s">
        <v>43</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
      </c>
      <c r="X704" s="81" t="str">
        <f>IF(OR(TH!N704=TH!$X$7,O704=TH!$X$7),"x","")</f>
        <v/>
      </c>
      <c r="Y704" s="81" t="str">
        <f>IF(AND(OR(N704="131",O704="131"),H704='131-CT'!$H$9),"x","")</f>
        <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205" customFormat="1" ht="15.75" customHeight="1">
      <c r="A705" s="327" t="str">
        <f>IF(B705&lt;&gt;"",IF(AND(B705='IN-TC'!$S$4,OR(TH!N705="1111",TH!O705="1111")),TH!D705,""),"")</f>
        <v/>
      </c>
      <c r="B705" s="62">
        <f t="shared" si="192"/>
        <v>2</v>
      </c>
      <c r="C705" s="63">
        <v>42768</v>
      </c>
      <c r="D705" s="63" t="s">
        <v>1023</v>
      </c>
      <c r="E705" s="63">
        <f t="shared" si="242"/>
        <v>42768</v>
      </c>
      <c r="F705" s="66" t="s">
        <v>1220</v>
      </c>
      <c r="G705" s="66" t="s">
        <v>813</v>
      </c>
      <c r="H705" s="739" t="s">
        <v>796</v>
      </c>
      <c r="I705" s="405"/>
      <c r="J705" s="405"/>
      <c r="K705" s="398">
        <v>41588</v>
      </c>
      <c r="L705" s="405">
        <v>22700</v>
      </c>
      <c r="M705" s="1044">
        <f t="shared" ref="M705:M706" si="249">ROUND(L705*K705,0)</f>
        <v>944047600</v>
      </c>
      <c r="N705" s="65" t="s">
        <v>264</v>
      </c>
      <c r="O705" s="65" t="s">
        <v>579</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205" customFormat="1" ht="15.75" customHeight="1">
      <c r="A706" s="327" t="str">
        <f>IF(B706&lt;&gt;"",IF(AND(B706='IN-TC'!$S$4,OR(TH!N706="1111",TH!O706="1111")),TH!D706,""),"")</f>
        <v/>
      </c>
      <c r="B706" s="62">
        <f t="shared" ref="B706" si="250">IF(C706&lt;&gt;"",MONTH(C706),"")</f>
        <v>2</v>
      </c>
      <c r="C706" s="63">
        <v>42768</v>
      </c>
      <c r="D706" s="63" t="s">
        <v>573</v>
      </c>
      <c r="E706" s="63">
        <f t="shared" si="242"/>
        <v>42768</v>
      </c>
      <c r="F706" s="66" t="s">
        <v>1221</v>
      </c>
      <c r="G706" s="66" t="s">
        <v>813</v>
      </c>
      <c r="H706" s="739" t="s">
        <v>796</v>
      </c>
      <c r="I706" s="405"/>
      <c r="J706" s="405"/>
      <c r="K706" s="398">
        <v>172</v>
      </c>
      <c r="L706" s="405">
        <v>22700</v>
      </c>
      <c r="M706" s="1044">
        <f t="shared" si="249"/>
        <v>3904400</v>
      </c>
      <c r="N706" s="65" t="s">
        <v>101</v>
      </c>
      <c r="O706" s="65" t="s">
        <v>579</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205" customFormat="1" ht="15.75" customHeight="1">
      <c r="A707" s="327" t="str">
        <f>IF(B707&lt;&gt;"",IF(AND(B707='IN-TC'!$S$4,OR(TH!N707="1111",TH!O707="1111")),TH!D707,""),"")</f>
        <v/>
      </c>
      <c r="B707" s="62">
        <f t="shared" ref="B707" si="251">IF(C707&lt;&gt;"",MONTH(C707),"")</f>
        <v>2</v>
      </c>
      <c r="C707" s="63">
        <v>42768</v>
      </c>
      <c r="D707" s="63" t="s">
        <v>573</v>
      </c>
      <c r="E707" s="63">
        <f t="shared" si="242"/>
        <v>42768</v>
      </c>
      <c r="F707" s="66" t="s">
        <v>1137</v>
      </c>
      <c r="G707" s="66" t="s">
        <v>813</v>
      </c>
      <c r="H707" s="739" t="s">
        <v>796</v>
      </c>
      <c r="I707" s="405"/>
      <c r="J707" s="405"/>
      <c r="K707" s="398"/>
      <c r="L707" s="405"/>
      <c r="M707" s="64">
        <v>7099200</v>
      </c>
      <c r="N707" s="65" t="s">
        <v>579</v>
      </c>
      <c r="O707" s="65" t="s">
        <v>43</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205" customFormat="1" ht="15.75" customHeight="1">
      <c r="A708" s="327" t="str">
        <f>IF(B708&lt;&gt;"",IF(AND(B708='IN-TC'!$S$4,OR(TH!N708="1111",TH!O708="1111")),TH!D708,""),"")</f>
        <v/>
      </c>
      <c r="B708" s="62">
        <f t="shared" si="192"/>
        <v>2</v>
      </c>
      <c r="C708" s="63">
        <v>42768</v>
      </c>
      <c r="D708" s="63" t="s">
        <v>1022</v>
      </c>
      <c r="E708" s="63">
        <f t="shared" ref="E708:E749" si="252">C708</f>
        <v>42768</v>
      </c>
      <c r="F708" s="66" t="s">
        <v>1045</v>
      </c>
      <c r="G708" s="66" t="s">
        <v>813</v>
      </c>
      <c r="H708" s="1085" t="s">
        <v>1141</v>
      </c>
      <c r="I708" s="405"/>
      <c r="J708" s="405"/>
      <c r="K708" s="398">
        <v>41200</v>
      </c>
      <c r="L708" s="405">
        <v>22700</v>
      </c>
      <c r="M708" s="1044">
        <f t="shared" ref="M708:M709" si="253">ROUND(L708*K708,0)</f>
        <v>935240000</v>
      </c>
      <c r="N708" s="65" t="s">
        <v>258</v>
      </c>
      <c r="O708" s="65" t="s">
        <v>264</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205" customFormat="1" ht="15.75" customHeight="1">
      <c r="A709" s="327" t="str">
        <f>IF(B709&lt;&gt;"",IF(AND(B709='IN-TC'!$S$4,OR(TH!N709="1111",TH!O709="1111")),TH!D709,""),"")</f>
        <v/>
      </c>
      <c r="B709" s="62">
        <f t="shared" ref="B709" si="254">IF(C709&lt;&gt;"",MONTH(C709),"")</f>
        <v>2</v>
      </c>
      <c r="C709" s="63">
        <v>42768</v>
      </c>
      <c r="D709" s="63" t="s">
        <v>1022</v>
      </c>
      <c r="E709" s="63">
        <f t="shared" si="252"/>
        <v>42768</v>
      </c>
      <c r="F709" s="66" t="s">
        <v>1219</v>
      </c>
      <c r="G709" s="66" t="s">
        <v>813</v>
      </c>
      <c r="H709" s="1085" t="s">
        <v>1141</v>
      </c>
      <c r="I709" s="405"/>
      <c r="J709" s="405"/>
      <c r="K709" s="398">
        <v>48.07</v>
      </c>
      <c r="L709" s="405">
        <v>22700</v>
      </c>
      <c r="M709" s="1044">
        <f t="shared" si="253"/>
        <v>1091189</v>
      </c>
      <c r="N709" s="65" t="s">
        <v>99</v>
      </c>
      <c r="O709" s="65" t="s">
        <v>264</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205" customFormat="1" ht="15.75" customHeight="1">
      <c r="A710" s="327" t="str">
        <f>IF(B710&lt;&gt;"",IF(AND(B710='IN-TC'!$S$4,OR(TH!N710="1111",TH!O710="1111")),TH!D710,""),"")</f>
        <v/>
      </c>
      <c r="B710" s="62">
        <f t="shared" ref="B710" si="255">IF(C710&lt;&gt;"",MONTH(C710),"")</f>
        <v>2</v>
      </c>
      <c r="C710" s="63">
        <v>42768</v>
      </c>
      <c r="D710" s="63" t="s">
        <v>573</v>
      </c>
      <c r="E710" s="63">
        <f t="shared" si="252"/>
        <v>42768</v>
      </c>
      <c r="F710" s="66" t="s">
        <v>1137</v>
      </c>
      <c r="G710" s="66" t="s">
        <v>813</v>
      </c>
      <c r="H710" s="1085" t="s">
        <v>1141</v>
      </c>
      <c r="I710" s="405"/>
      <c r="J710" s="405"/>
      <c r="K710" s="398"/>
      <c r="L710" s="405"/>
      <c r="M710" s="64">
        <v>6056400</v>
      </c>
      <c r="N710" s="65" t="s">
        <v>99</v>
      </c>
      <c r="O710" s="65" t="s">
        <v>258</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1205" customFormat="1" ht="15.75" customHeight="1">
      <c r="A711" s="327" t="str">
        <f>IF(B711&lt;&gt;"",IF(AND(B711='IN-TC'!$S$4,OR(TH!N711="1111",TH!O711="1111")),TH!D711,""),"")</f>
        <v/>
      </c>
      <c r="B711" s="62">
        <f t="shared" si="192"/>
        <v>2</v>
      </c>
      <c r="C711" s="63">
        <v>42768</v>
      </c>
      <c r="D711" s="63" t="s">
        <v>1022</v>
      </c>
      <c r="E711" s="63">
        <f t="shared" ref="E711:E713" si="256">C711</f>
        <v>42768</v>
      </c>
      <c r="F711" s="66" t="s">
        <v>1045</v>
      </c>
      <c r="G711" s="66" t="s">
        <v>813</v>
      </c>
      <c r="H711" s="1091" t="s">
        <v>1144</v>
      </c>
      <c r="I711" s="405"/>
      <c r="J711" s="405"/>
      <c r="K711" s="398">
        <v>102600</v>
      </c>
      <c r="L711" s="405">
        <v>22700</v>
      </c>
      <c r="M711" s="1044">
        <f t="shared" ref="M711:M712" si="257">ROUND(L711*K711,0)</f>
        <v>2329020000</v>
      </c>
      <c r="N711" s="65" t="s">
        <v>258</v>
      </c>
      <c r="O711" s="65" t="s">
        <v>264</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1205" customFormat="1" ht="15.75" customHeight="1">
      <c r="A712" s="327" t="str">
        <f>IF(B712&lt;&gt;"",IF(AND(B712='IN-TC'!$S$4,OR(TH!N712="1111",TH!O712="1111")),TH!D712,""),"")</f>
        <v/>
      </c>
      <c r="B712" s="62">
        <f t="shared" ref="B712" si="258">IF(C712&lt;&gt;"",MONTH(C712),"")</f>
        <v>2</v>
      </c>
      <c r="C712" s="63">
        <v>42768</v>
      </c>
      <c r="D712" s="63" t="s">
        <v>1022</v>
      </c>
      <c r="E712" s="63">
        <f t="shared" si="256"/>
        <v>42768</v>
      </c>
      <c r="F712" s="66" t="s">
        <v>1219</v>
      </c>
      <c r="G712" s="66" t="s">
        <v>813</v>
      </c>
      <c r="H712" s="1091" t="s">
        <v>1144</v>
      </c>
      <c r="I712" s="405"/>
      <c r="J712" s="405"/>
      <c r="K712" s="398">
        <v>145.35000000000582</v>
      </c>
      <c r="L712" s="405">
        <v>22700</v>
      </c>
      <c r="M712" s="1044">
        <f t="shared" si="257"/>
        <v>3299445</v>
      </c>
      <c r="N712" s="65" t="s">
        <v>99</v>
      </c>
      <c r="O712" s="65" t="s">
        <v>264</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s="1205" customFormat="1" ht="15.75" customHeight="1">
      <c r="A713" s="327" t="str">
        <f>IF(B713&lt;&gt;"",IF(AND(B713='IN-TC'!$S$4,OR(TH!N713="1111",TH!O713="1111")),TH!D713,""),"")</f>
        <v/>
      </c>
      <c r="B713" s="62">
        <f t="shared" ref="B713" si="259">IF(C713&lt;&gt;"",MONTH(C713),"")</f>
        <v>2</v>
      </c>
      <c r="C713" s="63">
        <v>42768</v>
      </c>
      <c r="D713" s="63" t="s">
        <v>573</v>
      </c>
      <c r="E713" s="63">
        <f t="shared" si="256"/>
        <v>42768</v>
      </c>
      <c r="F713" s="66" t="s">
        <v>1137</v>
      </c>
      <c r="G713" s="66" t="s">
        <v>813</v>
      </c>
      <c r="H713" s="1091" t="s">
        <v>1144</v>
      </c>
      <c r="I713" s="405"/>
      <c r="J713" s="405"/>
      <c r="K713" s="398"/>
      <c r="L713" s="405"/>
      <c r="M713" s="64">
        <v>14569200</v>
      </c>
      <c r="N713" s="65" t="s">
        <v>99</v>
      </c>
      <c r="O713" s="65" t="s">
        <v>258</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s="1205" customFormat="1" ht="15.75" customHeight="1">
      <c r="A714" s="327" t="str">
        <f>IF(B714&lt;&gt;"",IF(AND(B714='IN-TC'!$S$4,OR(TH!N714="1111",TH!O714="1111")),TH!D714,""),"")</f>
        <v/>
      </c>
      <c r="B714" s="62">
        <f t="shared" si="192"/>
        <v>2</v>
      </c>
      <c r="C714" s="63">
        <v>42768</v>
      </c>
      <c r="D714" s="63" t="s">
        <v>1022</v>
      </c>
      <c r="E714" s="63">
        <f t="shared" ref="E714" si="260">C714</f>
        <v>42768</v>
      </c>
      <c r="F714" s="66" t="s">
        <v>1045</v>
      </c>
      <c r="G714" s="66" t="s">
        <v>813</v>
      </c>
      <c r="H714" s="816" t="s">
        <v>1140</v>
      </c>
      <c r="I714" s="405"/>
      <c r="J714" s="405"/>
      <c r="K714" s="398">
        <v>37584</v>
      </c>
      <c r="L714" s="405">
        <v>22700</v>
      </c>
      <c r="M714" s="1044">
        <f t="shared" ref="M714:M715" si="261">ROUND(L714*K714,0)</f>
        <v>853156800</v>
      </c>
      <c r="N714" s="65" t="s">
        <v>258</v>
      </c>
      <c r="O714" s="65" t="s">
        <v>264</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s="1205" customFormat="1" ht="15.75" customHeight="1">
      <c r="A715" s="327" t="str">
        <f>IF(B715&lt;&gt;"",IF(AND(B715='IN-TC'!$S$4,OR(TH!N715="1111",TH!O715="1111")),TH!D715,""),"")</f>
        <v/>
      </c>
      <c r="B715" s="62">
        <f t="shared" ref="B715" si="262">IF(C715&lt;&gt;"",MONTH(C715),"")</f>
        <v>2</v>
      </c>
      <c r="C715" s="63">
        <v>42768</v>
      </c>
      <c r="D715" s="63" t="s">
        <v>1022</v>
      </c>
      <c r="E715" s="63">
        <f t="shared" ref="E715" si="263">C715</f>
        <v>42768</v>
      </c>
      <c r="F715" s="66" t="s">
        <v>1219</v>
      </c>
      <c r="G715" s="66" t="s">
        <v>813</v>
      </c>
      <c r="H715" s="816" t="s">
        <v>1140</v>
      </c>
      <c r="I715" s="405"/>
      <c r="J715" s="405"/>
      <c r="K715" s="398">
        <v>43.849999999998545</v>
      </c>
      <c r="L715" s="405">
        <v>22700</v>
      </c>
      <c r="M715" s="1044">
        <f t="shared" si="261"/>
        <v>995395</v>
      </c>
      <c r="N715" s="65" t="s">
        <v>99</v>
      </c>
      <c r="O715" s="65" t="s">
        <v>264</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s="1205" customFormat="1" ht="15.75" customHeight="1">
      <c r="A716" s="327" t="str">
        <f>IF(B716&lt;&gt;"",IF(AND(B716='IN-TC'!$S$4,OR(TH!N716="1111",TH!O716="1111")),TH!D716,""),"")</f>
        <v/>
      </c>
      <c r="B716" s="62">
        <f t="shared" ref="B716" si="264">IF(C716&lt;&gt;"",MONTH(C716),"")</f>
        <v>2</v>
      </c>
      <c r="C716" s="63">
        <v>42768</v>
      </c>
      <c r="D716" s="63" t="s">
        <v>573</v>
      </c>
      <c r="E716" s="63">
        <f t="shared" ref="E716" si="265">C716</f>
        <v>42768</v>
      </c>
      <c r="F716" s="66" t="s">
        <v>1137</v>
      </c>
      <c r="G716" s="66" t="s">
        <v>813</v>
      </c>
      <c r="H716" s="816" t="s">
        <v>1140</v>
      </c>
      <c r="I716" s="405"/>
      <c r="J716" s="405"/>
      <c r="K716" s="398"/>
      <c r="L716" s="405"/>
      <c r="M716" s="64">
        <v>5524848</v>
      </c>
      <c r="N716" s="65" t="s">
        <v>99</v>
      </c>
      <c r="O716" s="65" t="s">
        <v>258</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ht="15.75" customHeight="1">
      <c r="A717" s="327" t="str">
        <f>IF(B717&lt;&gt;"",IF(AND(B717='IN-TC'!$S$4,OR(TH!N717="1111",TH!O717="1111")),TH!D717,""),"")</f>
        <v/>
      </c>
      <c r="B717" s="62">
        <f t="shared" ref="B717:B781" si="266">IF(C717&lt;&gt;"",MONTH(C717),"")</f>
        <v>2</v>
      </c>
      <c r="C717" s="63">
        <v>42774</v>
      </c>
      <c r="D717" s="63" t="s">
        <v>1023</v>
      </c>
      <c r="E717" s="63">
        <f t="shared" si="252"/>
        <v>42774</v>
      </c>
      <c r="F717" s="66" t="s">
        <v>1038</v>
      </c>
      <c r="G717" s="66" t="s">
        <v>813</v>
      </c>
      <c r="H717" s="71" t="s">
        <v>850</v>
      </c>
      <c r="I717" s="405"/>
      <c r="J717" s="405"/>
      <c r="K717" s="398">
        <v>149355.4</v>
      </c>
      <c r="L717" s="405">
        <v>22700</v>
      </c>
      <c r="M717" s="1044">
        <f t="shared" ref="M717:M720" si="267">ROUND(L717*K717,0)</f>
        <v>3390367580</v>
      </c>
      <c r="N717" s="1045" t="s">
        <v>264</v>
      </c>
      <c r="O717" s="65" t="s">
        <v>579</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x</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s="1205" customFormat="1" ht="15.75" customHeight="1">
      <c r="A718" s="327" t="str">
        <f>IF(B718&lt;&gt;"",IF(AND(B718='IN-TC'!$S$4,OR(TH!N718="1111",TH!O718="1111")),TH!D718,""),"")</f>
        <v/>
      </c>
      <c r="B718" s="62">
        <f t="shared" ref="B718" si="268">IF(C718&lt;&gt;"",MONTH(C718),"")</f>
        <v>2</v>
      </c>
      <c r="C718" s="63">
        <v>42774</v>
      </c>
      <c r="D718" s="63" t="s">
        <v>573</v>
      </c>
      <c r="E718" s="63">
        <f t="shared" ref="E718" si="269">C718</f>
        <v>42774</v>
      </c>
      <c r="F718" s="66" t="s">
        <v>1166</v>
      </c>
      <c r="G718" s="66" t="s">
        <v>813</v>
      </c>
      <c r="H718" s="71" t="s">
        <v>850</v>
      </c>
      <c r="I718" s="405"/>
      <c r="J718" s="405"/>
      <c r="K718" s="398">
        <v>12</v>
      </c>
      <c r="L718" s="405">
        <v>22700</v>
      </c>
      <c r="M718" s="1044">
        <f t="shared" si="267"/>
        <v>272400</v>
      </c>
      <c r="N718" s="1045" t="s">
        <v>101</v>
      </c>
      <c r="O718" s="65" t="s">
        <v>579</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x</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s="1205" customFormat="1" ht="15.75" customHeight="1">
      <c r="A719" s="327" t="str">
        <f>IF(B719&lt;&gt;"",IF(AND(B719='IN-TC'!$S$4,OR(TH!N719="1111",TH!O719="1111")),TH!D719,""),"")</f>
        <v/>
      </c>
      <c r="B719" s="62">
        <f t="shared" si="266"/>
        <v>2</v>
      </c>
      <c r="C719" s="63">
        <v>42774</v>
      </c>
      <c r="D719" s="63" t="s">
        <v>1023</v>
      </c>
      <c r="E719" s="63">
        <f t="shared" si="252"/>
        <v>42774</v>
      </c>
      <c r="F719" s="66" t="s">
        <v>1220</v>
      </c>
      <c r="G719" s="66" t="s">
        <v>813</v>
      </c>
      <c r="H719" s="71" t="s">
        <v>812</v>
      </c>
      <c r="I719" s="405"/>
      <c r="J719" s="405"/>
      <c r="K719" s="398">
        <v>71910</v>
      </c>
      <c r="L719" s="405">
        <v>22700</v>
      </c>
      <c r="M719" s="1044">
        <f t="shared" si="267"/>
        <v>1632357000</v>
      </c>
      <c r="N719" s="65" t="s">
        <v>264</v>
      </c>
      <c r="O719" s="65" t="s">
        <v>579</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s="1205" customFormat="1" ht="15.75" customHeight="1">
      <c r="A720" s="327" t="str">
        <f>IF(B720&lt;&gt;"",IF(AND(B720='IN-TC'!$S$4,OR(TH!N720="1111",TH!O720="1111")),TH!D720,""),"")</f>
        <v/>
      </c>
      <c r="B720" s="62">
        <f t="shared" ref="B720" si="270">IF(C720&lt;&gt;"",MONTH(C720),"")</f>
        <v>2</v>
      </c>
      <c r="C720" s="63">
        <v>42774</v>
      </c>
      <c r="D720" s="63" t="s">
        <v>573</v>
      </c>
      <c r="E720" s="63">
        <f t="shared" ref="E720" si="271">C720</f>
        <v>42774</v>
      </c>
      <c r="F720" s="66" t="s">
        <v>1221</v>
      </c>
      <c r="G720" s="66" t="s">
        <v>813</v>
      </c>
      <c r="H720" s="71" t="s">
        <v>812</v>
      </c>
      <c r="I720" s="405"/>
      <c r="J720" s="405"/>
      <c r="K720" s="398">
        <v>90</v>
      </c>
      <c r="L720" s="405">
        <v>22700</v>
      </c>
      <c r="M720" s="1044">
        <f t="shared" si="267"/>
        <v>2043000</v>
      </c>
      <c r="N720" s="65" t="s">
        <v>101</v>
      </c>
      <c r="O720" s="65" t="s">
        <v>579</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1" s="1205" customFormat="1" ht="15.75" customHeight="1">
      <c r="A721" s="327" t="str">
        <f>IF(B721&lt;&gt;"",IF(AND(B721='IN-TC'!$S$4,OR(TH!N721="1111",TH!O721="1111")),TH!D721,""),"")</f>
        <v/>
      </c>
      <c r="B721" s="62">
        <f t="shared" ref="B721" si="272">IF(C721&lt;&gt;"",MONTH(C721),"")</f>
        <v>2</v>
      </c>
      <c r="C721" s="63">
        <v>42774</v>
      </c>
      <c r="D721" s="63" t="s">
        <v>573</v>
      </c>
      <c r="E721" s="63">
        <f t="shared" ref="E721" si="273">C721</f>
        <v>42774</v>
      </c>
      <c r="F721" s="66" t="s">
        <v>1137</v>
      </c>
      <c r="G721" s="66" t="s">
        <v>813</v>
      </c>
      <c r="H721" s="71" t="s">
        <v>812</v>
      </c>
      <c r="I721" s="405"/>
      <c r="J721" s="405"/>
      <c r="K721" s="398"/>
      <c r="L721" s="405"/>
      <c r="M721" s="64">
        <v>12240000</v>
      </c>
      <c r="N721" s="65" t="s">
        <v>579</v>
      </c>
      <c r="O721" s="65" t="s">
        <v>43</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1" s="1205" customFormat="1" ht="15.75" customHeight="1">
      <c r="A722" s="327" t="str">
        <f>IF(B722&lt;&gt;"",IF(AND(B722='IN-TC'!$S$4,OR(TH!N722="1111",TH!O722="1111")),TH!D722,""),"")</f>
        <v/>
      </c>
      <c r="B722" s="62">
        <f t="shared" si="266"/>
        <v>2</v>
      </c>
      <c r="C722" s="63">
        <v>42774</v>
      </c>
      <c r="D722" s="63" t="s">
        <v>1022</v>
      </c>
      <c r="E722" s="63">
        <f t="shared" si="252"/>
        <v>42774</v>
      </c>
      <c r="F722" s="66" t="s">
        <v>1039</v>
      </c>
      <c r="G722" s="66" t="s">
        <v>1046</v>
      </c>
      <c r="H722" s="71" t="s">
        <v>955</v>
      </c>
      <c r="I722" s="405"/>
      <c r="J722" s="405"/>
      <c r="K722" s="398">
        <v>53000</v>
      </c>
      <c r="L722" s="405">
        <v>22700</v>
      </c>
      <c r="M722" s="1044">
        <f t="shared" ref="M722:M778" si="274">ROUND(L722*K722,0)</f>
        <v>1203100000</v>
      </c>
      <c r="N722" s="1045" t="s">
        <v>264</v>
      </c>
      <c r="O722" s="65" t="s">
        <v>264</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x</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1" ht="15.75" customHeight="1">
      <c r="A723" s="327" t="str">
        <f>IF(B723&lt;&gt;"",IF(AND(B723='IN-TC'!$S$4,OR(TH!N723="1111",TH!O723="1111")),TH!D723,""),"")</f>
        <v/>
      </c>
      <c r="B723" s="62">
        <f t="shared" si="266"/>
        <v>2</v>
      </c>
      <c r="C723" s="63">
        <v>42774</v>
      </c>
      <c r="D723" s="63" t="s">
        <v>1022</v>
      </c>
      <c r="E723" s="63">
        <f t="shared" si="252"/>
        <v>42774</v>
      </c>
      <c r="F723" s="66" t="s">
        <v>990</v>
      </c>
      <c r="G723" s="66" t="s">
        <v>813</v>
      </c>
      <c r="H723" s="71" t="s">
        <v>955</v>
      </c>
      <c r="I723" s="405"/>
      <c r="J723" s="405"/>
      <c r="K723" s="398">
        <v>3</v>
      </c>
      <c r="L723" s="405">
        <v>22700</v>
      </c>
      <c r="M723" s="1044">
        <f t="shared" si="274"/>
        <v>68100</v>
      </c>
      <c r="N723" s="1045" t="s">
        <v>101</v>
      </c>
      <c r="O723" s="65" t="s">
        <v>264</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c r="AE723">
        <v>2</v>
      </c>
    </row>
    <row r="724" spans="1:31" ht="15.75" customHeight="1">
      <c r="A724" s="327" t="str">
        <f>IF(B724&lt;&gt;"",IF(AND(B724='IN-TC'!$S$4,OR(TH!N724="1111",TH!O724="1111")),TH!D724,""),"")</f>
        <v/>
      </c>
      <c r="B724" s="62">
        <f t="shared" si="266"/>
        <v>2</v>
      </c>
      <c r="C724" s="63">
        <v>42774</v>
      </c>
      <c r="D724" s="63" t="s">
        <v>1022</v>
      </c>
      <c r="E724" s="63">
        <f t="shared" si="252"/>
        <v>42774</v>
      </c>
      <c r="F724" s="66" t="s">
        <v>1018</v>
      </c>
      <c r="G724" s="66" t="s">
        <v>813</v>
      </c>
      <c r="H724" s="71" t="s">
        <v>955</v>
      </c>
      <c r="I724" s="405"/>
      <c r="J724" s="405"/>
      <c r="K724" s="398">
        <v>0.3</v>
      </c>
      <c r="L724" s="405">
        <v>22700</v>
      </c>
      <c r="M724" s="1044">
        <f t="shared" si="274"/>
        <v>6810</v>
      </c>
      <c r="N724" s="1045" t="s">
        <v>9</v>
      </c>
      <c r="O724" s="65" t="s">
        <v>264</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c r="AE724">
        <v>2</v>
      </c>
    </row>
    <row r="725" spans="1:31" ht="15.75" customHeight="1">
      <c r="A725" s="999" t="str">
        <f>IF(B725&lt;&gt;"",IF(AND(B725='IN-TC'!$S$4,OR(TH!N725="1111",TH!O725="1111")),TH!D725,""),"")</f>
        <v/>
      </c>
      <c r="B725" s="1019">
        <f t="shared" si="266"/>
        <v>2</v>
      </c>
      <c r="C725" s="1079">
        <v>42774</v>
      </c>
      <c r="D725" s="1079" t="s">
        <v>1022</v>
      </c>
      <c r="E725" s="1079">
        <f t="shared" si="252"/>
        <v>42774</v>
      </c>
      <c r="F725" s="89" t="s">
        <v>1164</v>
      </c>
      <c r="G725" s="89" t="s">
        <v>813</v>
      </c>
      <c r="H725" s="1085" t="s">
        <v>1146</v>
      </c>
      <c r="I725" s="1058"/>
      <c r="J725" s="1058"/>
      <c r="K725" s="1059">
        <v>68400</v>
      </c>
      <c r="L725" s="1058">
        <v>22700</v>
      </c>
      <c r="M725" s="1044">
        <f t="shared" si="274"/>
        <v>1552680000</v>
      </c>
      <c r="N725" s="1101" t="s">
        <v>258</v>
      </c>
      <c r="O725" s="82" t="s">
        <v>264</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1" ht="15.75" customHeight="1">
      <c r="A726" s="999" t="str">
        <f>IF(B726&lt;&gt;"",IF(AND(B726='IN-TC'!$S$4,OR(TH!N726="1111",TH!O726="1111")),TH!D726,""),"")</f>
        <v/>
      </c>
      <c r="B726" s="1019">
        <f t="shared" ref="B726" si="275">IF(C726&lt;&gt;"",MONTH(C726),"")</f>
        <v>2</v>
      </c>
      <c r="C726" s="1079">
        <v>42774</v>
      </c>
      <c r="D726" s="1079" t="s">
        <v>573</v>
      </c>
      <c r="E726" s="1079">
        <f t="shared" ref="E726" si="276">C726</f>
        <v>42774</v>
      </c>
      <c r="F726" s="89" t="s">
        <v>1219</v>
      </c>
      <c r="G726" s="89" t="s">
        <v>813</v>
      </c>
      <c r="H726" s="1085" t="s">
        <v>1146</v>
      </c>
      <c r="I726" s="1058"/>
      <c r="J726" s="1058"/>
      <c r="K726" s="1059">
        <v>79.8</v>
      </c>
      <c r="L726" s="1058">
        <v>22700</v>
      </c>
      <c r="M726" s="1044">
        <f t="shared" ref="M726" si="277">ROUND(L726*K726,0)</f>
        <v>1811460</v>
      </c>
      <c r="N726" s="1101" t="s">
        <v>99</v>
      </c>
      <c r="O726" s="82" t="s">
        <v>264</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1" ht="15.75" customHeight="1">
      <c r="A727" s="999" t="str">
        <f>IF(B727&lt;&gt;"",IF(AND(B727='IN-TC'!$S$4,OR(TH!N727="1111",TH!O727="1111")),TH!D727,""),"")</f>
        <v/>
      </c>
      <c r="B727" s="1019">
        <f t="shared" ref="B727" si="278">IF(C727&lt;&gt;"",MONTH(C727),"")</f>
        <v>2</v>
      </c>
      <c r="C727" s="1079">
        <v>42774</v>
      </c>
      <c r="D727" s="1079" t="s">
        <v>1022</v>
      </c>
      <c r="E727" s="1079">
        <f t="shared" ref="E727" si="279">C727</f>
        <v>42774</v>
      </c>
      <c r="F727" s="89" t="s">
        <v>1137</v>
      </c>
      <c r="G727" s="89" t="s">
        <v>813</v>
      </c>
      <c r="H727" s="1085" t="s">
        <v>1146</v>
      </c>
      <c r="I727" s="1058"/>
      <c r="J727" s="1058"/>
      <c r="K727" s="1059"/>
      <c r="L727" s="1058"/>
      <c r="M727" s="1044">
        <v>13680000</v>
      </c>
      <c r="N727" s="1101" t="s">
        <v>99</v>
      </c>
      <c r="O727" s="82" t="s">
        <v>258</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1" s="1205" customFormat="1" ht="15.75" customHeight="1">
      <c r="A728" s="327" t="str">
        <f>IF(B728&lt;&gt;"",IF(AND(B728='IN-TC'!$S$4,OR(TH!N728="1111",TH!O728="1111")),TH!D728,""),"")</f>
        <v/>
      </c>
      <c r="B728" s="62">
        <f t="shared" si="266"/>
        <v>2</v>
      </c>
      <c r="C728" s="63">
        <v>42774</v>
      </c>
      <c r="D728" s="63" t="s">
        <v>1022</v>
      </c>
      <c r="E728" s="63">
        <f t="shared" si="252"/>
        <v>42774</v>
      </c>
      <c r="F728" s="66" t="s">
        <v>1045</v>
      </c>
      <c r="G728" s="66" t="s">
        <v>813</v>
      </c>
      <c r="H728" s="71" t="s">
        <v>854</v>
      </c>
      <c r="I728" s="405"/>
      <c r="J728" s="405"/>
      <c r="K728" s="398">
        <v>63000</v>
      </c>
      <c r="L728" s="405">
        <v>22700</v>
      </c>
      <c r="M728" s="1044">
        <f t="shared" si="274"/>
        <v>1430100000</v>
      </c>
      <c r="N728" s="1045" t="s">
        <v>258</v>
      </c>
      <c r="O728" s="65" t="s">
        <v>264</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1" s="1205" customFormat="1" ht="15.75" customHeight="1">
      <c r="A729" s="327" t="str">
        <f>IF(B729&lt;&gt;"",IF(AND(B729='IN-TC'!$S$4,OR(TH!N729="1111",TH!O729="1111")),TH!D729,""),"")</f>
        <v/>
      </c>
      <c r="B729" s="62">
        <f t="shared" ref="B729" si="280">IF(C729&lt;&gt;"",MONTH(C729),"")</f>
        <v>2</v>
      </c>
      <c r="C729" s="63">
        <v>42774</v>
      </c>
      <c r="D729" s="63" t="s">
        <v>1022</v>
      </c>
      <c r="E729" s="63">
        <f t="shared" ref="E729" si="281">C729</f>
        <v>42774</v>
      </c>
      <c r="F729" s="66" t="s">
        <v>1143</v>
      </c>
      <c r="G729" s="66" t="s">
        <v>813</v>
      </c>
      <c r="H729" s="71" t="s">
        <v>854</v>
      </c>
      <c r="I729" s="405"/>
      <c r="J729" s="405"/>
      <c r="K729" s="398">
        <v>89.29</v>
      </c>
      <c r="L729" s="405">
        <v>22700</v>
      </c>
      <c r="M729" s="1044">
        <f t="shared" si="274"/>
        <v>2026883</v>
      </c>
      <c r="N729" s="1045" t="s">
        <v>99</v>
      </c>
      <c r="O729" s="65" t="s">
        <v>264</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1" s="1205" customFormat="1" ht="15.75" customHeight="1">
      <c r="A730" s="327" t="str">
        <f>IF(B730&lt;&gt;"",IF(AND(B730='IN-TC'!$S$4,OR(TH!N730="1111",TH!O730="1111")),TH!D730,""),"")</f>
        <v/>
      </c>
      <c r="B730" s="62">
        <f t="shared" ref="B730" si="282">IF(C730&lt;&gt;"",MONTH(C730),"")</f>
        <v>2</v>
      </c>
      <c r="C730" s="63">
        <v>42774</v>
      </c>
      <c r="D730" s="63" t="s">
        <v>573</v>
      </c>
      <c r="E730" s="63">
        <f t="shared" ref="E730" si="283">C730</f>
        <v>42774</v>
      </c>
      <c r="F730" s="66" t="s">
        <v>1137</v>
      </c>
      <c r="G730" s="66" t="s">
        <v>813</v>
      </c>
      <c r="H730" s="71" t="s">
        <v>854</v>
      </c>
      <c r="I730" s="405"/>
      <c r="J730" s="405"/>
      <c r="K730" s="398"/>
      <c r="L730" s="405"/>
      <c r="M730" s="1044">
        <v>25704000</v>
      </c>
      <c r="N730" s="1045" t="s">
        <v>99</v>
      </c>
      <c r="O730" s="65" t="s">
        <v>258</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1" ht="15.75" customHeight="1">
      <c r="A731" s="327" t="str">
        <f>IF(B731&lt;&gt;"",IF(AND(B731='IN-TC'!$S$4,OR(TH!N731="1111",TH!O731="1111")),TH!D731,""),"")</f>
        <v/>
      </c>
      <c r="B731" s="62">
        <f t="shared" ref="B731" si="284">IF(C731&lt;&gt;"",MONTH(C731),"")</f>
        <v>2</v>
      </c>
      <c r="C731" s="63">
        <v>42779</v>
      </c>
      <c r="D731" s="63" t="s">
        <v>1023</v>
      </c>
      <c r="E731" s="63">
        <f t="shared" ref="E731" si="285">C731</f>
        <v>42779</v>
      </c>
      <c r="F731" s="66" t="s">
        <v>1038</v>
      </c>
      <c r="G731" s="66" t="s">
        <v>813</v>
      </c>
      <c r="H731" s="71" t="s">
        <v>850</v>
      </c>
      <c r="I731" s="405"/>
      <c r="J731" s="405"/>
      <c r="K731" s="398">
        <v>277610.8</v>
      </c>
      <c r="L731" s="405">
        <v>22700</v>
      </c>
      <c r="M731" s="1044">
        <f t="shared" si="274"/>
        <v>6301765160</v>
      </c>
      <c r="N731" s="1045" t="s">
        <v>264</v>
      </c>
      <c r="O731" s="65" t="s">
        <v>579</v>
      </c>
      <c r="P731" s="81" t="str">
        <f>IF(AND('331-CT'!$E$7=TH!H731,OR(N731="331",O731="331")),"x","")</f>
        <v/>
      </c>
      <c r="Q731" s="81" t="str">
        <f>IF(AND(B731='111'!$L$11,OR($N731=$Q$7,$O731=$Q$7)),"x","")</f>
        <v/>
      </c>
      <c r="R731" s="81" t="str">
        <f>IF(AND($N731=$Q$7,$B731&lt;'111'!$L$11),"x","")</f>
        <v/>
      </c>
      <c r="S731" s="81" t="str">
        <f>IF(AND($O731=$Q$7,$B731&lt;'111'!$L$11),"x","")</f>
        <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x</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1" ht="15.75" customHeight="1">
      <c r="A732" s="327" t="str">
        <f>IF(B732&lt;&gt;"",IF(AND(B732='IN-TC'!$S$4,OR(TH!N732="1111",TH!O732="1111")),TH!D732,""),"")</f>
        <v/>
      </c>
      <c r="B732" s="62">
        <f t="shared" ref="B732" si="286">IF(C732&lt;&gt;"",MONTH(C732),"")</f>
        <v>2</v>
      </c>
      <c r="C732" s="63">
        <v>42779</v>
      </c>
      <c r="D732" s="63" t="s">
        <v>573</v>
      </c>
      <c r="E732" s="63">
        <f t="shared" ref="E732" si="287">C732</f>
        <v>42779</v>
      </c>
      <c r="F732" s="66" t="s">
        <v>1166</v>
      </c>
      <c r="G732" s="66" t="s">
        <v>813</v>
      </c>
      <c r="H732" s="71" t="s">
        <v>850</v>
      </c>
      <c r="I732" s="405"/>
      <c r="J732" s="405"/>
      <c r="K732" s="398">
        <v>12</v>
      </c>
      <c r="L732" s="405">
        <v>22700</v>
      </c>
      <c r="M732" s="1044">
        <f t="shared" si="274"/>
        <v>272400</v>
      </c>
      <c r="N732" s="1045" t="s">
        <v>101</v>
      </c>
      <c r="O732" s="65" t="s">
        <v>579</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x</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row>
    <row r="733" spans="1:31" ht="15.75" customHeight="1">
      <c r="A733" s="327" t="str">
        <f>IF(B733&lt;&gt;"",IF(AND(B733='IN-TC'!$S$4,OR(TH!N733="1111",TH!O733="1111")),TH!D733,""),"")</f>
        <v/>
      </c>
      <c r="B733" s="62">
        <f t="shared" ref="B733" si="288">IF(C733&lt;&gt;"",MONTH(C733),"")</f>
        <v>2</v>
      </c>
      <c r="C733" s="63">
        <v>42782</v>
      </c>
      <c r="D733" s="63" t="s">
        <v>1023</v>
      </c>
      <c r="E733" s="63">
        <f t="shared" ref="E733" si="289">C733</f>
        <v>42782</v>
      </c>
      <c r="F733" s="66" t="s">
        <v>1038</v>
      </c>
      <c r="G733" s="66" t="s">
        <v>813</v>
      </c>
      <c r="H733" s="71" t="s">
        <v>850</v>
      </c>
      <c r="I733" s="405"/>
      <c r="J733" s="405"/>
      <c r="K733" s="398">
        <v>441468</v>
      </c>
      <c r="L733" s="405">
        <v>22700</v>
      </c>
      <c r="M733" s="1044">
        <f t="shared" si="274"/>
        <v>10021323600</v>
      </c>
      <c r="N733" s="1045" t="s">
        <v>264</v>
      </c>
      <c r="O733" s="65" t="s">
        <v>579</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x</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row>
    <row r="734" spans="1:31" ht="15.75" customHeight="1">
      <c r="A734" s="327" t="str">
        <f>IF(B734&lt;&gt;"",IF(AND(B734='IN-TC'!$S$4,OR(TH!N734="1111",TH!O734="1111")),TH!D734,""),"")</f>
        <v/>
      </c>
      <c r="B734" s="62">
        <f t="shared" ref="B734" si="290">IF(C734&lt;&gt;"",MONTH(C734),"")</f>
        <v>2</v>
      </c>
      <c r="C734" s="63">
        <v>42782</v>
      </c>
      <c r="D734" s="63" t="s">
        <v>573</v>
      </c>
      <c r="E734" s="63">
        <f t="shared" ref="E734" si="291">C734</f>
        <v>42782</v>
      </c>
      <c r="F734" s="66" t="s">
        <v>1166</v>
      </c>
      <c r="G734" s="66" t="s">
        <v>813</v>
      </c>
      <c r="H734" s="71" t="s">
        <v>850</v>
      </c>
      <c r="I734" s="405"/>
      <c r="J734" s="405"/>
      <c r="K734" s="398">
        <v>12</v>
      </c>
      <c r="L734" s="405">
        <v>22700</v>
      </c>
      <c r="M734" s="1044">
        <f t="shared" si="274"/>
        <v>272400</v>
      </c>
      <c r="N734" s="1045" t="s">
        <v>101</v>
      </c>
      <c r="O734" s="65" t="s">
        <v>579</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x</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1" ht="15.75" customHeight="1">
      <c r="A735" s="327" t="str">
        <f>IF(B735&lt;&gt;"",IF(AND(B735='IN-TC'!$S$4,OR(TH!N735="1111",TH!O735="1111")),TH!D735,""),"")</f>
        <v/>
      </c>
      <c r="B735" s="62">
        <f t="shared" si="266"/>
        <v>2</v>
      </c>
      <c r="C735" s="63">
        <v>42784</v>
      </c>
      <c r="D735" s="63" t="s">
        <v>1022</v>
      </c>
      <c r="E735" s="63">
        <f t="shared" si="252"/>
        <v>42784</v>
      </c>
      <c r="F735" s="66" t="s">
        <v>1036</v>
      </c>
      <c r="G735" s="66" t="s">
        <v>813</v>
      </c>
      <c r="H735" s="71" t="s">
        <v>955</v>
      </c>
      <c r="I735" s="405"/>
      <c r="J735" s="405"/>
      <c r="K735" s="398">
        <v>0.06</v>
      </c>
      <c r="L735" s="405">
        <v>22700</v>
      </c>
      <c r="M735" s="1044">
        <f t="shared" si="274"/>
        <v>1362</v>
      </c>
      <c r="N735" s="1045" t="s">
        <v>99</v>
      </c>
      <c r="O735" s="65" t="s">
        <v>264</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row>
    <row r="736" spans="1:31" ht="15.75" customHeight="1">
      <c r="A736" s="327" t="str">
        <f>IF(B736&lt;&gt;"",IF(AND(B736='IN-TC'!$S$4,OR(TH!N736="1111",TH!O736="1111")),TH!D736,""),"")</f>
        <v/>
      </c>
      <c r="B736" s="62">
        <f t="shared" si="266"/>
        <v>2</v>
      </c>
      <c r="C736" s="63">
        <v>42784</v>
      </c>
      <c r="D736" s="63" t="s">
        <v>1022</v>
      </c>
      <c r="E736" s="63">
        <f t="shared" si="252"/>
        <v>42784</v>
      </c>
      <c r="F736" s="66" t="s">
        <v>1036</v>
      </c>
      <c r="G736" s="66" t="s">
        <v>813</v>
      </c>
      <c r="H736" s="71" t="s">
        <v>955</v>
      </c>
      <c r="I736" s="405"/>
      <c r="J736" s="405"/>
      <c r="K736" s="398">
        <v>0.06</v>
      </c>
      <c r="L736" s="405">
        <v>22700</v>
      </c>
      <c r="M736" s="1044">
        <f t="shared" si="274"/>
        <v>1362</v>
      </c>
      <c r="N736" s="1045" t="s">
        <v>99</v>
      </c>
      <c r="O736" s="65" t="s">
        <v>264</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row>
    <row r="737" spans="1:31" ht="15.75" customHeight="1">
      <c r="A737" s="327" t="str">
        <f>IF(B737&lt;&gt;"",IF(AND(B737='IN-TC'!$S$4,OR(TH!N737="1111",TH!O737="1111")),TH!D737,""),"")</f>
        <v/>
      </c>
      <c r="B737" s="62">
        <f t="shared" si="266"/>
        <v>2</v>
      </c>
      <c r="C737" s="63">
        <v>42784</v>
      </c>
      <c r="D737" s="63" t="s">
        <v>1022</v>
      </c>
      <c r="E737" s="63">
        <f t="shared" si="252"/>
        <v>42784</v>
      </c>
      <c r="F737" s="66" t="s">
        <v>1036</v>
      </c>
      <c r="G737" s="66" t="s">
        <v>813</v>
      </c>
      <c r="H737" s="71" t="s">
        <v>955</v>
      </c>
      <c r="I737" s="405"/>
      <c r="J737" s="405"/>
      <c r="K737" s="398">
        <v>0.05</v>
      </c>
      <c r="L737" s="405">
        <v>22700</v>
      </c>
      <c r="M737" s="1044">
        <f t="shared" si="274"/>
        <v>1135</v>
      </c>
      <c r="N737" s="1045" t="s">
        <v>99</v>
      </c>
      <c r="O737" s="65" t="s">
        <v>264</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1" ht="15.75" customHeight="1">
      <c r="A738" s="327" t="str">
        <f>IF(B738&lt;&gt;"",IF(AND(B738='IN-TC'!$S$4,OR(TH!N738="1111",TH!O738="1111")),TH!D738,""),"")</f>
        <v/>
      </c>
      <c r="B738" s="62">
        <f t="shared" si="266"/>
        <v>2</v>
      </c>
      <c r="C738" s="63">
        <v>42784</v>
      </c>
      <c r="D738" s="63" t="s">
        <v>1022</v>
      </c>
      <c r="E738" s="63">
        <f t="shared" si="252"/>
        <v>42784</v>
      </c>
      <c r="F738" s="66" t="s">
        <v>1036</v>
      </c>
      <c r="G738" s="66" t="s">
        <v>813</v>
      </c>
      <c r="H738" s="71" t="s">
        <v>955</v>
      </c>
      <c r="I738" s="405"/>
      <c r="J738" s="405"/>
      <c r="K738" s="398">
        <v>0.06</v>
      </c>
      <c r="L738" s="405">
        <v>22700</v>
      </c>
      <c r="M738" s="1044">
        <f t="shared" si="274"/>
        <v>1362</v>
      </c>
      <c r="N738" s="1045" t="s">
        <v>99</v>
      </c>
      <c r="O738" s="65" t="s">
        <v>264</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row>
    <row r="739" spans="1:31" ht="15.75" customHeight="1">
      <c r="A739" s="327" t="str">
        <f>IF(B739&lt;&gt;"",IF(AND(B739='IN-TC'!$S$4,OR(TH!N739="1111",TH!O739="1111")),TH!D739,""),"")</f>
        <v/>
      </c>
      <c r="B739" s="62">
        <f t="shared" si="266"/>
        <v>2</v>
      </c>
      <c r="C739" s="63">
        <v>42784</v>
      </c>
      <c r="D739" s="63" t="s">
        <v>1022</v>
      </c>
      <c r="E739" s="63">
        <f t="shared" si="252"/>
        <v>42784</v>
      </c>
      <c r="F739" s="66" t="s">
        <v>1036</v>
      </c>
      <c r="G739" s="66" t="s">
        <v>813</v>
      </c>
      <c r="H739" s="71" t="s">
        <v>955</v>
      </c>
      <c r="I739" s="405"/>
      <c r="J739" s="405"/>
      <c r="K739" s="398">
        <v>0.06</v>
      </c>
      <c r="L739" s="405">
        <v>22700</v>
      </c>
      <c r="M739" s="1044">
        <f t="shared" si="274"/>
        <v>1362</v>
      </c>
      <c r="N739" s="1045" t="s">
        <v>99</v>
      </c>
      <c r="O739" s="65" t="s">
        <v>264</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row>
    <row r="740" spans="1:31" ht="15.75" customHeight="1">
      <c r="A740" s="327" t="str">
        <f>IF(B740&lt;&gt;"",IF(AND(B740='IN-TC'!$S$4,OR(TH!N740="1111",TH!O740="1111")),TH!D740,""),"")</f>
        <v/>
      </c>
      <c r="B740" s="62">
        <f t="shared" si="266"/>
        <v>2</v>
      </c>
      <c r="C740" s="63">
        <v>42784</v>
      </c>
      <c r="D740" s="63" t="s">
        <v>1022</v>
      </c>
      <c r="E740" s="63">
        <f t="shared" si="252"/>
        <v>42784</v>
      </c>
      <c r="F740" s="66" t="s">
        <v>1036</v>
      </c>
      <c r="G740" s="66" t="s">
        <v>813</v>
      </c>
      <c r="H740" s="71" t="s">
        <v>955</v>
      </c>
      <c r="I740" s="405"/>
      <c r="J740" s="405"/>
      <c r="K740" s="398">
        <v>0.05</v>
      </c>
      <c r="L740" s="405">
        <v>22700</v>
      </c>
      <c r="M740" s="1044">
        <f t="shared" si="274"/>
        <v>1135</v>
      </c>
      <c r="N740" s="1045" t="s">
        <v>99</v>
      </c>
      <c r="O740" s="65" t="s">
        <v>264</v>
      </c>
      <c r="P740" s="81" t="str">
        <f>IF(AND('331-CT'!$E$7=TH!H740,OR(N740="331",O740="331")),"x","")</f>
        <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1" ht="15.75" customHeight="1">
      <c r="A741" s="327" t="str">
        <f>IF(B741&lt;&gt;"",IF(AND(B741='IN-TC'!$S$4,OR(TH!N741="1111",TH!O741="1111")),TH!D741,""),"")</f>
        <v/>
      </c>
      <c r="B741" s="62">
        <f t="shared" si="266"/>
        <v>2</v>
      </c>
      <c r="C741" s="63">
        <v>42784</v>
      </c>
      <c r="D741" s="63" t="s">
        <v>1022</v>
      </c>
      <c r="E741" s="63">
        <f t="shared" si="252"/>
        <v>42784</v>
      </c>
      <c r="F741" s="66" t="s">
        <v>1036</v>
      </c>
      <c r="G741" s="66" t="s">
        <v>813</v>
      </c>
      <c r="H741" s="71" t="s">
        <v>955</v>
      </c>
      <c r="I741" s="405"/>
      <c r="J741" s="405"/>
      <c r="K741" s="398">
        <v>0.09</v>
      </c>
      <c r="L741" s="405">
        <v>22700</v>
      </c>
      <c r="M741" s="1044">
        <f t="shared" si="274"/>
        <v>2043</v>
      </c>
      <c r="N741" s="1045" t="s">
        <v>99</v>
      </c>
      <c r="O741" s="65" t="s">
        <v>264</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row>
    <row r="742" spans="1:31" ht="15.75" customHeight="1">
      <c r="A742" s="327" t="str">
        <f>IF(B742&lt;&gt;"",IF(AND(B742='IN-TC'!$S$4,OR(TH!N742="1111",TH!O742="1111")),TH!D742,""),"")</f>
        <v/>
      </c>
      <c r="B742" s="62">
        <f t="shared" si="266"/>
        <v>2</v>
      </c>
      <c r="C742" s="63">
        <v>42784</v>
      </c>
      <c r="D742" s="63" t="s">
        <v>1022</v>
      </c>
      <c r="E742" s="63">
        <f t="shared" si="252"/>
        <v>42784</v>
      </c>
      <c r="F742" s="66" t="s">
        <v>1036</v>
      </c>
      <c r="G742" s="66" t="s">
        <v>813</v>
      </c>
      <c r="H742" s="71" t="s">
        <v>955</v>
      </c>
      <c r="I742" s="405"/>
      <c r="J742" s="405"/>
      <c r="K742" s="398">
        <v>0.04</v>
      </c>
      <c r="L742" s="405">
        <v>22700</v>
      </c>
      <c r="M742" s="1044">
        <f t="shared" si="274"/>
        <v>908</v>
      </c>
      <c r="N742" s="1045" t="s">
        <v>99</v>
      </c>
      <c r="O742" s="65" t="s">
        <v>264</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row>
    <row r="743" spans="1:31" ht="15.75" customHeight="1">
      <c r="A743" s="327" t="str">
        <f>IF(B743&lt;&gt;"",IF(AND(B743='IN-TC'!$S$4,OR(TH!N743="1111",TH!O743="1111")),TH!D743,""),"")</f>
        <v/>
      </c>
      <c r="B743" s="62">
        <f t="shared" si="266"/>
        <v>2</v>
      </c>
      <c r="C743" s="63">
        <v>42784</v>
      </c>
      <c r="D743" s="63" t="s">
        <v>1022</v>
      </c>
      <c r="E743" s="63">
        <f t="shared" si="252"/>
        <v>42784</v>
      </c>
      <c r="F743" s="66" t="s">
        <v>1036</v>
      </c>
      <c r="G743" s="66" t="s">
        <v>813</v>
      </c>
      <c r="H743" s="71" t="s">
        <v>955</v>
      </c>
      <c r="I743" s="405"/>
      <c r="J743" s="405"/>
      <c r="K743" s="398">
        <v>0.03</v>
      </c>
      <c r="L743" s="405">
        <v>22700</v>
      </c>
      <c r="M743" s="1044">
        <f t="shared" si="274"/>
        <v>681</v>
      </c>
      <c r="N743" s="1045" t="s">
        <v>99</v>
      </c>
      <c r="O743" s="65" t="s">
        <v>264</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1" ht="15.75" customHeight="1">
      <c r="A744" s="327" t="str">
        <f>IF(B744&lt;&gt;"",IF(AND(B744='IN-TC'!$S$4,OR(TH!N744="1111",TH!O744="1111")),TH!D744,""),"")</f>
        <v/>
      </c>
      <c r="B744" s="62">
        <f t="shared" si="266"/>
        <v>2</v>
      </c>
      <c r="C744" s="63">
        <v>42788</v>
      </c>
      <c r="D744" s="63" t="s">
        <v>1023</v>
      </c>
      <c r="E744" s="63">
        <f t="shared" si="252"/>
        <v>42788</v>
      </c>
      <c r="F744" s="66" t="s">
        <v>1038</v>
      </c>
      <c r="G744" s="66" t="s">
        <v>813</v>
      </c>
      <c r="H744" s="71" t="s">
        <v>850</v>
      </c>
      <c r="I744" s="405"/>
      <c r="J744" s="405"/>
      <c r="K744" s="398">
        <v>448090.2</v>
      </c>
      <c r="L744" s="405">
        <v>22700</v>
      </c>
      <c r="M744" s="1044">
        <f t="shared" si="274"/>
        <v>10171647540</v>
      </c>
      <c r="N744" s="1045" t="s">
        <v>264</v>
      </c>
      <c r="O744" s="65" t="s">
        <v>579</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x</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1" ht="15.75" customHeight="1">
      <c r="A745" s="327" t="str">
        <f>IF(B745&lt;&gt;"",IF(AND(B745='IN-TC'!$S$4,OR(TH!N745="1111",TH!O745="1111")),TH!D745,""),"")</f>
        <v/>
      </c>
      <c r="B745" s="62">
        <f t="shared" ref="B745" si="292">IF(C745&lt;&gt;"",MONTH(C745),"")</f>
        <v>2</v>
      </c>
      <c r="C745" s="63">
        <v>42788</v>
      </c>
      <c r="D745" s="63" t="s">
        <v>573</v>
      </c>
      <c r="E745" s="63">
        <f t="shared" ref="E745" si="293">C745</f>
        <v>42788</v>
      </c>
      <c r="F745" s="66" t="s">
        <v>1166</v>
      </c>
      <c r="G745" s="66" t="s">
        <v>813</v>
      </c>
      <c r="H745" s="71" t="s">
        <v>850</v>
      </c>
      <c r="I745" s="405"/>
      <c r="J745" s="405"/>
      <c r="K745" s="398">
        <v>12</v>
      </c>
      <c r="L745" s="405">
        <v>22700</v>
      </c>
      <c r="M745" s="1044">
        <f t="shared" si="274"/>
        <v>272400</v>
      </c>
      <c r="N745" s="1045" t="s">
        <v>101</v>
      </c>
      <c r="O745" s="65" t="s">
        <v>579</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x</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row>
    <row r="746" spans="1:31" ht="15.75" customHeight="1">
      <c r="A746" s="327" t="str">
        <f>IF(B746&lt;&gt;"",IF(AND(B746='IN-TC'!$S$4,OR(TH!N746="1111",TH!O746="1111")),TH!D746,""),"")</f>
        <v/>
      </c>
      <c r="B746" s="62">
        <f t="shared" si="266"/>
        <v>2</v>
      </c>
      <c r="C746" s="63">
        <v>42788</v>
      </c>
      <c r="D746" s="63" t="s">
        <v>1022</v>
      </c>
      <c r="E746" s="63">
        <f t="shared" si="252"/>
        <v>42788</v>
      </c>
      <c r="F746" s="66" t="s">
        <v>990</v>
      </c>
      <c r="G746" s="66" t="s">
        <v>813</v>
      </c>
      <c r="H746" s="330" t="s">
        <v>955</v>
      </c>
      <c r="I746" s="405"/>
      <c r="J746" s="405"/>
      <c r="K746" s="398">
        <v>100</v>
      </c>
      <c r="L746" s="405">
        <v>22700</v>
      </c>
      <c r="M746" s="1044">
        <f t="shared" si="274"/>
        <v>2270000</v>
      </c>
      <c r="N746" s="1045" t="s">
        <v>101</v>
      </c>
      <c r="O746" s="65" t="s">
        <v>264</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c r="AE746">
        <v>2</v>
      </c>
    </row>
    <row r="747" spans="1:31" ht="15.75" customHeight="1">
      <c r="A747" s="327" t="str">
        <f>IF(B747&lt;&gt;"",IF(AND(B747='IN-TC'!$S$4,OR(TH!N747="1111",TH!O747="1111")),TH!D747,""),"")</f>
        <v/>
      </c>
      <c r="B747" s="62">
        <f t="shared" si="266"/>
        <v>2</v>
      </c>
      <c r="C747" s="63">
        <v>42788</v>
      </c>
      <c r="D747" s="63" t="s">
        <v>1022</v>
      </c>
      <c r="E747" s="63">
        <f t="shared" si="252"/>
        <v>42788</v>
      </c>
      <c r="F747" s="66" t="s">
        <v>1018</v>
      </c>
      <c r="G747" s="66" t="s">
        <v>813</v>
      </c>
      <c r="H747" s="330" t="s">
        <v>955</v>
      </c>
      <c r="I747" s="405"/>
      <c r="J747" s="405"/>
      <c r="K747" s="398">
        <v>10</v>
      </c>
      <c r="L747" s="405">
        <v>22700</v>
      </c>
      <c r="M747" s="1044">
        <f t="shared" si="274"/>
        <v>227000</v>
      </c>
      <c r="N747" s="1045" t="s">
        <v>9</v>
      </c>
      <c r="O747" s="65" t="s">
        <v>264</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c r="AE747">
        <v>2</v>
      </c>
    </row>
    <row r="748" spans="1:31" ht="15.75" customHeight="1">
      <c r="A748" s="327" t="str">
        <f>IF(B748&lt;&gt;"",IF(AND(B748='IN-TC'!$S$4,OR(TH!N748="1111",TH!O748="1111")),TH!D748,""),"")</f>
        <v/>
      </c>
      <c r="B748" s="62">
        <f t="shared" si="266"/>
        <v>2</v>
      </c>
      <c r="C748" s="63">
        <v>42788</v>
      </c>
      <c r="D748" s="63" t="s">
        <v>1022</v>
      </c>
      <c r="E748" s="63">
        <f t="shared" si="252"/>
        <v>42788</v>
      </c>
      <c r="F748" s="66" t="s">
        <v>1036</v>
      </c>
      <c r="G748" s="66" t="s">
        <v>813</v>
      </c>
      <c r="H748" s="330" t="s">
        <v>955</v>
      </c>
      <c r="I748" s="405"/>
      <c r="J748" s="405"/>
      <c r="K748" s="398">
        <v>29.83</v>
      </c>
      <c r="L748" s="405">
        <v>22700</v>
      </c>
      <c r="M748" s="1044">
        <f t="shared" si="274"/>
        <v>677141</v>
      </c>
      <c r="N748" s="65" t="s">
        <v>99</v>
      </c>
      <c r="O748" s="65" t="s">
        <v>264</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row>
    <row r="749" spans="1:31" s="1205" customFormat="1" ht="15.75" customHeight="1">
      <c r="A749" s="327" t="str">
        <f>IF(B749&lt;&gt;"",IF(AND(B749='IN-TC'!$S$4,OR(TH!N749="1111",TH!O749="1111")),TH!D749,""),"")</f>
        <v/>
      </c>
      <c r="B749" s="62">
        <f t="shared" si="266"/>
        <v>2</v>
      </c>
      <c r="C749" s="63">
        <v>42788</v>
      </c>
      <c r="D749" s="63" t="s">
        <v>1022</v>
      </c>
      <c r="E749" s="63">
        <f t="shared" si="252"/>
        <v>42788</v>
      </c>
      <c r="F749" s="66" t="s">
        <v>1037</v>
      </c>
      <c r="G749" s="66" t="s">
        <v>813</v>
      </c>
      <c r="H749" s="7" t="s">
        <v>856</v>
      </c>
      <c r="I749" s="405"/>
      <c r="J749" s="405"/>
      <c r="K749" s="398">
        <v>89500</v>
      </c>
      <c r="L749" s="405">
        <v>22700</v>
      </c>
      <c r="M749" s="1044">
        <f t="shared" si="274"/>
        <v>2031650000</v>
      </c>
      <c r="N749" s="65" t="s">
        <v>258</v>
      </c>
      <c r="O749" s="65" t="s">
        <v>264</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row>
    <row r="750" spans="1:31" s="1205" customFormat="1" ht="15.75" customHeight="1">
      <c r="A750" s="327" t="str">
        <f>IF(B750&lt;&gt;"",IF(AND(B750='IN-TC'!$S$4,OR(TH!N750="1111",TH!O750="1111")),TH!D750,""),"")</f>
        <v/>
      </c>
      <c r="B750" s="62">
        <f t="shared" ref="B750" si="294">IF(C750&lt;&gt;"",MONTH(C750),"")</f>
        <v>2</v>
      </c>
      <c r="C750" s="63">
        <v>42788</v>
      </c>
      <c r="D750" s="63" t="s">
        <v>573</v>
      </c>
      <c r="E750" s="63">
        <f t="shared" ref="E750" si="295">C750</f>
        <v>42788</v>
      </c>
      <c r="F750" s="66" t="s">
        <v>1137</v>
      </c>
      <c r="G750" s="66" t="s">
        <v>813</v>
      </c>
      <c r="H750" s="7" t="s">
        <v>856</v>
      </c>
      <c r="I750" s="405"/>
      <c r="J750" s="405"/>
      <c r="K750" s="398"/>
      <c r="L750" s="405"/>
      <c r="M750" s="1044">
        <v>35084000</v>
      </c>
      <c r="N750" s="65" t="s">
        <v>99</v>
      </c>
      <c r="O750" s="65" t="s">
        <v>258</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row>
    <row r="751" spans="1:31" ht="15.75" customHeight="1">
      <c r="A751" s="327" t="str">
        <f>IF(B751&lt;&gt;"",IF(AND(B751='IN-TC'!$S$4,OR(TH!N751="1111",TH!O751="1111")),TH!D751,""),"")</f>
        <v/>
      </c>
      <c r="B751" s="62">
        <f t="shared" si="266"/>
        <v>2</v>
      </c>
      <c r="C751" s="63">
        <v>42788</v>
      </c>
      <c r="D751" s="63" t="s">
        <v>1022</v>
      </c>
      <c r="E751" s="63">
        <f t="shared" ref="E751:E767" si="296">C751</f>
        <v>42788</v>
      </c>
      <c r="F751" s="66" t="s">
        <v>1036</v>
      </c>
      <c r="G751" s="66" t="s">
        <v>813</v>
      </c>
      <c r="H751" s="330" t="s">
        <v>955</v>
      </c>
      <c r="I751" s="405"/>
      <c r="J751" s="405"/>
      <c r="K751" s="398">
        <v>201.37</v>
      </c>
      <c r="L751" s="405">
        <v>22700</v>
      </c>
      <c r="M751" s="1044">
        <f t="shared" si="274"/>
        <v>4571099</v>
      </c>
      <c r="N751" s="65" t="s">
        <v>99</v>
      </c>
      <c r="O751" s="65" t="s">
        <v>264</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row>
    <row r="752" spans="1:31" ht="15.75" customHeight="1">
      <c r="A752" s="327" t="str">
        <f>IF(B752&lt;&gt;"",IF(AND(B752='IN-TC'!$S$4,OR(TH!N752="1111",TH!O752="1111")),TH!D752,""),"")</f>
        <v/>
      </c>
      <c r="B752" s="62">
        <f t="shared" si="266"/>
        <v>2</v>
      </c>
      <c r="C752" s="63">
        <v>42788</v>
      </c>
      <c r="D752" s="63" t="s">
        <v>1022</v>
      </c>
      <c r="E752" s="63">
        <f t="shared" si="296"/>
        <v>42788</v>
      </c>
      <c r="F752" s="66" t="s">
        <v>1036</v>
      </c>
      <c r="G752" s="66" t="s">
        <v>813</v>
      </c>
      <c r="H752" s="330" t="s">
        <v>955</v>
      </c>
      <c r="I752" s="405"/>
      <c r="J752" s="405"/>
      <c r="K752" s="398">
        <v>216</v>
      </c>
      <c r="L752" s="405">
        <v>22700</v>
      </c>
      <c r="M752" s="1044">
        <f t="shared" si="274"/>
        <v>4903200</v>
      </c>
      <c r="N752" s="65" t="s">
        <v>99</v>
      </c>
      <c r="O752" s="65" t="s">
        <v>264</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0" ht="15.75" customHeight="1">
      <c r="A753" s="327" t="str">
        <f>IF(B753&lt;&gt;"",IF(AND(B753='IN-TC'!$S$4,OR(TH!N753="1111",TH!O753="1111")),TH!D753,""),"")</f>
        <v/>
      </c>
      <c r="B753" s="62">
        <f t="shared" si="266"/>
        <v>2</v>
      </c>
      <c r="C753" s="63">
        <v>42788</v>
      </c>
      <c r="D753" s="63" t="s">
        <v>1022</v>
      </c>
      <c r="E753" s="63">
        <f t="shared" si="296"/>
        <v>42788</v>
      </c>
      <c r="F753" s="66" t="s">
        <v>1036</v>
      </c>
      <c r="G753" s="66" t="s">
        <v>813</v>
      </c>
      <c r="H753" s="330" t="s">
        <v>955</v>
      </c>
      <c r="I753" s="405"/>
      <c r="J753" s="405"/>
      <c r="K753" s="398">
        <v>127.75</v>
      </c>
      <c r="L753" s="405">
        <v>22700</v>
      </c>
      <c r="M753" s="1044">
        <f t="shared" si="274"/>
        <v>2899925</v>
      </c>
      <c r="N753" s="65" t="s">
        <v>99</v>
      </c>
      <c r="O753" s="65" t="s">
        <v>264</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0" ht="15.75" customHeight="1">
      <c r="A754" s="327" t="str">
        <f>IF(B754&lt;&gt;"",IF(AND(B754='IN-TC'!$S$4,OR(TH!N754="1111",TH!O754="1111")),TH!D754,""),"")</f>
        <v/>
      </c>
      <c r="B754" s="62">
        <f t="shared" si="266"/>
        <v>2</v>
      </c>
      <c r="C754" s="63">
        <v>42788</v>
      </c>
      <c r="D754" s="63" t="s">
        <v>1022</v>
      </c>
      <c r="E754" s="63">
        <f t="shared" si="296"/>
        <v>42788</v>
      </c>
      <c r="F754" s="66" t="s">
        <v>1036</v>
      </c>
      <c r="G754" s="66" t="s">
        <v>813</v>
      </c>
      <c r="H754" s="330" t="s">
        <v>955</v>
      </c>
      <c r="I754" s="405"/>
      <c r="J754" s="405"/>
      <c r="K754" s="398">
        <v>191.25</v>
      </c>
      <c r="L754" s="405">
        <v>22700</v>
      </c>
      <c r="M754" s="1044">
        <f t="shared" si="274"/>
        <v>4341375</v>
      </c>
      <c r="N754" s="65" t="s">
        <v>99</v>
      </c>
      <c r="O754" s="65" t="s">
        <v>264</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0" ht="15.75" customHeight="1">
      <c r="A755" s="327" t="str">
        <f>IF(B755&lt;&gt;"",IF(AND(B755='IN-TC'!$S$4,OR(TH!N755="1111",TH!O755="1111")),TH!D755,""),"")</f>
        <v/>
      </c>
      <c r="B755" s="62">
        <f t="shared" si="266"/>
        <v>2</v>
      </c>
      <c r="C755" s="63">
        <v>42788</v>
      </c>
      <c r="D755" s="63" t="s">
        <v>1022</v>
      </c>
      <c r="E755" s="63">
        <f t="shared" si="296"/>
        <v>42788</v>
      </c>
      <c r="F755" s="66" t="s">
        <v>1036</v>
      </c>
      <c r="G755" s="66" t="s">
        <v>813</v>
      </c>
      <c r="H755" s="330" t="s">
        <v>955</v>
      </c>
      <c r="I755" s="405"/>
      <c r="J755" s="405"/>
      <c r="K755" s="398">
        <v>308.25</v>
      </c>
      <c r="L755" s="405">
        <v>22700</v>
      </c>
      <c r="M755" s="1044">
        <f t="shared" si="274"/>
        <v>6997275</v>
      </c>
      <c r="N755" s="65" t="s">
        <v>99</v>
      </c>
      <c r="O755" s="65" t="s">
        <v>264</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0" ht="15.75" customHeight="1">
      <c r="A756" s="327" t="str">
        <f>IF(B756&lt;&gt;"",IF(AND(B756='IN-TC'!$S$4,OR(TH!N756="1111",TH!O756="1111")),TH!D756,""),"")</f>
        <v/>
      </c>
      <c r="B756" s="62">
        <f t="shared" si="266"/>
        <v>2</v>
      </c>
      <c r="C756" s="63">
        <v>42788</v>
      </c>
      <c r="D756" s="63" t="s">
        <v>1022</v>
      </c>
      <c r="E756" s="63">
        <f t="shared" si="296"/>
        <v>42788</v>
      </c>
      <c r="F756" s="66" t="s">
        <v>1036</v>
      </c>
      <c r="G756" s="66" t="s">
        <v>813</v>
      </c>
      <c r="H756" s="330" t="s">
        <v>955</v>
      </c>
      <c r="I756" s="405"/>
      <c r="J756" s="405"/>
      <c r="K756" s="398">
        <v>198</v>
      </c>
      <c r="L756" s="405">
        <v>22700</v>
      </c>
      <c r="M756" s="1044">
        <f t="shared" si="274"/>
        <v>4494600</v>
      </c>
      <c r="N756" s="65" t="s">
        <v>99</v>
      </c>
      <c r="O756" s="65" t="s">
        <v>264</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0" ht="15.75" customHeight="1">
      <c r="A757" s="327" t="str">
        <f>IF(B757&lt;&gt;"",IF(AND(B757='IN-TC'!$S$4,OR(TH!N757="1111",TH!O757="1111")),TH!D757,""),"")</f>
        <v/>
      </c>
      <c r="B757" s="62">
        <f t="shared" si="266"/>
        <v>2</v>
      </c>
      <c r="C757" s="63">
        <v>42788</v>
      </c>
      <c r="D757" s="63" t="s">
        <v>1022</v>
      </c>
      <c r="E757" s="63">
        <f t="shared" si="296"/>
        <v>42788</v>
      </c>
      <c r="F757" s="66" t="s">
        <v>1036</v>
      </c>
      <c r="G757" s="66" t="s">
        <v>813</v>
      </c>
      <c r="H757" s="330" t="s">
        <v>955</v>
      </c>
      <c r="I757" s="405"/>
      <c r="J757" s="405"/>
      <c r="K757" s="398">
        <v>200.25</v>
      </c>
      <c r="L757" s="405">
        <v>22700</v>
      </c>
      <c r="M757" s="1044">
        <f t="shared" si="274"/>
        <v>4545675</v>
      </c>
      <c r="N757" s="65" t="s">
        <v>99</v>
      </c>
      <c r="O757" s="65" t="s">
        <v>264</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0" ht="15.75" customHeight="1">
      <c r="A758" s="327" t="str">
        <f>IF(B758&lt;&gt;"",IF(AND(B758='IN-TC'!$S$4,OR(TH!N758="1111",TH!O758="1111")),TH!D758,""),"")</f>
        <v/>
      </c>
      <c r="B758" s="62">
        <f t="shared" si="266"/>
        <v>2</v>
      </c>
      <c r="C758" s="63">
        <v>42788</v>
      </c>
      <c r="D758" s="63" t="s">
        <v>1022</v>
      </c>
      <c r="E758" s="63">
        <f t="shared" si="296"/>
        <v>42788</v>
      </c>
      <c r="F758" s="66" t="s">
        <v>1036</v>
      </c>
      <c r="G758" s="66" t="s">
        <v>813</v>
      </c>
      <c r="H758" s="330" t="s">
        <v>955</v>
      </c>
      <c r="I758" s="405"/>
      <c r="J758" s="405"/>
      <c r="K758" s="398">
        <v>52.5</v>
      </c>
      <c r="L758" s="405">
        <v>22700</v>
      </c>
      <c r="M758" s="1044">
        <f t="shared" si="274"/>
        <v>1191750</v>
      </c>
      <c r="N758" s="65" t="s">
        <v>99</v>
      </c>
      <c r="O758" s="65" t="s">
        <v>264</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0" ht="15.75" customHeight="1">
      <c r="A759" s="327" t="str">
        <f>IF(B759&lt;&gt;"",IF(AND(B759='IN-TC'!$S$4,OR(TH!N759="1111",TH!O759="1111")),TH!D759,""),"")</f>
        <v/>
      </c>
      <c r="B759" s="62">
        <f t="shared" si="266"/>
        <v>2</v>
      </c>
      <c r="C759" s="63">
        <v>42788</v>
      </c>
      <c r="D759" s="63" t="s">
        <v>1022</v>
      </c>
      <c r="E759" s="63">
        <f t="shared" si="296"/>
        <v>42788</v>
      </c>
      <c r="F759" s="66" t="s">
        <v>1036</v>
      </c>
      <c r="G759" s="66" t="s">
        <v>813</v>
      </c>
      <c r="H759" s="330" t="s">
        <v>955</v>
      </c>
      <c r="I759" s="405"/>
      <c r="J759" s="405"/>
      <c r="K759" s="398">
        <v>216</v>
      </c>
      <c r="L759" s="405">
        <v>22700</v>
      </c>
      <c r="M759" s="1044">
        <f t="shared" si="274"/>
        <v>4903200</v>
      </c>
      <c r="N759" s="65" t="s">
        <v>99</v>
      </c>
      <c r="O759" s="65" t="s">
        <v>264</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0" ht="15.75" customHeight="1">
      <c r="A760" s="327" t="str">
        <f>IF(B760&lt;&gt;"",IF(AND(B760='IN-TC'!$S$4,OR(TH!N760="1111",TH!O760="1111")),TH!D760,""),"")</f>
        <v/>
      </c>
      <c r="B760" s="62">
        <f t="shared" si="266"/>
        <v>2</v>
      </c>
      <c r="C760" s="63">
        <v>42788</v>
      </c>
      <c r="D760" s="63" t="s">
        <v>1022</v>
      </c>
      <c r="E760" s="63">
        <f t="shared" si="296"/>
        <v>42788</v>
      </c>
      <c r="F760" s="66" t="s">
        <v>1036</v>
      </c>
      <c r="G760" s="66" t="s">
        <v>813</v>
      </c>
      <c r="H760" s="330" t="s">
        <v>955</v>
      </c>
      <c r="I760" s="405"/>
      <c r="J760" s="405"/>
      <c r="K760" s="398">
        <v>184.5</v>
      </c>
      <c r="L760" s="405">
        <v>22700</v>
      </c>
      <c r="M760" s="1044">
        <f t="shared" si="274"/>
        <v>4188150</v>
      </c>
      <c r="N760" s="65" t="s">
        <v>99</v>
      </c>
      <c r="O760" s="65" t="s">
        <v>264</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0" ht="15.75" customHeight="1">
      <c r="A761" s="327" t="str">
        <f>IF(B761&lt;&gt;"",IF(AND(B761='IN-TC'!$S$4,OR(TH!N761="1111",TH!O761="1111")),TH!D761,""),"")</f>
        <v/>
      </c>
      <c r="B761" s="62">
        <f t="shared" si="266"/>
        <v>2</v>
      </c>
      <c r="C761" s="63">
        <v>42788</v>
      </c>
      <c r="D761" s="63" t="s">
        <v>1022</v>
      </c>
      <c r="E761" s="63">
        <f t="shared" si="296"/>
        <v>42788</v>
      </c>
      <c r="F761" s="66" t="s">
        <v>1036</v>
      </c>
      <c r="G761" s="66" t="s">
        <v>813</v>
      </c>
      <c r="H761" s="330" t="s">
        <v>955</v>
      </c>
      <c r="I761" s="405"/>
      <c r="J761" s="405"/>
      <c r="K761" s="398">
        <v>209.25</v>
      </c>
      <c r="L761" s="405">
        <v>22700</v>
      </c>
      <c r="M761" s="1044">
        <f t="shared" si="274"/>
        <v>4749975</v>
      </c>
      <c r="N761" s="65" t="s">
        <v>99</v>
      </c>
      <c r="O761" s="65" t="s">
        <v>264</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0" ht="15.75" customHeight="1">
      <c r="A762" s="327" t="str">
        <f>IF(B762&lt;&gt;"",IF(AND(B762='IN-TC'!$S$4,OR(TH!N762="1111",TH!O762="1111")),TH!D762,""),"")</f>
        <v/>
      </c>
      <c r="B762" s="62">
        <f t="shared" si="266"/>
        <v>2</v>
      </c>
      <c r="C762" s="63">
        <v>42788</v>
      </c>
      <c r="D762" s="63" t="s">
        <v>1022</v>
      </c>
      <c r="E762" s="63">
        <f t="shared" si="296"/>
        <v>42788</v>
      </c>
      <c r="F762" s="66" t="s">
        <v>1036</v>
      </c>
      <c r="G762" s="66" t="s">
        <v>813</v>
      </c>
      <c r="H762" s="330" t="s">
        <v>955</v>
      </c>
      <c r="I762" s="405"/>
      <c r="J762" s="405"/>
      <c r="K762" s="398">
        <v>32</v>
      </c>
      <c r="L762" s="405">
        <v>22700</v>
      </c>
      <c r="M762" s="1044">
        <f t="shared" si="274"/>
        <v>726400</v>
      </c>
      <c r="N762" s="65" t="s">
        <v>99</v>
      </c>
      <c r="O762" s="65" t="s">
        <v>264</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row>
    <row r="763" spans="1:30" ht="15.75" customHeight="1">
      <c r="A763" s="327" t="str">
        <f>IF(B763&lt;&gt;"",IF(AND(B763='IN-TC'!$S$4,OR(TH!N763="1111",TH!O763="1111")),TH!D763,""),"")</f>
        <v/>
      </c>
      <c r="B763" s="62">
        <f t="shared" si="266"/>
        <v>2</v>
      </c>
      <c r="C763" s="63">
        <v>42788</v>
      </c>
      <c r="D763" s="63" t="s">
        <v>1022</v>
      </c>
      <c r="E763" s="63">
        <f t="shared" si="296"/>
        <v>42788</v>
      </c>
      <c r="F763" s="66" t="s">
        <v>1036</v>
      </c>
      <c r="G763" s="66" t="s">
        <v>813</v>
      </c>
      <c r="H763" s="330" t="s">
        <v>955</v>
      </c>
      <c r="I763" s="405"/>
      <c r="J763" s="405"/>
      <c r="K763" s="398">
        <v>21</v>
      </c>
      <c r="L763" s="405">
        <v>22700</v>
      </c>
      <c r="M763" s="1044">
        <f t="shared" si="274"/>
        <v>476700</v>
      </c>
      <c r="N763" s="65" t="s">
        <v>99</v>
      </c>
      <c r="O763" s="65" t="s">
        <v>264</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row>
    <row r="764" spans="1:30" ht="15.75" customHeight="1">
      <c r="A764" s="327" t="str">
        <f>IF(B764&lt;&gt;"",IF(AND(B764='IN-TC'!$S$4,OR(TH!N764="1111",TH!O764="1111")),TH!D764,""),"")</f>
        <v/>
      </c>
      <c r="B764" s="62">
        <f t="shared" si="266"/>
        <v>2</v>
      </c>
      <c r="C764" s="63">
        <v>42788</v>
      </c>
      <c r="D764" s="63" t="s">
        <v>1022</v>
      </c>
      <c r="E764" s="63">
        <f t="shared" si="296"/>
        <v>42788</v>
      </c>
      <c r="F764" s="66" t="s">
        <v>1036</v>
      </c>
      <c r="G764" s="66" t="s">
        <v>813</v>
      </c>
      <c r="H764" s="330" t="s">
        <v>955</v>
      </c>
      <c r="I764" s="405"/>
      <c r="J764" s="405"/>
      <c r="K764" s="398">
        <v>45.67</v>
      </c>
      <c r="L764" s="405">
        <v>22700</v>
      </c>
      <c r="M764" s="1044">
        <f t="shared" si="274"/>
        <v>1036709</v>
      </c>
      <c r="N764" s="65" t="s">
        <v>99</v>
      </c>
      <c r="O764" s="65" t="s">
        <v>264</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row>
    <row r="765" spans="1:30" ht="15.75" customHeight="1">
      <c r="A765" s="327" t="str">
        <f>IF(B765&lt;&gt;"",IF(AND(B765='IN-TC'!$S$4,OR(TH!N765="1111",TH!O765="1111")),TH!D765,""),"")</f>
        <v/>
      </c>
      <c r="B765" s="62">
        <f t="shared" si="266"/>
        <v>2</v>
      </c>
      <c r="C765" s="63">
        <v>42788</v>
      </c>
      <c r="D765" s="63" t="s">
        <v>1022</v>
      </c>
      <c r="E765" s="63">
        <f t="shared" si="296"/>
        <v>42788</v>
      </c>
      <c r="F765" s="66" t="s">
        <v>1036</v>
      </c>
      <c r="G765" s="66" t="s">
        <v>813</v>
      </c>
      <c r="H765" s="330" t="s">
        <v>955</v>
      </c>
      <c r="I765" s="405"/>
      <c r="J765" s="405"/>
      <c r="K765" s="398">
        <v>31</v>
      </c>
      <c r="L765" s="405">
        <v>22700</v>
      </c>
      <c r="M765" s="1044">
        <f t="shared" si="274"/>
        <v>703700</v>
      </c>
      <c r="N765" s="65" t="s">
        <v>99</v>
      </c>
      <c r="O765" s="65" t="s">
        <v>264</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row>
    <row r="766" spans="1:30" ht="15.75" customHeight="1">
      <c r="A766" s="327" t="str">
        <f>IF(B766&lt;&gt;"",IF(AND(B766='IN-TC'!$S$4,OR(TH!N766="1111",TH!O766="1111")),TH!D766,""),"")</f>
        <v/>
      </c>
      <c r="B766" s="62">
        <f t="shared" si="266"/>
        <v>2</v>
      </c>
      <c r="C766" s="63">
        <v>42788</v>
      </c>
      <c r="D766" s="63" t="s">
        <v>1022</v>
      </c>
      <c r="E766" s="63">
        <f t="shared" si="296"/>
        <v>42788</v>
      </c>
      <c r="F766" s="66" t="s">
        <v>1036</v>
      </c>
      <c r="G766" s="66" t="s">
        <v>813</v>
      </c>
      <c r="H766" s="330" t="s">
        <v>955</v>
      </c>
      <c r="I766" s="405"/>
      <c r="J766" s="405"/>
      <c r="K766" s="398">
        <v>29.67</v>
      </c>
      <c r="L766" s="405">
        <v>22700</v>
      </c>
      <c r="M766" s="1044">
        <f t="shared" si="274"/>
        <v>673509</v>
      </c>
      <c r="N766" s="65" t="s">
        <v>99</v>
      </c>
      <c r="O766" s="65" t="s">
        <v>264</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row>
    <row r="767" spans="1:30" ht="15.75" customHeight="1">
      <c r="A767" s="327" t="str">
        <f>IF(B767&lt;&gt;"",IF(AND(B767='IN-TC'!$S$4,OR(TH!N767="1111",TH!O767="1111")),TH!D767,""),"")</f>
        <v/>
      </c>
      <c r="B767" s="62">
        <f t="shared" si="266"/>
        <v>2</v>
      </c>
      <c r="C767" s="63">
        <v>42788</v>
      </c>
      <c r="D767" s="63" t="s">
        <v>1022</v>
      </c>
      <c r="E767" s="63">
        <f t="shared" si="296"/>
        <v>42788</v>
      </c>
      <c r="F767" s="66" t="s">
        <v>1036</v>
      </c>
      <c r="G767" s="66" t="s">
        <v>813</v>
      </c>
      <c r="H767" s="330" t="s">
        <v>955</v>
      </c>
      <c r="I767" s="405"/>
      <c r="J767" s="405"/>
      <c r="K767" s="398">
        <v>32</v>
      </c>
      <c r="L767" s="405">
        <v>22700</v>
      </c>
      <c r="M767" s="1044">
        <f t="shared" si="274"/>
        <v>726400</v>
      </c>
      <c r="N767" s="65" t="s">
        <v>99</v>
      </c>
      <c r="O767" s="65" t="s">
        <v>264</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row>
    <row r="768" spans="1:30" ht="15.75" customHeight="1">
      <c r="A768" s="327" t="str">
        <f>IF(B768&lt;&gt;"",IF(AND(B768='IN-TC'!$S$4,OR(TH!N768="1111",TH!O768="1111")),TH!D768,""),"")</f>
        <v/>
      </c>
      <c r="B768" s="62">
        <f t="shared" si="266"/>
        <v>2</v>
      </c>
      <c r="C768" s="63">
        <v>42788</v>
      </c>
      <c r="D768" s="63" t="s">
        <v>1022</v>
      </c>
      <c r="E768" s="63">
        <f t="shared" ref="E768:E776" si="297">C768</f>
        <v>42788</v>
      </c>
      <c r="F768" s="66" t="s">
        <v>1036</v>
      </c>
      <c r="G768" s="66" t="s">
        <v>813</v>
      </c>
      <c r="H768" s="330" t="s">
        <v>955</v>
      </c>
      <c r="I768" s="405"/>
      <c r="J768" s="405"/>
      <c r="K768" s="398">
        <v>28.33</v>
      </c>
      <c r="L768" s="405">
        <v>22700</v>
      </c>
      <c r="M768" s="1044">
        <f t="shared" si="274"/>
        <v>643091</v>
      </c>
      <c r="N768" s="65" t="s">
        <v>99</v>
      </c>
      <c r="O768" s="65" t="s">
        <v>264</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row>
    <row r="769" spans="1:31" ht="15.75" customHeight="1">
      <c r="A769" s="327" t="str">
        <f>IF(B769&lt;&gt;"",IF(AND(B769='IN-TC'!$S$4,OR(TH!N769="1111",TH!O769="1111")),TH!D769,""),"")</f>
        <v/>
      </c>
      <c r="B769" s="62">
        <f t="shared" ref="B769" si="298">IF(C769&lt;&gt;"",MONTH(C769),"")</f>
        <v>2</v>
      </c>
      <c r="C769" s="63">
        <v>42788</v>
      </c>
      <c r="D769" s="63" t="s">
        <v>1022</v>
      </c>
      <c r="E769" s="63">
        <f t="shared" ref="E769" si="299">C769</f>
        <v>42788</v>
      </c>
      <c r="F769" s="66" t="s">
        <v>1036</v>
      </c>
      <c r="G769" s="66" t="s">
        <v>813</v>
      </c>
      <c r="H769" s="330" t="s">
        <v>955</v>
      </c>
      <c r="I769" s="405"/>
      <c r="J769" s="405"/>
      <c r="K769" s="398">
        <v>27.33</v>
      </c>
      <c r="L769" s="405">
        <v>22700</v>
      </c>
      <c r="M769" s="1044">
        <f t="shared" si="274"/>
        <v>620391</v>
      </c>
      <c r="N769" s="65" t="s">
        <v>99</v>
      </c>
      <c r="O769" s="65" t="s">
        <v>264</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row>
    <row r="770" spans="1:31" ht="15.75" customHeight="1">
      <c r="A770" s="327" t="str">
        <f>IF(B770&lt;&gt;"",IF(AND(B770='IN-TC'!$S$4,OR(TH!N770="1111",TH!O770="1111")),TH!D770,""),"")</f>
        <v/>
      </c>
      <c r="B770" s="62">
        <f t="shared" si="266"/>
        <v>2</v>
      </c>
      <c r="C770" s="63">
        <v>42788</v>
      </c>
      <c r="D770" s="63" t="s">
        <v>1022</v>
      </c>
      <c r="E770" s="63">
        <f t="shared" si="297"/>
        <v>42788</v>
      </c>
      <c r="F770" s="66" t="s">
        <v>1036</v>
      </c>
      <c r="G770" s="66" t="s">
        <v>813</v>
      </c>
      <c r="H770" s="330" t="s">
        <v>955</v>
      </c>
      <c r="I770" s="405"/>
      <c r="J770" s="405"/>
      <c r="K770" s="398">
        <v>17.03</v>
      </c>
      <c r="L770" s="405">
        <v>22700</v>
      </c>
      <c r="M770" s="1044">
        <f t="shared" si="274"/>
        <v>386581</v>
      </c>
      <c r="N770" s="65" t="s">
        <v>99</v>
      </c>
      <c r="O770" s="65" t="s">
        <v>264</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row>
    <row r="771" spans="1:31" ht="15.75" customHeight="1">
      <c r="A771" s="327" t="str">
        <f>IF(B771&lt;&gt;"",IF(AND(B771='IN-TC'!$S$4,OR(TH!N771="1111",TH!O771="1111")),TH!D771,""),"")</f>
        <v/>
      </c>
      <c r="B771" s="62">
        <f t="shared" si="266"/>
        <v>2</v>
      </c>
      <c r="C771" s="63">
        <v>42788</v>
      </c>
      <c r="D771" s="63" t="s">
        <v>1022</v>
      </c>
      <c r="E771" s="63">
        <f t="shared" si="297"/>
        <v>42788</v>
      </c>
      <c r="F771" s="66" t="s">
        <v>1036</v>
      </c>
      <c r="G771" s="66" t="s">
        <v>813</v>
      </c>
      <c r="H771" s="330" t="s">
        <v>955</v>
      </c>
      <c r="I771" s="405"/>
      <c r="J771" s="405"/>
      <c r="K771" s="398">
        <v>29.33</v>
      </c>
      <c r="L771" s="405">
        <v>22700</v>
      </c>
      <c r="M771" s="1044">
        <f t="shared" si="274"/>
        <v>665791</v>
      </c>
      <c r="N771" s="65" t="s">
        <v>99</v>
      </c>
      <c r="O771" s="65" t="s">
        <v>264</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row>
    <row r="772" spans="1:31" ht="15.75" customHeight="1">
      <c r="A772" s="327" t="str">
        <f>IF(B772&lt;&gt;"",IF(AND(B772='IN-TC'!$S$4,OR(TH!N772="1111",TH!O772="1111")),TH!D772,""),"")</f>
        <v/>
      </c>
      <c r="B772" s="62">
        <f t="shared" si="266"/>
        <v>2</v>
      </c>
      <c r="C772" s="63">
        <v>42790</v>
      </c>
      <c r="D772" s="63" t="s">
        <v>1023</v>
      </c>
      <c r="E772" s="63">
        <f t="shared" si="297"/>
        <v>42790</v>
      </c>
      <c r="F772" s="66" t="s">
        <v>1038</v>
      </c>
      <c r="G772" s="66" t="s">
        <v>813</v>
      </c>
      <c r="H772" s="71" t="s">
        <v>850</v>
      </c>
      <c r="I772" s="405"/>
      <c r="J772" s="405"/>
      <c r="K772" s="398">
        <v>450229.68</v>
      </c>
      <c r="L772" s="405">
        <v>22700</v>
      </c>
      <c r="M772" s="1044">
        <f t="shared" si="274"/>
        <v>10220213736</v>
      </c>
      <c r="N772" s="1045" t="s">
        <v>264</v>
      </c>
      <c r="O772" s="65" t="s">
        <v>579</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x</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row>
    <row r="773" spans="1:31" ht="15.75" customHeight="1">
      <c r="A773" s="327" t="str">
        <f>IF(B773&lt;&gt;"",IF(AND(B773='IN-TC'!$S$4,OR(TH!N773="1111",TH!O773="1111")),TH!D773,""),"")</f>
        <v/>
      </c>
      <c r="B773" s="62">
        <f t="shared" ref="B773" si="300">IF(C773&lt;&gt;"",MONTH(C773),"")</f>
        <v>2</v>
      </c>
      <c r="C773" s="63">
        <v>42790</v>
      </c>
      <c r="D773" s="63" t="s">
        <v>573</v>
      </c>
      <c r="E773" s="63">
        <f t="shared" ref="E773" si="301">C773</f>
        <v>42790</v>
      </c>
      <c r="F773" s="66" t="s">
        <v>1166</v>
      </c>
      <c r="G773" s="66" t="s">
        <v>813</v>
      </c>
      <c r="H773" s="71" t="s">
        <v>850</v>
      </c>
      <c r="I773" s="405"/>
      <c r="J773" s="405"/>
      <c r="K773" s="398">
        <v>12</v>
      </c>
      <c r="L773" s="405">
        <v>22700</v>
      </c>
      <c r="M773" s="1044">
        <f t="shared" si="274"/>
        <v>272400</v>
      </c>
      <c r="N773" s="1045" t="s">
        <v>101</v>
      </c>
      <c r="O773" s="65" t="s">
        <v>579</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x</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row>
    <row r="774" spans="1:31" ht="15.75" customHeight="1">
      <c r="A774" s="327" t="str">
        <f>IF(B774&lt;&gt;"",IF(AND(B774='IN-TC'!$S$4,OR(TH!N774="1111",TH!O774="1111")),TH!D774,""),"")</f>
        <v/>
      </c>
      <c r="B774" s="62">
        <f t="shared" ref="B774:B775" si="302">IF(C774&lt;&gt;"",MONTH(C774),"")</f>
        <v>2</v>
      </c>
      <c r="C774" s="63">
        <v>42793</v>
      </c>
      <c r="D774" s="63" t="s">
        <v>1022</v>
      </c>
      <c r="E774" s="63">
        <f t="shared" si="297"/>
        <v>42793</v>
      </c>
      <c r="F774" s="66" t="s">
        <v>990</v>
      </c>
      <c r="G774" s="66" t="s">
        <v>813</v>
      </c>
      <c r="H774" s="330" t="s">
        <v>955</v>
      </c>
      <c r="I774" s="405"/>
      <c r="J774" s="405"/>
      <c r="K774" s="398">
        <v>3</v>
      </c>
      <c r="L774" s="405">
        <v>22700</v>
      </c>
      <c r="M774" s="1044">
        <f t="shared" si="274"/>
        <v>68100</v>
      </c>
      <c r="N774" s="1045" t="s">
        <v>101</v>
      </c>
      <c r="O774" s="65" t="s">
        <v>264</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c r="AE774">
        <v>2</v>
      </c>
    </row>
    <row r="775" spans="1:31" ht="15.75" customHeight="1">
      <c r="A775" s="327" t="str">
        <f>IF(B775&lt;&gt;"",IF(AND(B775='IN-TC'!$S$4,OR(TH!N775="1111",TH!O775="1111")),TH!D775,""),"")</f>
        <v/>
      </c>
      <c r="B775" s="62">
        <f t="shared" si="302"/>
        <v>2</v>
      </c>
      <c r="C775" s="63">
        <v>42793</v>
      </c>
      <c r="D775" s="63" t="s">
        <v>1022</v>
      </c>
      <c r="E775" s="63">
        <f t="shared" si="297"/>
        <v>42793</v>
      </c>
      <c r="F775" s="66" t="s">
        <v>1018</v>
      </c>
      <c r="G775" s="66" t="s">
        <v>813</v>
      </c>
      <c r="H775" s="330" t="s">
        <v>955</v>
      </c>
      <c r="I775" s="405"/>
      <c r="J775" s="405"/>
      <c r="K775" s="398">
        <v>0.3</v>
      </c>
      <c r="L775" s="405">
        <v>22700</v>
      </c>
      <c r="M775" s="1044">
        <f t="shared" si="274"/>
        <v>6810</v>
      </c>
      <c r="N775" s="1045" t="s">
        <v>9</v>
      </c>
      <c r="O775" s="65" t="s">
        <v>264</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c r="AE775">
        <v>2</v>
      </c>
    </row>
    <row r="776" spans="1:31" ht="15.75" customHeight="1">
      <c r="A776" s="327" t="str">
        <f>IF(B776&lt;&gt;"",IF(AND(B776='IN-TC'!$S$4,OR(TH!N776="1111",TH!O776="1111")),TH!D776,""),"")</f>
        <v/>
      </c>
      <c r="B776" s="62">
        <f t="shared" si="266"/>
        <v>2</v>
      </c>
      <c r="C776" s="63">
        <v>42793</v>
      </c>
      <c r="D776" s="63" t="s">
        <v>1022</v>
      </c>
      <c r="E776" s="63">
        <f t="shared" si="297"/>
        <v>42793</v>
      </c>
      <c r="F776" s="66" t="s">
        <v>1039</v>
      </c>
      <c r="G776" s="66" t="s">
        <v>1046</v>
      </c>
      <c r="H776" s="330" t="s">
        <v>955</v>
      </c>
      <c r="I776" s="405"/>
      <c r="J776" s="405"/>
      <c r="K776" s="398">
        <v>450000</v>
      </c>
      <c r="L776" s="405">
        <v>22700</v>
      </c>
      <c r="M776" s="1044">
        <f t="shared" si="274"/>
        <v>10215000000</v>
      </c>
      <c r="N776" s="1045" t="s">
        <v>264</v>
      </c>
      <c r="O776" s="65" t="s">
        <v>264</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x</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row>
    <row r="777" spans="1:31" ht="15.75" customHeight="1">
      <c r="A777" s="327" t="str">
        <f>IF(B777&lt;&gt;"",IF(AND(B777='IN-TC'!$S$4,OR(TH!N777="1111",TH!O777="1111")),TH!D777,""),"")</f>
        <v/>
      </c>
      <c r="B777" s="62">
        <f t="shared" si="266"/>
        <v>3</v>
      </c>
      <c r="C777" s="63">
        <v>42796</v>
      </c>
      <c r="D777" s="63" t="s">
        <v>1023</v>
      </c>
      <c r="E777" s="63">
        <f>C777</f>
        <v>42796</v>
      </c>
      <c r="F777" s="66" t="s">
        <v>1038</v>
      </c>
      <c r="G777" s="66" t="s">
        <v>813</v>
      </c>
      <c r="H777" s="71" t="s">
        <v>850</v>
      </c>
      <c r="I777" s="405"/>
      <c r="J777" s="405"/>
      <c r="K777" s="398">
        <v>448090.2</v>
      </c>
      <c r="L777" s="405">
        <v>22700</v>
      </c>
      <c r="M777" s="1044">
        <f t="shared" si="274"/>
        <v>10171647540</v>
      </c>
      <c r="N777" s="1045" t="s">
        <v>264</v>
      </c>
      <c r="O777" s="65" t="s">
        <v>579</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x</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row>
    <row r="778" spans="1:31" ht="15.75" customHeight="1">
      <c r="A778" s="327" t="str">
        <f>IF(B778&lt;&gt;"",IF(AND(B778='IN-TC'!$S$4,OR(TH!N778="1111",TH!O778="1111")),TH!D778,""),"")</f>
        <v/>
      </c>
      <c r="B778" s="62">
        <f t="shared" ref="B778" si="303">IF(C778&lt;&gt;"",MONTH(C778),"")</f>
        <v>3</v>
      </c>
      <c r="C778" s="63">
        <v>42796</v>
      </c>
      <c r="D778" s="63" t="s">
        <v>573</v>
      </c>
      <c r="E778" s="63">
        <f>C778</f>
        <v>42796</v>
      </c>
      <c r="F778" s="66" t="s">
        <v>1166</v>
      </c>
      <c r="G778" s="66" t="s">
        <v>813</v>
      </c>
      <c r="H778" s="71" t="s">
        <v>850</v>
      </c>
      <c r="I778" s="405"/>
      <c r="J778" s="405"/>
      <c r="K778" s="398">
        <v>12</v>
      </c>
      <c r="L778" s="405">
        <v>22700</v>
      </c>
      <c r="M778" s="1044">
        <f t="shared" si="274"/>
        <v>272400</v>
      </c>
      <c r="N778" s="1045" t="s">
        <v>101</v>
      </c>
      <c r="O778" s="65" t="s">
        <v>579</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x</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row>
    <row r="779" spans="1:31" ht="15.75" customHeight="1">
      <c r="A779" s="327" t="str">
        <f>IF(B779&lt;&gt;"",IF(AND(B779='IN-TC'!$S$4,OR(TH!N779="1111",TH!O779="1111")),TH!D779,""),"")</f>
        <v/>
      </c>
      <c r="B779" s="62">
        <f t="shared" ref="B779" si="304">IF(C779&lt;&gt;"",MONTH(C779),"")</f>
        <v>3</v>
      </c>
      <c r="C779" s="63">
        <v>42796</v>
      </c>
      <c r="D779" s="63" t="s">
        <v>573</v>
      </c>
      <c r="E779" s="63">
        <f>C779</f>
        <v>42796</v>
      </c>
      <c r="F779" s="66" t="s">
        <v>1137</v>
      </c>
      <c r="G779" s="66" t="s">
        <v>813</v>
      </c>
      <c r="H779" s="71" t="s">
        <v>850</v>
      </c>
      <c r="I779" s="405"/>
      <c r="J779" s="405"/>
      <c r="K779" s="398"/>
      <c r="L779" s="405"/>
      <c r="M779" s="64">
        <v>39700778</v>
      </c>
      <c r="N779" s="1045" t="s">
        <v>99</v>
      </c>
      <c r="O779" s="65" t="s">
        <v>579</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x</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row>
    <row r="780" spans="1:31" ht="15.75" customHeight="1">
      <c r="A780" s="327" t="str">
        <f>IF(B780&lt;&gt;"",IF(AND(B780='IN-TC'!$S$4,OR(TH!N780="1111",TH!O780="1111")),TH!D780,""),"")</f>
        <v/>
      </c>
      <c r="B780" s="62">
        <f t="shared" si="266"/>
        <v>3</v>
      </c>
      <c r="C780" s="63">
        <v>42796</v>
      </c>
      <c r="D780" s="63" t="s">
        <v>1022</v>
      </c>
      <c r="E780" s="63">
        <f t="shared" ref="E780:E783" si="305">C780</f>
        <v>42796</v>
      </c>
      <c r="F780" s="66" t="s">
        <v>1165</v>
      </c>
      <c r="G780" s="66" t="s">
        <v>813</v>
      </c>
      <c r="H780" s="71" t="s">
        <v>955</v>
      </c>
      <c r="I780" s="405"/>
      <c r="J780" s="405"/>
      <c r="K780" s="398">
        <v>5867</v>
      </c>
      <c r="L780" s="405">
        <v>22700</v>
      </c>
      <c r="M780" s="1044">
        <f t="shared" ref="M780:M783" si="306">ROUND(L780*K780,0)</f>
        <v>133180900</v>
      </c>
      <c r="N780" s="1045" t="s">
        <v>99</v>
      </c>
      <c r="O780" s="65" t="s">
        <v>264</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row>
    <row r="781" spans="1:31" s="1205" customFormat="1" ht="15.75" customHeight="1">
      <c r="A781" s="327" t="str">
        <f>IF(B781&lt;&gt;"",IF(AND(B781='IN-TC'!$S$4,OR(TH!N781="1111",TH!O781="1111")),TH!D781,""),"")</f>
        <v/>
      </c>
      <c r="B781" s="62">
        <f t="shared" si="266"/>
        <v>3</v>
      </c>
      <c r="C781" s="63">
        <v>42796</v>
      </c>
      <c r="D781" s="63" t="s">
        <v>1022</v>
      </c>
      <c r="E781" s="63">
        <f t="shared" si="305"/>
        <v>42796</v>
      </c>
      <c r="F781" s="66" t="s">
        <v>1037</v>
      </c>
      <c r="G781" s="66" t="s">
        <v>813</v>
      </c>
      <c r="H781" s="7" t="s">
        <v>889</v>
      </c>
      <c r="I781" s="405"/>
      <c r="J781" s="405"/>
      <c r="K781" s="398">
        <v>88000</v>
      </c>
      <c r="L781" s="405">
        <v>22700</v>
      </c>
      <c r="M781" s="1044">
        <f t="shared" si="306"/>
        <v>1997600000</v>
      </c>
      <c r="N781" s="1045" t="s">
        <v>258</v>
      </c>
      <c r="O781" s="65" t="s">
        <v>264</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row>
    <row r="782" spans="1:31" s="1205" customFormat="1" ht="15.75" customHeight="1">
      <c r="A782" s="327" t="str">
        <f>IF(B782&lt;&gt;"",IF(AND(B782='IN-TC'!$S$4,OR(TH!N782="1111",TH!O782="1111")),TH!D782,""),"")</f>
        <v/>
      </c>
      <c r="B782" s="62">
        <f t="shared" ref="B782" si="307">IF(C782&lt;&gt;"",MONTH(C782),"")</f>
        <v>3</v>
      </c>
      <c r="C782" s="63">
        <v>42796</v>
      </c>
      <c r="D782" s="63" t="s">
        <v>1022</v>
      </c>
      <c r="E782" s="63">
        <f t="shared" ref="E782" si="308">C782</f>
        <v>42796</v>
      </c>
      <c r="F782" s="66" t="s">
        <v>1137</v>
      </c>
      <c r="G782" s="66" t="s">
        <v>813</v>
      </c>
      <c r="H782" s="7" t="s">
        <v>889</v>
      </c>
      <c r="I782" s="405"/>
      <c r="J782" s="405"/>
      <c r="K782" s="398"/>
      <c r="L782" s="405"/>
      <c r="M782" s="1044">
        <v>35640000</v>
      </c>
      <c r="N782" s="1045" t="s">
        <v>99</v>
      </c>
      <c r="O782" s="65" t="s">
        <v>258</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row>
    <row r="783" spans="1:31" ht="15.75" customHeight="1">
      <c r="A783" s="327" t="str">
        <f>IF(B783&lt;&gt;"",IF(AND(B783='IN-TC'!$S$4,OR(TH!N783="1111",TH!O783="1111")),TH!D783,""),"")</f>
        <v/>
      </c>
      <c r="B783" s="62">
        <f t="shared" ref="B783:B829" si="309">IF(C783&lt;&gt;"",MONTH(C783),"")</f>
        <v>3</v>
      </c>
      <c r="C783" s="63">
        <v>42797</v>
      </c>
      <c r="D783" s="63" t="s">
        <v>1022</v>
      </c>
      <c r="E783" s="63">
        <f t="shared" si="305"/>
        <v>42797</v>
      </c>
      <c r="F783" s="66" t="s">
        <v>1027</v>
      </c>
      <c r="G783" s="66" t="s">
        <v>813</v>
      </c>
      <c r="H783" s="71" t="s">
        <v>955</v>
      </c>
      <c r="I783" s="405"/>
      <c r="J783" s="405"/>
      <c r="K783" s="398">
        <v>360300</v>
      </c>
      <c r="L783" s="405">
        <v>22700</v>
      </c>
      <c r="M783" s="1044">
        <f t="shared" si="306"/>
        <v>8178810000</v>
      </c>
      <c r="N783" s="1045" t="s">
        <v>26</v>
      </c>
      <c r="O783" s="65" t="s">
        <v>264</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row>
    <row r="784" spans="1:31" ht="15.75" customHeight="1">
      <c r="A784" s="327" t="str">
        <f>IF(B784&lt;&gt;"",IF(AND(B784='IN-TC'!$S$4,OR(TH!N784="1111",TH!O784="1111")),TH!D784,""),"")</f>
        <v/>
      </c>
      <c r="B784" s="62" t="str">
        <f t="shared" si="309"/>
        <v/>
      </c>
      <c r="C784" s="63"/>
      <c r="D784" s="63"/>
      <c r="E784" s="63"/>
      <c r="F784" s="66"/>
      <c r="G784" s="816"/>
      <c r="H784" s="71"/>
      <c r="I784" s="405"/>
      <c r="J784" s="405"/>
      <c r="K784" s="398"/>
      <c r="L784" s="405"/>
      <c r="M784" s="64"/>
      <c r="N784" s="1045"/>
      <c r="O784" s="65"/>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row>
    <row r="785" spans="1:30" ht="15.75" customHeight="1">
      <c r="A785" s="327" t="str">
        <f>IF(B785&lt;&gt;"",IF(AND(B785='IN-TC'!$S$4,OR(TH!N785="1111",TH!O785="1111")),TH!D785,""),"")</f>
        <v/>
      </c>
      <c r="B785" s="62" t="str">
        <f t="shared" si="309"/>
        <v/>
      </c>
      <c r="C785" s="63"/>
      <c r="D785" s="63"/>
      <c r="E785" s="63"/>
      <c r="F785" s="66"/>
      <c r="G785" s="66"/>
      <c r="H785" s="71"/>
      <c r="I785" s="405"/>
      <c r="J785" s="405"/>
      <c r="K785" s="398"/>
      <c r="L785" s="405"/>
      <c r="M785" s="64"/>
      <c r="N785" s="1045"/>
      <c r="O785" s="65"/>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row>
    <row r="786" spans="1:30" ht="15.75" customHeight="1">
      <c r="A786" s="327" t="str">
        <f>IF(B786&lt;&gt;"",IF(AND(B786='IN-TC'!$S$4,OR(TH!N786="1111",TH!O786="1111")),TH!D786,""),"")</f>
        <v/>
      </c>
      <c r="B786" s="62" t="str">
        <f t="shared" si="309"/>
        <v/>
      </c>
      <c r="C786" s="63"/>
      <c r="D786" s="63"/>
      <c r="E786" s="63"/>
      <c r="F786" s="66"/>
      <c r="G786" s="66"/>
      <c r="H786" s="71"/>
      <c r="I786" s="405"/>
      <c r="J786" s="405"/>
      <c r="K786" s="398"/>
      <c r="L786" s="405"/>
      <c r="M786" s="64"/>
      <c r="N786" s="1045"/>
      <c r="O786" s="65"/>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row>
    <row r="787" spans="1:30" ht="15.75" customHeight="1">
      <c r="A787" s="327" t="str">
        <f>IF(B787&lt;&gt;"",IF(AND(B787='IN-TC'!$S$4,OR(TH!N787="1111",TH!O787="1111")),TH!D787,""),"")</f>
        <v/>
      </c>
      <c r="B787" s="62" t="str">
        <f t="shared" si="309"/>
        <v/>
      </c>
      <c r="C787" s="63"/>
      <c r="D787" s="63"/>
      <c r="E787" s="63"/>
      <c r="F787" s="66"/>
      <c r="G787" s="816"/>
      <c r="H787" s="71"/>
      <c r="I787" s="405"/>
      <c r="J787" s="405"/>
      <c r="K787" s="398"/>
      <c r="L787" s="405"/>
      <c r="M787" s="64"/>
      <c r="N787" s="65"/>
      <c r="O787" s="65"/>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row>
    <row r="788" spans="1:30" ht="15.75" customHeight="1">
      <c r="A788" s="327" t="str">
        <f>IF(B788&lt;&gt;"",IF(AND(B788='IN-TC'!$S$4,OR(TH!N789="1111",TH!O789="1111")),TH!D789,""),"")</f>
        <v/>
      </c>
      <c r="B788" s="62" t="str">
        <f t="shared" si="309"/>
        <v/>
      </c>
      <c r="C788" s="63"/>
      <c r="D788" s="63"/>
      <c r="E788" s="63"/>
      <c r="F788" s="66"/>
      <c r="G788" s="66"/>
      <c r="H788" s="71"/>
      <c r="I788" s="405"/>
      <c r="J788" s="405"/>
      <c r="K788" s="398"/>
      <c r="L788" s="405"/>
      <c r="M788" s="64"/>
      <c r="N788" s="1045"/>
      <c r="O788" s="65"/>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row>
    <row r="789" spans="1:30" ht="15.75" customHeight="1">
      <c r="A789" s="327" t="str">
        <f>IF(B789&lt;&gt;"",IF(AND(B789='IN-TC'!$S$4,OR(TH!N788="1111",TH!O788="1111")),TH!D788,""),"")</f>
        <v/>
      </c>
      <c r="B789" s="62" t="str">
        <f t="shared" si="309"/>
        <v/>
      </c>
      <c r="C789" s="63"/>
      <c r="D789" s="63"/>
      <c r="E789" s="63"/>
      <c r="F789" s="66"/>
      <c r="G789" s="66"/>
      <c r="H789" s="71"/>
      <c r="I789" s="405"/>
      <c r="J789" s="405"/>
      <c r="K789" s="398"/>
      <c r="L789" s="405"/>
      <c r="M789" s="64"/>
      <c r="N789" s="1045"/>
      <c r="O789" s="65"/>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row>
    <row r="790" spans="1:30" ht="15.75" customHeight="1">
      <c r="A790" s="327" t="str">
        <f>IF(B790&lt;&gt;"",IF(AND(B790='IN-TC'!$S$4,OR(TH!N795="1111",TH!O795="1111")),TH!D795,""),"")</f>
        <v/>
      </c>
      <c r="B790" s="62" t="str">
        <f t="shared" si="309"/>
        <v/>
      </c>
      <c r="C790" s="63"/>
      <c r="D790" s="63"/>
      <c r="E790" s="63"/>
      <c r="F790" s="66"/>
      <c r="G790" s="816"/>
      <c r="H790" s="71"/>
      <c r="I790" s="405"/>
      <c r="J790" s="405"/>
      <c r="K790" s="398"/>
      <c r="L790" s="405"/>
      <c r="M790" s="64"/>
      <c r="N790" s="1045"/>
      <c r="O790" s="65"/>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row>
    <row r="791" spans="1:30" ht="15.75" customHeight="1">
      <c r="A791" s="327" t="str">
        <f>IF(B791&lt;&gt;"",IF(AND(B791='IN-TC'!$S$4,OR(TH!N797="1111",TH!O797="1111")),TH!D797,""),"")</f>
        <v/>
      </c>
      <c r="B791" s="62" t="str">
        <f t="shared" si="309"/>
        <v/>
      </c>
      <c r="C791" s="63"/>
      <c r="D791" s="63"/>
      <c r="E791" s="63"/>
      <c r="F791" s="66"/>
      <c r="G791" s="816"/>
      <c r="H791" s="71"/>
      <c r="I791" s="405"/>
      <c r="J791" s="405"/>
      <c r="K791" s="398"/>
      <c r="L791" s="405"/>
      <c r="M791" s="64"/>
      <c r="N791" s="65"/>
      <c r="O791" s="65"/>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row>
    <row r="792" spans="1:30" ht="15.75" customHeight="1">
      <c r="A792" s="327" t="str">
        <f>IF(B792&lt;&gt;"",IF(AND(B792='IN-TC'!$S$4,OR(TH!N790="1111",TH!O790="1111")),TH!D790,""),"")</f>
        <v/>
      </c>
      <c r="B792" s="62" t="str">
        <f t="shared" si="309"/>
        <v/>
      </c>
      <c r="C792" s="63"/>
      <c r="D792" s="63"/>
      <c r="E792" s="63"/>
      <c r="F792" s="66"/>
      <c r="G792" s="66"/>
      <c r="H792" s="71"/>
      <c r="I792" s="405"/>
      <c r="J792" s="405"/>
      <c r="K792" s="398"/>
      <c r="L792" s="405"/>
      <c r="M792" s="64"/>
      <c r="N792" s="1045"/>
      <c r="O792" s="65"/>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row>
    <row r="793" spans="1:30" ht="15.75" customHeight="1">
      <c r="A793" s="327" t="str">
        <f>IF(B793&lt;&gt;"",IF(AND(B793='IN-TC'!$S$4,OR(TH!N798="1111",TH!O798="1111")),TH!D798,""),"")</f>
        <v/>
      </c>
      <c r="B793" s="62" t="str">
        <f t="shared" si="309"/>
        <v/>
      </c>
      <c r="C793" s="63"/>
      <c r="D793" s="63"/>
      <c r="E793" s="63"/>
      <c r="F793" s="66"/>
      <c r="G793" s="816"/>
      <c r="H793" s="71"/>
      <c r="I793" s="405"/>
      <c r="J793" s="405"/>
      <c r="K793" s="398"/>
      <c r="L793" s="405"/>
      <c r="M793" s="64"/>
      <c r="N793" s="65"/>
      <c r="O793" s="65"/>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row>
    <row r="794" spans="1:30" ht="15.75" customHeight="1">
      <c r="A794" s="327" t="str">
        <f>IF(B794&lt;&gt;"",IF(AND(B794='IN-TC'!$S$4,OR(TH!N796="1111",TH!O796="1111")),TH!D796,""),"")</f>
        <v/>
      </c>
      <c r="B794" s="62" t="str">
        <f t="shared" si="309"/>
        <v/>
      </c>
      <c r="C794" s="63"/>
      <c r="D794" s="63"/>
      <c r="E794" s="63"/>
      <c r="F794" s="66"/>
      <c r="G794" s="816"/>
      <c r="H794" s="71"/>
      <c r="I794" s="405"/>
      <c r="J794" s="405"/>
      <c r="K794" s="398"/>
      <c r="L794" s="405"/>
      <c r="M794" s="64"/>
      <c r="N794" s="65"/>
      <c r="O794" s="65"/>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row>
    <row r="795" spans="1:30" ht="15.75" customHeight="1">
      <c r="A795" s="327" t="str">
        <f>IF(B795&lt;&gt;"",IF(AND(B795='IN-TC'!$S$4,OR(TH!N799="1111",TH!O799="1111")),TH!D799,""),"")</f>
        <v/>
      </c>
      <c r="B795" s="62" t="str">
        <f t="shared" si="309"/>
        <v/>
      </c>
      <c r="C795" s="63"/>
      <c r="D795" s="63"/>
      <c r="E795" s="63"/>
      <c r="F795" s="66"/>
      <c r="G795" s="816"/>
      <c r="H795" s="71"/>
      <c r="I795" s="405"/>
      <c r="J795" s="405"/>
      <c r="K795" s="398"/>
      <c r="L795" s="405"/>
      <c r="M795" s="64"/>
      <c r="N795" s="65"/>
      <c r="O795" s="65"/>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row>
    <row r="796" spans="1:30" ht="15.75" customHeight="1">
      <c r="A796" s="327" t="str">
        <f>IF(B796&lt;&gt;"",IF(AND(B796='IN-TC'!$S$4,OR(TH!N800="1111",TH!O800="1111")),TH!D800,""),"")</f>
        <v/>
      </c>
      <c r="B796" s="62" t="str">
        <f t="shared" si="309"/>
        <v/>
      </c>
      <c r="C796" s="63"/>
      <c r="D796" s="63"/>
      <c r="E796" s="63"/>
      <c r="F796" s="66"/>
      <c r="G796" s="816"/>
      <c r="H796" s="71"/>
      <c r="I796" s="405"/>
      <c r="J796" s="405"/>
      <c r="K796" s="398"/>
      <c r="L796" s="405"/>
      <c r="M796" s="64"/>
      <c r="N796" s="65"/>
      <c r="O796" s="65"/>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row>
    <row r="797" spans="1:30" ht="15.75" customHeight="1">
      <c r="A797" s="327" t="str">
        <f>IF(B797&lt;&gt;"",IF(AND(B797='IN-TC'!$S$4,OR(TH!N791="1111",TH!O791="1111")),TH!D791,""),"")</f>
        <v/>
      </c>
      <c r="B797" s="62" t="str">
        <f t="shared" si="309"/>
        <v/>
      </c>
      <c r="C797" s="63"/>
      <c r="D797" s="63"/>
      <c r="E797" s="63"/>
      <c r="F797" s="66"/>
      <c r="G797" s="66"/>
      <c r="H797" s="71"/>
      <c r="I797" s="405"/>
      <c r="J797" s="405"/>
      <c r="K797" s="398"/>
      <c r="L797" s="405"/>
      <c r="M797" s="64"/>
      <c r="N797" s="1045"/>
      <c r="O797" s="65"/>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row>
    <row r="798" spans="1:30" ht="15.75" customHeight="1">
      <c r="A798" s="327" t="str">
        <f>IF(B798&lt;&gt;"",IF(AND(B798='IN-TC'!$S$4,OR(TH!N792="1111",TH!O792="1111")),TH!D792,""),"")</f>
        <v/>
      </c>
      <c r="B798" s="62" t="str">
        <f t="shared" si="309"/>
        <v/>
      </c>
      <c r="C798" s="63"/>
      <c r="D798" s="63"/>
      <c r="E798" s="63"/>
      <c r="F798" s="66"/>
      <c r="G798" s="66"/>
      <c r="H798" s="71"/>
      <c r="I798" s="405"/>
      <c r="J798" s="405"/>
      <c r="K798" s="398"/>
      <c r="L798" s="405"/>
      <c r="M798" s="64"/>
      <c r="N798" s="1045"/>
      <c r="O798" s="65"/>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row>
    <row r="799" spans="1:30" ht="15.75" customHeight="1">
      <c r="A799" s="327" t="str">
        <f>IF(B799&lt;&gt;"",IF(AND(B799='IN-TC'!$S$4,OR(TH!N801="1111",TH!O801="1111")),TH!D801,""),"")</f>
        <v/>
      </c>
      <c r="B799" s="62" t="str">
        <f t="shared" si="309"/>
        <v/>
      </c>
      <c r="C799" s="63"/>
      <c r="D799" s="63"/>
      <c r="E799" s="63"/>
      <c r="F799" s="66"/>
      <c r="G799" s="816"/>
      <c r="H799" s="71"/>
      <c r="I799" s="405"/>
      <c r="J799" s="405"/>
      <c r="K799" s="398"/>
      <c r="L799" s="405"/>
      <c r="M799" s="64"/>
      <c r="N799" s="65"/>
      <c r="O799" s="65"/>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row>
    <row r="800" spans="1:30" ht="15.75" customHeight="1">
      <c r="A800" s="327" t="str">
        <f>IF(B800&lt;&gt;"",IF(AND(B800='IN-TC'!$S$4,OR(TH!N793="1111",TH!O793="1111")),TH!D793,""),"")</f>
        <v/>
      </c>
      <c r="B800" s="62" t="str">
        <f t="shared" si="309"/>
        <v/>
      </c>
      <c r="C800" s="63"/>
      <c r="D800" s="63"/>
      <c r="E800" s="63"/>
      <c r="F800" s="66"/>
      <c r="G800" s="66"/>
      <c r="H800" s="71"/>
      <c r="I800" s="405"/>
      <c r="J800" s="405"/>
      <c r="K800" s="398"/>
      <c r="L800" s="405"/>
      <c r="M800" s="64"/>
      <c r="N800" s="1045"/>
      <c r="O800" s="65"/>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row>
    <row r="801" spans="1:30" ht="15.75" customHeight="1">
      <c r="A801" s="327" t="str">
        <f>IF(B801&lt;&gt;"",IF(AND(B801='IN-TC'!$S$4,OR(TH!N794="1111",TH!O794="1111")),TH!D794,""),"")</f>
        <v/>
      </c>
      <c r="B801" s="62" t="str">
        <f t="shared" si="309"/>
        <v/>
      </c>
      <c r="C801" s="63"/>
      <c r="D801" s="63"/>
      <c r="E801" s="63"/>
      <c r="F801" s="66"/>
      <c r="G801" s="66"/>
      <c r="H801" s="71"/>
      <c r="I801" s="405"/>
      <c r="J801" s="405"/>
      <c r="K801" s="398"/>
      <c r="L801" s="405"/>
      <c r="M801" s="64"/>
      <c r="N801" s="1045"/>
      <c r="O801" s="65"/>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row>
    <row r="802" spans="1:30" ht="15.75" customHeight="1">
      <c r="A802" s="327" t="str">
        <f>IF(B802&lt;&gt;"",IF(AND(B802='IN-TC'!$S$4,OR(TH!N802="1111",TH!O802="1111")),TH!D802,""),"")</f>
        <v/>
      </c>
      <c r="B802" s="62" t="str">
        <f t="shared" si="309"/>
        <v/>
      </c>
      <c r="C802" s="63"/>
      <c r="D802" s="63"/>
      <c r="E802" s="63"/>
      <c r="F802" s="66"/>
      <c r="G802" s="66"/>
      <c r="H802" s="71"/>
      <c r="I802" s="405"/>
      <c r="J802" s="405"/>
      <c r="K802" s="398"/>
      <c r="L802" s="405"/>
      <c r="M802" s="64"/>
      <c r="N802" s="1045"/>
      <c r="O802" s="65"/>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row>
    <row r="803" spans="1:30" ht="15.75" customHeight="1">
      <c r="A803" s="327" t="str">
        <f>IF(B803&lt;&gt;"",IF(AND(B803='IN-TC'!$S$4,OR(TH!N803="1111",TH!O803="1111")),TH!D803,""),"")</f>
        <v/>
      </c>
      <c r="B803" s="62" t="str">
        <f t="shared" si="309"/>
        <v/>
      </c>
      <c r="C803" s="63"/>
      <c r="D803" s="63"/>
      <c r="E803" s="63"/>
      <c r="F803" s="66"/>
      <c r="G803" s="66"/>
      <c r="H803" s="71"/>
      <c r="I803" s="405"/>
      <c r="J803" s="405"/>
      <c r="K803" s="398"/>
      <c r="L803" s="405"/>
      <c r="M803" s="64"/>
      <c r="N803" s="1045"/>
      <c r="O803" s="65"/>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row>
    <row r="804" spans="1:30" ht="15.75" customHeight="1">
      <c r="A804" s="327" t="str">
        <f>IF(B804&lt;&gt;"",IF(AND(B804='IN-TC'!$S$4,OR(TH!N804="1111",TH!O804="1111")),TH!D804,""),"")</f>
        <v/>
      </c>
      <c r="B804" s="62" t="str">
        <f t="shared" si="309"/>
        <v/>
      </c>
      <c r="C804" s="63"/>
      <c r="D804" s="63"/>
      <c r="E804" s="63"/>
      <c r="F804" s="66"/>
      <c r="G804" s="816"/>
      <c r="H804" s="71"/>
      <c r="I804" s="405"/>
      <c r="J804" s="405"/>
      <c r="K804" s="398"/>
      <c r="L804" s="405"/>
      <c r="M804" s="64"/>
      <c r="N804" s="65"/>
      <c r="O804" s="65"/>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row>
    <row r="805" spans="1:30" ht="15.75" customHeight="1">
      <c r="A805" s="327" t="str">
        <f>IF(B805&lt;&gt;"",IF(AND(B805='IN-TC'!$S$4,OR(TH!N805="1111",TH!O805="1111")),TH!D805,""),"")</f>
        <v/>
      </c>
      <c r="B805" s="62" t="str">
        <f t="shared" si="309"/>
        <v/>
      </c>
      <c r="C805" s="63"/>
      <c r="D805" s="63"/>
      <c r="E805" s="63"/>
      <c r="F805" s="66"/>
      <c r="G805" s="816"/>
      <c r="H805" s="71"/>
      <c r="I805" s="405"/>
      <c r="J805" s="405"/>
      <c r="K805" s="398"/>
      <c r="L805" s="405"/>
      <c r="M805" s="64"/>
      <c r="N805" s="65"/>
      <c r="O805" s="65"/>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row>
    <row r="806" spans="1:30" ht="15.75" customHeight="1">
      <c r="A806" s="998" t="str">
        <f>IF(B806&lt;&gt;"",IF(AND(B806='IN-TC'!$S$4,OR(TH!N806="1111",TH!O806="1111")),TH!D806,""),"")</f>
        <v/>
      </c>
      <c r="B806" s="831" t="str">
        <f t="shared" si="309"/>
        <v/>
      </c>
      <c r="C806" s="63"/>
      <c r="D806" s="63"/>
      <c r="E806" s="63"/>
      <c r="F806" s="66"/>
      <c r="G806" s="66"/>
      <c r="H806" s="71"/>
      <c r="I806" s="405"/>
      <c r="J806" s="405"/>
      <c r="K806" s="398"/>
      <c r="L806" s="405"/>
      <c r="M806" s="64"/>
      <c r="N806" s="1045"/>
      <c r="O806" s="65"/>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row>
    <row r="807" spans="1:30" ht="15.75" customHeight="1">
      <c r="A807" s="327" t="str">
        <f>IF(B807&lt;&gt;"",IF(AND(B807='IN-TC'!$S$4,OR(TH!N807="1111",TH!O807="1111")),TH!D807,""),"")</f>
        <v/>
      </c>
      <c r="B807" s="62" t="str">
        <f t="shared" si="309"/>
        <v/>
      </c>
      <c r="C807" s="63"/>
      <c r="D807" s="63"/>
      <c r="E807" s="63"/>
      <c r="F807" s="66"/>
      <c r="G807" s="66"/>
      <c r="H807" s="330"/>
      <c r="I807" s="405"/>
      <c r="J807" s="405"/>
      <c r="K807" s="398"/>
      <c r="L807" s="405"/>
      <c r="M807" s="64"/>
      <c r="N807" s="65"/>
      <c r="O807" s="65"/>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row>
    <row r="808" spans="1:30" ht="15.75" customHeight="1">
      <c r="A808" s="327" t="str">
        <f>IF(B808&lt;&gt;"",IF(AND(B808='IN-TC'!$S$4,OR(TH!N808="1111",TH!O808="1111")),TH!D808,""),"")</f>
        <v/>
      </c>
      <c r="B808" s="62" t="str">
        <f t="shared" si="309"/>
        <v/>
      </c>
      <c r="C808" s="63"/>
      <c r="D808" s="63"/>
      <c r="E808" s="63"/>
      <c r="F808" s="66"/>
      <c r="G808" s="66"/>
      <c r="H808" s="330"/>
      <c r="I808" s="405"/>
      <c r="J808" s="405"/>
      <c r="K808" s="398"/>
      <c r="L808" s="405"/>
      <c r="M808" s="64"/>
      <c r="N808" s="65"/>
      <c r="O808" s="65"/>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row>
    <row r="809" spans="1:30" ht="15.75" customHeight="1">
      <c r="A809" s="327" t="str">
        <f>IF(B809&lt;&gt;"",IF(AND(B809='IN-TC'!$S$4,OR(TH!N809="1111",TH!O809="1111")),TH!D809,""),"")</f>
        <v/>
      </c>
      <c r="B809" s="62" t="str">
        <f t="shared" si="309"/>
        <v/>
      </c>
      <c r="C809" s="63"/>
      <c r="D809" s="63"/>
      <c r="E809" s="63"/>
      <c r="F809" s="66"/>
      <c r="G809" s="66"/>
      <c r="H809" s="330"/>
      <c r="I809" s="405"/>
      <c r="J809" s="405"/>
      <c r="K809" s="398"/>
      <c r="L809" s="405"/>
      <c r="M809" s="64"/>
      <c r="N809" s="65"/>
      <c r="O809" s="65"/>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row>
    <row r="810" spans="1:30" ht="15.75" customHeight="1">
      <c r="A810" s="327" t="str">
        <f>IF(B810&lt;&gt;"",IF(AND(B810='IN-TC'!$S$4,OR(TH!N810="1111",TH!O810="1111")),TH!D810,""),"")</f>
        <v/>
      </c>
      <c r="B810" s="62" t="str">
        <f t="shared" si="309"/>
        <v/>
      </c>
      <c r="C810" s="63"/>
      <c r="D810" s="63"/>
      <c r="E810" s="63"/>
      <c r="F810" s="66"/>
      <c r="G810" s="66"/>
      <c r="H810" s="330"/>
      <c r="I810" s="405"/>
      <c r="J810" s="405"/>
      <c r="K810" s="398"/>
      <c r="L810" s="405"/>
      <c r="M810" s="64"/>
      <c r="N810" s="65"/>
      <c r="O810" s="65"/>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row>
    <row r="811" spans="1:30" ht="15.75" customHeight="1">
      <c r="A811" s="327" t="str">
        <f>IF(B811&lt;&gt;"",IF(AND(B811='IN-TC'!$S$4,OR(TH!N811="1111",TH!O811="1111")),TH!D811,""),"")</f>
        <v/>
      </c>
      <c r="B811" s="62" t="str">
        <f t="shared" si="309"/>
        <v/>
      </c>
      <c r="C811" s="63"/>
      <c r="D811" s="63"/>
      <c r="E811" s="63"/>
      <c r="F811" s="66"/>
      <c r="G811" s="66"/>
      <c r="H811" s="330"/>
      <c r="I811" s="405"/>
      <c r="J811" s="405"/>
      <c r="K811" s="398"/>
      <c r="L811" s="405"/>
      <c r="M811" s="64"/>
      <c r="N811" s="65"/>
      <c r="O811" s="65"/>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row>
    <row r="812" spans="1:30" ht="15.75" customHeight="1">
      <c r="A812" s="327" t="str">
        <f>IF(B812&lt;&gt;"",IF(AND(B812='IN-TC'!$S$4,OR(TH!N812="1111",TH!O812="1111")),TH!D812,""),"")</f>
        <v/>
      </c>
      <c r="B812" s="62" t="str">
        <f t="shared" si="309"/>
        <v/>
      </c>
      <c r="C812" s="63"/>
      <c r="D812" s="63"/>
      <c r="E812" s="63"/>
      <c r="F812" s="66"/>
      <c r="G812" s="66"/>
      <c r="H812" s="330"/>
      <c r="I812" s="405"/>
      <c r="J812" s="405"/>
      <c r="K812" s="398"/>
      <c r="L812" s="405"/>
      <c r="M812" s="64"/>
      <c r="N812" s="65"/>
      <c r="O812" s="65"/>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row>
    <row r="813" spans="1:30" ht="15.75" customHeight="1">
      <c r="A813" s="327" t="str">
        <f>IF(B813&lt;&gt;"",IF(AND(B813='IN-TC'!$S$4,OR(TH!N813="1111",TH!O813="1111")),TH!D813,""),"")</f>
        <v/>
      </c>
      <c r="B813" s="62" t="str">
        <f t="shared" si="309"/>
        <v/>
      </c>
      <c r="C813" s="63"/>
      <c r="D813" s="63"/>
      <c r="E813" s="63"/>
      <c r="F813" s="66"/>
      <c r="G813" s="66"/>
      <c r="H813" s="330"/>
      <c r="I813" s="405"/>
      <c r="J813" s="405"/>
      <c r="K813" s="398"/>
      <c r="L813" s="405"/>
      <c r="M813" s="64"/>
      <c r="N813" s="65"/>
      <c r="O813" s="65"/>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row>
    <row r="814" spans="1:30" ht="15.75" customHeight="1">
      <c r="A814" s="327" t="str">
        <f>IF(B814&lt;&gt;"",IF(AND(B814='IN-TC'!$S$4,OR(TH!N814="1111",TH!O814="1111")),TH!D814,""),"")</f>
        <v/>
      </c>
      <c r="B814" s="62" t="str">
        <f t="shared" si="309"/>
        <v/>
      </c>
      <c r="C814" s="63"/>
      <c r="D814" s="63"/>
      <c r="E814" s="63"/>
      <c r="F814" s="66"/>
      <c r="G814" s="66"/>
      <c r="H814" s="330"/>
      <c r="I814" s="405"/>
      <c r="J814" s="405"/>
      <c r="K814" s="398"/>
      <c r="L814" s="405"/>
      <c r="M814" s="64"/>
      <c r="N814" s="65"/>
      <c r="O814" s="65"/>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row>
    <row r="815" spans="1:30" ht="15.75" customHeight="1">
      <c r="A815" s="327" t="str">
        <f>IF(B815&lt;&gt;"",IF(AND(B815='IN-TC'!$S$4,OR(TH!N815="1111",TH!O815="1111")),TH!D815,""),"")</f>
        <v/>
      </c>
      <c r="B815" s="62" t="str">
        <f t="shared" si="309"/>
        <v/>
      </c>
      <c r="C815" s="63"/>
      <c r="D815" s="63"/>
      <c r="E815" s="63"/>
      <c r="F815" s="477"/>
      <c r="G815" s="66"/>
      <c r="H815" s="330"/>
      <c r="I815" s="405"/>
      <c r="J815" s="405"/>
      <c r="K815" s="398"/>
      <c r="L815" s="405"/>
      <c r="M815" s="64"/>
      <c r="N815" s="65"/>
      <c r="O815" s="65"/>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row>
    <row r="816" spans="1:30" ht="15.75" customHeight="1">
      <c r="A816" s="327" t="str">
        <f>IF(B816&lt;&gt;"",IF(AND(B816='IN-TC'!$S$4,OR(TH!N816="1111",TH!O816="1111")),TH!D816,""),"")</f>
        <v/>
      </c>
      <c r="B816" s="62" t="str">
        <f t="shared" si="309"/>
        <v/>
      </c>
      <c r="C816" s="63"/>
      <c r="D816" s="63"/>
      <c r="E816" s="63"/>
      <c r="F816" s="66"/>
      <c r="G816" s="66"/>
      <c r="H816" s="330"/>
      <c r="I816" s="405"/>
      <c r="J816" s="405"/>
      <c r="K816" s="398"/>
      <c r="L816" s="405"/>
      <c r="M816" s="64"/>
      <c r="N816" s="65"/>
      <c r="O816" s="65"/>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row>
    <row r="817" spans="1:30" ht="15.75" customHeight="1">
      <c r="A817" s="327" t="str">
        <f>IF(B817&lt;&gt;"",IF(AND(B817='IN-TC'!$S$4,OR(TH!N817="1111",TH!O817="1111")),TH!D817,""),"")</f>
        <v/>
      </c>
      <c r="B817" s="62" t="str">
        <f t="shared" si="309"/>
        <v/>
      </c>
      <c r="C817" s="63"/>
      <c r="D817" s="63"/>
      <c r="E817" s="63"/>
      <c r="F817" s="66"/>
      <c r="G817" s="66"/>
      <c r="H817" s="330"/>
      <c r="I817" s="405"/>
      <c r="J817" s="405"/>
      <c r="K817" s="398"/>
      <c r="L817" s="405"/>
      <c r="M817" s="64"/>
      <c r="N817" s="65"/>
      <c r="O817" s="65"/>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row>
    <row r="818" spans="1:30" ht="15.75" customHeight="1">
      <c r="A818" s="327" t="str">
        <f>IF(B818&lt;&gt;"",IF(AND(B818='IN-TC'!$S$4,OR(TH!N818="1111",TH!O818="1111")),TH!D818,""),"")</f>
        <v/>
      </c>
      <c r="B818" s="62" t="str">
        <f t="shared" si="309"/>
        <v/>
      </c>
      <c r="C818" s="63"/>
      <c r="D818" s="63"/>
      <c r="E818" s="63"/>
      <c r="F818" s="66"/>
      <c r="G818" s="66"/>
      <c r="H818" s="330"/>
      <c r="I818" s="405"/>
      <c r="J818" s="405"/>
      <c r="K818" s="398"/>
      <c r="L818" s="405"/>
      <c r="M818" s="64"/>
      <c r="N818" s="65"/>
      <c r="O818" s="65"/>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row>
    <row r="819" spans="1:30" ht="15.75" customHeight="1">
      <c r="A819" s="327" t="str">
        <f>IF(B819&lt;&gt;"",IF(AND(B819='IN-TC'!$S$4,OR(TH!N819="1111",TH!O819="1111")),TH!D819,""),"")</f>
        <v/>
      </c>
      <c r="B819" s="62" t="str">
        <f t="shared" si="309"/>
        <v/>
      </c>
      <c r="C819" s="63"/>
      <c r="D819" s="63"/>
      <c r="E819" s="63"/>
      <c r="F819" s="66"/>
      <c r="G819" s="66"/>
      <c r="H819" s="330"/>
      <c r="I819" s="405"/>
      <c r="J819" s="405"/>
      <c r="K819" s="398"/>
      <c r="L819" s="405"/>
      <c r="M819" s="64"/>
      <c r="N819" s="65"/>
      <c r="O819" s="65"/>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row>
    <row r="820" spans="1:30" ht="15.75" customHeight="1">
      <c r="A820" s="327" t="str">
        <f>IF(B820&lt;&gt;"",IF(AND(B820='IN-TC'!$S$4,OR(TH!N820="1111",TH!O820="1111")),TH!D820,""),"")</f>
        <v/>
      </c>
      <c r="B820" s="62" t="str">
        <f t="shared" si="309"/>
        <v/>
      </c>
      <c r="C820" s="63"/>
      <c r="D820" s="63"/>
      <c r="E820" s="63"/>
      <c r="F820" s="66"/>
      <c r="G820" s="66"/>
      <c r="H820" s="330"/>
      <c r="I820" s="405"/>
      <c r="J820" s="405"/>
      <c r="K820" s="398"/>
      <c r="L820" s="405"/>
      <c r="M820" s="64"/>
      <c r="N820" s="65"/>
      <c r="O820" s="65"/>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row>
    <row r="821" spans="1:30" ht="15.75" customHeight="1">
      <c r="A821" s="327" t="str">
        <f>IF(B821&lt;&gt;"",IF(AND(B821='IN-TC'!$S$4,OR(TH!N821="1111",TH!O821="1111")),TH!D821,""),"")</f>
        <v/>
      </c>
      <c r="B821" s="62" t="str">
        <f t="shared" si="309"/>
        <v/>
      </c>
      <c r="C821" s="63"/>
      <c r="D821" s="63"/>
      <c r="E821" s="63"/>
      <c r="F821" s="66"/>
      <c r="G821" s="66"/>
      <c r="H821" s="330"/>
      <c r="I821" s="405"/>
      <c r="J821" s="405"/>
      <c r="K821" s="398"/>
      <c r="L821" s="405"/>
      <c r="M821" s="64"/>
      <c r="N821" s="65"/>
      <c r="O821" s="65"/>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row>
    <row r="822" spans="1:30" ht="15.75" customHeight="1">
      <c r="A822" s="327" t="str">
        <f>IF(B822&lt;&gt;"",IF(AND(B822='IN-TC'!$S$4,OR(TH!N822="1111",TH!O822="1111")),TH!D822,""),"")</f>
        <v/>
      </c>
      <c r="B822" s="62" t="str">
        <f t="shared" si="309"/>
        <v/>
      </c>
      <c r="C822" s="63"/>
      <c r="D822" s="63"/>
      <c r="E822" s="63"/>
      <c r="F822" s="66"/>
      <c r="G822" s="66"/>
      <c r="H822" s="330"/>
      <c r="I822" s="405"/>
      <c r="J822" s="405"/>
      <c r="K822" s="398"/>
      <c r="L822" s="405"/>
      <c r="M822" s="64"/>
      <c r="N822" s="65"/>
      <c r="O822" s="65"/>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row>
    <row r="823" spans="1:30" ht="15.75" customHeight="1">
      <c r="A823" s="327" t="str">
        <f>IF(B823&lt;&gt;"",IF(AND(B823='IN-TC'!$S$4,OR(TH!N823="1111",TH!O823="1111")),TH!D823,""),"")</f>
        <v/>
      </c>
      <c r="B823" s="62" t="str">
        <f t="shared" si="309"/>
        <v/>
      </c>
      <c r="C823" s="63"/>
      <c r="D823" s="63"/>
      <c r="E823" s="63"/>
      <c r="F823" s="66"/>
      <c r="G823" s="66"/>
      <c r="H823" s="330"/>
      <c r="I823" s="405"/>
      <c r="J823" s="405"/>
      <c r="K823" s="398"/>
      <c r="L823" s="405"/>
      <c r="M823" s="64"/>
      <c r="N823" s="65"/>
      <c r="O823" s="65"/>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row>
    <row r="824" spans="1:30" ht="15.75" customHeight="1">
      <c r="A824" s="327" t="str">
        <f>IF(B824&lt;&gt;"",IF(AND(B824='IN-TC'!$S$4,OR(TH!N824="1111",TH!O824="1111")),TH!D824,""),"")</f>
        <v/>
      </c>
      <c r="B824" s="62" t="str">
        <f t="shared" si="309"/>
        <v/>
      </c>
      <c r="C824" s="63"/>
      <c r="D824" s="63"/>
      <c r="E824" s="63"/>
      <c r="F824" s="66"/>
      <c r="G824" s="66"/>
      <c r="H824" s="330"/>
      <c r="I824" s="405"/>
      <c r="J824" s="405"/>
      <c r="K824" s="398"/>
      <c r="L824" s="405"/>
      <c r="M824" s="64"/>
      <c r="N824" s="65"/>
      <c r="O824" s="65"/>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row>
    <row r="825" spans="1:30" ht="15.75" customHeight="1">
      <c r="A825" s="327" t="str">
        <f>IF(B825&lt;&gt;"",IF(AND(B825='IN-TC'!$S$4,OR(TH!N825="1111",TH!O825="1111")),TH!D825,""),"")</f>
        <v/>
      </c>
      <c r="B825" s="62" t="str">
        <f t="shared" si="309"/>
        <v/>
      </c>
      <c r="C825" s="63"/>
      <c r="D825" s="63"/>
      <c r="E825" s="63"/>
      <c r="F825" s="66"/>
      <c r="G825" s="66"/>
      <c r="H825" s="330"/>
      <c r="I825" s="405"/>
      <c r="J825" s="405"/>
      <c r="K825" s="398"/>
      <c r="L825" s="405"/>
      <c r="M825" s="64"/>
      <c r="N825" s="65"/>
      <c r="O825" s="65"/>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row>
    <row r="826" spans="1:30" ht="15.75" customHeight="1">
      <c r="A826" s="327" t="str">
        <f>IF(B826&lt;&gt;"",IF(AND(B826='IN-TC'!$S$4,OR(TH!N826="1111",TH!O826="1111")),TH!D826,""),"")</f>
        <v/>
      </c>
      <c r="B826" s="62" t="str">
        <f t="shared" si="309"/>
        <v/>
      </c>
      <c r="C826" s="63"/>
      <c r="D826" s="63"/>
      <c r="E826" s="63"/>
      <c r="F826" s="66"/>
      <c r="G826" s="66"/>
      <c r="H826" s="330"/>
      <c r="I826" s="405"/>
      <c r="J826" s="405"/>
      <c r="K826" s="398"/>
      <c r="L826" s="405"/>
      <c r="M826" s="64"/>
      <c r="N826" s="65"/>
      <c r="O826" s="65"/>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row>
    <row r="827" spans="1:30" ht="15.75" customHeight="1">
      <c r="A827" s="327" t="str">
        <f>IF(B827&lt;&gt;"",IF(AND(B827='IN-TC'!$S$4,OR(TH!N827="1111",TH!O827="1111")),TH!D827,""),"")</f>
        <v/>
      </c>
      <c r="B827" s="62" t="str">
        <f t="shared" si="309"/>
        <v/>
      </c>
      <c r="C827" s="63"/>
      <c r="D827" s="63"/>
      <c r="E827" s="63"/>
      <c r="F827" s="66"/>
      <c r="G827" s="66"/>
      <c r="H827" s="330"/>
      <c r="I827" s="405"/>
      <c r="J827" s="405"/>
      <c r="K827" s="398"/>
      <c r="L827" s="405"/>
      <c r="M827" s="64"/>
      <c r="N827" s="65"/>
      <c r="O827" s="65"/>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row>
    <row r="828" spans="1:30" ht="15.75" customHeight="1">
      <c r="A828" s="327" t="str">
        <f>IF(B828&lt;&gt;"",IF(AND(B828='IN-TC'!$S$4,OR(TH!N828="1111",TH!O828="1111")),TH!D828,""),"")</f>
        <v/>
      </c>
      <c r="B828" s="62" t="str">
        <f t="shared" si="309"/>
        <v/>
      </c>
      <c r="C828" s="63"/>
      <c r="D828" s="63"/>
      <c r="E828" s="63"/>
      <c r="F828" s="66"/>
      <c r="G828" s="66"/>
      <c r="H828" s="330"/>
      <c r="I828" s="405"/>
      <c r="J828" s="405"/>
      <c r="K828" s="398"/>
      <c r="L828" s="405"/>
      <c r="M828" s="64"/>
      <c r="N828" s="65"/>
      <c r="O828" s="65"/>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row>
    <row r="829" spans="1:30" ht="15.75" customHeight="1">
      <c r="A829" s="327" t="str">
        <f>IF(B829&lt;&gt;"",IF(AND(B829='IN-TC'!$S$4,OR(TH!N829="1111",TH!O829="1111")),TH!D829,""),"")</f>
        <v/>
      </c>
      <c r="B829" s="62" t="str">
        <f t="shared" si="309"/>
        <v/>
      </c>
      <c r="C829" s="63"/>
      <c r="D829" s="63"/>
      <c r="E829" s="63"/>
      <c r="F829" s="66"/>
      <c r="G829" s="66"/>
      <c r="H829" s="330"/>
      <c r="I829" s="405"/>
      <c r="J829" s="405"/>
      <c r="K829" s="398"/>
      <c r="L829" s="405"/>
      <c r="M829" s="64"/>
      <c r="N829" s="65"/>
      <c r="O829" s="65"/>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row>
    <row r="830" spans="1:30" ht="15.75" customHeight="1">
      <c r="A830" s="327" t="str">
        <f>IF(B830&lt;&gt;"",IF(AND(B830='IN-TC'!$S$4,OR(TH!N830="1111",TH!O830="1111")),TH!D830,""),"")</f>
        <v/>
      </c>
      <c r="B830" s="62" t="str">
        <f t="shared" ref="B830:B857" si="310">IF(C830&lt;&gt;"",MONTH(C830),"")</f>
        <v/>
      </c>
      <c r="C830" s="63"/>
      <c r="D830" s="63"/>
      <c r="E830" s="63"/>
      <c r="F830" s="66"/>
      <c r="G830" s="66"/>
      <c r="H830" s="330"/>
      <c r="I830" s="405"/>
      <c r="J830" s="405"/>
      <c r="K830" s="398"/>
      <c r="L830" s="405"/>
      <c r="M830" s="64"/>
      <c r="N830" s="65"/>
      <c r="O830" s="65"/>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row>
    <row r="831" spans="1:30" ht="19.5" customHeight="1">
      <c r="A831" s="327" t="str">
        <f>IF(B831&lt;&gt;"",IF(AND(B831='IN-TC'!$S$4,OR(TH!N831="1111",TH!O831="1111")),TH!D831,""),"")</f>
        <v/>
      </c>
      <c r="B831" s="62" t="str">
        <f>IF(C831&lt;&gt;"",MONTH(C831),"")</f>
        <v/>
      </c>
      <c r="C831" s="63"/>
      <c r="D831" s="63"/>
      <c r="E831" s="63"/>
      <c r="F831" s="66"/>
      <c r="G831" s="66"/>
      <c r="H831" s="330"/>
      <c r="I831" s="405"/>
      <c r="J831" s="405"/>
      <c r="K831" s="398"/>
      <c r="L831" s="405"/>
      <c r="M831" s="64"/>
      <c r="N831" s="65"/>
      <c r="O831" s="65"/>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row>
    <row r="832" spans="1:30" ht="15.75" customHeight="1">
      <c r="A832" s="327" t="str">
        <f>IF(B832&lt;&gt;"",IF(AND(B832='IN-TC'!$S$4,OR(TH!N832="1111",TH!O832="1111")),TH!D832,""),"")</f>
        <v/>
      </c>
      <c r="B832" s="62" t="str">
        <f t="shared" si="310"/>
        <v/>
      </c>
      <c r="C832" s="63"/>
      <c r="D832" s="63"/>
      <c r="E832" s="63"/>
      <c r="F832" s="66"/>
      <c r="G832" s="66"/>
      <c r="H832" s="71"/>
      <c r="I832" s="405"/>
      <c r="J832" s="697"/>
      <c r="K832" s="398"/>
      <c r="L832" s="405"/>
      <c r="M832" s="64"/>
      <c r="N832" s="1045"/>
      <c r="O832" s="65"/>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row>
    <row r="833" spans="1:30" ht="15.75" customHeight="1">
      <c r="A833" s="327" t="str">
        <f>IF(B833&lt;&gt;"",IF(AND(B833='IN-TC'!$S$4,OR(TH!N833="1111",TH!O833="1111")),TH!D833,""),"")</f>
        <v/>
      </c>
      <c r="B833" s="62" t="str">
        <f t="shared" si="310"/>
        <v/>
      </c>
      <c r="C833" s="63"/>
      <c r="D833" s="63"/>
      <c r="E833" s="63"/>
      <c r="F833" s="66"/>
      <c r="G833" s="66"/>
      <c r="H833" s="71"/>
      <c r="I833" s="1046"/>
      <c r="J833" s="405"/>
      <c r="K833" s="398"/>
      <c r="L833" s="405"/>
      <c r="M833" s="64"/>
      <c r="N833" s="1045"/>
      <c r="O833" s="65"/>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0" ht="15.75" customHeight="1">
      <c r="A834" s="327" t="str">
        <f>IF(B834&lt;&gt;"",IF(AND(B834='IN-TC'!$S$4,OR(TH!N834="1111",TH!O834="1111")),TH!D834,""),"")</f>
        <v/>
      </c>
      <c r="B834" s="62" t="str">
        <f t="shared" si="310"/>
        <v/>
      </c>
      <c r="C834" s="63"/>
      <c r="D834" s="63"/>
      <c r="E834" s="63"/>
      <c r="F834" s="66"/>
      <c r="G834" s="66"/>
      <c r="H834" s="71"/>
      <c r="I834" s="1046"/>
      <c r="J834" s="405"/>
      <c r="K834" s="398"/>
      <c r="L834" s="405"/>
      <c r="M834" s="64"/>
      <c r="N834" s="1045"/>
      <c r="O834" s="65"/>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row>
    <row r="835" spans="1:30" ht="15.75" customHeight="1">
      <c r="A835" s="327" t="str">
        <f>IF(B835&lt;&gt;"",IF(AND(B835='IN-TC'!$S$4,OR(TH!N835="1111",TH!O835="1111")),TH!D835,""),"")</f>
        <v/>
      </c>
      <c r="B835" s="62" t="str">
        <f t="shared" si="310"/>
        <v/>
      </c>
      <c r="C835" s="63"/>
      <c r="D835" s="63"/>
      <c r="E835" s="63"/>
      <c r="F835" s="66"/>
      <c r="G835" s="66"/>
      <c r="H835" s="71"/>
      <c r="I835" s="1046"/>
      <c r="J835" s="405"/>
      <c r="K835" s="398"/>
      <c r="L835" s="405"/>
      <c r="M835" s="64"/>
      <c r="N835" s="1045"/>
      <c r="O835" s="65"/>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row>
    <row r="836" spans="1:30" ht="15.75" customHeight="1">
      <c r="A836" s="327" t="str">
        <f>IF(B836&lt;&gt;"",IF(AND(B836='IN-TC'!$S$4,OR(TH!N836="1111",TH!O836="1111")),TH!D836,""),"")</f>
        <v/>
      </c>
      <c r="B836" s="62" t="str">
        <f t="shared" si="310"/>
        <v/>
      </c>
      <c r="C836" s="63"/>
      <c r="D836" s="63"/>
      <c r="E836" s="63"/>
      <c r="F836" s="66"/>
      <c r="G836" s="66"/>
      <c r="H836" s="71"/>
      <c r="I836" s="1046"/>
      <c r="J836" s="405"/>
      <c r="K836" s="398"/>
      <c r="L836" s="405"/>
      <c r="M836" s="64"/>
      <c r="N836" s="1045"/>
      <c r="O836" s="65"/>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0" ht="15.75" customHeight="1">
      <c r="A837" s="327" t="str">
        <f>IF(B837&lt;&gt;"",IF(AND(B837='IN-TC'!$S$4,OR(TH!N837="1111",TH!O837="1111")),TH!D837,""),"")</f>
        <v/>
      </c>
      <c r="B837" s="62" t="str">
        <f t="shared" si="310"/>
        <v/>
      </c>
      <c r="C837" s="63"/>
      <c r="D837" s="63"/>
      <c r="E837" s="63"/>
      <c r="F837" s="66"/>
      <c r="G837" s="66"/>
      <c r="H837" s="71"/>
      <c r="I837" s="1046"/>
      <c r="J837" s="405"/>
      <c r="K837" s="398"/>
      <c r="L837" s="405"/>
      <c r="M837" s="64"/>
      <c r="N837" s="1045"/>
      <c r="O837" s="65"/>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row>
    <row r="838" spans="1:30" ht="15.75" customHeight="1">
      <c r="A838" s="327" t="str">
        <f>IF(B838&lt;&gt;"",IF(AND(B838='IN-TC'!$S$4,OR(TH!N838="1111",TH!O838="1111")),TH!D838,""),"")</f>
        <v/>
      </c>
      <c r="B838" s="62" t="str">
        <f t="shared" si="310"/>
        <v/>
      </c>
      <c r="C838" s="63"/>
      <c r="D838" s="63"/>
      <c r="E838" s="63"/>
      <c r="F838" s="66"/>
      <c r="G838" s="66"/>
      <c r="H838" s="71"/>
      <c r="I838" s="1046"/>
      <c r="J838" s="405"/>
      <c r="K838" s="398"/>
      <c r="L838" s="405"/>
      <c r="M838" s="64"/>
      <c r="N838" s="1045"/>
      <c r="O838" s="65"/>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row>
    <row r="839" spans="1:30" ht="15.75" customHeight="1">
      <c r="A839" s="327" t="str">
        <f>IF(B839&lt;&gt;"",IF(AND(B839='IN-TC'!$S$4,OR(TH!N839="1111",TH!O839="1111")),TH!D839,""),"")</f>
        <v/>
      </c>
      <c r="B839" s="62" t="str">
        <f t="shared" si="310"/>
        <v/>
      </c>
      <c r="C839" s="63"/>
      <c r="D839" s="63"/>
      <c r="E839" s="63"/>
      <c r="F839" s="66"/>
      <c r="G839" s="66"/>
      <c r="H839" s="71"/>
      <c r="I839" s="1046"/>
      <c r="J839" s="405"/>
      <c r="K839" s="398"/>
      <c r="L839" s="405"/>
      <c r="M839" s="64"/>
      <c r="N839" s="1045"/>
      <c r="O839" s="65"/>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0" ht="15.75" customHeight="1">
      <c r="A840" s="327" t="str">
        <f>IF(B840&lt;&gt;"",IF(AND(B840='IN-TC'!$S$4,OR(TH!N840="1111",TH!O840="1111")),TH!D840,""),"")</f>
        <v/>
      </c>
      <c r="B840" s="62" t="str">
        <f t="shared" si="310"/>
        <v/>
      </c>
      <c r="C840" s="63"/>
      <c r="D840" s="63"/>
      <c r="E840" s="63"/>
      <c r="F840" s="66"/>
      <c r="G840" s="66"/>
      <c r="H840" s="71"/>
      <c r="I840" s="1046"/>
      <c r="J840" s="405"/>
      <c r="K840" s="398"/>
      <c r="L840" s="405"/>
      <c r="M840" s="64"/>
      <c r="N840" s="1045"/>
      <c r="O840" s="65"/>
      <c r="P840" s="81" t="str">
        <f>IF(AND('331-CT'!$E$7=TH!H840,OR(N840="331",O840="331")),"x","")</f>
        <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row>
    <row r="841" spans="1:30" ht="15.75" customHeight="1">
      <c r="A841" s="327" t="str">
        <f>IF(B841&lt;&gt;"",IF(AND(B841='IN-TC'!$S$4,OR(TH!N841="1111",TH!O841="1111")),TH!D841,""),"")</f>
        <v/>
      </c>
      <c r="B841" s="62" t="str">
        <f t="shared" si="310"/>
        <v/>
      </c>
      <c r="C841" s="63"/>
      <c r="D841" s="63"/>
      <c r="E841" s="63"/>
      <c r="F841" s="66"/>
      <c r="G841" s="816"/>
      <c r="H841" s="71"/>
      <c r="I841" s="405"/>
      <c r="J841" s="405"/>
      <c r="K841" s="398"/>
      <c r="L841" s="405"/>
      <c r="M841" s="64"/>
      <c r="N841" s="65"/>
      <c r="O841" s="65"/>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row>
    <row r="842" spans="1:30" ht="15.75" customHeight="1">
      <c r="A842" s="327" t="str">
        <f>IF(B842&lt;&gt;"",IF(AND(B842='IN-TC'!$S$4,OR(TH!N842="1111",TH!O842="1111")),TH!D842,""),"")</f>
        <v/>
      </c>
      <c r="B842" s="62" t="str">
        <f t="shared" si="310"/>
        <v/>
      </c>
      <c r="C842" s="63"/>
      <c r="D842" s="63"/>
      <c r="E842" s="63"/>
      <c r="F842" s="66"/>
      <c r="G842" s="816"/>
      <c r="H842" s="71"/>
      <c r="I842" s="405"/>
      <c r="J842" s="405"/>
      <c r="K842" s="398"/>
      <c r="L842" s="405"/>
      <c r="M842" s="64"/>
      <c r="N842" s="65"/>
      <c r="O842" s="65"/>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0" ht="15.75" customHeight="1">
      <c r="A843" s="327" t="str">
        <f>IF(B843&lt;&gt;"",IF(AND(B843='IN-TC'!$S$4,OR(TH!N843="1111",TH!O843="1111")),TH!D843,""),"")</f>
        <v/>
      </c>
      <c r="B843" s="62" t="str">
        <f t="shared" si="310"/>
        <v/>
      </c>
      <c r="C843" s="63"/>
      <c r="D843" s="63"/>
      <c r="E843" s="63"/>
      <c r="F843" s="66"/>
      <c r="G843" s="816"/>
      <c r="H843" s="71"/>
      <c r="I843" s="405"/>
      <c r="J843" s="405"/>
      <c r="K843" s="398"/>
      <c r="L843" s="405"/>
      <c r="M843" s="64"/>
      <c r="N843" s="65"/>
      <c r="O843" s="65"/>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row>
    <row r="844" spans="1:30" ht="15.75" customHeight="1">
      <c r="A844" s="327" t="str">
        <f>IF(B844&lt;&gt;"",IF(AND(B844='IN-TC'!$S$4,OR(TH!N844="1111",TH!O844="1111")),TH!D844,""),"")</f>
        <v/>
      </c>
      <c r="B844" s="62" t="str">
        <f t="shared" si="310"/>
        <v/>
      </c>
      <c r="C844" s="63"/>
      <c r="D844" s="63"/>
      <c r="E844" s="63"/>
      <c r="F844" s="66"/>
      <c r="G844" s="816"/>
      <c r="H844" s="71"/>
      <c r="I844" s="405"/>
      <c r="J844" s="405"/>
      <c r="K844" s="398"/>
      <c r="L844" s="405"/>
      <c r="M844" s="64"/>
      <c r="N844" s="65"/>
      <c r="O844" s="65"/>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row>
    <row r="845" spans="1:30" ht="15.75" customHeight="1">
      <c r="A845" s="327" t="str">
        <f>IF(B845&lt;&gt;"",IF(AND(B845='IN-TC'!$S$4,OR(TH!N845="1111",TH!O845="1111")),TH!D845,""),"")</f>
        <v/>
      </c>
      <c r="B845" s="62" t="str">
        <f t="shared" si="310"/>
        <v/>
      </c>
      <c r="C845" s="63"/>
      <c r="D845" s="63"/>
      <c r="E845" s="63"/>
      <c r="F845" s="66"/>
      <c r="G845" s="816"/>
      <c r="H845" s="71"/>
      <c r="I845" s="405"/>
      <c r="J845" s="1035"/>
      <c r="K845" s="398"/>
      <c r="L845" s="405"/>
      <c r="M845" s="64"/>
      <c r="N845" s="65"/>
      <c r="O845" s="65"/>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0" ht="15.75" customHeight="1">
      <c r="A846" s="327" t="str">
        <f>IF(B846&lt;&gt;"",IF(AND(B846='IN-TC'!$S$4,OR(TH!N846="1111",TH!O846="1111")),TH!D846,""),"")</f>
        <v/>
      </c>
      <c r="B846" s="62" t="str">
        <f t="shared" si="310"/>
        <v/>
      </c>
      <c r="C846" s="63"/>
      <c r="D846" s="63"/>
      <c r="E846" s="63"/>
      <c r="F846" s="66"/>
      <c r="G846" s="816"/>
      <c r="H846" s="71"/>
      <c r="I846" s="405"/>
      <c r="J846" s="405"/>
      <c r="K846" s="398"/>
      <c r="L846" s="405"/>
      <c r="M846" s="64"/>
      <c r="N846" s="65"/>
      <c r="O846" s="65"/>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row>
    <row r="847" spans="1:30" ht="15.75" customHeight="1">
      <c r="A847" s="327" t="str">
        <f>IF(B847&lt;&gt;"",IF(AND(B847='IN-TC'!$S$4,OR(TH!N847="1111",TH!O847="1111")),TH!D847,""),"")</f>
        <v/>
      </c>
      <c r="B847" s="62" t="str">
        <f t="shared" ref="B847" si="311">IF(C847&lt;&gt;"",MONTH(C847),"")</f>
        <v/>
      </c>
      <c r="C847" s="63"/>
      <c r="D847" s="63"/>
      <c r="E847" s="63"/>
      <c r="F847" s="66"/>
      <c r="G847" s="816"/>
      <c r="H847" s="71"/>
      <c r="I847" s="405"/>
      <c r="J847" s="405"/>
      <c r="K847" s="398"/>
      <c r="L847" s="405"/>
      <c r="M847" s="64"/>
      <c r="N847" s="65"/>
      <c r="O847" s="65"/>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row>
    <row r="848" spans="1:30" ht="15.75" customHeight="1">
      <c r="A848" s="327" t="str">
        <f>IF(B848&lt;&gt;"",IF(AND(B848='IN-TC'!$S$4,OR(TH!N848="1111",TH!O848="1111")),TH!D848,""),"")</f>
        <v/>
      </c>
      <c r="B848" s="62" t="str">
        <f t="shared" si="310"/>
        <v/>
      </c>
      <c r="C848" s="63"/>
      <c r="D848" s="63"/>
      <c r="E848" s="63"/>
      <c r="F848" s="66"/>
      <c r="G848" s="816"/>
      <c r="H848" s="71"/>
      <c r="I848" s="405"/>
      <c r="J848" s="405"/>
      <c r="K848" s="398"/>
      <c r="L848" s="405"/>
      <c r="M848" s="64"/>
      <c r="N848" s="65"/>
      <c r="O848" s="65"/>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0" ht="15.75" customHeight="1">
      <c r="A849" s="327" t="str">
        <f>IF(B849&lt;&gt;"",IF(AND(B849='IN-TC'!$S$4,OR(TH!N849="1111",TH!O849="1111")),TH!D849,""),"")</f>
        <v/>
      </c>
      <c r="B849" s="62" t="str">
        <f t="shared" si="310"/>
        <v/>
      </c>
      <c r="C849" s="63"/>
      <c r="D849" s="63"/>
      <c r="E849" s="63"/>
      <c r="F849" s="66"/>
      <c r="G849" s="816"/>
      <c r="H849" s="71"/>
      <c r="I849" s="405"/>
      <c r="J849" s="405"/>
      <c r="K849" s="398"/>
      <c r="L849" s="405"/>
      <c r="M849" s="64"/>
      <c r="N849" s="65"/>
      <c r="O849" s="65"/>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0" ht="15.75" customHeight="1">
      <c r="A850" s="327" t="str">
        <f>IF(B850&lt;&gt;"",IF(AND(B850='IN-TC'!$S$4,OR(TH!N850="1111",TH!O850="1111")),TH!D850,""),"")</f>
        <v/>
      </c>
      <c r="B850" s="62" t="str">
        <f t="shared" si="310"/>
        <v/>
      </c>
      <c r="C850" s="63"/>
      <c r="D850" s="63"/>
      <c r="E850" s="63"/>
      <c r="F850" s="66"/>
      <c r="G850" s="816"/>
      <c r="H850" s="71"/>
      <c r="I850" s="405"/>
      <c r="J850" s="405"/>
      <c r="K850" s="398"/>
      <c r="L850" s="405"/>
      <c r="M850" s="64"/>
      <c r="N850" s="65"/>
      <c r="O850" s="65"/>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0" ht="15.75" customHeight="1">
      <c r="A851" s="327" t="str">
        <f>IF(B851&lt;&gt;"",IF(AND(B851='IN-TC'!$S$4,OR(TH!N851="1111",TH!O851="1111")),TH!D851,""),"")</f>
        <v/>
      </c>
      <c r="B851" s="62" t="str">
        <f t="shared" si="310"/>
        <v/>
      </c>
      <c r="C851" s="63"/>
      <c r="D851" s="63"/>
      <c r="E851" s="63"/>
      <c r="F851" s="66"/>
      <c r="G851" s="816"/>
      <c r="H851" s="71"/>
      <c r="I851" s="405"/>
      <c r="J851" s="405"/>
      <c r="K851" s="398"/>
      <c r="L851" s="405"/>
      <c r="M851" s="64"/>
      <c r="N851" s="65"/>
      <c r="O851" s="65"/>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0" ht="15.75" customHeight="1">
      <c r="A852" s="327" t="str">
        <f>IF(B852&lt;&gt;"",IF(AND(B852='IN-TC'!$S$4,OR(TH!N852="1111",TH!O852="1111")),TH!D852,""),"")</f>
        <v/>
      </c>
      <c r="B852" s="62" t="str">
        <f t="shared" si="310"/>
        <v/>
      </c>
      <c r="C852" s="63"/>
      <c r="D852" s="63"/>
      <c r="E852" s="63"/>
      <c r="F852" s="66"/>
      <c r="G852" s="816"/>
      <c r="H852" s="71"/>
      <c r="I852" s="405"/>
      <c r="J852" s="405"/>
      <c r="K852" s="398"/>
      <c r="L852" s="405"/>
      <c r="M852" s="64"/>
      <c r="N852" s="65"/>
      <c r="O852" s="65"/>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0" ht="15.75" customHeight="1">
      <c r="A853" s="327" t="str">
        <f>IF(B853&lt;&gt;"",IF(AND(B853='IN-TC'!$S$4,OR(TH!N853="1111",TH!O853="1111")),TH!D853,""),"")</f>
        <v/>
      </c>
      <c r="B853" s="62" t="str">
        <f t="shared" si="310"/>
        <v/>
      </c>
      <c r="C853" s="63"/>
      <c r="D853" s="63"/>
      <c r="E853" s="63"/>
      <c r="F853" s="66"/>
      <c r="G853" s="816"/>
      <c r="H853" s="71"/>
      <c r="I853" s="405"/>
      <c r="J853" s="405"/>
      <c r="K853" s="398"/>
      <c r="L853" s="405"/>
      <c r="M853" s="64"/>
      <c r="N853" s="65"/>
      <c r="O853" s="65"/>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row>
    <row r="854" spans="1:30" ht="15.75" customHeight="1">
      <c r="A854" s="327" t="str">
        <f>IF(B854&lt;&gt;"",IF(AND(B854='IN-TC'!$S$4,OR(TH!N854="1111",TH!O854="1111")),TH!D854,""),"")</f>
        <v/>
      </c>
      <c r="B854" s="62" t="str">
        <f t="shared" si="310"/>
        <v/>
      </c>
      <c r="C854" s="63"/>
      <c r="D854" s="63"/>
      <c r="E854" s="63"/>
      <c r="F854" s="66"/>
      <c r="G854" s="816"/>
      <c r="H854" s="71"/>
      <c r="I854" s="1046"/>
      <c r="J854" s="405"/>
      <c r="K854" s="398"/>
      <c r="L854" s="405"/>
      <c r="M854" s="64"/>
      <c r="N854" s="65"/>
      <c r="O854" s="65"/>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row>
    <row r="855" spans="1:30" ht="15.75" customHeight="1">
      <c r="A855" s="327" t="str">
        <f>IF(B855&lt;&gt;"",IF(AND(B855='IN-TC'!$S$4,OR(TH!N855="1111",TH!O855="1111")),TH!D855,""),"")</f>
        <v/>
      </c>
      <c r="B855" s="62" t="str">
        <f t="shared" ref="B855" si="312">IF(C855&lt;&gt;"",MONTH(C855),"")</f>
        <v/>
      </c>
      <c r="C855" s="63"/>
      <c r="D855" s="63"/>
      <c r="E855" s="63"/>
      <c r="F855" s="66"/>
      <c r="G855" s="816"/>
      <c r="H855" s="71"/>
      <c r="I855" s="405"/>
      <c r="J855" s="405"/>
      <c r="K855" s="398"/>
      <c r="L855" s="405"/>
      <c r="M855" s="64"/>
      <c r="N855" s="65"/>
      <c r="O855" s="65"/>
      <c r="P855" s="81" t="str">
        <f>IF(AND('331-CT'!$E$7=TH!H855,OR(N855="331",O855="331")),"x","")</f>
        <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0" ht="15.75" customHeight="1">
      <c r="A856" s="327" t="str">
        <f>IF(B856&lt;&gt;"",IF(AND(B856='IN-TC'!$S$4,OR(TH!N856="1111",TH!O856="1111")),TH!D856,""),"")</f>
        <v/>
      </c>
      <c r="B856" s="62" t="str">
        <f t="shared" ref="B856" si="313">IF(C856&lt;&gt;"",MONTH(C856),"")</f>
        <v/>
      </c>
      <c r="C856" s="63"/>
      <c r="D856" s="63"/>
      <c r="E856" s="63"/>
      <c r="F856" s="66"/>
      <c r="G856" s="816"/>
      <c r="H856" s="71"/>
      <c r="I856" s="398"/>
      <c r="J856" s="405"/>
      <c r="K856" s="398"/>
      <c r="L856" s="405"/>
      <c r="M856" s="64"/>
      <c r="N856" s="65"/>
      <c r="O856" s="65"/>
      <c r="P856" s="81" t="str">
        <f>IF(AND('331-CT'!$E$7=TH!H856,OR(N856="331",O856="331")),"x","")</f>
        <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0" ht="15.75" customHeight="1">
      <c r="A857" s="327" t="str">
        <f>IF(B857&lt;&gt;"",IF(AND(B857='IN-TC'!$S$4,OR(TH!N857="1111",TH!O857="1111")),TH!D857,""),"")</f>
        <v/>
      </c>
      <c r="B857" s="62" t="str">
        <f t="shared" si="310"/>
        <v/>
      </c>
      <c r="C857" s="63"/>
      <c r="D857" s="63"/>
      <c r="E857" s="63"/>
      <c r="F857" s="66"/>
      <c r="G857" s="816"/>
      <c r="H857" s="71"/>
      <c r="I857" s="405"/>
      <c r="J857" s="405"/>
      <c r="K857" s="398"/>
      <c r="L857" s="405"/>
      <c r="M857" s="64"/>
      <c r="N857" s="65"/>
      <c r="O857" s="65"/>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0" ht="15.75" customHeight="1">
      <c r="A858" s="327" t="str">
        <f>IF(B858&lt;&gt;"",IF(AND(B858='IN-TC'!$S$4,OR(TH!N858="1111",TH!O858="1111")),TH!D858,""),"")</f>
        <v/>
      </c>
      <c r="B858" s="62" t="str">
        <f t="shared" ref="B858:B964" si="314">IF(C858&lt;&gt;"",MONTH(C858),"")</f>
        <v/>
      </c>
      <c r="C858" s="63"/>
      <c r="D858" s="63"/>
      <c r="E858" s="63"/>
      <c r="F858" s="66"/>
      <c r="G858" s="816"/>
      <c r="H858" s="71"/>
      <c r="I858" s="405"/>
      <c r="J858" s="405"/>
      <c r="K858" s="398"/>
      <c r="L858" s="405"/>
      <c r="M858" s="64"/>
      <c r="N858" s="65"/>
      <c r="O858" s="65"/>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0" ht="15.75" customHeight="1">
      <c r="A859" s="327" t="str">
        <f>IF(B859&lt;&gt;"",IF(AND(B859='IN-TC'!$S$4,OR(TH!N859="1111",TH!O859="1111")),TH!D859,""),"")</f>
        <v/>
      </c>
      <c r="B859" s="62" t="str">
        <f t="shared" si="314"/>
        <v/>
      </c>
      <c r="C859" s="63"/>
      <c r="D859" s="63"/>
      <c r="E859" s="63"/>
      <c r="F859" s="66"/>
      <c r="G859" s="816"/>
      <c r="H859" s="71"/>
      <c r="I859" s="405"/>
      <c r="J859" s="405"/>
      <c r="K859" s="398"/>
      <c r="L859" s="405"/>
      <c r="M859" s="64"/>
      <c r="N859" s="65"/>
      <c r="O859" s="65"/>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row>
    <row r="860" spans="1:30" ht="15.75" customHeight="1">
      <c r="A860" s="327" t="str">
        <f>IF(B860&lt;&gt;"",IF(AND(B860='IN-TC'!$S$4,OR(TH!N860="1111",TH!O860="1111")),TH!D860,""),"")</f>
        <v/>
      </c>
      <c r="B860" s="62" t="str">
        <f t="shared" si="314"/>
        <v/>
      </c>
      <c r="C860" s="63"/>
      <c r="D860" s="63"/>
      <c r="E860" s="63"/>
      <c r="F860" s="66"/>
      <c r="G860" s="816"/>
      <c r="H860" s="71"/>
      <c r="I860" s="1046"/>
      <c r="J860" s="405"/>
      <c r="K860" s="398"/>
      <c r="L860" s="405"/>
      <c r="M860" s="64"/>
      <c r="N860" s="65"/>
      <c r="O860" s="65"/>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row>
    <row r="861" spans="1:30" ht="15.75" customHeight="1">
      <c r="A861" s="327" t="str">
        <f>IF(B861&lt;&gt;"",IF(AND(B861='IN-TC'!$S$4,OR(TH!N861="1111",TH!O861="1111")),TH!D861,""),"")</f>
        <v/>
      </c>
      <c r="B861" s="62" t="str">
        <f t="shared" ref="B861:B862" si="315">IF(C861&lt;&gt;"",MONTH(C861),"")</f>
        <v/>
      </c>
      <c r="C861" s="63"/>
      <c r="D861" s="63"/>
      <c r="E861" s="63"/>
      <c r="F861" s="66"/>
      <c r="G861" s="816"/>
      <c r="H861" s="71"/>
      <c r="I861" s="405"/>
      <c r="J861" s="405"/>
      <c r="K861" s="398"/>
      <c r="L861" s="405"/>
      <c r="M861" s="64"/>
      <c r="N861" s="65"/>
      <c r="O861" s="65"/>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0" ht="15.75" customHeight="1">
      <c r="A862" s="998" t="str">
        <f>IF(B862&lt;&gt;"",IF(AND(B862='IN-TC'!$S$4,OR(TH!N862="1111",TH!O862="1111")),TH!D862,""),"")</f>
        <v/>
      </c>
      <c r="B862" s="831" t="str">
        <f t="shared" si="315"/>
        <v/>
      </c>
      <c r="C862" s="63"/>
      <c r="D862" s="63"/>
      <c r="E862" s="63"/>
      <c r="F862" s="66"/>
      <c r="G862" s="66"/>
      <c r="H862" s="330"/>
      <c r="I862" s="405"/>
      <c r="J862" s="1043"/>
      <c r="K862" s="398"/>
      <c r="L862" s="405"/>
      <c r="M862" s="1044"/>
      <c r="N862" s="312"/>
      <c r="O862" s="312"/>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0" ht="15.75" customHeight="1">
      <c r="A863" s="998" t="str">
        <f>IF(B863&lt;&gt;"",IF(AND(B863='IN-TC'!$S$4,OR(TH!N863="1111",TH!O863="1111")),TH!D863,""),"")</f>
        <v/>
      </c>
      <c r="B863" s="831" t="str">
        <f t="shared" ref="B863" si="316">IF(C863&lt;&gt;"",MONTH(C863),"")</f>
        <v/>
      </c>
      <c r="C863" s="63"/>
      <c r="D863" s="63"/>
      <c r="E863" s="63"/>
      <c r="F863" s="66"/>
      <c r="G863" s="66"/>
      <c r="H863" s="330"/>
      <c r="I863" s="405"/>
      <c r="J863" s="1043"/>
      <c r="K863" s="398"/>
      <c r="L863" s="405"/>
      <c r="M863" s="1044"/>
      <c r="N863" s="312"/>
      <c r="O863" s="312"/>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0" ht="15.75" customHeight="1">
      <c r="A864" s="327" t="str">
        <f>IF(B864&lt;&gt;"",IF(AND(B864='IN-TC'!$S$4,OR(TH!N864="1111",TH!O864="1111")),TH!D864,""),"")</f>
        <v/>
      </c>
      <c r="B864" s="62" t="str">
        <f t="shared" si="314"/>
        <v/>
      </c>
      <c r="C864" s="63"/>
      <c r="D864" s="63"/>
      <c r="E864" s="63"/>
      <c r="F864" s="66"/>
      <c r="G864" s="816"/>
      <c r="H864" s="71"/>
      <c r="I864" s="405"/>
      <c r="J864" s="405"/>
      <c r="K864" s="398"/>
      <c r="L864" s="405"/>
      <c r="M864" s="64"/>
      <c r="N864" s="65"/>
      <c r="O864" s="65"/>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0" ht="15.75" customHeight="1">
      <c r="A865" s="327" t="str">
        <f>IF(B865&lt;&gt;"",IF(AND(B865='IN-TC'!$S$4,OR(TH!N865="1111",TH!O865="1111")),TH!D865,""),"")</f>
        <v/>
      </c>
      <c r="B865" s="62" t="str">
        <f t="shared" si="314"/>
        <v/>
      </c>
      <c r="C865" s="63"/>
      <c r="D865" s="63"/>
      <c r="E865" s="63"/>
      <c r="F865" s="66"/>
      <c r="G865" s="816"/>
      <c r="H865" s="71"/>
      <c r="I865" s="405"/>
      <c r="J865" s="405"/>
      <c r="K865" s="398"/>
      <c r="L865" s="405"/>
      <c r="M865" s="64"/>
      <c r="N865" s="65"/>
      <c r="O865" s="65"/>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0" ht="15.75" customHeight="1">
      <c r="A866" s="327" t="str">
        <f>IF(B866&lt;&gt;"",IF(AND(B866='IN-TC'!$S$4,OR(TH!N866="1111",TH!O866="1111")),TH!D866,""),"")</f>
        <v/>
      </c>
      <c r="B866" s="62" t="str">
        <f t="shared" si="314"/>
        <v/>
      </c>
      <c r="C866" s="63"/>
      <c r="D866" s="63"/>
      <c r="E866" s="63"/>
      <c r="F866" s="66"/>
      <c r="G866" s="816"/>
      <c r="H866" s="71"/>
      <c r="I866" s="405"/>
      <c r="J866" s="405"/>
      <c r="K866" s="398"/>
      <c r="L866" s="405"/>
      <c r="M866" s="64"/>
      <c r="N866" s="65"/>
      <c r="O866" s="65"/>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0" ht="15.75" customHeight="1">
      <c r="A867" s="327" t="str">
        <f>IF(B867&lt;&gt;"",IF(AND(B867='IN-TC'!$S$4,OR(TH!N867="1111",TH!O867="1111")),TH!D867,""),"")</f>
        <v/>
      </c>
      <c r="B867" s="62" t="str">
        <f t="shared" ref="B867:B868" si="317">IF(C867&lt;&gt;"",MONTH(C867),"")</f>
        <v/>
      </c>
      <c r="C867" s="63"/>
      <c r="D867" s="63"/>
      <c r="E867" s="63"/>
      <c r="F867" s="66"/>
      <c r="G867" s="816"/>
      <c r="H867" s="71"/>
      <c r="I867" s="405"/>
      <c r="J867" s="405"/>
      <c r="K867" s="398"/>
      <c r="L867" s="405"/>
      <c r="M867" s="64"/>
      <c r="N867" s="65"/>
      <c r="O867" s="65"/>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0" ht="15.75" customHeight="1">
      <c r="A868" s="327" t="str">
        <f>IF(B868&lt;&gt;"",IF(AND(B868='IN-TC'!$S$4,OR(TH!N868="1111",TH!O868="1111")),TH!D868,""),"")</f>
        <v/>
      </c>
      <c r="B868" s="62" t="str">
        <f t="shared" si="317"/>
        <v/>
      </c>
      <c r="C868" s="63"/>
      <c r="D868" s="63"/>
      <c r="E868" s="63"/>
      <c r="F868" s="66"/>
      <c r="G868" s="816"/>
      <c r="H868" s="71"/>
      <c r="I868" s="405"/>
      <c r="J868" s="405"/>
      <c r="K868" s="398"/>
      <c r="L868" s="405"/>
      <c r="M868" s="64"/>
      <c r="N868" s="65"/>
      <c r="O868" s="65"/>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0" ht="15.75" customHeight="1">
      <c r="A869" s="327" t="str">
        <f>IF(B869&lt;&gt;"",IF(AND(B869='IN-TC'!$S$4,OR(TH!N869="1111",TH!O869="1111")),TH!D869,""),"")</f>
        <v/>
      </c>
      <c r="B869" s="62" t="str">
        <f t="shared" si="314"/>
        <v/>
      </c>
      <c r="C869" s="63"/>
      <c r="D869" s="63"/>
      <c r="E869" s="63"/>
      <c r="F869" s="66"/>
      <c r="G869" s="816"/>
      <c r="H869" s="71"/>
      <c r="I869" s="405"/>
      <c r="J869" s="405"/>
      <c r="K869" s="398"/>
      <c r="L869" s="405"/>
      <c r="M869" s="64"/>
      <c r="N869" s="65"/>
      <c r="O869" s="65"/>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0" ht="15.75" customHeight="1">
      <c r="A870" s="327" t="str">
        <f>IF(B870&lt;&gt;"",IF(AND(B870='IN-TC'!$S$4,OR(TH!N870="1111",TH!O870="1111")),TH!D870,""),"")</f>
        <v/>
      </c>
      <c r="B870" s="62" t="str">
        <f t="shared" si="314"/>
        <v/>
      </c>
      <c r="C870" s="63"/>
      <c r="D870" s="63"/>
      <c r="E870" s="63"/>
      <c r="F870" s="66"/>
      <c r="G870" s="816"/>
      <c r="H870" s="71"/>
      <c r="I870" s="405"/>
      <c r="J870" s="405"/>
      <c r="K870" s="398"/>
      <c r="L870" s="405"/>
      <c r="M870" s="64"/>
      <c r="N870" s="65"/>
      <c r="O870" s="65"/>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0" ht="15.75" customHeight="1">
      <c r="A871" s="327" t="str">
        <f>IF(B871&lt;&gt;"",IF(AND(B871='IN-TC'!$S$4,OR(TH!N871="1111",TH!O871="1111")),TH!D871,""),"")</f>
        <v/>
      </c>
      <c r="B871" s="62" t="str">
        <f t="shared" ref="B871:B872" si="318">IF(C871&lt;&gt;"",MONTH(C871),"")</f>
        <v/>
      </c>
      <c r="C871" s="63"/>
      <c r="D871" s="63"/>
      <c r="E871" s="63"/>
      <c r="F871" s="66"/>
      <c r="G871" s="816"/>
      <c r="H871" s="71"/>
      <c r="I871" s="405"/>
      <c r="J871" s="405"/>
      <c r="K871" s="398"/>
      <c r="L871" s="405"/>
      <c r="M871" s="64"/>
      <c r="N871" s="65"/>
      <c r="O871" s="65"/>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0" ht="15.75" customHeight="1">
      <c r="A872" s="327" t="str">
        <f>IF(B872&lt;&gt;"",IF(AND(B872='IN-TC'!$S$4,OR(TH!N872="1111",TH!O872="1111")),TH!D872,""),"")</f>
        <v/>
      </c>
      <c r="B872" s="62" t="str">
        <f t="shared" si="318"/>
        <v/>
      </c>
      <c r="C872" s="63"/>
      <c r="D872" s="63"/>
      <c r="E872" s="63"/>
      <c r="F872" s="66"/>
      <c r="G872" s="816"/>
      <c r="H872" s="71"/>
      <c r="I872" s="405"/>
      <c r="J872" s="405"/>
      <c r="K872" s="398"/>
      <c r="L872" s="405"/>
      <c r="M872" s="64"/>
      <c r="N872" s="65"/>
      <c r="O872" s="65"/>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0" ht="15.75" customHeight="1">
      <c r="A873" s="998" t="str">
        <f>IF(B873&lt;&gt;"",IF(AND(B873='IN-TC'!$S$4,OR(TH!N873="1111",TH!O873="1111")),TH!D873,""),"")</f>
        <v/>
      </c>
      <c r="B873" s="831" t="str">
        <f>IF(C873&lt;&gt;"",MONTH(C873),"")</f>
        <v/>
      </c>
      <c r="C873" s="63"/>
      <c r="D873" s="63"/>
      <c r="E873" s="63"/>
      <c r="F873" s="66"/>
      <c r="G873" s="816"/>
      <c r="H873" s="71"/>
      <c r="I873" s="405"/>
      <c r="J873" s="405"/>
      <c r="K873" s="398"/>
      <c r="L873" s="405"/>
      <c r="M873" s="64"/>
      <c r="N873" s="65"/>
      <c r="O873" s="65"/>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0" ht="15.75" customHeight="1">
      <c r="A874" s="998" t="str">
        <f>IF(B874&lt;&gt;"",IF(AND(B874='IN-TC'!$S$4,OR(TH!N874="1111",TH!O874="1111")),TH!D874,""),"")</f>
        <v/>
      </c>
      <c r="B874" s="831" t="str">
        <f>IF(C874&lt;&gt;"",MONTH(C874),"")</f>
        <v/>
      </c>
      <c r="C874" s="63"/>
      <c r="D874" s="63"/>
      <c r="E874" s="63"/>
      <c r="F874" s="66"/>
      <c r="G874" s="816"/>
      <c r="H874" s="71"/>
      <c r="I874" s="405"/>
      <c r="J874" s="405"/>
      <c r="K874" s="398"/>
      <c r="L874" s="405"/>
      <c r="M874" s="64"/>
      <c r="N874" s="65"/>
      <c r="O874" s="65"/>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0" ht="15.75" customHeight="1">
      <c r="A875" s="1040" t="str">
        <f>IF(B875&lt;&gt;"",IF(AND(B875='IN-TC'!$S$4,OR(TH!N875="1111",TH!O875="1111")),TH!D875,""),"")</f>
        <v/>
      </c>
      <c r="B875" s="1041" t="str">
        <f t="shared" ref="B875:B892" si="319">IF(C875&lt;&gt;"",MONTH(C875),"")</f>
        <v/>
      </c>
      <c r="C875" s="63"/>
      <c r="D875" s="63"/>
      <c r="E875" s="63"/>
      <c r="F875" s="66"/>
      <c r="G875" s="816"/>
      <c r="H875" s="71"/>
      <c r="I875" s="405"/>
      <c r="J875" s="405"/>
      <c r="K875" s="398"/>
      <c r="L875" s="405"/>
      <c r="M875" s="64"/>
      <c r="N875" s="65"/>
      <c r="O875" s="65"/>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row>
    <row r="876" spans="1:30" ht="15.75" customHeight="1">
      <c r="A876" s="1040" t="str">
        <f>IF(B876&lt;&gt;"",IF(AND(B876='IN-TC'!$S$4,OR(TH!N876="1111",TH!O876="1111")),TH!D876,""),"")</f>
        <v/>
      </c>
      <c r="B876" s="1041" t="str">
        <f t="shared" si="319"/>
        <v/>
      </c>
      <c r="C876" s="63"/>
      <c r="D876" s="63"/>
      <c r="E876" s="63"/>
      <c r="F876" s="66"/>
      <c r="G876" s="816"/>
      <c r="H876" s="71"/>
      <c r="I876" s="405"/>
      <c r="J876" s="405"/>
      <c r="K876" s="398"/>
      <c r="L876" s="405"/>
      <c r="M876" s="64"/>
      <c r="N876" s="65"/>
      <c r="O876" s="65"/>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row>
    <row r="877" spans="1:30" ht="15.75" customHeight="1">
      <c r="A877" s="1040" t="str">
        <f>IF(B877&lt;&gt;"",IF(AND(B877='IN-TC'!$S$4,OR(TH!N877="1111",TH!O877="1111")),TH!D877,""),"")</f>
        <v/>
      </c>
      <c r="B877" s="1041" t="str">
        <f t="shared" si="319"/>
        <v/>
      </c>
      <c r="C877" s="63"/>
      <c r="D877" s="63"/>
      <c r="E877" s="63"/>
      <c r="F877" s="66"/>
      <c r="G877" s="816"/>
      <c r="H877" s="71"/>
      <c r="I877" s="405"/>
      <c r="J877" s="405"/>
      <c r="K877" s="398"/>
      <c r="L877" s="405"/>
      <c r="M877" s="64"/>
      <c r="N877" s="65"/>
      <c r="O877" s="65"/>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0" ht="15.75" customHeight="1">
      <c r="A878" s="1040" t="str">
        <f>IF(B878&lt;&gt;"",IF(AND(B878='IN-TC'!$S$4,OR(TH!N878="1111",TH!O878="1111")),TH!D878,""),"")</f>
        <v/>
      </c>
      <c r="B878" s="1041" t="str">
        <f t="shared" si="319"/>
        <v/>
      </c>
      <c r="C878" s="63"/>
      <c r="D878" s="63"/>
      <c r="E878" s="63"/>
      <c r="F878" s="66"/>
      <c r="G878" s="816"/>
      <c r="H878" s="71"/>
      <c r="I878" s="405"/>
      <c r="J878" s="405"/>
      <c r="K878" s="398"/>
      <c r="L878" s="405"/>
      <c r="M878" s="64"/>
      <c r="N878" s="65"/>
      <c r="O878" s="65"/>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row>
    <row r="879" spans="1:30" ht="15.75" customHeight="1">
      <c r="A879" s="1040" t="str">
        <f>IF(B879&lt;&gt;"",IF(AND(B879='IN-TC'!$S$4,OR(TH!N879="1111",TH!O879="1111")),TH!D879,""),"")</f>
        <v/>
      </c>
      <c r="B879" s="1041" t="str">
        <f t="shared" si="319"/>
        <v/>
      </c>
      <c r="C879" s="63"/>
      <c r="D879" s="63"/>
      <c r="E879" s="63"/>
      <c r="F879" s="66"/>
      <c r="G879" s="816"/>
      <c r="H879" s="71"/>
      <c r="I879" s="405"/>
      <c r="J879" s="405"/>
      <c r="K879" s="398"/>
      <c r="L879" s="405"/>
      <c r="M879" s="64"/>
      <c r="N879" s="65"/>
      <c r="O879" s="65"/>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row>
    <row r="880" spans="1:30" ht="15.75" customHeight="1">
      <c r="A880" s="1040" t="str">
        <f>IF(B880&lt;&gt;"",IF(AND(B880='IN-TC'!$S$4,OR(TH!N880="1111",TH!O880="1111")),TH!D880,""),"")</f>
        <v/>
      </c>
      <c r="B880" s="1041" t="str">
        <f t="shared" si="319"/>
        <v/>
      </c>
      <c r="C880" s="63"/>
      <c r="D880" s="63"/>
      <c r="E880" s="63"/>
      <c r="F880" s="66"/>
      <c r="G880" s="816"/>
      <c r="H880" s="71"/>
      <c r="I880" s="405"/>
      <c r="J880" s="405"/>
      <c r="K880" s="398"/>
      <c r="L880" s="405"/>
      <c r="M880" s="64"/>
      <c r="N880" s="65"/>
      <c r="O880" s="65"/>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0" ht="15.75" customHeight="1">
      <c r="A881" s="1040" t="str">
        <f>IF(B881&lt;&gt;"",IF(AND(B881='IN-TC'!$S$4,OR(TH!N881="1111",TH!O881="1111")),TH!D881,""),"")</f>
        <v/>
      </c>
      <c r="B881" s="1041" t="str">
        <f t="shared" si="319"/>
        <v/>
      </c>
      <c r="C881" s="63"/>
      <c r="D881" s="63"/>
      <c r="E881" s="63"/>
      <c r="F881" s="66"/>
      <c r="G881" s="816"/>
      <c r="H881" s="71"/>
      <c r="I881" s="405"/>
      <c r="J881" s="405"/>
      <c r="K881" s="398"/>
      <c r="L881" s="405"/>
      <c r="M881" s="64"/>
      <c r="N881" s="65"/>
      <c r="O881" s="65"/>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row>
    <row r="882" spans="1:30" ht="15.75" customHeight="1">
      <c r="A882" s="1040" t="str">
        <f>IF(B882&lt;&gt;"",IF(AND(B882='IN-TC'!$S$4,OR(TH!N882="1111",TH!O882="1111")),TH!D882,""),"")</f>
        <v/>
      </c>
      <c r="B882" s="1041" t="str">
        <f t="shared" si="319"/>
        <v/>
      </c>
      <c r="C882" s="63"/>
      <c r="D882" s="63"/>
      <c r="E882" s="63"/>
      <c r="F882" s="66"/>
      <c r="G882" s="816"/>
      <c r="H882" s="71"/>
      <c r="I882" s="405"/>
      <c r="J882" s="405"/>
      <c r="K882" s="398"/>
      <c r="L882" s="405"/>
      <c r="M882" s="64"/>
      <c r="N882" s="65"/>
      <c r="O882" s="65"/>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row>
    <row r="883" spans="1:30" ht="15.75" customHeight="1">
      <c r="A883" s="1040" t="str">
        <f>IF(B883&lt;&gt;"",IF(AND(B883='IN-TC'!$S$4,OR(TH!N883="1111",TH!O883="1111")),TH!D883,""),"")</f>
        <v/>
      </c>
      <c r="B883" s="1041" t="str">
        <f t="shared" si="319"/>
        <v/>
      </c>
      <c r="C883" s="63"/>
      <c r="D883" s="63"/>
      <c r="E883" s="63"/>
      <c r="F883" s="66"/>
      <c r="G883" s="816"/>
      <c r="H883" s="71"/>
      <c r="I883" s="398"/>
      <c r="J883" s="405"/>
      <c r="K883" s="398"/>
      <c r="L883" s="405"/>
      <c r="M883" s="64"/>
      <c r="N883" s="65"/>
      <c r="O883" s="65"/>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0" ht="15.75" customHeight="1">
      <c r="A884" s="1040" t="str">
        <f>IF(B884&lt;&gt;"",IF(AND(B884='IN-TC'!$S$4,OR(TH!N884="1111",TH!O884="1111")),TH!D884,""),"")</f>
        <v/>
      </c>
      <c r="B884" s="1041" t="str">
        <f t="shared" si="319"/>
        <v/>
      </c>
      <c r="C884" s="63"/>
      <c r="D884" s="63"/>
      <c r="E884" s="63"/>
      <c r="F884" s="66"/>
      <c r="G884" s="816"/>
      <c r="H884" s="71"/>
      <c r="I884" s="405"/>
      <c r="J884" s="405"/>
      <c r="K884" s="398"/>
      <c r="L884" s="405"/>
      <c r="M884" s="64"/>
      <c r="N884" s="65"/>
      <c r="O884" s="65"/>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row>
    <row r="885" spans="1:30" ht="15.75" customHeight="1">
      <c r="A885" s="1040" t="str">
        <f>IF(B885&lt;&gt;"",IF(AND(B885='IN-TC'!$S$4,OR(TH!N885="1111",TH!O885="1111")),TH!D885,""),"")</f>
        <v/>
      </c>
      <c r="B885" s="1041" t="str">
        <f t="shared" si="319"/>
        <v/>
      </c>
      <c r="C885" s="63"/>
      <c r="D885" s="63"/>
      <c r="E885" s="63"/>
      <c r="F885" s="66"/>
      <c r="G885" s="816"/>
      <c r="H885" s="71"/>
      <c r="I885" s="405"/>
      <c r="J885" s="405"/>
      <c r="K885" s="398"/>
      <c r="L885" s="405"/>
      <c r="M885" s="64"/>
      <c r="N885" s="65"/>
      <c r="O885" s="65"/>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row>
    <row r="886" spans="1:30" ht="15.75" customHeight="1">
      <c r="A886" s="1040" t="str">
        <f>IF(B886&lt;&gt;"",IF(AND(B886='IN-TC'!$S$4,OR(TH!N886="1111",TH!O886="1111")),TH!D886,""),"")</f>
        <v/>
      </c>
      <c r="B886" s="1041" t="str">
        <f t="shared" si="319"/>
        <v/>
      </c>
      <c r="C886" s="63"/>
      <c r="D886" s="63"/>
      <c r="E886" s="63"/>
      <c r="F886" s="66"/>
      <c r="G886" s="816"/>
      <c r="H886" s="71"/>
      <c r="I886" s="405"/>
      <c r="J886" s="405"/>
      <c r="K886" s="398"/>
      <c r="L886" s="405"/>
      <c r="M886" s="64"/>
      <c r="N886" s="65"/>
      <c r="O886" s="65"/>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row>
    <row r="887" spans="1:30" ht="15.75" customHeight="1">
      <c r="A887" s="1040" t="str">
        <f>IF(B887&lt;&gt;"",IF(AND(B887='IN-TC'!$S$4,OR(TH!N887="1111",TH!O887="1111")),TH!D887,""),"")</f>
        <v/>
      </c>
      <c r="B887" s="1041" t="str">
        <f t="shared" si="319"/>
        <v/>
      </c>
      <c r="C887" s="63"/>
      <c r="D887" s="63"/>
      <c r="E887" s="63"/>
      <c r="F887" s="66"/>
      <c r="G887" s="816"/>
      <c r="H887" s="71"/>
      <c r="I887" s="405"/>
      <c r="J887" s="405"/>
      <c r="K887" s="398"/>
      <c r="L887" s="405"/>
      <c r="M887" s="64"/>
      <c r="N887" s="65"/>
      <c r="O887" s="65"/>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row>
    <row r="888" spans="1:30" ht="15.75" customHeight="1">
      <c r="A888" s="1040" t="str">
        <f>IF(B888&lt;&gt;"",IF(AND(B888='IN-TC'!$S$4,OR(TH!N888="1111",TH!O888="1111")),TH!D888,""),"")</f>
        <v/>
      </c>
      <c r="B888" s="1041" t="str">
        <f t="shared" si="319"/>
        <v/>
      </c>
      <c r="C888" s="63"/>
      <c r="D888" s="63"/>
      <c r="E888" s="63"/>
      <c r="F888" s="66"/>
      <c r="G888" s="816"/>
      <c r="H888" s="71"/>
      <c r="I888" s="405"/>
      <c r="J888" s="405"/>
      <c r="K888" s="398"/>
      <c r="L888" s="405"/>
      <c r="M888" s="64"/>
      <c r="N888" s="65"/>
      <c r="O888" s="65"/>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row>
    <row r="889" spans="1:30" ht="15.75" customHeight="1">
      <c r="A889" s="1040" t="str">
        <f>IF(B889&lt;&gt;"",IF(AND(B889='IN-TC'!$S$4,OR(TH!N889="1111",TH!O889="1111")),TH!D889,""),"")</f>
        <v/>
      </c>
      <c r="B889" s="1041" t="str">
        <f t="shared" si="319"/>
        <v/>
      </c>
      <c r="C889" s="63"/>
      <c r="D889" s="63"/>
      <c r="E889" s="63"/>
      <c r="F889" s="66"/>
      <c r="G889" s="816"/>
      <c r="H889" s="71"/>
      <c r="I889" s="405"/>
      <c r="J889" s="405"/>
      <c r="K889" s="398"/>
      <c r="L889" s="405"/>
      <c r="M889" s="64"/>
      <c r="N889" s="65"/>
      <c r="O889" s="65"/>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0" ht="15.75" customHeight="1">
      <c r="A890" s="1040" t="str">
        <f>IF(B890&lt;&gt;"",IF(AND(B890='IN-TC'!$S$4,OR(TH!N890="1111",TH!O890="1111")),TH!D890,""),"")</f>
        <v/>
      </c>
      <c r="B890" s="1041" t="str">
        <f t="shared" si="319"/>
        <v/>
      </c>
      <c r="C890" s="63"/>
      <c r="D890" s="63"/>
      <c r="E890" s="63"/>
      <c r="F890" s="66"/>
      <c r="G890" s="816"/>
      <c r="H890" s="71"/>
      <c r="I890" s="405"/>
      <c r="J890" s="405"/>
      <c r="K890" s="398"/>
      <c r="L890" s="405"/>
      <c r="M890" s="64"/>
      <c r="N890" s="65"/>
      <c r="O890" s="65"/>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row>
    <row r="891" spans="1:30" ht="15.75" customHeight="1">
      <c r="A891" s="1040" t="str">
        <f>IF(B891&lt;&gt;"",IF(AND(B891='IN-TC'!$S$4,OR(TH!N891="1111",TH!O891="1111")),TH!D891,""),"")</f>
        <v/>
      </c>
      <c r="B891" s="1041" t="str">
        <f t="shared" si="319"/>
        <v/>
      </c>
      <c r="C891" s="63"/>
      <c r="D891" s="63"/>
      <c r="E891" s="63"/>
      <c r="F891" s="66"/>
      <c r="G891" s="816"/>
      <c r="H891" s="71"/>
      <c r="I891" s="405"/>
      <c r="J891" s="405"/>
      <c r="K891" s="398"/>
      <c r="L891" s="405"/>
      <c r="M891" s="64"/>
      <c r="N891" s="65"/>
      <c r="O891" s="65"/>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row>
    <row r="892" spans="1:30" ht="15.75" customHeight="1">
      <c r="A892" s="1040" t="str">
        <f>IF(B892&lt;&gt;"",IF(AND(B892='IN-TC'!$S$4,OR(TH!N892="1111",TH!O892="1111")),TH!D892,""),"")</f>
        <v/>
      </c>
      <c r="B892" s="1041" t="str">
        <f t="shared" si="319"/>
        <v/>
      </c>
      <c r="C892" s="63"/>
      <c r="D892" s="63"/>
      <c r="E892" s="63"/>
      <c r="F892" s="66"/>
      <c r="G892" s="816"/>
      <c r="H892" s="71"/>
      <c r="I892" s="405"/>
      <c r="J892" s="405"/>
      <c r="K892" s="398"/>
      <c r="L892" s="405"/>
      <c r="M892" s="64"/>
      <c r="N892" s="65"/>
      <c r="O892" s="65"/>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0" ht="15.75" customHeight="1">
      <c r="A893" s="1040" t="str">
        <f>IF(B893&lt;&gt;"",IF(AND(B893='IN-TC'!$S$4,OR(TH!N893="1111",TH!O893="1111")),TH!D893,""),"")</f>
        <v/>
      </c>
      <c r="B893" s="1041" t="str">
        <f>IF(C893&lt;&gt;"",MONTH(C893),"")</f>
        <v/>
      </c>
      <c r="C893" s="63"/>
      <c r="D893" s="63"/>
      <c r="E893" s="63"/>
      <c r="F893" s="66"/>
      <c r="G893" s="816"/>
      <c r="H893" s="71"/>
      <c r="I893" s="405"/>
      <c r="J893" s="405"/>
      <c r="K893" s="398"/>
      <c r="L893" s="405"/>
      <c r="M893" s="64"/>
      <c r="N893" s="65"/>
      <c r="O893" s="65"/>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row>
    <row r="894" spans="1:30" ht="15.75" customHeight="1">
      <c r="A894" s="1040" t="str">
        <f>IF(B894&lt;&gt;"",IF(AND(B894='IN-TC'!$S$4,OR(TH!N894="1111",TH!O894="1111")),TH!D894,""),"")</f>
        <v/>
      </c>
      <c r="B894" s="1041" t="str">
        <f>IF(C894&lt;&gt;"",MONTH(C894),"")</f>
        <v/>
      </c>
      <c r="C894" s="63"/>
      <c r="D894" s="63"/>
      <c r="E894" s="63"/>
      <c r="F894" s="66"/>
      <c r="G894" s="816"/>
      <c r="H894" s="71"/>
      <c r="I894" s="405"/>
      <c r="J894" s="405"/>
      <c r="K894" s="398"/>
      <c r="L894" s="405"/>
      <c r="M894" s="64"/>
      <c r="N894" s="65"/>
      <c r="O894" s="65"/>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row>
    <row r="895" spans="1:30" ht="15.75" customHeight="1">
      <c r="A895" s="998" t="str">
        <f>IF(B895&lt;&gt;"",IF(AND(B895='IN-TC'!$S$4,OR(TH!N895="1111",TH!O895="1111")),TH!D895,""),"")</f>
        <v/>
      </c>
      <c r="B895" s="831" t="str">
        <f t="shared" ref="B895:B901" si="320">IF(C895&lt;&gt;"",MONTH(C895),"")</f>
        <v/>
      </c>
      <c r="C895" s="63"/>
      <c r="D895" s="63"/>
      <c r="E895" s="63"/>
      <c r="F895" s="66"/>
      <c r="G895" s="816"/>
      <c r="H895" s="330"/>
      <c r="I895" s="1046"/>
      <c r="J895" s="405"/>
      <c r="K895" s="398"/>
      <c r="L895" s="405"/>
      <c r="M895" s="64"/>
      <c r="N895" s="65"/>
      <c r="O895" s="65"/>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0" ht="15.75" customHeight="1">
      <c r="A896" s="998" t="str">
        <f>IF(B896&lt;&gt;"",IF(AND(B896='IN-TC'!$S$4,OR(TH!N896="1111",TH!O896="1111")),TH!D896,""),"")</f>
        <v/>
      </c>
      <c r="B896" s="831" t="str">
        <f t="shared" si="320"/>
        <v/>
      </c>
      <c r="C896" s="63"/>
      <c r="D896" s="63"/>
      <c r="E896" s="63"/>
      <c r="F896" s="66"/>
      <c r="G896" s="816"/>
      <c r="H896" s="330"/>
      <c r="I896" s="1046"/>
      <c r="J896" s="405"/>
      <c r="K896" s="398"/>
      <c r="L896" s="405"/>
      <c r="M896" s="64"/>
      <c r="N896" s="65"/>
      <c r="O896" s="65"/>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row>
    <row r="897" spans="1:30" ht="15.75" customHeight="1">
      <c r="A897" s="998" t="str">
        <f>IF(B897&lt;&gt;"",IF(AND(B897='IN-TC'!$S$4,OR(TH!N897="1111",TH!O897="1111")),TH!D897,""),"")</f>
        <v/>
      </c>
      <c r="B897" s="831" t="str">
        <f t="shared" si="320"/>
        <v/>
      </c>
      <c r="C897" s="63"/>
      <c r="D897" s="63"/>
      <c r="E897" s="63"/>
      <c r="F897" s="66"/>
      <c r="G897" s="816"/>
      <c r="H897" s="330"/>
      <c r="I897" s="1046"/>
      <c r="J897" s="405"/>
      <c r="K897" s="398"/>
      <c r="L897" s="405"/>
      <c r="M897" s="64"/>
      <c r="N897" s="65"/>
      <c r="O897" s="65"/>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row>
    <row r="898" spans="1:30" ht="15.75" customHeight="1">
      <c r="A898" s="998" t="str">
        <f>IF(B898&lt;&gt;"",IF(AND(B898='IN-TC'!$S$4,OR(TH!N898="1111",TH!O898="1111")),TH!D898,""),"")</f>
        <v/>
      </c>
      <c r="B898" s="831" t="str">
        <f t="shared" si="320"/>
        <v/>
      </c>
      <c r="C898" s="63"/>
      <c r="D898" s="63"/>
      <c r="E898" s="63"/>
      <c r="F898" s="66"/>
      <c r="G898" s="816"/>
      <c r="H898" s="330"/>
      <c r="I898" s="1046"/>
      <c r="J898" s="405"/>
      <c r="K898" s="398"/>
      <c r="L898" s="405"/>
      <c r="M898" s="64"/>
      <c r="N898" s="65"/>
      <c r="O898" s="65"/>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row>
    <row r="899" spans="1:30" ht="15.75" customHeight="1">
      <c r="A899" s="998" t="str">
        <f>IF(B899&lt;&gt;"",IF(AND(B899='IN-TC'!$S$4,OR(TH!N899="1111",TH!O899="1111")),TH!D899,""),"")</f>
        <v/>
      </c>
      <c r="B899" s="831" t="str">
        <f t="shared" si="320"/>
        <v/>
      </c>
      <c r="C899" s="63"/>
      <c r="D899" s="63"/>
      <c r="E899" s="63"/>
      <c r="F899" s="66"/>
      <c r="G899" s="816"/>
      <c r="H899" s="330"/>
      <c r="I899" s="1046"/>
      <c r="J899" s="405"/>
      <c r="K899" s="398"/>
      <c r="L899" s="405"/>
      <c r="M899" s="64"/>
      <c r="N899" s="65"/>
      <c r="O899" s="65"/>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0" ht="15.75" customHeight="1">
      <c r="A900" s="998" t="str">
        <f>IF(B900&lt;&gt;"",IF(AND(B900='IN-TC'!$S$4,OR(TH!N900="1111",TH!O900="1111")),TH!D900,""),"")</f>
        <v/>
      </c>
      <c r="B900" s="831" t="str">
        <f t="shared" si="320"/>
        <v/>
      </c>
      <c r="C900" s="63"/>
      <c r="D900" s="63"/>
      <c r="E900" s="63"/>
      <c r="F900" s="66"/>
      <c r="G900" s="816"/>
      <c r="H900" s="330"/>
      <c r="I900" s="1046"/>
      <c r="J900" s="405"/>
      <c r="K900" s="398"/>
      <c r="L900" s="405"/>
      <c r="M900" s="64"/>
      <c r="N900" s="65"/>
      <c r="O900" s="65"/>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row>
    <row r="901" spans="1:30" ht="15.75" customHeight="1">
      <c r="A901" s="998" t="str">
        <f>IF(B901&lt;&gt;"",IF(AND(B901='IN-TC'!$S$4,OR(TH!N901="1111",TH!O901="1111")),TH!D901,""),"")</f>
        <v/>
      </c>
      <c r="B901" s="831" t="str">
        <f t="shared" si="320"/>
        <v/>
      </c>
      <c r="C901" s="63"/>
      <c r="D901" s="63"/>
      <c r="E901" s="63"/>
      <c r="F901" s="66"/>
      <c r="G901" s="816"/>
      <c r="H901" s="330"/>
      <c r="I901" s="1046"/>
      <c r="J901" s="405"/>
      <c r="K901" s="398"/>
      <c r="L901" s="405"/>
      <c r="M901" s="64"/>
      <c r="N901" s="65"/>
      <c r="O901" s="65"/>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row>
    <row r="902" spans="1:30" ht="15.75" customHeight="1">
      <c r="A902" s="327" t="str">
        <f>IF(B902&lt;&gt;"",IF(AND(B902='IN-TC'!$S$4,OR(TH!N902="1111",TH!O902="1111")),TH!D902,""),"")</f>
        <v/>
      </c>
      <c r="B902" s="62" t="str">
        <f t="shared" si="314"/>
        <v/>
      </c>
      <c r="C902" s="63"/>
      <c r="D902" s="63"/>
      <c r="E902" s="63"/>
      <c r="F902" s="66"/>
      <c r="G902" s="66"/>
      <c r="H902" s="330"/>
      <c r="I902" s="405"/>
      <c r="J902" s="405"/>
      <c r="K902" s="398"/>
      <c r="L902" s="405"/>
      <c r="M902" s="64"/>
      <c r="N902" s="65"/>
      <c r="O902" s="65"/>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row>
    <row r="903" spans="1:30" ht="15.75" customHeight="1">
      <c r="A903" s="327" t="str">
        <f>IF(B903&lt;&gt;"",IF(AND(B903='IN-TC'!$S$4,OR(TH!N903="1111",TH!O903="1111")),TH!D903,""),"")</f>
        <v/>
      </c>
      <c r="B903" s="62" t="str">
        <f t="shared" si="314"/>
        <v/>
      </c>
      <c r="C903" s="63"/>
      <c r="D903" s="63"/>
      <c r="E903" s="63"/>
      <c r="F903" s="66"/>
      <c r="G903" s="66"/>
      <c r="H903" s="330"/>
      <c r="I903" s="405"/>
      <c r="J903" s="405"/>
      <c r="K903" s="398"/>
      <c r="L903" s="405"/>
      <c r="M903" s="64"/>
      <c r="N903" s="65"/>
      <c r="O903" s="65"/>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row>
    <row r="904" spans="1:30" ht="15.75" customHeight="1">
      <c r="A904" s="327" t="str">
        <f>IF(B904&lt;&gt;"",IF(AND(B904='IN-TC'!$S$4,OR(TH!N904="1111",TH!O904="1111")),TH!D904,""),"")</f>
        <v/>
      </c>
      <c r="B904" s="62" t="str">
        <f t="shared" si="314"/>
        <v/>
      </c>
      <c r="C904" s="63"/>
      <c r="D904" s="63"/>
      <c r="E904" s="63"/>
      <c r="F904" s="66"/>
      <c r="G904" s="66"/>
      <c r="H904" s="330"/>
      <c r="I904" s="405"/>
      <c r="J904" s="405"/>
      <c r="K904" s="398"/>
      <c r="L904" s="405"/>
      <c r="M904" s="64"/>
      <c r="N904" s="65"/>
      <c r="O904" s="65"/>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row>
    <row r="905" spans="1:30" ht="15.75" customHeight="1">
      <c r="A905" s="999" t="str">
        <f>IF(B905&lt;&gt;"",IF(AND(B905='IN-TC'!$S$4,OR(TH!N905="1111",TH!O905="1111")),TH!D905,""),"")</f>
        <v/>
      </c>
      <c r="B905" s="1019" t="str">
        <f>IF(C905&lt;&gt;"",MONTH(C905),"")</f>
        <v/>
      </c>
      <c r="C905" s="63"/>
      <c r="D905" s="63"/>
      <c r="E905" s="63"/>
      <c r="F905" s="66"/>
      <c r="G905" s="816"/>
      <c r="H905" s="330"/>
      <c r="I905" s="405"/>
      <c r="J905" s="405"/>
      <c r="K905" s="398"/>
      <c r="L905" s="405"/>
      <c r="M905" s="64"/>
      <c r="N905" s="65"/>
      <c r="O905" s="65"/>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row>
    <row r="906" spans="1:30" ht="15.75" customHeight="1">
      <c r="A906" s="999" t="str">
        <f>IF(B906&lt;&gt;"",IF(AND(B906='IN-TC'!$S$4,OR(TH!N906="1111",TH!O906="1111")),TH!D906,""),"")</f>
        <v/>
      </c>
      <c r="B906" s="1019" t="str">
        <f>IF(C906&lt;&gt;"",MONTH(C906),"")</f>
        <v/>
      </c>
      <c r="C906" s="63"/>
      <c r="D906" s="63"/>
      <c r="E906" s="63"/>
      <c r="F906" s="66"/>
      <c r="G906" s="66"/>
      <c r="H906" s="330"/>
      <c r="I906" s="405"/>
      <c r="J906" s="1043"/>
      <c r="K906" s="398"/>
      <c r="L906" s="405"/>
      <c r="M906" s="1044"/>
      <c r="N906" s="312"/>
      <c r="O906" s="312"/>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row>
    <row r="907" spans="1:30" ht="15.75" customHeight="1">
      <c r="A907" s="999" t="str">
        <f>IF(B907&lt;&gt;"",IF(AND(B907='IN-TC'!$S$4,OR(TH!N907="1111",TH!O907="1111")),TH!D907,""),"")</f>
        <v/>
      </c>
      <c r="B907" s="1019" t="str">
        <f>IF(C907&lt;&gt;"",MONTH(C907),"")</f>
        <v/>
      </c>
      <c r="C907" s="63"/>
      <c r="D907" s="63"/>
      <c r="E907" s="63"/>
      <c r="F907" s="66"/>
      <c r="G907" s="66"/>
      <c r="H907" s="330"/>
      <c r="I907" s="405"/>
      <c r="J907" s="405"/>
      <c r="K907" s="398"/>
      <c r="L907" s="405"/>
      <c r="M907" s="1044"/>
      <c r="N907" s="312"/>
      <c r="O907" s="312"/>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row>
    <row r="908" spans="1:30" ht="15.75" customHeight="1">
      <c r="A908" s="999" t="str">
        <f>IF(B908&lt;&gt;"",IF(AND(B908='IN-TC'!$S$4,OR(TH!N908="1111",TH!O908="1111")),TH!D908,""),"")</f>
        <v/>
      </c>
      <c r="B908" s="1019" t="str">
        <f>IF(C908&lt;&gt;"",MONTH(C908),"")</f>
        <v/>
      </c>
      <c r="C908" s="63"/>
      <c r="D908" s="63"/>
      <c r="E908" s="63"/>
      <c r="F908" s="66"/>
      <c r="G908" s="66"/>
      <c r="H908" s="330"/>
      <c r="I908" s="405"/>
      <c r="J908" s="405"/>
      <c r="K908" s="398"/>
      <c r="L908" s="405"/>
      <c r="M908" s="1044"/>
      <c r="N908" s="312"/>
      <c r="O908" s="312"/>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
      </c>
      <c r="Y908" s="81" t="str">
        <f>IF(AND(OR(N908="131",O908="131"),H908='131-CT'!$H$9),"x","")</f>
        <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0" ht="15.75" customHeight="1">
      <c r="A909" s="999" t="str">
        <f>IF(B909&lt;&gt;"",IF(AND(B909='IN-TC'!$S$4,OR(TH!N909="1111",TH!O909="1111")),TH!D909,""),"")</f>
        <v/>
      </c>
      <c r="B909" s="1019" t="str">
        <f t="shared" ref="B909" si="321">IF(C909&lt;&gt;"",MONTH(C909),"")</f>
        <v/>
      </c>
      <c r="C909" s="63"/>
      <c r="D909" s="63"/>
      <c r="E909" s="63"/>
      <c r="F909" s="66"/>
      <c r="G909" s="66"/>
      <c r="H909" s="330"/>
      <c r="I909" s="405"/>
      <c r="J909" s="1043"/>
      <c r="K909" s="398"/>
      <c r="L909" s="405"/>
      <c r="M909" s="1044"/>
      <c r="N909" s="312"/>
      <c r="O909" s="312"/>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row>
    <row r="910" spans="1:30" ht="15.75" customHeight="1">
      <c r="A910" s="327" t="str">
        <f>IF(B910&lt;&gt;"",IF(AND(B910='IN-TC'!$S$4,OR(TH!N910="1111",TH!O910="1111")),TH!D910,""),"")</f>
        <v/>
      </c>
      <c r="B910" s="62" t="str">
        <f t="shared" si="314"/>
        <v/>
      </c>
      <c r="C910" s="63"/>
      <c r="D910" s="63"/>
      <c r="E910" s="63"/>
      <c r="F910" s="66"/>
      <c r="G910" s="66"/>
      <c r="H910" s="330"/>
      <c r="I910" s="405"/>
      <c r="J910" s="405"/>
      <c r="K910" s="398"/>
      <c r="L910" s="405"/>
      <c r="M910" s="64"/>
      <c r="N910" s="65"/>
      <c r="O910" s="65"/>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row>
    <row r="911" spans="1:30" ht="15.75" customHeight="1">
      <c r="A911" s="327" t="str">
        <f>IF(B911&lt;&gt;"",IF(AND(B911='IN-TC'!$S$4,OR(TH!N911="1111",TH!O911="1111")),TH!D911,""),"")</f>
        <v/>
      </c>
      <c r="B911" s="62" t="str">
        <f t="shared" si="314"/>
        <v/>
      </c>
      <c r="C911" s="63"/>
      <c r="D911" s="63"/>
      <c r="E911" s="63"/>
      <c r="F911" s="66"/>
      <c r="G911" s="66"/>
      <c r="H911" s="330"/>
      <c r="I911" s="405"/>
      <c r="J911" s="405"/>
      <c r="K911" s="398"/>
      <c r="L911" s="405"/>
      <c r="M911" s="64"/>
      <c r="N911" s="65"/>
      <c r="O911" s="65"/>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row>
    <row r="912" spans="1:30" ht="15.75" customHeight="1">
      <c r="A912" s="327" t="str">
        <f>IF(B912&lt;&gt;"",IF(AND(B912='IN-TC'!$S$4,OR(TH!N912="1111",TH!O912="1111")),TH!D912,""),"")</f>
        <v/>
      </c>
      <c r="B912" s="62" t="str">
        <f t="shared" si="314"/>
        <v/>
      </c>
      <c r="C912" s="63"/>
      <c r="D912" s="63"/>
      <c r="E912" s="63"/>
      <c r="F912" s="66"/>
      <c r="G912" s="66"/>
      <c r="H912" s="330"/>
      <c r="I912" s="405"/>
      <c r="J912" s="405"/>
      <c r="K912" s="398"/>
      <c r="L912" s="405"/>
      <c r="M912" s="64"/>
      <c r="N912" s="65"/>
      <c r="O912" s="65"/>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row>
    <row r="913" spans="1:30" ht="15.75" customHeight="1">
      <c r="A913" s="327" t="str">
        <f>IF(B913&lt;&gt;"",IF(AND(B913='IN-TC'!$S$4,OR(TH!N913="1111",TH!O913="1111")),TH!D913,""),"")</f>
        <v/>
      </c>
      <c r="B913" s="62" t="str">
        <f t="shared" si="314"/>
        <v/>
      </c>
      <c r="C913" s="63"/>
      <c r="D913" s="63"/>
      <c r="E913" s="63"/>
      <c r="F913" s="66"/>
      <c r="G913" s="816"/>
      <c r="H913" s="330"/>
      <c r="I913" s="405"/>
      <c r="J913" s="405"/>
      <c r="K913" s="398"/>
      <c r="L913" s="405"/>
      <c r="M913" s="64"/>
      <c r="N913" s="65"/>
      <c r="O913" s="65"/>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row>
    <row r="914" spans="1:30" ht="15.75" customHeight="1">
      <c r="A914" s="327" t="str">
        <f>IF(B914&lt;&gt;"",IF(AND(B914='IN-TC'!$S$4,OR(TH!N914="1111",TH!O914="1111")),TH!D914,""),"")</f>
        <v/>
      </c>
      <c r="B914" s="62" t="str">
        <f t="shared" si="314"/>
        <v/>
      </c>
      <c r="C914" s="63"/>
      <c r="D914" s="63"/>
      <c r="E914" s="63"/>
      <c r="F914" s="66"/>
      <c r="G914" s="816"/>
      <c r="H914" s="330"/>
      <c r="I914" s="405"/>
      <c r="J914" s="405"/>
      <c r="K914" s="398"/>
      <c r="L914" s="405"/>
      <c r="M914" s="64"/>
      <c r="N914" s="65"/>
      <c r="O914" s="65"/>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row>
    <row r="915" spans="1:30" ht="15.75" customHeight="1">
      <c r="A915" s="327" t="str">
        <f>IF(B915&lt;&gt;"",IF(AND(B915='IN-TC'!$S$4,OR(TH!N915="1111",TH!O915="1111")),TH!D915,""),"")</f>
        <v/>
      </c>
      <c r="B915" s="62" t="str">
        <f t="shared" si="314"/>
        <v/>
      </c>
      <c r="C915" s="63"/>
      <c r="D915" s="63"/>
      <c r="E915" s="63"/>
      <c r="F915" s="66"/>
      <c r="G915" s="816"/>
      <c r="H915" s="330"/>
      <c r="I915" s="405"/>
      <c r="J915" s="405"/>
      <c r="K915" s="398"/>
      <c r="L915" s="405"/>
      <c r="M915" s="64"/>
      <c r="N915" s="65"/>
      <c r="O915" s="65"/>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row>
    <row r="916" spans="1:30" ht="15.75" customHeight="1">
      <c r="A916" s="327" t="str">
        <f>IF(B916&lt;&gt;"",IF(AND(B916='IN-TC'!$S$4,OR(TH!N916="1111",TH!O916="1111")),TH!D916,""),"")</f>
        <v/>
      </c>
      <c r="B916" s="62" t="str">
        <f t="shared" si="314"/>
        <v/>
      </c>
      <c r="C916" s="63"/>
      <c r="D916" s="63"/>
      <c r="E916" s="63"/>
      <c r="F916" s="66"/>
      <c r="G916" s="816"/>
      <c r="H916" s="330"/>
      <c r="I916" s="405"/>
      <c r="J916" s="405"/>
      <c r="K916" s="398"/>
      <c r="L916" s="405"/>
      <c r="M916" s="64"/>
      <c r="N916" s="65"/>
      <c r="O916" s="65"/>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row>
    <row r="917" spans="1:30" ht="15.75" customHeight="1">
      <c r="A917" s="327" t="str">
        <f>IF(B917&lt;&gt;"",IF(AND(B917='IN-TC'!$S$4,OR(TH!N917="1111",TH!O917="1111")),TH!D917,""),"")</f>
        <v/>
      </c>
      <c r="B917" s="62" t="str">
        <f t="shared" si="314"/>
        <v/>
      </c>
      <c r="C917" s="63"/>
      <c r="D917" s="63"/>
      <c r="E917" s="63"/>
      <c r="F917" s="66"/>
      <c r="G917" s="816"/>
      <c r="H917" s="330"/>
      <c r="I917" s="405"/>
      <c r="J917" s="405"/>
      <c r="K917" s="398"/>
      <c r="L917" s="405"/>
      <c r="M917" s="64"/>
      <c r="N917" s="65"/>
      <c r="O917" s="65"/>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0" ht="15.75" customHeight="1">
      <c r="A918" s="327" t="str">
        <f>IF(B918&lt;&gt;"",IF(AND(B918='IN-TC'!$S$4,OR(TH!N918="1111",TH!O918="1111")),TH!D918,""),"")</f>
        <v/>
      </c>
      <c r="B918" s="62" t="str">
        <f t="shared" si="314"/>
        <v/>
      </c>
      <c r="C918" s="63"/>
      <c r="D918" s="63"/>
      <c r="E918" s="63"/>
      <c r="F918" s="66"/>
      <c r="G918" s="66"/>
      <c r="H918" s="330"/>
      <c r="I918" s="405"/>
      <c r="J918" s="405"/>
      <c r="K918" s="398"/>
      <c r="L918" s="405"/>
      <c r="M918" s="64"/>
      <c r="N918" s="65"/>
      <c r="O918" s="65"/>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row>
    <row r="919" spans="1:30" ht="15.75" customHeight="1">
      <c r="A919" s="327" t="str">
        <f>IF(B919&lt;&gt;"",IF(AND(B919='IN-TC'!$S$4,OR(TH!N919="1111",TH!O919="1111")),TH!D919,""),"")</f>
        <v/>
      </c>
      <c r="B919" s="62" t="str">
        <f t="shared" si="314"/>
        <v/>
      </c>
      <c r="C919" s="63"/>
      <c r="D919" s="63"/>
      <c r="E919" s="63"/>
      <c r="F919" s="66"/>
      <c r="G919" s="66"/>
      <c r="H919" s="330"/>
      <c r="I919" s="405"/>
      <c r="J919" s="405"/>
      <c r="K919" s="398"/>
      <c r="L919" s="405"/>
      <c r="M919" s="64"/>
      <c r="N919" s="65"/>
      <c r="O919" s="65"/>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row>
    <row r="920" spans="1:30" ht="15.75" customHeight="1">
      <c r="A920" s="327" t="str">
        <f>IF(B920&lt;&gt;"",IF(AND(B920='IN-TC'!$S$4,OR(TH!N920="1111",TH!O920="1111")),TH!D920,""),"")</f>
        <v/>
      </c>
      <c r="B920" s="62" t="str">
        <f t="shared" si="314"/>
        <v/>
      </c>
      <c r="C920" s="63"/>
      <c r="D920" s="63"/>
      <c r="E920" s="63"/>
      <c r="F920" s="66"/>
      <c r="G920" s="66"/>
      <c r="H920" s="330"/>
      <c r="I920" s="405"/>
      <c r="J920" s="405"/>
      <c r="K920" s="398"/>
      <c r="L920" s="405"/>
      <c r="M920" s="64"/>
      <c r="N920" s="65"/>
      <c r="O920" s="65"/>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row>
    <row r="921" spans="1:30" ht="15.75" customHeight="1">
      <c r="A921" s="327" t="str">
        <f>IF(B921&lt;&gt;"",IF(AND(B921='IN-TC'!$S$4,OR(TH!N921="1111",TH!O921="1111")),TH!D921,""),"")</f>
        <v/>
      </c>
      <c r="B921" s="62" t="str">
        <f t="shared" si="314"/>
        <v/>
      </c>
      <c r="C921" s="63"/>
      <c r="D921" s="63"/>
      <c r="E921" s="63"/>
      <c r="F921" s="66"/>
      <c r="G921" s="816"/>
      <c r="H921" s="330"/>
      <c r="I921" s="405"/>
      <c r="J921" s="405"/>
      <c r="K921" s="398"/>
      <c r="L921" s="405"/>
      <c r="M921" s="64"/>
      <c r="N921" s="65"/>
      <c r="O921" s="65"/>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row>
    <row r="922" spans="1:30" ht="15.75" customHeight="1">
      <c r="A922" s="327" t="str">
        <f>IF(B922&lt;&gt;"",IF(AND(B922='IN-TC'!$S$4,OR(TH!N922="1111",TH!O922="1111")),TH!D922,""),"")</f>
        <v/>
      </c>
      <c r="B922" s="62" t="str">
        <f t="shared" si="314"/>
        <v/>
      </c>
      <c r="C922" s="63"/>
      <c r="D922" s="63"/>
      <c r="E922" s="63"/>
      <c r="F922" s="66"/>
      <c r="G922" s="816"/>
      <c r="H922" s="330"/>
      <c r="I922" s="405"/>
      <c r="J922" s="405"/>
      <c r="K922" s="398"/>
      <c r="L922" s="405"/>
      <c r="M922" s="64"/>
      <c r="N922" s="65"/>
      <c r="O922" s="65"/>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row>
    <row r="923" spans="1:30" ht="15.75" customHeight="1">
      <c r="A923" s="327" t="str">
        <f>IF(B923&lt;&gt;"",IF(AND(B923='IN-TC'!$S$4,OR(TH!N923="1111",TH!O923="1111")),TH!D923,""),"")</f>
        <v/>
      </c>
      <c r="B923" s="62" t="str">
        <f t="shared" si="314"/>
        <v/>
      </c>
      <c r="C923" s="63"/>
      <c r="D923" s="63"/>
      <c r="E923" s="63"/>
      <c r="F923" s="66"/>
      <c r="G923" s="816"/>
      <c r="H923" s="330"/>
      <c r="I923" s="405"/>
      <c r="J923" s="405"/>
      <c r="K923" s="398"/>
      <c r="L923" s="405"/>
      <c r="M923" s="64"/>
      <c r="N923" s="65"/>
      <c r="O923" s="65"/>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row>
    <row r="924" spans="1:30" ht="15.75" customHeight="1">
      <c r="A924" s="327" t="str">
        <f>IF(B924&lt;&gt;"",IF(AND(B924='IN-TC'!$S$4,OR(TH!N924="1111",TH!O924="1111")),TH!D924,""),"")</f>
        <v/>
      </c>
      <c r="B924" s="62" t="str">
        <f t="shared" si="314"/>
        <v/>
      </c>
      <c r="C924" s="63"/>
      <c r="D924" s="63"/>
      <c r="E924" s="63"/>
      <c r="F924" s="66"/>
      <c r="G924" s="816"/>
      <c r="H924" s="330"/>
      <c r="I924" s="405"/>
      <c r="J924" s="405"/>
      <c r="K924" s="398"/>
      <c r="L924" s="405"/>
      <c r="M924" s="64"/>
      <c r="N924" s="65"/>
      <c r="O924" s="65"/>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row>
    <row r="925" spans="1:30" ht="15.75" customHeight="1">
      <c r="A925" s="327" t="str">
        <f>IF(B925&lt;&gt;"",IF(AND(B925='IN-TC'!$S$4,OR(TH!N925="1111",TH!O925="1111")),TH!D925,""),"")</f>
        <v/>
      </c>
      <c r="B925" s="62" t="str">
        <f t="shared" si="314"/>
        <v/>
      </c>
      <c r="C925" s="63"/>
      <c r="D925" s="63"/>
      <c r="E925" s="63"/>
      <c r="F925" s="66"/>
      <c r="G925" s="816"/>
      <c r="H925" s="330"/>
      <c r="I925" s="405"/>
      <c r="J925" s="405"/>
      <c r="K925" s="398"/>
      <c r="L925" s="405"/>
      <c r="M925" s="64"/>
      <c r="N925" s="65"/>
      <c r="O925" s="65"/>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row>
    <row r="926" spans="1:30" ht="15.75" customHeight="1">
      <c r="A926" s="327" t="str">
        <f>IF(B926&lt;&gt;"",IF(AND(B926='IN-TC'!$S$4,OR(TH!N926="1111",TH!O926="1111")),TH!D926,""),"")</f>
        <v/>
      </c>
      <c r="B926" s="62" t="str">
        <f t="shared" si="314"/>
        <v/>
      </c>
      <c r="C926" s="63"/>
      <c r="D926" s="63"/>
      <c r="E926" s="63"/>
      <c r="F926" s="66"/>
      <c r="G926" s="66"/>
      <c r="H926" s="330"/>
      <c r="I926" s="405"/>
      <c r="J926" s="405"/>
      <c r="K926" s="398"/>
      <c r="L926" s="405"/>
      <c r="M926" s="64"/>
      <c r="N926" s="65"/>
      <c r="O926" s="65"/>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row>
    <row r="927" spans="1:30" ht="15.75" customHeight="1">
      <c r="A927" s="327" t="str">
        <f>IF(B927&lt;&gt;"",IF(AND(B927='IN-TC'!$S$4,OR(TH!N927="1111",TH!O927="1111")),TH!D927,""),"")</f>
        <v/>
      </c>
      <c r="B927" s="62" t="str">
        <f t="shared" si="314"/>
        <v/>
      </c>
      <c r="C927" s="63"/>
      <c r="D927" s="63"/>
      <c r="E927" s="63"/>
      <c r="F927" s="66"/>
      <c r="G927" s="66"/>
      <c r="H927" s="330"/>
      <c r="I927" s="405"/>
      <c r="J927" s="405"/>
      <c r="K927" s="398"/>
      <c r="L927" s="405"/>
      <c r="M927" s="64"/>
      <c r="N927" s="65"/>
      <c r="O927" s="65"/>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row>
    <row r="928" spans="1:30" ht="15.75" customHeight="1">
      <c r="A928" s="327" t="str">
        <f>IF(B928&lt;&gt;"",IF(AND(B928='IN-TC'!$S$4,OR(TH!N928="1111",TH!O928="1111")),TH!D928,""),"")</f>
        <v/>
      </c>
      <c r="B928" s="62" t="str">
        <f t="shared" si="314"/>
        <v/>
      </c>
      <c r="C928" s="63"/>
      <c r="D928" s="63"/>
      <c r="E928" s="63"/>
      <c r="F928" s="66"/>
      <c r="G928" s="66"/>
      <c r="H928" s="330"/>
      <c r="I928" s="405"/>
      <c r="J928" s="405"/>
      <c r="K928" s="398"/>
      <c r="L928" s="405"/>
      <c r="M928" s="64"/>
      <c r="N928" s="65"/>
      <c r="O928" s="65"/>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row>
    <row r="929" spans="1:30" ht="15.75" customHeight="1">
      <c r="A929" s="327" t="str">
        <f>IF(B929&lt;&gt;"",IF(AND(B929='IN-TC'!$S$4,OR(TH!N929="1111",TH!O929="1111")),TH!D929,""),"")</f>
        <v/>
      </c>
      <c r="B929" s="62" t="str">
        <f t="shared" si="314"/>
        <v/>
      </c>
      <c r="C929" s="63"/>
      <c r="D929" s="63"/>
      <c r="E929" s="63"/>
      <c r="F929" s="66"/>
      <c r="G929" s="816"/>
      <c r="H929" s="330"/>
      <c r="I929" s="405"/>
      <c r="J929" s="405"/>
      <c r="K929" s="398"/>
      <c r="L929" s="405"/>
      <c r="M929" s="64"/>
      <c r="N929" s="65"/>
      <c r="O929" s="65"/>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row>
    <row r="930" spans="1:30" ht="15.75" customHeight="1">
      <c r="A930" s="327" t="str">
        <f>IF(B930&lt;&gt;"",IF(AND(B930='IN-TC'!$S$4,OR(TH!N930="1111",TH!O930="1111")),TH!D930,""),"")</f>
        <v/>
      </c>
      <c r="B930" s="62" t="str">
        <f t="shared" si="314"/>
        <v/>
      </c>
      <c r="C930" s="63"/>
      <c r="D930" s="63"/>
      <c r="E930" s="63"/>
      <c r="F930" s="66"/>
      <c r="G930" s="816"/>
      <c r="H930" s="330"/>
      <c r="I930" s="405"/>
      <c r="J930" s="405"/>
      <c r="K930" s="398"/>
      <c r="L930" s="405"/>
      <c r="M930" s="64"/>
      <c r="N930" s="65"/>
      <c r="O930" s="65"/>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row>
    <row r="931" spans="1:30" ht="15.75" customHeight="1">
      <c r="A931" s="327" t="str">
        <f>IF(B931&lt;&gt;"",IF(AND(B931='IN-TC'!$S$4,OR(TH!N931="1111",TH!O931="1111")),TH!D931,""),"")</f>
        <v/>
      </c>
      <c r="B931" s="62" t="str">
        <f t="shared" si="314"/>
        <v/>
      </c>
      <c r="C931" s="63"/>
      <c r="D931" s="63"/>
      <c r="E931" s="63"/>
      <c r="F931" s="66"/>
      <c r="G931" s="816"/>
      <c r="H931" s="330"/>
      <c r="I931" s="405"/>
      <c r="J931" s="405"/>
      <c r="K931" s="398"/>
      <c r="L931" s="405"/>
      <c r="M931" s="64"/>
      <c r="N931" s="65"/>
      <c r="O931" s="65"/>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row>
    <row r="932" spans="1:30" ht="15.75" customHeight="1">
      <c r="A932" s="327" t="str">
        <f>IF(B932&lt;&gt;"",IF(AND(B932='IN-TC'!$S$4,OR(TH!N932="1111",TH!O932="1111")),TH!D932,""),"")</f>
        <v/>
      </c>
      <c r="B932" s="62" t="str">
        <f t="shared" si="314"/>
        <v/>
      </c>
      <c r="C932" s="63"/>
      <c r="D932" s="63"/>
      <c r="E932" s="63"/>
      <c r="F932" s="66"/>
      <c r="G932" s="816"/>
      <c r="H932" s="330"/>
      <c r="I932" s="405"/>
      <c r="J932" s="405"/>
      <c r="K932" s="398"/>
      <c r="L932" s="405"/>
      <c r="M932" s="64"/>
      <c r="N932" s="65"/>
      <c r="O932" s="65"/>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row>
    <row r="933" spans="1:30" ht="15.75" customHeight="1">
      <c r="A933" s="327" t="str">
        <f>IF(B933&lt;&gt;"",IF(AND(B933='IN-TC'!$S$4,OR(TH!N933="1111",TH!O933="1111")),TH!D933,""),"")</f>
        <v/>
      </c>
      <c r="B933" s="62" t="str">
        <f t="shared" si="314"/>
        <v/>
      </c>
      <c r="C933" s="63"/>
      <c r="D933" s="63"/>
      <c r="E933" s="63"/>
      <c r="F933" s="66"/>
      <c r="G933" s="816"/>
      <c r="H933" s="330"/>
      <c r="I933" s="405"/>
      <c r="J933" s="405"/>
      <c r="K933" s="398"/>
      <c r="L933" s="405"/>
      <c r="M933" s="64"/>
      <c r="N933" s="65"/>
      <c r="O933" s="65"/>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row>
    <row r="934" spans="1:30" ht="15.75" customHeight="1">
      <c r="A934" s="327" t="str">
        <f>IF(B934&lt;&gt;"",IF(AND(B934='IN-TC'!$S$4,OR(TH!N934="1111",TH!O934="1111")),TH!D934,""),"")</f>
        <v/>
      </c>
      <c r="B934" s="62" t="str">
        <f t="shared" si="314"/>
        <v/>
      </c>
      <c r="C934" s="63"/>
      <c r="D934" s="63"/>
      <c r="E934" s="63"/>
      <c r="F934" s="66"/>
      <c r="G934" s="66"/>
      <c r="H934" s="330"/>
      <c r="I934" s="405"/>
      <c r="J934" s="405"/>
      <c r="K934" s="398"/>
      <c r="L934" s="405"/>
      <c r="M934" s="64"/>
      <c r="N934" s="65"/>
      <c r="O934" s="65"/>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row>
    <row r="935" spans="1:30" ht="15.75" customHeight="1">
      <c r="A935" s="327" t="str">
        <f>IF(B935&lt;&gt;"",IF(AND(B935='IN-TC'!$S$4,OR(TH!N935="1111",TH!O935="1111")),TH!D935,""),"")</f>
        <v/>
      </c>
      <c r="B935" s="62" t="str">
        <f t="shared" si="314"/>
        <v/>
      </c>
      <c r="C935" s="63"/>
      <c r="D935" s="63"/>
      <c r="E935" s="63"/>
      <c r="F935" s="66"/>
      <c r="G935" s="66"/>
      <c r="H935" s="330"/>
      <c r="I935" s="405"/>
      <c r="J935" s="405"/>
      <c r="K935" s="398"/>
      <c r="L935" s="405"/>
      <c r="M935" s="64"/>
      <c r="N935" s="65"/>
      <c r="O935" s="65"/>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row>
    <row r="936" spans="1:30" ht="15.75" customHeight="1">
      <c r="A936" s="327" t="str">
        <f>IF(B936&lt;&gt;"",IF(AND(B936='IN-TC'!$S$4,OR(TH!N936="1111",TH!O936="1111")),TH!D936,""),"")</f>
        <v/>
      </c>
      <c r="B936" s="62" t="str">
        <f t="shared" si="314"/>
        <v/>
      </c>
      <c r="C936" s="63"/>
      <c r="D936" s="63"/>
      <c r="E936" s="63"/>
      <c r="F936" s="66"/>
      <c r="G936" s="66"/>
      <c r="H936" s="330"/>
      <c r="I936" s="405"/>
      <c r="J936" s="405"/>
      <c r="K936" s="398"/>
      <c r="L936" s="405"/>
      <c r="M936" s="64"/>
      <c r="N936" s="65"/>
      <c r="O936" s="65"/>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row>
    <row r="937" spans="1:30" ht="15.75" customHeight="1">
      <c r="A937" s="327" t="str">
        <f>IF(B937&lt;&gt;"",IF(AND(B937='IN-TC'!$S$4,OR(TH!N937="1111",TH!O937="1111")),TH!D937,""),"")</f>
        <v/>
      </c>
      <c r="B937" s="62" t="str">
        <f t="shared" si="314"/>
        <v/>
      </c>
      <c r="C937" s="63"/>
      <c r="D937" s="63"/>
      <c r="E937" s="63"/>
      <c r="F937" s="66"/>
      <c r="G937" s="66"/>
      <c r="H937" s="330"/>
      <c r="I937" s="405"/>
      <c r="J937" s="405"/>
      <c r="K937" s="398"/>
      <c r="L937" s="405"/>
      <c r="M937" s="64"/>
      <c r="N937" s="65"/>
      <c r="O937" s="65"/>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row>
    <row r="938" spans="1:30" ht="15.75" customHeight="1">
      <c r="A938" s="327" t="str">
        <f>IF(B938&lt;&gt;"",IF(AND(B938='IN-TC'!$S$4,OR(TH!N938="1111",TH!O938="1111")),TH!D938,""),"")</f>
        <v/>
      </c>
      <c r="B938" s="62" t="str">
        <f t="shared" si="314"/>
        <v/>
      </c>
      <c r="C938" s="63"/>
      <c r="D938" s="63"/>
      <c r="E938" s="63"/>
      <c r="F938" s="66"/>
      <c r="G938" s="66"/>
      <c r="H938" s="330"/>
      <c r="I938" s="405"/>
      <c r="J938" s="405"/>
      <c r="K938" s="398"/>
      <c r="L938" s="405"/>
      <c r="M938" s="64"/>
      <c r="N938" s="65"/>
      <c r="O938" s="65"/>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row>
    <row r="939" spans="1:30" ht="15.75" customHeight="1">
      <c r="A939" s="327" t="str">
        <f>IF(B939&lt;&gt;"",IF(AND(B939='IN-TC'!$S$4,OR(TH!N939="1111",TH!O939="1111")),TH!D939,""),"")</f>
        <v/>
      </c>
      <c r="B939" s="62" t="str">
        <f t="shared" si="314"/>
        <v/>
      </c>
      <c r="C939" s="63"/>
      <c r="D939" s="63"/>
      <c r="E939" s="63"/>
      <c r="F939" s="66"/>
      <c r="G939" s="66"/>
      <c r="H939" s="330"/>
      <c r="I939" s="405"/>
      <c r="J939" s="405"/>
      <c r="K939" s="398"/>
      <c r="L939" s="405"/>
      <c r="M939" s="64"/>
      <c r="N939" s="65"/>
      <c r="O939" s="65"/>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row>
    <row r="940" spans="1:30" ht="15.75" customHeight="1">
      <c r="A940" s="327" t="str">
        <f>IF(B940&lt;&gt;"",IF(AND(B940='IN-TC'!$S$4,OR(TH!N940="1111",TH!O940="1111")),TH!D940,""),"")</f>
        <v/>
      </c>
      <c r="B940" s="62" t="str">
        <f t="shared" si="314"/>
        <v/>
      </c>
      <c r="C940" s="63"/>
      <c r="D940" s="63"/>
      <c r="E940" s="63"/>
      <c r="F940" s="66"/>
      <c r="G940" s="66"/>
      <c r="H940" s="330"/>
      <c r="I940" s="405"/>
      <c r="J940" s="405"/>
      <c r="K940" s="398"/>
      <c r="L940" s="405"/>
      <c r="M940" s="64"/>
      <c r="N940" s="65"/>
      <c r="O940" s="65"/>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row>
    <row r="941" spans="1:30" ht="15.75" customHeight="1">
      <c r="A941" s="999" t="str">
        <f>IF(B941&lt;&gt;"",IF(AND(B941='IN-TC'!$S$4,OR(TH!N941="1111",TH!O941="1111")),TH!D941,""),"")</f>
        <v/>
      </c>
      <c r="B941" s="62" t="str">
        <f t="shared" si="314"/>
        <v/>
      </c>
      <c r="C941" s="63"/>
      <c r="D941" s="63"/>
      <c r="E941" s="63"/>
      <c r="F941" s="66"/>
      <c r="G941" s="66"/>
      <c r="H941" s="330"/>
      <c r="I941" s="405"/>
      <c r="J941" s="405"/>
      <c r="K941" s="398"/>
      <c r="L941" s="405"/>
      <c r="M941" s="64"/>
      <c r="N941" s="65"/>
      <c r="O941" s="65"/>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row>
    <row r="942" spans="1:30" ht="15.75" customHeight="1">
      <c r="A942" s="999" t="str">
        <f>IF(B942&lt;&gt;"",IF(AND(B942='IN-TC'!$S$4,OR(TH!N942="1111",TH!O942="1111")),TH!D942,""),"")</f>
        <v/>
      </c>
      <c r="B942" s="62" t="str">
        <f t="shared" si="314"/>
        <v/>
      </c>
      <c r="C942" s="63"/>
      <c r="D942" s="63"/>
      <c r="E942" s="63"/>
      <c r="F942" s="66"/>
      <c r="G942" s="66"/>
      <c r="H942" s="330"/>
      <c r="I942" s="405"/>
      <c r="J942" s="405"/>
      <c r="K942" s="398"/>
      <c r="L942" s="405"/>
      <c r="M942" s="64"/>
      <c r="N942" s="65"/>
      <c r="O942" s="65"/>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row>
    <row r="943" spans="1:30" ht="15.75" customHeight="1">
      <c r="A943" s="999" t="str">
        <f>IF(B943&lt;&gt;"",IF(AND(B943='IN-TC'!$S$4,OR(TH!N943="1111",TH!O943="1111")),TH!D943,""),"")</f>
        <v/>
      </c>
      <c r="B943" s="62" t="str">
        <f t="shared" si="314"/>
        <v/>
      </c>
      <c r="C943" s="63"/>
      <c r="D943" s="63"/>
      <c r="E943" s="63"/>
      <c r="F943" s="66"/>
      <c r="G943" s="66"/>
      <c r="H943" s="330"/>
      <c r="I943" s="405"/>
      <c r="J943" s="405"/>
      <c r="K943" s="398"/>
      <c r="L943" s="405"/>
      <c r="M943" s="64"/>
      <c r="N943" s="65"/>
      <c r="O943" s="65"/>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row>
    <row r="944" spans="1:30" ht="15.75" customHeight="1">
      <c r="A944" s="999" t="str">
        <f>IF(B944&lt;&gt;"",IF(AND(B944='IN-TC'!$S$4,OR(TH!N944="1111",TH!O944="1111")),TH!D944,""),"")</f>
        <v/>
      </c>
      <c r="B944" s="62" t="str">
        <f t="shared" si="314"/>
        <v/>
      </c>
      <c r="C944" s="63"/>
      <c r="D944" s="63"/>
      <c r="E944" s="63"/>
      <c r="F944" s="66"/>
      <c r="G944" s="66"/>
      <c r="H944" s="330"/>
      <c r="I944" s="405"/>
      <c r="J944" s="405"/>
      <c r="K944" s="398"/>
      <c r="L944" s="405"/>
      <c r="M944" s="64"/>
      <c r="N944" s="65"/>
      <c r="O944" s="65"/>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row>
    <row r="945" spans="1:30" ht="15.75" customHeight="1">
      <c r="A945" s="999" t="str">
        <f>IF(B945&lt;&gt;"",IF(AND(B945='IN-TC'!$S$4,OR(TH!N945="1111",TH!O945="1111")),TH!D945,""),"")</f>
        <v/>
      </c>
      <c r="B945" s="62" t="str">
        <f t="shared" si="314"/>
        <v/>
      </c>
      <c r="C945" s="63"/>
      <c r="D945" s="63"/>
      <c r="E945" s="63"/>
      <c r="F945" s="66"/>
      <c r="G945" s="66"/>
      <c r="H945" s="330"/>
      <c r="I945" s="405"/>
      <c r="J945" s="405"/>
      <c r="K945" s="398"/>
      <c r="L945" s="405"/>
      <c r="M945" s="64"/>
      <c r="N945" s="65"/>
      <c r="O945" s="65"/>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row>
    <row r="946" spans="1:30" ht="15.75" customHeight="1">
      <c r="A946" s="999" t="str">
        <f>IF(B946&lt;&gt;"",IF(AND(B946='IN-TC'!$S$4,OR(TH!N946="1111",TH!O946="1111")),TH!D946,""),"")</f>
        <v/>
      </c>
      <c r="B946" s="62" t="str">
        <f t="shared" si="314"/>
        <v/>
      </c>
      <c r="C946" s="63"/>
      <c r="D946" s="63"/>
      <c r="E946" s="63"/>
      <c r="F946" s="66"/>
      <c r="G946" s="66"/>
      <c r="H946" s="330"/>
      <c r="I946" s="405"/>
      <c r="J946" s="405"/>
      <c r="K946" s="398"/>
      <c r="L946" s="405"/>
      <c r="M946" s="64"/>
      <c r="N946" s="65"/>
      <c r="O946" s="65"/>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row>
    <row r="947" spans="1:30" ht="15.75" customHeight="1">
      <c r="A947" s="999" t="str">
        <f>IF(B947&lt;&gt;"",IF(AND(B947='IN-TC'!$S$4,OR(TH!N947="1111",TH!O947="1111")),TH!D947,""),"")</f>
        <v/>
      </c>
      <c r="B947" s="62" t="str">
        <f t="shared" si="314"/>
        <v/>
      </c>
      <c r="C947" s="63"/>
      <c r="D947" s="63"/>
      <c r="E947" s="63"/>
      <c r="F947" s="66"/>
      <c r="G947" s="66"/>
      <c r="H947" s="330"/>
      <c r="I947" s="405"/>
      <c r="J947" s="405"/>
      <c r="K947" s="398"/>
      <c r="L947" s="405"/>
      <c r="M947" s="64"/>
      <c r="N947" s="65"/>
      <c r="O947" s="65"/>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row>
    <row r="948" spans="1:30" ht="15.75" customHeight="1">
      <c r="A948" s="327" t="str">
        <f>IF(B948&lt;&gt;"",IF(AND(B948='IN-TC'!$S$4,OR(TH!N948="1111",TH!O948="1111")),TH!D948,""),"")</f>
        <v/>
      </c>
      <c r="B948" s="62" t="str">
        <f t="shared" si="314"/>
        <v/>
      </c>
      <c r="C948" s="63"/>
      <c r="D948" s="63"/>
      <c r="E948" s="63"/>
      <c r="F948" s="66"/>
      <c r="G948" s="816"/>
      <c r="H948" s="330"/>
      <c r="I948" s="405"/>
      <c r="J948" s="405"/>
      <c r="K948" s="398"/>
      <c r="L948" s="405"/>
      <c r="M948" s="64"/>
      <c r="N948" s="65"/>
      <c r="O948" s="65"/>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row>
    <row r="949" spans="1:30" ht="15.75" customHeight="1">
      <c r="A949" s="327" t="str">
        <f>IF(B949&lt;&gt;"",IF(AND(B949='IN-TC'!$S$4,OR(TH!N949="1111",TH!O949="1111")),TH!D949,""),"")</f>
        <v/>
      </c>
      <c r="B949" s="62" t="str">
        <f t="shared" si="314"/>
        <v/>
      </c>
      <c r="C949" s="63"/>
      <c r="D949" s="63"/>
      <c r="E949" s="63"/>
      <c r="F949" s="66"/>
      <c r="G949" s="816"/>
      <c r="H949" s="330"/>
      <c r="I949" s="405"/>
      <c r="J949" s="405"/>
      <c r="K949" s="398"/>
      <c r="L949" s="405"/>
      <c r="M949" s="64"/>
      <c r="N949" s="65"/>
      <c r="O949" s="65"/>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row>
    <row r="950" spans="1:30" ht="15.75" customHeight="1">
      <c r="A950" s="327" t="str">
        <f>IF(B950&lt;&gt;"",IF(AND(B950='IN-TC'!$S$4,OR(TH!N950="1111",TH!O950="1111")),TH!D950,""),"")</f>
        <v/>
      </c>
      <c r="B950" s="62" t="str">
        <f t="shared" si="314"/>
        <v/>
      </c>
      <c r="C950" s="63"/>
      <c r="D950" s="63"/>
      <c r="E950" s="63"/>
      <c r="F950" s="66"/>
      <c r="G950" s="816"/>
      <c r="H950" s="330"/>
      <c r="I950" s="405"/>
      <c r="J950" s="405"/>
      <c r="K950" s="398"/>
      <c r="L950" s="405"/>
      <c r="M950" s="64"/>
      <c r="N950" s="65"/>
      <c r="O950" s="65"/>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row>
    <row r="951" spans="1:30" ht="15.75" customHeight="1">
      <c r="A951" s="327" t="str">
        <f>IF(B951&lt;&gt;"",IF(AND(B951='IN-TC'!$S$4,OR(TH!N951="1111",TH!O951="1111")),TH!D951,""),"")</f>
        <v/>
      </c>
      <c r="B951" s="62" t="str">
        <f t="shared" si="314"/>
        <v/>
      </c>
      <c r="C951" s="63"/>
      <c r="D951" s="63"/>
      <c r="E951" s="63"/>
      <c r="F951" s="66"/>
      <c r="G951" s="816"/>
      <c r="H951" s="330"/>
      <c r="I951" s="405"/>
      <c r="J951" s="405"/>
      <c r="K951" s="398"/>
      <c r="L951" s="405"/>
      <c r="M951" s="64"/>
      <c r="N951" s="65"/>
      <c r="O951" s="65"/>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row>
    <row r="952" spans="1:30" ht="15.75" customHeight="1">
      <c r="A952" s="327" t="str">
        <f>IF(B952&lt;&gt;"",IF(AND(B952='IN-TC'!$S$4,OR(TH!N952="1111",TH!O952="1111")),TH!D952,""),"")</f>
        <v/>
      </c>
      <c r="B952" s="62" t="str">
        <f t="shared" si="314"/>
        <v/>
      </c>
      <c r="C952" s="63"/>
      <c r="D952" s="63"/>
      <c r="E952" s="63"/>
      <c r="F952" s="66"/>
      <c r="G952" s="816"/>
      <c r="H952" s="330"/>
      <c r="I952" s="405"/>
      <c r="J952" s="405"/>
      <c r="K952" s="398"/>
      <c r="L952" s="405"/>
      <c r="M952" s="64"/>
      <c r="N952" s="65"/>
      <c r="O952" s="65"/>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row>
    <row r="953" spans="1:30" ht="15.75" customHeight="1">
      <c r="A953" s="327" t="str">
        <f>IF(B953&lt;&gt;"",IF(AND(B953='IN-TC'!$S$4,OR(TH!N953="1111",TH!O953="1111")),TH!D953,""),"")</f>
        <v/>
      </c>
      <c r="B953" s="62" t="str">
        <f t="shared" si="314"/>
        <v/>
      </c>
      <c r="C953" s="63"/>
      <c r="D953" s="63"/>
      <c r="E953" s="63"/>
      <c r="F953" s="66"/>
      <c r="G953" s="816"/>
      <c r="H953" s="330"/>
      <c r="I953" s="405"/>
      <c r="J953" s="405"/>
      <c r="K953" s="398"/>
      <c r="L953" s="405"/>
      <c r="M953" s="64"/>
      <c r="N953" s="65"/>
      <c r="O953" s="65"/>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row>
    <row r="954" spans="1:30" ht="15.75" customHeight="1">
      <c r="A954" s="327" t="str">
        <f>IF(B954&lt;&gt;"",IF(AND(B954='IN-TC'!$S$4,OR(TH!N954="1111",TH!O954="1111")),TH!D954,""),"")</f>
        <v/>
      </c>
      <c r="B954" s="62" t="str">
        <f t="shared" si="314"/>
        <v/>
      </c>
      <c r="C954" s="63"/>
      <c r="D954" s="63"/>
      <c r="E954" s="63"/>
      <c r="F954" s="66"/>
      <c r="G954" s="816"/>
      <c r="H954" s="330"/>
      <c r="I954" s="398"/>
      <c r="J954" s="405"/>
      <c r="K954" s="398"/>
      <c r="L954" s="405"/>
      <c r="M954" s="64"/>
      <c r="N954" s="65"/>
      <c r="O954" s="65"/>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row>
    <row r="955" spans="1:30" ht="15.75" customHeight="1">
      <c r="A955" s="327" t="str">
        <f>IF(B955&lt;&gt;"",IF(AND(B955='IN-TC'!$S$4,OR(TH!N955="1111",TH!O955="1111")),TH!D955,""),"")</f>
        <v/>
      </c>
      <c r="B955" s="62" t="str">
        <f t="shared" si="314"/>
        <v/>
      </c>
      <c r="C955" s="63"/>
      <c r="D955" s="63"/>
      <c r="E955" s="63"/>
      <c r="F955" s="66"/>
      <c r="G955" s="66"/>
      <c r="H955" s="330"/>
      <c r="I955" s="405"/>
      <c r="J955" s="405"/>
      <c r="K955" s="398"/>
      <c r="L955" s="405"/>
      <c r="M955" s="64"/>
      <c r="N955" s="65"/>
      <c r="O955" s="65"/>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row>
    <row r="956" spans="1:30" ht="15.75" customHeight="1">
      <c r="A956" s="327" t="str">
        <f>IF(B956&lt;&gt;"",IF(AND(B956='IN-TC'!$S$4,OR(TH!N956="1111",TH!O956="1111")),TH!D956,""),"")</f>
        <v/>
      </c>
      <c r="B956" s="62" t="str">
        <f t="shared" si="314"/>
        <v/>
      </c>
      <c r="C956" s="63"/>
      <c r="D956" s="63"/>
      <c r="E956" s="63"/>
      <c r="F956" s="66"/>
      <c r="G956" s="66"/>
      <c r="H956" s="330"/>
      <c r="I956" s="405"/>
      <c r="J956" s="405"/>
      <c r="K956" s="398"/>
      <c r="L956" s="405"/>
      <c r="M956" s="64"/>
      <c r="N956" s="65"/>
      <c r="O956" s="65"/>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row>
    <row r="957" spans="1:30" ht="15.75" customHeight="1">
      <c r="A957" s="327" t="str">
        <f>IF(B957&lt;&gt;"",IF(AND(B957='IN-TC'!$S$4,OR(TH!N957="1111",TH!O957="1111")),TH!D957,""),"")</f>
        <v/>
      </c>
      <c r="B957" s="62" t="str">
        <f t="shared" si="314"/>
        <v/>
      </c>
      <c r="C957" s="63"/>
      <c r="D957" s="63"/>
      <c r="E957" s="63"/>
      <c r="F957" s="66"/>
      <c r="G957" s="66"/>
      <c r="H957" s="330"/>
      <c r="I957" s="405"/>
      <c r="J957" s="405"/>
      <c r="K957" s="398"/>
      <c r="L957" s="405"/>
      <c r="M957" s="64"/>
      <c r="N957" s="65"/>
      <c r="O957" s="65"/>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row>
    <row r="958" spans="1:30" ht="15.75" customHeight="1">
      <c r="A958" s="327" t="str">
        <f>IF(B958&lt;&gt;"",IF(AND(B958='IN-TC'!$S$4,OR(TH!N958="1111",TH!O958="1111")),TH!D958,""),"")</f>
        <v/>
      </c>
      <c r="B958" s="62" t="str">
        <f t="shared" si="314"/>
        <v/>
      </c>
      <c r="C958" s="63"/>
      <c r="D958" s="63"/>
      <c r="E958" s="63"/>
      <c r="F958" s="66"/>
      <c r="G958" s="816"/>
      <c r="H958" s="330"/>
      <c r="I958" s="405"/>
      <c r="J958" s="405"/>
      <c r="K958" s="398"/>
      <c r="L958" s="405"/>
      <c r="M958" s="64"/>
      <c r="N958" s="65"/>
      <c r="O958" s="65"/>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row>
    <row r="959" spans="1:30" ht="15.75" customHeight="1">
      <c r="A959" s="327" t="str">
        <f>IF(B959&lt;&gt;"",IF(AND(B959='IN-TC'!$S$4,OR(TH!N959="1111",TH!O959="1111")),TH!D959,""),"")</f>
        <v/>
      </c>
      <c r="B959" s="62" t="str">
        <f t="shared" ref="B959" si="322">IF(C959&lt;&gt;"",MONTH(C959),"")</f>
        <v/>
      </c>
      <c r="C959" s="63"/>
      <c r="D959" s="63"/>
      <c r="E959" s="63"/>
      <c r="F959" s="66"/>
      <c r="G959" s="816"/>
      <c r="H959" s="330"/>
      <c r="I959" s="405"/>
      <c r="J959" s="405"/>
      <c r="K959" s="398"/>
      <c r="L959" s="405"/>
      <c r="M959" s="64"/>
      <c r="N959" s="65"/>
      <c r="O959" s="65"/>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row>
    <row r="960" spans="1:30" ht="15.75" customHeight="1">
      <c r="A960" s="327" t="str">
        <f>IF(B960&lt;&gt;"",IF(AND(B960='IN-TC'!$S$4,OR(TH!N960="1111",TH!O960="1111")),TH!D960,""),"")</f>
        <v/>
      </c>
      <c r="B960" s="62" t="str">
        <f t="shared" si="314"/>
        <v/>
      </c>
      <c r="C960" s="63"/>
      <c r="D960" s="63"/>
      <c r="E960" s="63"/>
      <c r="F960" s="66"/>
      <c r="G960" s="816"/>
      <c r="H960" s="330"/>
      <c r="I960" s="405"/>
      <c r="J960" s="405"/>
      <c r="K960" s="398"/>
      <c r="L960" s="405"/>
      <c r="M960" s="64"/>
      <c r="N960" s="65"/>
      <c r="O960" s="65"/>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0" ht="15.75" customHeight="1">
      <c r="A961" s="327" t="str">
        <f>IF(B961&lt;&gt;"",IF(AND(B961='IN-TC'!$S$4,OR(TH!N961="1111",TH!O961="1111")),TH!D961,""),"")</f>
        <v/>
      </c>
      <c r="B961" s="62" t="str">
        <f t="shared" si="314"/>
        <v/>
      </c>
      <c r="C961" s="63"/>
      <c r="D961" s="63"/>
      <c r="E961" s="63"/>
      <c r="F961" s="66"/>
      <c r="G961" s="816"/>
      <c r="H961" s="330"/>
      <c r="I961" s="405"/>
      <c r="J961" s="405"/>
      <c r="K961" s="398"/>
      <c r="L961" s="405"/>
      <c r="M961" s="64"/>
      <c r="N961" s="65"/>
      <c r="O961" s="65"/>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row>
    <row r="962" spans="1:30" ht="15.75" customHeight="1">
      <c r="A962" s="327" t="str">
        <f>IF(B962&lt;&gt;"",IF(AND(B962='IN-TC'!$S$4,OR(TH!N962="1111",TH!O962="1111")),TH!D962,""),"")</f>
        <v/>
      </c>
      <c r="B962" s="62" t="str">
        <f t="shared" si="314"/>
        <v/>
      </c>
      <c r="C962" s="63"/>
      <c r="D962" s="63"/>
      <c r="E962" s="63"/>
      <c r="F962" s="66"/>
      <c r="G962" s="816"/>
      <c r="H962" s="330"/>
      <c r="I962" s="405"/>
      <c r="J962" s="405"/>
      <c r="K962" s="398"/>
      <c r="L962" s="405"/>
      <c r="M962" s="64"/>
      <c r="N962" s="65"/>
      <c r="O962" s="65"/>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row>
    <row r="963" spans="1:30" ht="15.75" customHeight="1">
      <c r="A963" s="327" t="str">
        <f>IF(B963&lt;&gt;"",IF(AND(B963='IN-TC'!$S$4,OR(TH!N963="1111",TH!O963="1111")),TH!D963,""),"")</f>
        <v/>
      </c>
      <c r="B963" s="62" t="str">
        <f t="shared" si="314"/>
        <v/>
      </c>
      <c r="C963" s="63"/>
      <c r="D963" s="63"/>
      <c r="E963" s="63"/>
      <c r="F963" s="66"/>
      <c r="G963" s="816"/>
      <c r="H963" s="330"/>
      <c r="I963" s="405"/>
      <c r="J963" s="405"/>
      <c r="K963" s="398"/>
      <c r="L963" s="405"/>
      <c r="M963" s="64"/>
      <c r="N963" s="65"/>
      <c r="O963" s="65"/>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row>
    <row r="964" spans="1:30" ht="15.75" customHeight="1">
      <c r="A964" s="327" t="str">
        <f>IF(B964&lt;&gt;"",IF(AND(B964='IN-TC'!$S$4,OR(TH!N964="1111",TH!O964="1111")),TH!D964,""),"")</f>
        <v/>
      </c>
      <c r="B964" s="62" t="str">
        <f t="shared" si="314"/>
        <v/>
      </c>
      <c r="C964" s="63"/>
      <c r="D964" s="63"/>
      <c r="E964" s="63"/>
      <c r="F964" s="66"/>
      <c r="G964" s="816"/>
      <c r="H964" s="330"/>
      <c r="I964" s="405"/>
      <c r="J964" s="405"/>
      <c r="K964" s="398"/>
      <c r="L964" s="405"/>
      <c r="M964" s="64"/>
      <c r="N964" s="65"/>
      <c r="O964" s="65"/>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row>
    <row r="965" spans="1:30" ht="15.75" customHeight="1">
      <c r="A965" s="327" t="str">
        <f>IF(B965&lt;&gt;"",IF(AND(B965='IN-TC'!$S$4,OR(TH!N965="1111",TH!O965="1111")),TH!D965,""),"")</f>
        <v/>
      </c>
      <c r="B965" s="62" t="str">
        <f t="shared" ref="B965:B1035" si="323">IF(C965&lt;&gt;"",MONTH(C965),"")</f>
        <v/>
      </c>
      <c r="C965" s="63"/>
      <c r="D965" s="63"/>
      <c r="E965" s="63"/>
      <c r="F965" s="66"/>
      <c r="G965" s="816"/>
      <c r="H965" s="330"/>
      <c r="I965" s="1046"/>
      <c r="J965" s="405"/>
      <c r="K965" s="398"/>
      <c r="L965" s="405"/>
      <c r="M965" s="64"/>
      <c r="N965" s="65"/>
      <c r="O965" s="65"/>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row>
    <row r="966" spans="1:30" ht="15.75" customHeight="1">
      <c r="A966" s="327" t="str">
        <f>IF(B966&lt;&gt;"",IF(AND(B966='IN-TC'!$S$4,OR(TH!N966="1111",TH!O966="1111")),TH!D966,""),"")</f>
        <v/>
      </c>
      <c r="B966" s="62" t="str">
        <f t="shared" si="323"/>
        <v/>
      </c>
      <c r="C966" s="63"/>
      <c r="D966" s="63"/>
      <c r="E966" s="63"/>
      <c r="F966" s="66"/>
      <c r="G966" s="816"/>
      <c r="H966" s="330"/>
      <c r="I966" s="405"/>
      <c r="J966" s="405"/>
      <c r="K966" s="398"/>
      <c r="L966" s="405"/>
      <c r="M966" s="64"/>
      <c r="N966" s="65"/>
      <c r="O966" s="65"/>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row>
    <row r="967" spans="1:30" ht="15.75" customHeight="1">
      <c r="A967" s="327" t="str">
        <f>IF(B967&lt;&gt;"",IF(AND(B967='IN-TC'!$S$4,OR(TH!N967="1111",TH!O967="1111")),TH!D967,""),"")</f>
        <v/>
      </c>
      <c r="B967" s="62" t="str">
        <f t="shared" si="323"/>
        <v/>
      </c>
      <c r="C967" s="63"/>
      <c r="D967" s="63"/>
      <c r="E967" s="63"/>
      <c r="F967" s="66"/>
      <c r="G967" s="816"/>
      <c r="H967" s="330"/>
      <c r="I967" s="1046"/>
      <c r="J967" s="405"/>
      <c r="K967" s="398"/>
      <c r="L967" s="405"/>
      <c r="M967" s="64"/>
      <c r="N967" s="65"/>
      <c r="O967" s="65"/>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row>
    <row r="968" spans="1:30" ht="15.75" customHeight="1">
      <c r="A968" s="327" t="str">
        <f>IF(B968&lt;&gt;"",IF(AND(B968='IN-TC'!$S$4,OR(TH!N968="1111",TH!O968="1111")),TH!D968,""),"")</f>
        <v/>
      </c>
      <c r="B968" s="62" t="str">
        <f t="shared" si="323"/>
        <v/>
      </c>
      <c r="C968" s="63"/>
      <c r="D968" s="63"/>
      <c r="E968" s="63"/>
      <c r="F968" s="66"/>
      <c r="G968" s="816"/>
      <c r="H968" s="330"/>
      <c r="I968" s="405"/>
      <c r="J968" s="405"/>
      <c r="K968" s="398"/>
      <c r="L968" s="405"/>
      <c r="M968" s="64"/>
      <c r="N968" s="65"/>
      <c r="O968" s="65"/>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row>
    <row r="969" spans="1:30" ht="15.75" customHeight="1">
      <c r="A969" s="327" t="str">
        <f>IF(B969&lt;&gt;"",IF(AND(B969='IN-TC'!$S$4,OR(TH!N969="1111",TH!O969="1111")),TH!D969,""),"")</f>
        <v/>
      </c>
      <c r="B969" s="62" t="str">
        <f t="shared" ref="B969:B970" si="324">IF(C969&lt;&gt;"",MONTH(C969),"")</f>
        <v/>
      </c>
      <c r="C969" s="63"/>
      <c r="D969" s="63"/>
      <c r="E969" s="63"/>
      <c r="F969" s="66"/>
      <c r="G969" s="816"/>
      <c r="H969" s="330"/>
      <c r="I969" s="405"/>
      <c r="J969" s="405"/>
      <c r="K969" s="398"/>
      <c r="L969" s="405"/>
      <c r="M969" s="64"/>
      <c r="N969" s="65"/>
      <c r="O969" s="65"/>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row>
    <row r="970" spans="1:30" ht="15.75" customHeight="1">
      <c r="A970" s="327" t="str">
        <f>IF(B970&lt;&gt;"",IF(AND(B970='IN-TC'!$S$4,OR(TH!N970="1111",TH!O970="1111")),TH!D970,""),"")</f>
        <v/>
      </c>
      <c r="B970" s="62" t="str">
        <f t="shared" si="324"/>
        <v/>
      </c>
      <c r="C970" s="63"/>
      <c r="D970" s="63"/>
      <c r="E970" s="63"/>
      <c r="F970" s="66"/>
      <c r="G970" s="816"/>
      <c r="H970" s="330"/>
      <c r="I970" s="405"/>
      <c r="J970" s="405"/>
      <c r="K970" s="398"/>
      <c r="L970" s="405"/>
      <c r="M970" s="64"/>
      <c r="N970" s="65"/>
      <c r="O970" s="65"/>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row>
    <row r="971" spans="1:30" ht="15.75" customHeight="1">
      <c r="A971" s="327" t="str">
        <f>IF(B971&lt;&gt;"",IF(AND(B971='IN-TC'!$S$4,OR(TH!N971="1111",TH!O971="1111")),TH!D971,""),"")</f>
        <v/>
      </c>
      <c r="B971" s="62" t="str">
        <f t="shared" si="323"/>
        <v/>
      </c>
      <c r="C971" s="63"/>
      <c r="D971" s="63"/>
      <c r="E971" s="63"/>
      <c r="F971" s="66"/>
      <c r="G971" s="816"/>
      <c r="H971" s="330"/>
      <c r="I971" s="405"/>
      <c r="J971" s="405"/>
      <c r="K971" s="398"/>
      <c r="L971" s="405"/>
      <c r="M971" s="64"/>
      <c r="N971" s="65"/>
      <c r="O971" s="65"/>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row>
    <row r="972" spans="1:30" ht="15.75" customHeight="1">
      <c r="A972" s="327" t="str">
        <f>IF(B972&lt;&gt;"",IF(AND(B972='IN-TC'!$S$4,OR(TH!N972="1111",TH!O972="1111")),TH!D972,""),"")</f>
        <v/>
      </c>
      <c r="B972" s="62" t="str">
        <f t="shared" ref="B972:B973" si="325">IF(C972&lt;&gt;"",MONTH(C972),"")</f>
        <v/>
      </c>
      <c r="C972" s="63"/>
      <c r="D972" s="63"/>
      <c r="E972" s="63"/>
      <c r="F972" s="66"/>
      <c r="G972" s="816"/>
      <c r="H972" s="330"/>
      <c r="I972" s="405"/>
      <c r="J972" s="405"/>
      <c r="K972" s="398"/>
      <c r="L972" s="405"/>
      <c r="M972" s="64"/>
      <c r="N972" s="65"/>
      <c r="O972" s="65"/>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row>
    <row r="973" spans="1:30" ht="15.75" customHeight="1">
      <c r="A973" s="327" t="str">
        <f>IF(B973&lt;&gt;"",IF(AND(B973='IN-TC'!$S$4,OR(TH!N973="1111",TH!O973="1111")),TH!D973,""),"")</f>
        <v/>
      </c>
      <c r="B973" s="62" t="str">
        <f t="shared" si="325"/>
        <v/>
      </c>
      <c r="C973" s="63"/>
      <c r="D973" s="63"/>
      <c r="E973" s="63"/>
      <c r="F973" s="66"/>
      <c r="G973" s="816"/>
      <c r="H973" s="330"/>
      <c r="I973" s="405"/>
      <c r="J973" s="405"/>
      <c r="K973" s="398"/>
      <c r="L973" s="405"/>
      <c r="M973" s="64"/>
      <c r="N973" s="65"/>
      <c r="O973" s="65"/>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row>
    <row r="974" spans="1:30" ht="15.75" customHeight="1">
      <c r="A974" s="327" t="str">
        <f>IF(B974&lt;&gt;"",IF(AND(B974='IN-TC'!$S$4,OR(TH!N974="1111",TH!O974="1111")),TH!D974,""),"")</f>
        <v/>
      </c>
      <c r="B974" s="62" t="str">
        <f t="shared" ref="B974:B975" si="326">IF(C974&lt;&gt;"",MONTH(C974),"")</f>
        <v/>
      </c>
      <c r="C974" s="63"/>
      <c r="D974" s="63"/>
      <c r="E974" s="63"/>
      <c r="F974" s="66"/>
      <c r="G974" s="816"/>
      <c r="H974" s="330"/>
      <c r="I974" s="405"/>
      <c r="J974" s="405"/>
      <c r="K974" s="398"/>
      <c r="L974" s="405"/>
      <c r="M974" s="64"/>
      <c r="N974" s="65"/>
      <c r="O974" s="65"/>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row>
    <row r="975" spans="1:30" ht="15.75" customHeight="1">
      <c r="A975" s="327" t="str">
        <f>IF(B975&lt;&gt;"",IF(AND(B975='IN-TC'!$S$4,OR(TH!N975="1111",TH!O975="1111")),TH!D975,""),"")</f>
        <v/>
      </c>
      <c r="B975" s="62" t="str">
        <f t="shared" si="326"/>
        <v/>
      </c>
      <c r="C975" s="63"/>
      <c r="D975" s="63"/>
      <c r="E975" s="63"/>
      <c r="F975" s="66"/>
      <c r="G975" s="816"/>
      <c r="H975" s="330"/>
      <c r="I975" s="405"/>
      <c r="J975" s="405"/>
      <c r="K975" s="398"/>
      <c r="L975" s="405"/>
      <c r="M975" s="64"/>
      <c r="N975" s="65"/>
      <c r="O975" s="65"/>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row>
    <row r="976" spans="1:30" ht="15.75" customHeight="1">
      <c r="A976" s="327"/>
      <c r="B976" s="62"/>
      <c r="C976" s="63"/>
      <c r="D976" s="63"/>
      <c r="E976" s="63"/>
      <c r="F976" s="66"/>
      <c r="G976" s="816"/>
      <c r="H976" s="330"/>
      <c r="I976" s="405"/>
      <c r="J976" s="405"/>
      <c r="K976" s="398"/>
      <c r="L976" s="405"/>
      <c r="M976" s="64"/>
      <c r="N976" s="65"/>
      <c r="O976" s="65"/>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row>
    <row r="977" spans="1:30" ht="15.75" customHeight="1">
      <c r="A977" s="327"/>
      <c r="B977" s="62"/>
      <c r="C977" s="63"/>
      <c r="D977" s="63"/>
      <c r="E977" s="63"/>
      <c r="F977" s="66"/>
      <c r="G977" s="816"/>
      <c r="H977" s="330"/>
      <c r="I977" s="405"/>
      <c r="J977" s="405"/>
      <c r="K977" s="398"/>
      <c r="L977" s="405"/>
      <c r="M977" s="64"/>
      <c r="N977" s="65"/>
      <c r="O977" s="65"/>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row>
    <row r="978" spans="1:30" ht="15.75" customHeight="1">
      <c r="A978" s="327"/>
      <c r="B978" s="62"/>
      <c r="C978" s="63"/>
      <c r="D978" s="63"/>
      <c r="E978" s="63"/>
      <c r="F978" s="66"/>
      <c r="G978" s="816"/>
      <c r="H978" s="330"/>
      <c r="I978" s="405"/>
      <c r="J978" s="405"/>
      <c r="K978" s="398"/>
      <c r="L978" s="405"/>
      <c r="M978" s="64"/>
      <c r="N978" s="65"/>
      <c r="O978" s="65"/>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row>
    <row r="979" spans="1:30" ht="15.75" customHeight="1">
      <c r="A979" s="327"/>
      <c r="B979" s="62"/>
      <c r="C979" s="63"/>
      <c r="D979" s="63"/>
      <c r="E979" s="63"/>
      <c r="F979" s="66"/>
      <c r="G979" s="816"/>
      <c r="H979" s="330"/>
      <c r="I979" s="405"/>
      <c r="J979" s="405"/>
      <c r="K979" s="398"/>
      <c r="L979" s="405"/>
      <c r="M979" s="64"/>
      <c r="N979" s="65"/>
      <c r="O979" s="65"/>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row>
    <row r="980" spans="1:30" ht="15.75" customHeight="1">
      <c r="A980" s="327"/>
      <c r="B980" s="62"/>
      <c r="C980" s="63"/>
      <c r="D980" s="63"/>
      <c r="E980" s="63"/>
      <c r="F980" s="66"/>
      <c r="G980" s="816"/>
      <c r="H980" s="330"/>
      <c r="I980" s="405"/>
      <c r="J980" s="405"/>
      <c r="K980" s="398"/>
      <c r="L980" s="405"/>
      <c r="M980" s="64"/>
      <c r="N980" s="65"/>
      <c r="O980" s="65"/>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row>
    <row r="981" spans="1:30" ht="15.75" customHeight="1">
      <c r="A981" s="327" t="str">
        <f>IF(B981&lt;&gt;"",IF(AND(B981='IN-TC'!$S$4,OR(TH!N981="1111",TH!O981="1111")),TH!D981,""),"")</f>
        <v/>
      </c>
      <c r="B981" s="62" t="str">
        <f t="shared" si="323"/>
        <v/>
      </c>
      <c r="C981" s="63"/>
      <c r="D981" s="63"/>
      <c r="E981" s="63"/>
      <c r="F981" s="66"/>
      <c r="G981" s="816"/>
      <c r="H981" s="71"/>
      <c r="I981" s="405"/>
      <c r="J981" s="405"/>
      <c r="K981" s="398"/>
      <c r="L981" s="405"/>
      <c r="M981" s="64"/>
      <c r="N981" s="65"/>
      <c r="O981" s="65"/>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row>
    <row r="982" spans="1:30" ht="15.75" customHeight="1">
      <c r="A982" s="327" t="str">
        <f>IF(B982&lt;&gt;"",IF(AND(B982='IN-TC'!$S$4,OR(TH!N982="1111",TH!O982="1111")),TH!D982,""),"")</f>
        <v/>
      </c>
      <c r="B982" s="62" t="str">
        <f t="shared" si="323"/>
        <v/>
      </c>
      <c r="C982" s="63"/>
      <c r="D982" s="63"/>
      <c r="E982" s="63"/>
      <c r="F982" s="66"/>
      <c r="G982" s="816"/>
      <c r="H982" s="71"/>
      <c r="I982" s="405"/>
      <c r="J982" s="405"/>
      <c r="K982" s="398"/>
      <c r="L982" s="405"/>
      <c r="M982" s="64"/>
      <c r="N982" s="65"/>
      <c r="O982" s="65"/>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row>
    <row r="983" spans="1:30" ht="15.75" customHeight="1">
      <c r="A983" s="327" t="str">
        <f>IF(B983&lt;&gt;"",IF(AND(B983='IN-TC'!$S$4,OR(TH!N983="1111",TH!O983="1111")),TH!D983,""),"")</f>
        <v/>
      </c>
      <c r="B983" s="62" t="str">
        <f t="shared" si="323"/>
        <v/>
      </c>
      <c r="C983" s="63"/>
      <c r="D983" s="63"/>
      <c r="E983" s="63"/>
      <c r="F983" s="66"/>
      <c r="G983" s="66"/>
      <c r="H983" s="71"/>
      <c r="I983" s="405"/>
      <c r="J983" s="405"/>
      <c r="K983" s="398"/>
      <c r="L983" s="405"/>
      <c r="M983" s="64"/>
      <c r="N983" s="65"/>
      <c r="O983" s="65"/>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row>
    <row r="984" spans="1:30" ht="15.75" customHeight="1">
      <c r="A984" s="327" t="str">
        <f>IF(B984&lt;&gt;"",IF(AND(B984='IN-TC'!$S$4,OR(TH!N984="1111",TH!O984="1111")),TH!D984,""),"")</f>
        <v/>
      </c>
      <c r="B984" s="62" t="str">
        <f t="shared" si="323"/>
        <v/>
      </c>
      <c r="C984" s="63"/>
      <c r="D984" s="63"/>
      <c r="E984" s="63"/>
      <c r="F984" s="66"/>
      <c r="G984" s="66"/>
      <c r="H984" s="71"/>
      <c r="I984" s="405"/>
      <c r="J984" s="405"/>
      <c r="K984" s="398"/>
      <c r="L984" s="405"/>
      <c r="M984" s="64"/>
      <c r="N984" s="65"/>
      <c r="O984" s="65"/>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row>
    <row r="985" spans="1:30" ht="15.75" customHeight="1">
      <c r="A985" s="327" t="str">
        <f>IF(B985&lt;&gt;"",IF(AND(B985='IN-TC'!$S$4,OR(TH!N985="1111",TH!O985="1111")),TH!D985,""),"")</f>
        <v/>
      </c>
      <c r="B985" s="62" t="str">
        <f t="shared" si="323"/>
        <v/>
      </c>
      <c r="C985" s="63"/>
      <c r="D985" s="63"/>
      <c r="E985" s="63"/>
      <c r="F985" s="66"/>
      <c r="G985" s="816"/>
      <c r="H985" s="71"/>
      <c r="I985" s="405"/>
      <c r="J985" s="405"/>
      <c r="K985" s="398"/>
      <c r="L985" s="405"/>
      <c r="M985" s="64"/>
      <c r="N985" s="65"/>
      <c r="O985" s="65"/>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row>
    <row r="986" spans="1:30" ht="15.75" customHeight="1">
      <c r="A986" s="327" t="str">
        <f>IF(B986&lt;&gt;"",IF(AND(B986='IN-TC'!$S$4,OR(TH!N986="1111",TH!O986="1111")),TH!D986,""),"")</f>
        <v/>
      </c>
      <c r="B986" s="62" t="str">
        <f t="shared" si="323"/>
        <v/>
      </c>
      <c r="C986" s="63"/>
      <c r="D986" s="63"/>
      <c r="E986" s="63"/>
      <c r="F986" s="66"/>
      <c r="G986" s="816"/>
      <c r="H986" s="71"/>
      <c r="I986" s="405"/>
      <c r="J986" s="405"/>
      <c r="K986" s="398"/>
      <c r="L986" s="405"/>
      <c r="M986" s="64"/>
      <c r="N986" s="65"/>
      <c r="O986" s="65"/>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row>
    <row r="987" spans="1:30" ht="15.75" customHeight="1">
      <c r="A987" s="327" t="str">
        <f>IF(B987&lt;&gt;"",IF(AND(B987='IN-TC'!$S$4,OR(TH!N987="1111",TH!O987="1111")),TH!D987,""),"")</f>
        <v/>
      </c>
      <c r="B987" s="62" t="str">
        <f t="shared" si="323"/>
        <v/>
      </c>
      <c r="C987" s="63"/>
      <c r="D987" s="63"/>
      <c r="E987" s="63"/>
      <c r="F987" s="66"/>
      <c r="G987" s="66"/>
      <c r="H987" s="71"/>
      <c r="I987" s="405"/>
      <c r="J987" s="405"/>
      <c r="K987" s="398"/>
      <c r="L987" s="405"/>
      <c r="M987" s="64"/>
      <c r="N987" s="65"/>
      <c r="O987" s="65"/>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row>
    <row r="988" spans="1:30" ht="15.75" customHeight="1">
      <c r="A988" s="327" t="str">
        <f>IF(B988&lt;&gt;"",IF(AND(B988='IN-TC'!$S$4,OR(TH!N988="1111",TH!O988="1111")),TH!D988,""),"")</f>
        <v/>
      </c>
      <c r="B988" s="62" t="str">
        <f t="shared" si="323"/>
        <v/>
      </c>
      <c r="C988" s="63"/>
      <c r="D988" s="63"/>
      <c r="E988" s="63"/>
      <c r="F988" s="66"/>
      <c r="G988" s="66"/>
      <c r="H988" s="71"/>
      <c r="I988" s="405"/>
      <c r="J988" s="405"/>
      <c r="K988" s="398"/>
      <c r="L988" s="405"/>
      <c r="M988" s="64"/>
      <c r="N988" s="65"/>
      <c r="O988" s="65"/>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row>
    <row r="989" spans="1:30" ht="15.75" customHeight="1">
      <c r="A989" s="327" t="str">
        <f>IF(B989&lt;&gt;"",IF(AND(B989='IN-TC'!$S$4,OR(TH!N989="1111",TH!O989="1111")),TH!D989,""),"")</f>
        <v/>
      </c>
      <c r="B989" s="62" t="str">
        <f t="shared" si="323"/>
        <v/>
      </c>
      <c r="C989" s="63"/>
      <c r="D989" s="63"/>
      <c r="E989" s="63"/>
      <c r="F989" s="66"/>
      <c r="G989" s="66"/>
      <c r="H989" s="71"/>
      <c r="I989" s="405"/>
      <c r="J989" s="405"/>
      <c r="K989" s="398"/>
      <c r="L989" s="405"/>
      <c r="M989" s="64"/>
      <c r="N989" s="65"/>
      <c r="O989" s="65"/>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row>
    <row r="990" spans="1:30" ht="15.75" customHeight="1">
      <c r="A990" s="327" t="str">
        <f>IF(B990&lt;&gt;"",IF(AND(B990='IN-TC'!$S$4,OR(TH!N990="1111",TH!O990="1111")),TH!D990,""),"")</f>
        <v/>
      </c>
      <c r="B990" s="62" t="str">
        <f t="shared" si="323"/>
        <v/>
      </c>
      <c r="C990" s="63"/>
      <c r="D990" s="63"/>
      <c r="E990" s="63"/>
      <c r="F990" s="66"/>
      <c r="G990" s="66"/>
      <c r="H990" s="71"/>
      <c r="I990" s="405"/>
      <c r="J990" s="405"/>
      <c r="K990" s="398"/>
      <c r="L990" s="405"/>
      <c r="M990" s="64"/>
      <c r="N990" s="65"/>
      <c r="O990" s="65"/>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row>
    <row r="991" spans="1:30" ht="15.75" customHeight="1">
      <c r="A991" s="327" t="str">
        <f>IF(B991&lt;&gt;"",IF(AND(B991='IN-TC'!$S$4,OR(TH!N991="1111",TH!O991="1111")),TH!D991,""),"")</f>
        <v/>
      </c>
      <c r="B991" s="62" t="str">
        <f t="shared" si="323"/>
        <v/>
      </c>
      <c r="C991" s="63"/>
      <c r="D991" s="63"/>
      <c r="E991" s="63"/>
      <c r="F991" s="66"/>
      <c r="G991" s="66"/>
      <c r="H991" s="71"/>
      <c r="I991" s="405"/>
      <c r="J991" s="405"/>
      <c r="K991" s="398"/>
      <c r="L991" s="405"/>
      <c r="M991" s="64"/>
      <c r="N991" s="65"/>
      <c r="O991" s="65"/>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row>
    <row r="992" spans="1:30" ht="15.75" customHeight="1">
      <c r="A992" s="327" t="str">
        <f>IF(B992&lt;&gt;"",IF(AND(B992='IN-TC'!$S$4,OR(TH!N992="1111",TH!O992="1111")),TH!D992,""),"")</f>
        <v/>
      </c>
      <c r="B992" s="62" t="str">
        <f t="shared" si="323"/>
        <v/>
      </c>
      <c r="C992" s="63"/>
      <c r="D992" s="63"/>
      <c r="E992" s="63"/>
      <c r="F992" s="66"/>
      <c r="G992" s="66"/>
      <c r="H992" s="71"/>
      <c r="I992" s="405"/>
      <c r="J992" s="405"/>
      <c r="K992" s="398"/>
      <c r="L992" s="405"/>
      <c r="M992" s="64"/>
      <c r="N992" s="65"/>
      <c r="O992" s="65"/>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row>
    <row r="993" spans="1:30" ht="15.75" customHeight="1">
      <c r="A993" s="327" t="str">
        <f>IF(B993&lt;&gt;"",IF(AND(B993='IN-TC'!$S$4,OR(TH!N993="1111",TH!O993="1111")),TH!D993,""),"")</f>
        <v/>
      </c>
      <c r="B993" s="62" t="str">
        <f t="shared" si="323"/>
        <v/>
      </c>
      <c r="C993" s="63"/>
      <c r="D993" s="63"/>
      <c r="E993" s="63"/>
      <c r="F993" s="66"/>
      <c r="G993" s="816"/>
      <c r="H993" s="71"/>
      <c r="I993" s="405"/>
      <c r="J993" s="405"/>
      <c r="K993" s="398"/>
      <c r="L993" s="405"/>
      <c r="M993" s="64"/>
      <c r="N993" s="65"/>
      <c r="O993" s="65"/>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row>
    <row r="994" spans="1:30" ht="15.75" customHeight="1">
      <c r="A994" s="327" t="str">
        <f>IF(B994&lt;&gt;"",IF(AND(B994='IN-TC'!$S$4,OR(TH!N994="1111",TH!O994="1111")),TH!D994,""),"")</f>
        <v/>
      </c>
      <c r="B994" s="62" t="str">
        <f t="shared" si="323"/>
        <v/>
      </c>
      <c r="C994" s="63"/>
      <c r="D994" s="63"/>
      <c r="E994" s="63"/>
      <c r="F994" s="66"/>
      <c r="G994" s="66"/>
      <c r="H994" s="71"/>
      <c r="I994" s="405"/>
      <c r="J994" s="405"/>
      <c r="K994" s="398"/>
      <c r="L994" s="405"/>
      <c r="M994" s="64"/>
      <c r="N994" s="1047"/>
      <c r="O994" s="65"/>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row>
    <row r="995" spans="1:30" ht="15.75" customHeight="1">
      <c r="A995" s="327" t="str">
        <f>IF(B995&lt;&gt;"",IF(AND(B995='IN-TC'!$S$4,OR(TH!N995="1111",TH!O995="1111")),TH!D995,""),"")</f>
        <v/>
      </c>
      <c r="B995" s="62" t="str">
        <f t="shared" si="323"/>
        <v/>
      </c>
      <c r="C995" s="63"/>
      <c r="D995" s="63"/>
      <c r="E995" s="63"/>
      <c r="F995" s="66"/>
      <c r="G995" s="66"/>
      <c r="H995" s="71"/>
      <c r="I995" s="405"/>
      <c r="J995" s="405"/>
      <c r="K995" s="398"/>
      <c r="L995" s="405"/>
      <c r="M995" s="64"/>
      <c r="N995" s="65"/>
      <c r="O995" s="65"/>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row>
    <row r="996" spans="1:30" ht="15.75" customHeight="1">
      <c r="A996" s="327" t="str">
        <f>IF(B996&lt;&gt;"",IF(AND(B996='IN-TC'!$S$4,OR(TH!N996="1111",TH!O996="1111")),TH!D996,""),"")</f>
        <v/>
      </c>
      <c r="B996" s="62" t="str">
        <f t="shared" si="323"/>
        <v/>
      </c>
      <c r="C996" s="63"/>
      <c r="D996" s="63"/>
      <c r="E996" s="63"/>
      <c r="F996" s="66"/>
      <c r="G996" s="66"/>
      <c r="H996" s="71"/>
      <c r="I996" s="405"/>
      <c r="J996" s="405"/>
      <c r="K996" s="398"/>
      <c r="L996" s="405"/>
      <c r="M996" s="64"/>
      <c r="N996" s="65"/>
      <c r="O996" s="65"/>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row>
    <row r="997" spans="1:30" ht="15.75" customHeight="1">
      <c r="A997" s="327" t="str">
        <f>IF(B997&lt;&gt;"",IF(AND(B997='IN-TC'!$S$4,OR(TH!N997="1111",TH!O997="1111")),TH!D997,""),"")</f>
        <v/>
      </c>
      <c r="B997" s="62" t="str">
        <f t="shared" si="323"/>
        <v/>
      </c>
      <c r="C997" s="63"/>
      <c r="D997" s="63"/>
      <c r="E997" s="63"/>
      <c r="F997" s="66"/>
      <c r="G997" s="816"/>
      <c r="H997" s="71"/>
      <c r="I997" s="405"/>
      <c r="J997" s="405"/>
      <c r="K997" s="398"/>
      <c r="L997" s="405"/>
      <c r="M997" s="64"/>
      <c r="N997" s="65"/>
      <c r="O997" s="65"/>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row>
    <row r="998" spans="1:30" ht="15.75" customHeight="1">
      <c r="A998" s="327" t="str">
        <f>IF(B998&lt;&gt;"",IF(AND(B998='IN-TC'!$S$4,OR(TH!N998="1111",TH!O998="1111")),TH!D998,""),"")</f>
        <v/>
      </c>
      <c r="B998" s="62" t="str">
        <f t="shared" si="323"/>
        <v/>
      </c>
      <c r="C998" s="63"/>
      <c r="D998" s="63"/>
      <c r="E998" s="63"/>
      <c r="F998" s="66"/>
      <c r="G998" s="816"/>
      <c r="H998" s="71"/>
      <c r="I998" s="405"/>
      <c r="J998" s="405"/>
      <c r="K998" s="398"/>
      <c r="L998" s="405"/>
      <c r="M998" s="64"/>
      <c r="N998" s="65"/>
      <c r="O998" s="65"/>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0" ht="15.75" customHeight="1">
      <c r="A999" s="327" t="str">
        <f>IF(B999&lt;&gt;"",IF(AND(B999='IN-TC'!$S$4,OR(TH!N999="1111",TH!O999="1111")),TH!D999,""),"")</f>
        <v/>
      </c>
      <c r="B999" s="62" t="str">
        <f t="shared" si="323"/>
        <v/>
      </c>
      <c r="C999" s="63"/>
      <c r="D999" s="63"/>
      <c r="E999" s="63"/>
      <c r="F999" s="66"/>
      <c r="G999" s="66"/>
      <c r="H999" s="71"/>
      <c r="I999" s="405"/>
      <c r="J999" s="405"/>
      <c r="K999" s="398"/>
      <c r="L999" s="405"/>
      <c r="M999" s="64"/>
      <c r="N999" s="65"/>
      <c r="O999" s="65"/>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row>
    <row r="1000" spans="1:30" ht="15.75" customHeight="1">
      <c r="A1000" s="327" t="str">
        <f>IF(B1000&lt;&gt;"",IF(AND(B1000='IN-TC'!$S$4,OR(TH!N1000="1111",TH!O1000="1111")),TH!D1000,""),"")</f>
        <v/>
      </c>
      <c r="B1000" s="62" t="str">
        <f t="shared" si="323"/>
        <v/>
      </c>
      <c r="C1000" s="63"/>
      <c r="D1000" s="63"/>
      <c r="E1000" s="63"/>
      <c r="F1000" s="66"/>
      <c r="G1000" s="66"/>
      <c r="H1000" s="71"/>
      <c r="I1000" s="405"/>
      <c r="J1000" s="405"/>
      <c r="K1000" s="398"/>
      <c r="L1000" s="405"/>
      <c r="M1000" s="64"/>
      <c r="N1000" s="65"/>
      <c r="O1000" s="65"/>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row>
    <row r="1001" spans="1:30" ht="15.75" customHeight="1">
      <c r="A1001" s="327" t="str">
        <f>IF(B1001&lt;&gt;"",IF(AND(B1001='IN-TC'!$S$4,OR(TH!N1001="1111",TH!O1001="1111")),TH!D1001,""),"")</f>
        <v/>
      </c>
      <c r="B1001" s="62" t="str">
        <f t="shared" si="323"/>
        <v/>
      </c>
      <c r="C1001" s="63"/>
      <c r="D1001" s="63"/>
      <c r="E1001" s="63"/>
      <c r="F1001" s="66"/>
      <c r="G1001" s="66"/>
      <c r="H1001" s="71"/>
      <c r="I1001" s="405"/>
      <c r="J1001" s="405"/>
      <c r="K1001" s="398"/>
      <c r="L1001" s="405"/>
      <c r="M1001" s="64"/>
      <c r="N1001" s="65"/>
      <c r="O1001" s="65"/>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row>
    <row r="1002" spans="1:30" ht="15.75" customHeight="1">
      <c r="A1002" s="327" t="str">
        <f>IF(B1002&lt;&gt;"",IF(AND(B1002='IN-TC'!$S$4,OR(TH!N1002="1111",TH!O1002="1111")),TH!D1002,""),"")</f>
        <v/>
      </c>
      <c r="B1002" s="62" t="str">
        <f t="shared" si="323"/>
        <v/>
      </c>
      <c r="C1002" s="63"/>
      <c r="D1002" s="63"/>
      <c r="E1002" s="63"/>
      <c r="F1002" s="66"/>
      <c r="G1002" s="66"/>
      <c r="H1002" s="71"/>
      <c r="I1002" s="405"/>
      <c r="J1002" s="405"/>
      <c r="K1002" s="398"/>
      <c r="L1002" s="405"/>
      <c r="M1002" s="64"/>
      <c r="N1002" s="65"/>
      <c r="O1002" s="65"/>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row>
    <row r="1003" spans="1:30" ht="15.75" customHeight="1">
      <c r="A1003" s="327" t="str">
        <f>IF(B1003&lt;&gt;"",IF(AND(B1003='IN-TC'!$S$4,OR(TH!N1003="1111",TH!O1003="1111")),TH!D1003,""),"")</f>
        <v/>
      </c>
      <c r="B1003" s="62" t="str">
        <f t="shared" si="323"/>
        <v/>
      </c>
      <c r="C1003" s="63"/>
      <c r="D1003" s="63"/>
      <c r="E1003" s="63"/>
      <c r="F1003" s="66"/>
      <c r="G1003" s="66"/>
      <c r="H1003" s="73"/>
      <c r="I1003" s="407"/>
      <c r="J1003" s="407"/>
      <c r="K1003" s="400"/>
      <c r="L1003" s="407"/>
      <c r="M1003" s="64"/>
      <c r="N1003" s="65"/>
      <c r="O1003" s="65"/>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row>
    <row r="1004" spans="1:30" ht="15.75" customHeight="1">
      <c r="A1004" s="327" t="str">
        <f>IF(B1004&lt;&gt;"",IF(AND(B1004='IN-TC'!$S$4,OR(TH!N1004="1111",TH!O1004="1111")),TH!D1004,""),"")</f>
        <v/>
      </c>
      <c r="B1004" s="62" t="str">
        <f t="shared" si="323"/>
        <v/>
      </c>
      <c r="C1004" s="63"/>
      <c r="D1004" s="63"/>
      <c r="E1004" s="63"/>
      <c r="F1004" s="66"/>
      <c r="G1004" s="66"/>
      <c r="H1004" s="73"/>
      <c r="I1004" s="407"/>
      <c r="J1004" s="407"/>
      <c r="K1004" s="400"/>
      <c r="L1004" s="407"/>
      <c r="M1004" s="64"/>
      <c r="N1004" s="65"/>
      <c r="O1004" s="65"/>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row>
    <row r="1005" spans="1:30" ht="15.75" customHeight="1">
      <c r="A1005" s="327" t="str">
        <f>IF(B1005&lt;&gt;"",IF(AND(B1005='IN-TC'!$S$4,OR(TH!N1005="1111",TH!O1005="1111")),TH!D1005,""),"")</f>
        <v/>
      </c>
      <c r="B1005" s="62" t="str">
        <f t="shared" si="323"/>
        <v/>
      </c>
      <c r="C1005" s="63"/>
      <c r="D1005" s="63"/>
      <c r="E1005" s="63"/>
      <c r="F1005" s="66"/>
      <c r="G1005" s="66"/>
      <c r="H1005" s="71"/>
      <c r="I1005" s="405"/>
      <c r="J1005" s="405"/>
      <c r="K1005" s="398"/>
      <c r="L1005" s="405"/>
      <c r="M1005" s="64"/>
      <c r="N1005" s="65"/>
      <c r="O1005" s="65"/>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row>
    <row r="1006" spans="1:30" ht="15.75" customHeight="1">
      <c r="A1006" s="327" t="str">
        <f>IF(B1006&lt;&gt;"",IF(AND(B1006='IN-TC'!$S$4,OR(TH!N1006="1111",TH!O1006="1111")),TH!D1006,""),"")</f>
        <v/>
      </c>
      <c r="B1006" s="62" t="str">
        <f t="shared" si="323"/>
        <v/>
      </c>
      <c r="C1006" s="63"/>
      <c r="D1006" s="63"/>
      <c r="E1006" s="63"/>
      <c r="F1006" s="66"/>
      <c r="G1006" s="66"/>
      <c r="H1006" s="73"/>
      <c r="I1006" s="407"/>
      <c r="J1006" s="407"/>
      <c r="K1006" s="400"/>
      <c r="L1006" s="407"/>
      <c r="M1006" s="64"/>
      <c r="N1006" s="65"/>
      <c r="O1006" s="65"/>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row>
    <row r="1007" spans="1:30" ht="15.75" customHeight="1">
      <c r="A1007" s="327" t="str">
        <f>IF(B1007&lt;&gt;"",IF(AND(B1007='IN-TC'!$S$4,OR(TH!N1007="1111",TH!O1007="1111")),TH!D1007,""),"")</f>
        <v/>
      </c>
      <c r="B1007" s="62" t="str">
        <f t="shared" si="323"/>
        <v/>
      </c>
      <c r="C1007" s="63"/>
      <c r="D1007" s="63"/>
      <c r="E1007" s="63"/>
      <c r="F1007" s="66"/>
      <c r="G1007" s="66"/>
      <c r="H1007" s="73"/>
      <c r="I1007" s="405"/>
      <c r="J1007" s="405"/>
      <c r="K1007" s="400"/>
      <c r="L1007" s="407"/>
      <c r="M1007" s="64"/>
      <c r="N1007" s="65"/>
      <c r="O1007" s="65"/>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row>
    <row r="1008" spans="1:30" ht="15.75" customHeight="1">
      <c r="A1008" s="327" t="str">
        <f>IF(B1008&lt;&gt;"",IF(AND(B1008='IN-TC'!$S$4,OR(TH!N1008="1111",TH!O1008="1111")),TH!D1008,""),"")</f>
        <v/>
      </c>
      <c r="B1008" s="62" t="str">
        <f t="shared" si="323"/>
        <v/>
      </c>
      <c r="C1008" s="63"/>
      <c r="D1008" s="63"/>
      <c r="E1008" s="63"/>
      <c r="F1008" s="66"/>
      <c r="G1008" s="66"/>
      <c r="H1008" s="71"/>
      <c r="I1008" s="405"/>
      <c r="J1008" s="405"/>
      <c r="K1008" s="398"/>
      <c r="L1008" s="405"/>
      <c r="M1008" s="64"/>
      <c r="N1008" s="65"/>
      <c r="O1008" s="65"/>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row>
    <row r="1009" spans="1:30" ht="15.75" customHeight="1">
      <c r="A1009" s="327" t="str">
        <f>IF(B1009&lt;&gt;"",IF(AND(B1009='IN-TC'!$S$4,OR(TH!N1009="1111",TH!O1009="1111")),TH!D1009,""),"")</f>
        <v/>
      </c>
      <c r="B1009" s="62" t="str">
        <f t="shared" si="323"/>
        <v/>
      </c>
      <c r="C1009" s="63"/>
      <c r="D1009" s="63"/>
      <c r="E1009" s="63"/>
      <c r="F1009" s="66"/>
      <c r="G1009" s="66"/>
      <c r="H1009" s="71"/>
      <c r="I1009" s="405"/>
      <c r="J1009" s="405"/>
      <c r="K1009" s="398"/>
      <c r="L1009" s="405"/>
      <c r="M1009" s="64"/>
      <c r="N1009" s="65"/>
      <c r="O1009" s="65"/>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row>
    <row r="1010" spans="1:30" ht="15.75" customHeight="1">
      <c r="A1010" s="327" t="str">
        <f>IF(B1010&lt;&gt;"",IF(AND(B1010='IN-TC'!$S$4,OR(TH!N1010="1111",TH!O1010="1111")),TH!D1010,""),"")</f>
        <v/>
      </c>
      <c r="B1010" s="62" t="str">
        <f t="shared" si="323"/>
        <v/>
      </c>
      <c r="C1010" s="63"/>
      <c r="D1010" s="63"/>
      <c r="E1010" s="63"/>
      <c r="F1010" s="66"/>
      <c r="G1010" s="816"/>
      <c r="H1010" s="71"/>
      <c r="I1010" s="405"/>
      <c r="J1010" s="405"/>
      <c r="K1010" s="398"/>
      <c r="L1010" s="405"/>
      <c r="M1010" s="64"/>
      <c r="N1010" s="65"/>
      <c r="O1010" s="65"/>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row>
    <row r="1011" spans="1:30" ht="15.75" customHeight="1">
      <c r="A1011" s="327" t="str">
        <f>IF(B1011&lt;&gt;"",IF(AND(B1011='IN-TC'!$S$4,OR(TH!N1011="1111",TH!O1011="1111")),TH!D1011,""),"")</f>
        <v/>
      </c>
      <c r="B1011" s="62" t="str">
        <f t="shared" si="323"/>
        <v/>
      </c>
      <c r="C1011" s="63"/>
      <c r="D1011" s="63"/>
      <c r="E1011" s="63"/>
      <c r="F1011" s="66"/>
      <c r="G1011" s="816"/>
      <c r="H1011" s="71"/>
      <c r="I1011" s="405"/>
      <c r="J1011" s="405"/>
      <c r="K1011" s="398"/>
      <c r="L1011" s="405"/>
      <c r="M1011" s="64"/>
      <c r="N1011" s="65"/>
      <c r="O1011" s="65"/>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row>
    <row r="1012" spans="1:30" ht="15.75" customHeight="1">
      <c r="A1012" s="327" t="str">
        <f>IF(B1012&lt;&gt;"",IF(AND(B1012='IN-TC'!$S$4,OR(TH!N1012="1111",TH!O1012="1111")),TH!D1012,""),"")</f>
        <v/>
      </c>
      <c r="B1012" s="62" t="str">
        <f t="shared" si="323"/>
        <v/>
      </c>
      <c r="C1012" s="63"/>
      <c r="D1012" s="63"/>
      <c r="E1012" s="63"/>
      <c r="F1012" s="66"/>
      <c r="G1012" s="66"/>
      <c r="H1012" s="71"/>
      <c r="I1012" s="405"/>
      <c r="J1012" s="405"/>
      <c r="K1012" s="398"/>
      <c r="L1012" s="405"/>
      <c r="M1012" s="64"/>
      <c r="N1012" s="65"/>
      <c r="O1012" s="65"/>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row>
    <row r="1013" spans="1:30" ht="15.75" customHeight="1">
      <c r="A1013" s="327" t="str">
        <f>IF(B1013&lt;&gt;"",IF(AND(B1013='IN-TC'!$S$4,OR(TH!N1013="1111",TH!O1013="1111")),TH!D1013,""),"")</f>
        <v/>
      </c>
      <c r="B1013" s="62" t="str">
        <f t="shared" si="323"/>
        <v/>
      </c>
      <c r="C1013" s="63"/>
      <c r="D1013" s="63"/>
      <c r="E1013" s="63"/>
      <c r="F1013" s="66"/>
      <c r="G1013" s="66"/>
      <c r="H1013" s="71"/>
      <c r="I1013" s="405"/>
      <c r="J1013" s="405"/>
      <c r="K1013" s="398"/>
      <c r="L1013" s="405"/>
      <c r="M1013" s="64"/>
      <c r="N1013" s="65"/>
      <c r="O1013" s="65"/>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row>
    <row r="1014" spans="1:30" ht="15.75" customHeight="1">
      <c r="A1014" s="327" t="str">
        <f>IF(B1014&lt;&gt;"",IF(AND(B1014='IN-TC'!$S$4,OR(TH!N1014="1111",TH!O1014="1111")),TH!D1014,""),"")</f>
        <v/>
      </c>
      <c r="B1014" s="62" t="str">
        <f t="shared" si="323"/>
        <v/>
      </c>
      <c r="C1014" s="63"/>
      <c r="D1014" s="63"/>
      <c r="E1014" s="63"/>
      <c r="F1014" s="66"/>
      <c r="G1014" s="66"/>
      <c r="H1014" s="71"/>
      <c r="I1014" s="405"/>
      <c r="J1014" s="405"/>
      <c r="K1014" s="398"/>
      <c r="L1014" s="405"/>
      <c r="M1014" s="64"/>
      <c r="N1014" s="65"/>
      <c r="O1014" s="65"/>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row>
    <row r="1015" spans="1:30" ht="15.75" customHeight="1">
      <c r="A1015" s="327" t="str">
        <f>IF(B1015&lt;&gt;"",IF(AND(B1015='IN-TC'!$S$4,OR(TH!N1015="1111",TH!O1015="1111")),TH!D1015,""),"")</f>
        <v/>
      </c>
      <c r="B1015" s="62" t="str">
        <f t="shared" si="323"/>
        <v/>
      </c>
      <c r="C1015" s="63"/>
      <c r="D1015" s="63"/>
      <c r="E1015" s="63"/>
      <c r="F1015" s="66"/>
      <c r="G1015" s="66"/>
      <c r="H1015" s="71"/>
      <c r="I1015" s="405"/>
      <c r="J1015" s="405"/>
      <c r="K1015" s="398"/>
      <c r="L1015" s="405"/>
      <c r="M1015" s="64"/>
      <c r="N1015" s="65"/>
      <c r="O1015" s="65"/>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row>
    <row r="1016" spans="1:30" ht="15.75" customHeight="1">
      <c r="A1016" s="327" t="str">
        <f>IF(B1016&lt;&gt;"",IF(AND(B1016='IN-TC'!$S$4,OR(TH!N1016="1111",TH!O1016="1111")),TH!D1016,""),"")</f>
        <v/>
      </c>
      <c r="B1016" s="62" t="str">
        <f t="shared" si="323"/>
        <v/>
      </c>
      <c r="C1016" s="63"/>
      <c r="D1016" s="63"/>
      <c r="E1016" s="63"/>
      <c r="F1016" s="66"/>
      <c r="G1016" s="66"/>
      <c r="H1016" s="71"/>
      <c r="I1016" s="407"/>
      <c r="J1016" s="407"/>
      <c r="K1016" s="400"/>
      <c r="L1016" s="407"/>
      <c r="M1016" s="64"/>
      <c r="N1016" s="65"/>
      <c r="O1016" s="65"/>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row>
    <row r="1017" spans="1:30" ht="15.75" customHeight="1">
      <c r="A1017" s="327" t="str">
        <f>IF(B1017&lt;&gt;"",IF(AND(B1017='IN-TC'!$S$4,OR(TH!N1017="1111",TH!O1017="1111")),TH!D1017,""),"")</f>
        <v/>
      </c>
      <c r="B1017" s="62" t="str">
        <f t="shared" si="323"/>
        <v/>
      </c>
      <c r="C1017" s="63"/>
      <c r="D1017" s="63"/>
      <c r="E1017" s="63"/>
      <c r="F1017" s="66"/>
      <c r="G1017" s="66"/>
      <c r="H1017" s="71"/>
      <c r="I1017" s="407"/>
      <c r="J1017" s="407"/>
      <c r="K1017" s="400"/>
      <c r="L1017" s="407"/>
      <c r="M1017" s="64"/>
      <c r="N1017" s="65"/>
      <c r="O1017" s="65"/>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row>
    <row r="1018" spans="1:30" ht="15.75" customHeight="1">
      <c r="A1018" s="327" t="str">
        <f>IF(B1018&lt;&gt;"",IF(AND(B1018='IN-TC'!$S$4,OR(TH!N1018="1111",TH!O1018="1111")),TH!D1018,""),"")</f>
        <v/>
      </c>
      <c r="B1018" s="62" t="str">
        <f t="shared" si="323"/>
        <v/>
      </c>
      <c r="C1018" s="309"/>
      <c r="D1018" s="309"/>
      <c r="E1018" s="309"/>
      <c r="F1018" s="477"/>
      <c r="G1018" s="819"/>
      <c r="H1018" s="330"/>
      <c r="I1018" s="405"/>
      <c r="J1018" s="405"/>
      <c r="K1018" s="398"/>
      <c r="L1018" s="405"/>
      <c r="M1018" s="64"/>
      <c r="N1018" s="312"/>
      <c r="O1018" s="65"/>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row>
    <row r="1019" spans="1:30" ht="15.75" customHeight="1">
      <c r="A1019" s="327" t="str">
        <f>IF(B1019&lt;&gt;"",IF(AND(B1019='IN-TC'!$S$4,OR(TH!N1019="1111",TH!O1019="1111")),TH!D1019,""),"")</f>
        <v/>
      </c>
      <c r="B1019" s="62" t="str">
        <f t="shared" si="323"/>
        <v/>
      </c>
      <c r="C1019" s="309"/>
      <c r="D1019" s="309"/>
      <c r="E1019" s="309"/>
      <c r="F1019" s="477"/>
      <c r="G1019" s="819"/>
      <c r="H1019" s="330"/>
      <c r="I1019" s="405"/>
      <c r="J1019" s="405"/>
      <c r="K1019" s="398"/>
      <c r="L1019" s="405"/>
      <c r="M1019" s="64"/>
      <c r="N1019" s="312"/>
      <c r="O1019" s="65"/>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row>
    <row r="1020" spans="1:30" ht="15.75" customHeight="1">
      <c r="A1020" s="327" t="str">
        <f>IF(B1020&lt;&gt;"",IF(AND(B1020='IN-TC'!$S$4,OR(TH!N1020="1111",TH!O1020="1111")),TH!D1020,""),"")</f>
        <v/>
      </c>
      <c r="B1020" s="62" t="str">
        <f t="shared" si="323"/>
        <v/>
      </c>
      <c r="C1020" s="309"/>
      <c r="D1020" s="309"/>
      <c r="E1020" s="309"/>
      <c r="F1020" s="310"/>
      <c r="G1020" s="819"/>
      <c r="H1020" s="330"/>
      <c r="I1020" s="405"/>
      <c r="J1020" s="405"/>
      <c r="K1020" s="398"/>
      <c r="L1020" s="405"/>
      <c r="M1020" s="64"/>
      <c r="N1020" s="312"/>
      <c r="O1020" s="65"/>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0" ht="15.75" customHeight="1">
      <c r="A1021" s="327" t="str">
        <f>IF(B1021&lt;&gt;"",IF(AND(B1021='IN-TC'!$S$4,OR(TH!N1021="1111",TH!O1021="1111")),TH!D1021,""),"")</f>
        <v/>
      </c>
      <c r="B1021" s="62" t="str">
        <f t="shared" si="323"/>
        <v/>
      </c>
      <c r="C1021" s="309"/>
      <c r="D1021" s="309"/>
      <c r="E1021" s="309"/>
      <c r="F1021" s="310"/>
      <c r="G1021" s="819"/>
      <c r="H1021" s="330"/>
      <c r="I1021" s="405"/>
      <c r="J1021" s="405"/>
      <c r="K1021" s="398"/>
      <c r="L1021" s="405"/>
      <c r="M1021" s="64"/>
      <c r="N1021" s="312"/>
      <c r="O1021" s="65"/>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row>
    <row r="1022" spans="1:30" ht="15.75" customHeight="1">
      <c r="A1022" s="327" t="str">
        <f>IF(B1022&lt;&gt;"",IF(AND(B1022='IN-TC'!$S$4,OR(TH!N1022="1111",TH!O1022="1111")),TH!D1022,""),"")</f>
        <v/>
      </c>
      <c r="B1022" s="62" t="str">
        <f t="shared" si="323"/>
        <v/>
      </c>
      <c r="C1022" s="309"/>
      <c r="D1022" s="309"/>
      <c r="E1022" s="309"/>
      <c r="F1022" s="310"/>
      <c r="G1022" s="819"/>
      <c r="H1022" s="330"/>
      <c r="I1022" s="405"/>
      <c r="J1022" s="405"/>
      <c r="K1022" s="398"/>
      <c r="L1022" s="405"/>
      <c r="M1022" s="64"/>
      <c r="N1022" s="312"/>
      <c r="O1022" s="65"/>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row>
    <row r="1023" spans="1:30" ht="15.75" customHeight="1">
      <c r="A1023" s="327" t="str">
        <f>IF(B1023&lt;&gt;"",IF(AND(B1023='IN-TC'!$S$4,OR(TH!N1023="1111",TH!O1023="1111")),TH!D1023,""),"")</f>
        <v/>
      </c>
      <c r="B1023" s="62" t="str">
        <f t="shared" si="323"/>
        <v/>
      </c>
      <c r="C1023" s="309"/>
      <c r="D1023" s="309"/>
      <c r="E1023" s="309"/>
      <c r="F1023" s="310"/>
      <c r="G1023" s="819"/>
      <c r="H1023" s="330"/>
      <c r="I1023" s="405"/>
      <c r="J1023" s="405"/>
      <c r="K1023" s="398"/>
      <c r="L1023" s="405"/>
      <c r="M1023" s="64"/>
      <c r="N1023" s="312"/>
      <c r="O1023" s="65"/>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0" ht="15.75" customHeight="1">
      <c r="A1024" s="327" t="str">
        <f>IF(B1024&lt;&gt;"",IF(AND(B1024='IN-TC'!$S$4,OR(TH!N1024="1111",TH!O1024="1111")),TH!D1024,""),"")</f>
        <v/>
      </c>
      <c r="B1024" s="62" t="str">
        <f t="shared" si="323"/>
        <v/>
      </c>
      <c r="C1024" s="309"/>
      <c r="D1024" s="309"/>
      <c r="E1024" s="309"/>
      <c r="F1024" s="310"/>
      <c r="G1024" s="819"/>
      <c r="H1024" s="330"/>
      <c r="I1024" s="405"/>
      <c r="J1024" s="405"/>
      <c r="K1024" s="398"/>
      <c r="L1024" s="405"/>
      <c r="M1024" s="64"/>
      <c r="N1024" s="312"/>
      <c r="O1024" s="65"/>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row>
    <row r="1025" spans="1:30" ht="15.75" customHeight="1">
      <c r="A1025" s="327" t="str">
        <f>IF(B1025&lt;&gt;"",IF(AND(B1025='IN-TC'!$S$4,OR(TH!N1025="1111",TH!O1025="1111")),TH!D1025,""),"")</f>
        <v/>
      </c>
      <c r="B1025" s="62" t="str">
        <f t="shared" si="323"/>
        <v/>
      </c>
      <c r="C1025" s="309"/>
      <c r="D1025" s="309"/>
      <c r="E1025" s="309"/>
      <c r="F1025" s="310"/>
      <c r="G1025" s="819"/>
      <c r="H1025" s="330"/>
      <c r="I1025" s="405"/>
      <c r="J1025" s="405"/>
      <c r="K1025" s="398"/>
      <c r="L1025" s="405"/>
      <c r="M1025" s="64"/>
      <c r="N1025" s="312"/>
      <c r="O1025" s="65"/>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row>
    <row r="1026" spans="1:30" ht="15.75" customHeight="1">
      <c r="A1026" s="327" t="str">
        <f>IF(B1026&lt;&gt;"",IF(AND(B1026='IN-TC'!$S$4,OR(TH!N1026="1111",TH!O1026="1111")),TH!D1026,""),"")</f>
        <v/>
      </c>
      <c r="B1026" s="62" t="str">
        <f t="shared" si="323"/>
        <v/>
      </c>
      <c r="C1026" s="309"/>
      <c r="D1026" s="309"/>
      <c r="E1026" s="309"/>
      <c r="F1026" s="310"/>
      <c r="G1026" s="819"/>
      <c r="H1026" s="330"/>
      <c r="I1026" s="405"/>
      <c r="J1026" s="405"/>
      <c r="K1026" s="398"/>
      <c r="L1026" s="405"/>
      <c r="M1026" s="64"/>
      <c r="N1026" s="312"/>
      <c r="O1026" s="65"/>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0" ht="15.75" customHeight="1">
      <c r="A1027" s="327" t="str">
        <f>IF(B1027&lt;&gt;"",IF(AND(B1027='IN-TC'!$S$4,OR(TH!N1027="1111",TH!O1027="1111")),TH!D1027,""),"")</f>
        <v/>
      </c>
      <c r="B1027" s="62" t="str">
        <f t="shared" si="323"/>
        <v/>
      </c>
      <c r="C1027" s="63"/>
      <c r="D1027" s="309"/>
      <c r="E1027" s="63"/>
      <c r="F1027" s="66"/>
      <c r="G1027" s="816"/>
      <c r="H1027" s="330"/>
      <c r="I1027" s="405"/>
      <c r="J1027" s="405"/>
      <c r="K1027" s="398"/>
      <c r="L1027" s="405"/>
      <c r="M1027" s="64"/>
      <c r="N1027" s="65"/>
      <c r="O1027" s="65"/>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row>
    <row r="1028" spans="1:30" ht="15.75" customHeight="1">
      <c r="A1028" s="327" t="str">
        <f>IF(B1028&lt;&gt;"",IF(AND(B1028='IN-TC'!$S$4,OR(TH!N1028="1111",TH!O1028="1111")),TH!D1028,""),"")</f>
        <v/>
      </c>
      <c r="B1028" s="62" t="str">
        <f t="shared" si="323"/>
        <v/>
      </c>
      <c r="C1028" s="63"/>
      <c r="D1028" s="309"/>
      <c r="E1028" s="63"/>
      <c r="F1028" s="66"/>
      <c r="G1028" s="816"/>
      <c r="H1028" s="330"/>
      <c r="I1028" s="405"/>
      <c r="J1028" s="405"/>
      <c r="K1028" s="398"/>
      <c r="L1028" s="405"/>
      <c r="M1028" s="64"/>
      <c r="N1028" s="65"/>
      <c r="O1028" s="65"/>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row>
    <row r="1029" spans="1:30" ht="15.75" customHeight="1">
      <c r="A1029" s="327" t="str">
        <f>IF(B1029&lt;&gt;"",IF(AND(B1029='IN-TC'!$S$4,OR(TH!N1029="1111",TH!O1029="1111")),TH!D1029,""),"")</f>
        <v/>
      </c>
      <c r="B1029" s="62" t="str">
        <f t="shared" si="323"/>
        <v/>
      </c>
      <c r="C1029" s="63"/>
      <c r="D1029" s="63"/>
      <c r="E1029" s="63"/>
      <c r="F1029" s="66"/>
      <c r="G1029" s="816"/>
      <c r="H1029" s="71"/>
      <c r="I1029" s="405"/>
      <c r="J1029" s="405"/>
      <c r="K1029" s="398"/>
      <c r="L1029" s="405"/>
      <c r="M1029" s="64"/>
      <c r="N1029" s="65"/>
      <c r="O1029" s="65"/>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0" ht="15.75" customHeight="1">
      <c r="A1030" s="327" t="str">
        <f>IF(B1030&lt;&gt;"",IF(AND(B1030='IN-TC'!$S$4,OR(TH!N1030="1111",TH!O1030="1111")),TH!D1030,""),"")</f>
        <v/>
      </c>
      <c r="B1030" s="62" t="str">
        <f t="shared" si="323"/>
        <v/>
      </c>
      <c r="C1030" s="63"/>
      <c r="D1030" s="63"/>
      <c r="E1030" s="63"/>
      <c r="F1030" s="66"/>
      <c r="G1030" s="816"/>
      <c r="H1030" s="71"/>
      <c r="I1030" s="405"/>
      <c r="J1030" s="405"/>
      <c r="K1030" s="398"/>
      <c r="L1030" s="405"/>
      <c r="M1030" s="64"/>
      <c r="N1030" s="65"/>
      <c r="O1030" s="65"/>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row>
    <row r="1031" spans="1:30" ht="15.75" customHeight="1">
      <c r="A1031" s="327" t="str">
        <f>IF(B1031&lt;&gt;"",IF(AND(B1031='IN-TC'!$S$4,OR(TH!N1031="1111",TH!O1031="1111")),TH!D1031,""),"")</f>
        <v/>
      </c>
      <c r="B1031" s="62" t="str">
        <f t="shared" si="323"/>
        <v/>
      </c>
      <c r="C1031" s="63"/>
      <c r="D1031" s="63"/>
      <c r="E1031" s="63"/>
      <c r="F1031" s="66"/>
      <c r="G1031" s="66"/>
      <c r="H1031" s="71"/>
      <c r="I1031" s="405"/>
      <c r="J1031" s="405"/>
      <c r="K1031" s="398"/>
      <c r="L1031" s="405"/>
      <c r="M1031" s="64"/>
      <c r="N1031" s="65"/>
      <c r="O1031" s="65"/>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row>
    <row r="1032" spans="1:30" ht="15.75" customHeight="1">
      <c r="A1032" s="327" t="str">
        <f>IF(B1032&lt;&gt;"",IF(AND(B1032='IN-TC'!$S$4,OR(TH!N1032="1111",TH!O1032="1111")),TH!D1032,""),"")</f>
        <v/>
      </c>
      <c r="B1032" s="62" t="str">
        <f t="shared" si="323"/>
        <v/>
      </c>
      <c r="C1032" s="63"/>
      <c r="D1032" s="63"/>
      <c r="E1032" s="63"/>
      <c r="F1032" s="66"/>
      <c r="G1032" s="66"/>
      <c r="H1032" s="71"/>
      <c r="I1032" s="405"/>
      <c r="J1032" s="405"/>
      <c r="K1032" s="398"/>
      <c r="L1032" s="405"/>
      <c r="M1032" s="64"/>
      <c r="N1032" s="65"/>
      <c r="O1032" s="65"/>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row>
    <row r="1033" spans="1:30" ht="15.75" customHeight="1">
      <c r="A1033" s="327" t="str">
        <f>IF(B1033&lt;&gt;"",IF(AND(B1033='IN-TC'!$S$4,OR(TH!N1033="1111",TH!O1033="1111")),TH!D1033,""),"")</f>
        <v/>
      </c>
      <c r="B1033" s="62" t="str">
        <f t="shared" si="323"/>
        <v/>
      </c>
      <c r="C1033" s="63"/>
      <c r="D1033" s="63"/>
      <c r="E1033" s="63"/>
      <c r="F1033" s="66"/>
      <c r="G1033" s="66"/>
      <c r="H1033" s="71"/>
      <c r="I1033" s="405"/>
      <c r="J1033" s="405"/>
      <c r="K1033" s="398"/>
      <c r="L1033" s="405"/>
      <c r="M1033" s="64"/>
      <c r="N1033" s="65"/>
      <c r="O1033" s="65"/>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row>
    <row r="1034" spans="1:30" ht="15.75" customHeight="1">
      <c r="A1034" s="327" t="str">
        <f>IF(B1034&lt;&gt;"",IF(AND(B1034='IN-TC'!$S$4,OR(TH!N1034="1111",TH!O1034="1111")),TH!D1034,""),"")</f>
        <v/>
      </c>
      <c r="B1034" s="62" t="str">
        <f t="shared" si="323"/>
        <v/>
      </c>
      <c r="C1034" s="63"/>
      <c r="D1034" s="63"/>
      <c r="E1034" s="63"/>
      <c r="F1034" s="66"/>
      <c r="G1034" s="66"/>
      <c r="H1034" s="71"/>
      <c r="I1034" s="405"/>
      <c r="J1034" s="405"/>
      <c r="K1034" s="398"/>
      <c r="L1034" s="405"/>
      <c r="M1034" s="64"/>
      <c r="N1034" s="65"/>
      <c r="O1034" s="65"/>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row>
    <row r="1035" spans="1:30" ht="15.75" customHeight="1">
      <c r="A1035" s="327" t="str">
        <f>IF(B1035&lt;&gt;"",IF(AND(B1035='IN-TC'!$S$4,OR(TH!N1035="1111",TH!O1035="1111")),TH!D1035,""),"")</f>
        <v/>
      </c>
      <c r="B1035" s="62" t="str">
        <f t="shared" si="323"/>
        <v/>
      </c>
      <c r="C1035" s="63"/>
      <c r="D1035" s="63"/>
      <c r="E1035" s="63"/>
      <c r="F1035" s="66"/>
      <c r="G1035" s="66"/>
      <c r="H1035" s="71"/>
      <c r="I1035" s="405"/>
      <c r="J1035" s="405"/>
      <c r="K1035" s="398"/>
      <c r="L1035" s="405"/>
      <c r="M1035" s="64"/>
      <c r="N1035" s="65"/>
      <c r="O1035" s="65"/>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row>
    <row r="1036" spans="1:30" ht="15.75" customHeight="1">
      <c r="A1036" s="327" t="str">
        <f>IF(B1036&lt;&gt;"",IF(AND(B1036='IN-TC'!$S$4,OR(TH!N1036="1111",TH!O1036="1111")),TH!D1036,""),"")</f>
        <v/>
      </c>
      <c r="B1036" s="62" t="str">
        <f t="shared" ref="B1036:B1099" si="327">IF(C1036&lt;&gt;"",MONTH(C1036),"")</f>
        <v/>
      </c>
      <c r="C1036" s="63"/>
      <c r="D1036" s="63"/>
      <c r="E1036" s="63"/>
      <c r="F1036" s="66"/>
      <c r="G1036" s="66"/>
      <c r="H1036" s="71"/>
      <c r="I1036" s="407"/>
      <c r="J1036" s="407"/>
      <c r="K1036" s="400"/>
      <c r="L1036" s="407"/>
      <c r="M1036" s="64"/>
      <c r="N1036" s="65"/>
      <c r="O1036" s="65"/>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row>
    <row r="1037" spans="1:30" ht="15.75" customHeight="1">
      <c r="A1037" s="327" t="str">
        <f>IF(B1037&lt;&gt;"",IF(AND(B1037='IN-TC'!$S$4,OR(TH!N1037="1111",TH!O1037="1111")),TH!D1037,""),"")</f>
        <v/>
      </c>
      <c r="B1037" s="62" t="str">
        <f t="shared" si="327"/>
        <v/>
      </c>
      <c r="C1037" s="63"/>
      <c r="D1037" s="63"/>
      <c r="E1037" s="63"/>
      <c r="F1037" s="66"/>
      <c r="G1037" s="66"/>
      <c r="H1037" s="71"/>
      <c r="I1037" s="407"/>
      <c r="J1037" s="407"/>
      <c r="K1037" s="400"/>
      <c r="L1037" s="407"/>
      <c r="M1037" s="64"/>
      <c r="N1037" s="65"/>
      <c r="O1037" s="65"/>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row>
    <row r="1038" spans="1:30" ht="15.75" customHeight="1">
      <c r="A1038" s="327" t="str">
        <f>IF(B1038&lt;&gt;"",IF(AND(B1038='IN-TC'!$S$4,OR(TH!N1038="1111",TH!O1038="1111")),TH!D1038,""),"")</f>
        <v/>
      </c>
      <c r="B1038" s="62" t="str">
        <f t="shared" si="327"/>
        <v/>
      </c>
      <c r="C1038" s="63"/>
      <c r="D1038" s="63"/>
      <c r="E1038" s="63"/>
      <c r="F1038" s="66"/>
      <c r="G1038" s="66"/>
      <c r="H1038" s="71"/>
      <c r="I1038" s="407"/>
      <c r="J1038" s="407"/>
      <c r="K1038" s="400"/>
      <c r="L1038" s="407"/>
      <c r="M1038" s="64"/>
      <c r="N1038" s="65"/>
      <c r="O1038" s="65"/>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row>
    <row r="1039" spans="1:30" ht="15.75" customHeight="1">
      <c r="A1039" s="327" t="str">
        <f>IF(B1039&lt;&gt;"",IF(AND(B1039='IN-TC'!$S$4,OR(TH!N1039="1111",TH!O1039="1111")),TH!D1039,""),"")</f>
        <v/>
      </c>
      <c r="B1039" s="62" t="str">
        <f t="shared" si="327"/>
        <v/>
      </c>
      <c r="C1039" s="63"/>
      <c r="D1039" s="63"/>
      <c r="E1039" s="63"/>
      <c r="F1039" s="66"/>
      <c r="G1039" s="66"/>
      <c r="H1039" s="71"/>
      <c r="I1039" s="407"/>
      <c r="J1039" s="407"/>
      <c r="K1039" s="400"/>
      <c r="L1039" s="407"/>
      <c r="M1039" s="64"/>
      <c r="N1039" s="65"/>
      <c r="O1039" s="65"/>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row>
    <row r="1040" spans="1:30" ht="15.75" customHeight="1">
      <c r="A1040" s="327" t="str">
        <f>IF(B1040&lt;&gt;"",IF(AND(B1040='IN-TC'!$S$4,OR(TH!N1040="1111",TH!O1040="1111")),TH!D1040,""),"")</f>
        <v/>
      </c>
      <c r="B1040" s="62" t="str">
        <f t="shared" si="327"/>
        <v/>
      </c>
      <c r="C1040" s="63"/>
      <c r="D1040" s="309"/>
      <c r="E1040" s="63"/>
      <c r="F1040" s="71"/>
      <c r="G1040" s="816"/>
      <c r="H1040" s="330"/>
      <c r="I1040" s="405"/>
      <c r="J1040" s="405"/>
      <c r="K1040" s="398"/>
      <c r="L1040" s="405"/>
      <c r="M1040" s="64"/>
      <c r="N1040" s="65"/>
      <c r="O1040" s="65"/>
      <c r="P1040" s="81" t="str">
        <f>IF(AND('331-CT'!$E$7=TH!H1040,OR(N1040="331",O1040="331")),"x","")</f>
        <v/>
      </c>
      <c r="Q1040" s="81" t="str">
        <f>IF(AND(B1040='111'!$L$11,OR($N1040=$Q$7,$O1040=$Q$7)),"x","")</f>
        <v/>
      </c>
      <c r="R1040" s="81" t="str">
        <f>IF(AND($N1040=$Q$7,$B1040&lt;'111'!$L$11),"x","")</f>
        <v/>
      </c>
      <c r="S1040" s="81" t="str">
        <f>IF(AND($O1040=$Q$7,$B1040&lt;'111'!$L$11),"x","")</f>
        <v/>
      </c>
      <c r="T1040" s="81" t="str">
        <f>IF(ISERROR(FIND('112'!$M$9,G1040,1)),"",IF((AND(FIND('112'!$M$9,G1040,1)&gt;=1,B1040='112'!$K$9,OR($N1040='112'!$I$6,$O1040='112'!$I$6))),"x",""))</f>
        <v/>
      </c>
      <c r="U1040" s="81" t="str">
        <f>IF(ISERROR(FIND('112'!$M$9,G1040,1)),"",IF((AND(LEFT(G1040,2)=LEFT('112'!$M$9,2),B1040&lt;'112'!$K$9,$N1040='112'!$I$6)),"x",""))</f>
        <v/>
      </c>
      <c r="V1040" s="81" t="str">
        <f>IF(ISERROR(FIND('112'!$M$9,G1040,1)),"",IF((AND(RIGHT(G1040,2)=RIGHT('112'!$M$9,2),B1040&lt;'112'!$K$9,$O1040='112'!$I$6)),"x",""))</f>
        <v/>
      </c>
      <c r="W1040" s="81" t="str">
        <f>IF(AND('341-CT'!$H$9=H1040,OR(LEFT(N1040,3)=$W$7,LEFT(O1040,3)=$W$7)),"x","")</f>
        <v/>
      </c>
      <c r="X1040" s="81" t="str">
        <f>IF(OR(TH!N1040=TH!$X$7,O1040=TH!$X$7),"x","")</f>
        <v/>
      </c>
      <c r="Y1040" s="81" t="str">
        <f>IF(AND(OR(N1040="131",O1040="131"),H1040='131-CT'!$H$9),"x","")</f>
        <v/>
      </c>
      <c r="Z1040" s="81"/>
      <c r="AA1040" s="81" t="str">
        <f>IF(AND(MONTH(E1040)='IN-NX'!$J$5,'IN-NX'!$D$7=D1040),"x","")</f>
        <v/>
      </c>
      <c r="AB1040" s="81" t="str">
        <f>IF(AND(OR(LEFT(TH!N1040,2)="15",LEFT(TH!O1040,2)="15"),LEFT(TH!O1040,3)&lt;&gt;"111",'152-CT'!$J$8=TH!F1040),"x","")</f>
        <v/>
      </c>
      <c r="AC1040" s="81" t="str">
        <f>IF(AND(OR(LEFT(TH!N1040,2)="15",LEFT(TH!O1040,2)="15"),TK!$E$7=TH!F1040),"x","")</f>
        <v/>
      </c>
      <c r="AD1040" s="81" t="str">
        <f>IF(AND(N1040="1521",MONTH(C1040)='BK-NL'!$M$11),"x","")</f>
        <v/>
      </c>
    </row>
    <row r="1041" spans="1:30" ht="15.75" customHeight="1">
      <c r="A1041" s="327" t="str">
        <f>IF(B1041&lt;&gt;"",IF(AND(B1041='IN-TC'!$S$4,OR(TH!N1041="1111",TH!O1041="1111")),TH!D1041,""),"")</f>
        <v/>
      </c>
      <c r="B1041" s="62" t="str">
        <f t="shared" si="327"/>
        <v/>
      </c>
      <c r="C1041" s="63"/>
      <c r="D1041" s="309"/>
      <c r="E1041" s="63"/>
      <c r="F1041" s="71"/>
      <c r="G1041" s="816"/>
      <c r="H1041" s="71"/>
      <c r="I1041" s="405"/>
      <c r="J1041" s="405"/>
      <c r="K1041" s="398"/>
      <c r="L1041" s="405"/>
      <c r="M1041" s="64"/>
      <c r="N1041" s="65"/>
      <c r="O1041" s="65"/>
      <c r="P1041" s="81" t="str">
        <f>IF(AND('331-CT'!$E$7=TH!H1041,OR(N1041="331",O1041="331")),"x","")</f>
        <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
      </c>
      <c r="AB1041" s="81" t="str">
        <f>IF(AND(OR(LEFT(TH!N1041,2)="15",LEFT(TH!O1041,2)="15"),LEFT(TH!O1041,3)&lt;&gt;"111",'152-CT'!$J$8=TH!F1041),"x","")</f>
        <v/>
      </c>
      <c r="AC1041" s="81" t="str">
        <f>IF(AND(OR(LEFT(TH!N1041,2)="15",LEFT(TH!O1041,2)="15"),TK!$E$7=TH!F1041),"x","")</f>
        <v/>
      </c>
      <c r="AD1041" s="81" t="str">
        <f>IF(AND(N1041="1521",MONTH(C1041)='BK-NL'!$M$11),"x","")</f>
        <v/>
      </c>
    </row>
    <row r="1042" spans="1:30" ht="15.75" customHeight="1">
      <c r="A1042" s="327" t="str">
        <f>IF(B1042&lt;&gt;"",IF(AND(B1042='IN-TC'!$S$4,OR(TH!N1042="1111",TH!O1042="1111")),TH!D1042,""),"")</f>
        <v/>
      </c>
      <c r="B1042" s="62" t="str">
        <f t="shared" si="327"/>
        <v/>
      </c>
      <c r="C1042" s="63"/>
      <c r="D1042" s="309"/>
      <c r="E1042" s="63"/>
      <c r="F1042" s="71"/>
      <c r="G1042" s="816"/>
      <c r="H1042" s="71"/>
      <c r="I1042" s="405"/>
      <c r="J1042" s="405"/>
      <c r="K1042" s="398"/>
      <c r="L1042" s="405"/>
      <c r="M1042" s="64"/>
      <c r="N1042" s="65"/>
      <c r="O1042" s="65"/>
      <c r="P1042" s="81" t="str">
        <f>IF(AND('331-CT'!$E$7=TH!H1042,OR(N1042="331",O1042="331")),"x","")</f>
        <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
      </c>
      <c r="AB1042" s="81" t="str">
        <f>IF(AND(OR(LEFT(TH!N1042,2)="15",LEFT(TH!O1042,2)="15"),LEFT(TH!O1042,3)&lt;&gt;"111",'152-CT'!$J$8=TH!F1042),"x","")</f>
        <v/>
      </c>
      <c r="AC1042" s="81" t="str">
        <f>IF(AND(OR(LEFT(TH!N1042,2)="15",LEFT(TH!O1042,2)="15"),TK!$E$7=TH!F1042),"x","")</f>
        <v/>
      </c>
      <c r="AD1042" s="81" t="str">
        <f>IF(AND(N1042="1521",MONTH(C1042)='BK-NL'!$M$11),"x","")</f>
        <v/>
      </c>
    </row>
    <row r="1043" spans="1:30" ht="15.75" customHeight="1">
      <c r="A1043" s="327" t="str">
        <f>IF(B1043&lt;&gt;"",IF(AND(B1043='IN-TC'!$S$4,OR(TH!N1043="1111",TH!O1043="1111")),TH!D1043,""),"")</f>
        <v/>
      </c>
      <c r="B1043" s="62" t="str">
        <f t="shared" si="327"/>
        <v/>
      </c>
      <c r="C1043" s="63"/>
      <c r="D1043" s="309"/>
      <c r="E1043" s="63"/>
      <c r="F1043" s="66"/>
      <c r="G1043" s="816"/>
      <c r="H1043" s="330"/>
      <c r="I1043" s="405"/>
      <c r="J1043" s="405"/>
      <c r="K1043" s="398"/>
      <c r="L1043" s="405"/>
      <c r="M1043" s="64"/>
      <c r="N1043" s="65"/>
      <c r="O1043" s="65"/>
      <c r="P1043" s="81" t="str">
        <f>IF(AND('331-CT'!$E$7=TH!H1043,OR(N1043="331",O1043="331")),"x","")</f>
        <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
      </c>
      <c r="AB1043" s="81" t="str">
        <f>IF(AND(OR(LEFT(TH!N1043,2)="15",LEFT(TH!O1043,2)="15"),LEFT(TH!O1043,3)&lt;&gt;"111",'152-CT'!$J$8=TH!F1043),"x","")</f>
        <v/>
      </c>
      <c r="AC1043" s="81" t="str">
        <f>IF(AND(OR(LEFT(TH!N1043,2)="15",LEFT(TH!O1043,2)="15"),TK!$E$7=TH!F1043),"x","")</f>
        <v/>
      </c>
      <c r="AD1043" s="81" t="str">
        <f>IF(AND(N1043="1521",MONTH(C1043)='BK-NL'!$M$11),"x","")</f>
        <v/>
      </c>
    </row>
    <row r="1044" spans="1:30" ht="15.75" customHeight="1">
      <c r="A1044" s="327" t="str">
        <f>IF(B1044&lt;&gt;"",IF(AND(B1044='IN-TC'!$S$4,OR(TH!N1044="1111",TH!O1044="1111")),TH!D1044,""),"")</f>
        <v/>
      </c>
      <c r="B1044" s="62" t="str">
        <f t="shared" si="327"/>
        <v/>
      </c>
      <c r="C1044" s="63"/>
      <c r="D1044" s="309"/>
      <c r="E1044" s="63"/>
      <c r="F1044" s="71"/>
      <c r="G1044" s="816"/>
      <c r="H1044" s="330"/>
      <c r="I1044" s="405"/>
      <c r="J1044" s="405"/>
      <c r="K1044" s="398"/>
      <c r="L1044" s="405"/>
      <c r="M1044" s="64"/>
      <c r="N1044" s="65"/>
      <c r="O1044" s="65"/>
      <c r="P1044" s="81" t="str">
        <f>IF(AND('331-CT'!$E$7=TH!H1044,OR(N1044="331",O1044="331")),"x","")</f>
        <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
      </c>
      <c r="AB1044" s="81" t="str">
        <f>IF(AND(OR(LEFT(TH!N1044,2)="15",LEFT(TH!O1044,2)="15"),LEFT(TH!O1044,3)&lt;&gt;"111",'152-CT'!$J$8=TH!F1044),"x","")</f>
        <v/>
      </c>
      <c r="AC1044" s="81" t="str">
        <f>IF(AND(OR(LEFT(TH!N1044,2)="15",LEFT(TH!O1044,2)="15"),TK!$E$7=TH!F1044),"x","")</f>
        <v/>
      </c>
      <c r="AD1044" s="81" t="str">
        <f>IF(AND(N1044="1521",MONTH(C1044)='BK-NL'!$M$11),"x","")</f>
        <v/>
      </c>
    </row>
    <row r="1045" spans="1:30" ht="15.75" customHeight="1">
      <c r="A1045" s="327" t="str">
        <f>IF(B1045&lt;&gt;"",IF(AND(B1045='IN-TC'!$S$4,OR(TH!N1045="1111",TH!O1045="1111")),TH!D1045,""),"")</f>
        <v/>
      </c>
      <c r="B1045" s="62" t="str">
        <f t="shared" si="327"/>
        <v/>
      </c>
      <c r="C1045" s="63"/>
      <c r="D1045" s="309"/>
      <c r="E1045" s="63"/>
      <c r="F1045" s="71"/>
      <c r="G1045" s="816"/>
      <c r="H1045" s="330"/>
      <c r="I1045" s="405"/>
      <c r="J1045" s="405"/>
      <c r="K1045" s="398"/>
      <c r="L1045" s="405"/>
      <c r="M1045" s="64"/>
      <c r="N1045" s="65"/>
      <c r="O1045" s="65"/>
      <c r="P1045" s="81" t="str">
        <f>IF(AND('331-CT'!$E$7=TH!H1045,OR(N1045="331",O1045="331")),"x","")</f>
        <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
      </c>
      <c r="AB1045" s="81" t="str">
        <f>IF(AND(OR(LEFT(TH!N1045,2)="15",LEFT(TH!O1045,2)="15"),LEFT(TH!O1045,3)&lt;&gt;"111",'152-CT'!$J$8=TH!F1045),"x","")</f>
        <v/>
      </c>
      <c r="AC1045" s="81" t="str">
        <f>IF(AND(OR(LEFT(TH!N1045,2)="15",LEFT(TH!O1045,2)="15"),TK!$E$7=TH!F1045),"x","")</f>
        <v/>
      </c>
      <c r="AD1045" s="81" t="str">
        <f>IF(AND(N1045="1521",MONTH(C1045)='BK-NL'!$M$11),"x","")</f>
        <v/>
      </c>
    </row>
    <row r="1046" spans="1:30" ht="15.75" customHeight="1">
      <c r="A1046" s="327" t="str">
        <f>IF(B1046&lt;&gt;"",IF(AND(B1046='IN-TC'!$S$4,OR(TH!N1046="1111",TH!O1046="1111")),TH!D1046,""),"")</f>
        <v/>
      </c>
      <c r="B1046" s="62" t="str">
        <f t="shared" si="327"/>
        <v/>
      </c>
      <c r="C1046" s="63"/>
      <c r="D1046" s="309"/>
      <c r="E1046" s="63"/>
      <c r="F1046" s="71"/>
      <c r="G1046" s="816"/>
      <c r="H1046" s="330"/>
      <c r="I1046" s="405"/>
      <c r="J1046" s="405"/>
      <c r="K1046" s="398"/>
      <c r="L1046" s="405"/>
      <c r="M1046" s="64"/>
      <c r="N1046" s="65"/>
      <c r="O1046" s="65"/>
      <c r="P1046" s="81" t="str">
        <f>IF(AND('331-CT'!$E$7=TH!H1046,OR(N1046="331",O1046="331")),"x","")</f>
        <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
      </c>
      <c r="AB1046" s="81" t="str">
        <f>IF(AND(OR(LEFT(TH!N1046,2)="15",LEFT(TH!O1046,2)="15"),LEFT(TH!O1046,3)&lt;&gt;"111",'152-CT'!$J$8=TH!F1046),"x","")</f>
        <v/>
      </c>
      <c r="AC1046" s="81" t="str">
        <f>IF(AND(OR(LEFT(TH!N1046,2)="15",LEFT(TH!O1046,2)="15"),TK!$E$7=TH!F1046),"x","")</f>
        <v/>
      </c>
      <c r="AD1046" s="81" t="str">
        <f>IF(AND(N1046="1521",MONTH(C1046)='BK-NL'!$M$11),"x","")</f>
        <v/>
      </c>
    </row>
    <row r="1047" spans="1:30" ht="15.75" customHeight="1">
      <c r="A1047" s="327" t="str">
        <f>IF(B1047&lt;&gt;"",IF(AND(B1047='IN-TC'!$S$4,OR(TH!N1047="1111",TH!O1047="1111")),TH!D1047,""),"")</f>
        <v/>
      </c>
      <c r="B1047" s="62" t="str">
        <f t="shared" si="327"/>
        <v/>
      </c>
      <c r="C1047" s="63"/>
      <c r="D1047" s="309"/>
      <c r="E1047" s="63"/>
      <c r="F1047" s="71"/>
      <c r="G1047" s="816"/>
      <c r="H1047" s="71"/>
      <c r="I1047" s="405"/>
      <c r="J1047" s="405"/>
      <c r="K1047" s="398"/>
      <c r="L1047" s="405"/>
      <c r="M1047" s="64"/>
      <c r="N1047" s="65"/>
      <c r="O1047" s="65"/>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
      </c>
      <c r="AB1047" s="81" t="str">
        <f>IF(AND(OR(LEFT(TH!N1047,2)="15",LEFT(TH!O1047,2)="15"),LEFT(TH!O1047,3)&lt;&gt;"111",'152-CT'!$J$8=TH!F1047),"x","")</f>
        <v/>
      </c>
      <c r="AC1047" s="81" t="str">
        <f>IF(AND(OR(LEFT(TH!N1047,2)="15",LEFT(TH!O1047,2)="15"),TK!$E$7=TH!F1047),"x","")</f>
        <v/>
      </c>
      <c r="AD1047" s="81" t="str">
        <f>IF(AND(N1047="1521",MONTH(C1047)='BK-NL'!$M$11),"x","")</f>
        <v/>
      </c>
    </row>
    <row r="1048" spans="1:30" ht="15.75" customHeight="1">
      <c r="A1048" s="327" t="str">
        <f>IF(B1048&lt;&gt;"",IF(AND(B1048='IN-TC'!$S$4,OR(TH!N1048="1111",TH!O1048="1111")),TH!D1048,""),"")</f>
        <v/>
      </c>
      <c r="B1048" s="62" t="str">
        <f t="shared" si="327"/>
        <v/>
      </c>
      <c r="C1048" s="63"/>
      <c r="D1048" s="309"/>
      <c r="E1048" s="63"/>
      <c r="F1048" s="71"/>
      <c r="G1048" s="816"/>
      <c r="H1048" s="71"/>
      <c r="I1048" s="405"/>
      <c r="J1048" s="405"/>
      <c r="K1048" s="398"/>
      <c r="L1048" s="405"/>
      <c r="M1048" s="64"/>
      <c r="N1048" s="65"/>
      <c r="O1048" s="65"/>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
      </c>
      <c r="AB1048" s="81" t="str">
        <f>IF(AND(OR(LEFT(TH!N1048,2)="15",LEFT(TH!O1048,2)="15"),LEFT(TH!O1048,3)&lt;&gt;"111",'152-CT'!$J$8=TH!F1048),"x","")</f>
        <v/>
      </c>
      <c r="AC1048" s="81" t="str">
        <f>IF(AND(OR(LEFT(TH!N1048,2)="15",LEFT(TH!O1048,2)="15"),TK!$E$7=TH!F1048),"x","")</f>
        <v/>
      </c>
      <c r="AD1048" s="81" t="str">
        <f>IF(AND(N1048="1521",MONTH(C1048)='BK-NL'!$M$11),"x","")</f>
        <v/>
      </c>
    </row>
    <row r="1049" spans="1:30" ht="15.75" customHeight="1">
      <c r="A1049" s="327" t="str">
        <f>IF(B1049&lt;&gt;"",IF(AND(B1049='IN-TC'!$S$4,OR(TH!N1049="1111",TH!O1049="1111")),TH!D1049,""),"")</f>
        <v/>
      </c>
      <c r="B1049" s="62" t="str">
        <f t="shared" si="327"/>
        <v/>
      </c>
      <c r="C1049" s="63"/>
      <c r="D1049" s="63"/>
      <c r="E1049" s="63"/>
      <c r="F1049" s="71"/>
      <c r="G1049" s="816"/>
      <c r="H1049" s="71"/>
      <c r="I1049" s="405"/>
      <c r="J1049" s="405"/>
      <c r="K1049" s="398"/>
      <c r="L1049" s="405"/>
      <c r="M1049" s="64"/>
      <c r="N1049" s="312"/>
      <c r="O1049" s="65"/>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
      </c>
      <c r="AB1049" s="81" t="str">
        <f>IF(AND(OR(LEFT(TH!N1049,2)="15",LEFT(TH!O1049,2)="15"),LEFT(TH!O1049,3)&lt;&gt;"111",'152-CT'!$J$8=TH!F1049),"x","")</f>
        <v/>
      </c>
      <c r="AC1049" s="81" t="str">
        <f>IF(AND(OR(LEFT(TH!N1049,2)="15",LEFT(TH!O1049,2)="15"),TK!$E$7=TH!F1049),"x","")</f>
        <v/>
      </c>
      <c r="AD1049" s="81" t="str">
        <f>IF(AND(N1049="1521",MONTH(C1049)='BK-NL'!$M$11),"x","")</f>
        <v/>
      </c>
    </row>
    <row r="1050" spans="1:30" ht="15.75" customHeight="1">
      <c r="A1050" s="327" t="str">
        <f>IF(B1050&lt;&gt;"",IF(AND(B1050='IN-TC'!$S$4,OR(TH!N1050="1111",TH!O1050="1111")),TH!D1050,""),"")</f>
        <v/>
      </c>
      <c r="B1050" s="62" t="str">
        <f t="shared" si="327"/>
        <v/>
      </c>
      <c r="C1050" s="63"/>
      <c r="D1050" s="63"/>
      <c r="E1050" s="63"/>
      <c r="F1050" s="71"/>
      <c r="G1050" s="816"/>
      <c r="H1050" s="71"/>
      <c r="I1050" s="405"/>
      <c r="J1050" s="405"/>
      <c r="K1050" s="398"/>
      <c r="L1050" s="405"/>
      <c r="M1050" s="64"/>
      <c r="N1050" s="312"/>
      <c r="O1050" s="65"/>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
      </c>
      <c r="AB1050" s="81" t="str">
        <f>IF(AND(OR(LEFT(TH!N1050,2)="15",LEFT(TH!O1050,2)="15"),LEFT(TH!O1050,3)&lt;&gt;"111",'152-CT'!$J$8=TH!F1050),"x","")</f>
        <v/>
      </c>
      <c r="AC1050" s="81" t="str">
        <f>IF(AND(OR(LEFT(TH!N1050,2)="15",LEFT(TH!O1050,2)="15"),TK!$E$7=TH!F1050),"x","")</f>
        <v/>
      </c>
      <c r="AD1050" s="81" t="str">
        <f>IF(AND(N1050="1521",MONTH(C1050)='BK-NL'!$M$11),"x","")</f>
        <v/>
      </c>
    </row>
    <row r="1051" spans="1:30" ht="15.75" customHeight="1">
      <c r="A1051" s="327" t="str">
        <f>IF(B1051&lt;&gt;"",IF(AND(B1051='IN-TC'!$S$4,OR(TH!N1051="1111",TH!O1051="1111")),TH!D1051,""),"")</f>
        <v/>
      </c>
      <c r="B1051" s="62" t="str">
        <f t="shared" si="327"/>
        <v/>
      </c>
      <c r="C1051" s="63"/>
      <c r="D1051" s="63"/>
      <c r="E1051" s="63"/>
      <c r="F1051" s="66"/>
      <c r="G1051" s="816"/>
      <c r="H1051" s="71"/>
      <c r="I1051" s="405"/>
      <c r="J1051" s="405"/>
      <c r="K1051" s="398"/>
      <c r="L1051" s="405"/>
      <c r="M1051" s="64"/>
      <c r="N1051" s="312"/>
      <c r="O1051" s="65"/>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
      </c>
      <c r="AB1051" s="81" t="str">
        <f>IF(AND(OR(LEFT(TH!N1051,2)="15",LEFT(TH!O1051,2)="15"),LEFT(TH!O1051,3)&lt;&gt;"111",'152-CT'!$J$8=TH!F1051),"x","")</f>
        <v/>
      </c>
      <c r="AC1051" s="81" t="str">
        <f>IF(AND(OR(LEFT(TH!N1051,2)="15",LEFT(TH!O1051,2)="15"),TK!$E$7=TH!F1051),"x","")</f>
        <v/>
      </c>
      <c r="AD1051" s="81" t="str">
        <f>IF(AND(N1051="1521",MONTH(C1051)='BK-NL'!$M$11),"x","")</f>
        <v/>
      </c>
    </row>
    <row r="1052" spans="1:30" ht="15.75" customHeight="1">
      <c r="A1052" s="327" t="str">
        <f>IF(B1052&lt;&gt;"",IF(AND(B1052='IN-TC'!$S$4,OR(TH!N1052="1111",TH!O1052="1111")),TH!D1052,""),"")</f>
        <v/>
      </c>
      <c r="B1052" s="62" t="str">
        <f t="shared" si="327"/>
        <v/>
      </c>
      <c r="C1052" s="63"/>
      <c r="D1052" s="63"/>
      <c r="E1052" s="63"/>
      <c r="F1052" s="71"/>
      <c r="G1052" s="816"/>
      <c r="H1052" s="71"/>
      <c r="I1052" s="405"/>
      <c r="J1052" s="405"/>
      <c r="K1052" s="398"/>
      <c r="L1052" s="405"/>
      <c r="M1052" s="64"/>
      <c r="N1052" s="312"/>
      <c r="O1052" s="65"/>
      <c r="P1052" s="81" t="str">
        <f>IF(AND('331-CT'!$E$7=TH!H1052,OR(N1052="331",O1052="331")),"x","")</f>
        <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
      </c>
      <c r="AB1052" s="81" t="str">
        <f>IF(AND(OR(LEFT(TH!N1052,2)="15",LEFT(TH!O1052,2)="15"),LEFT(TH!O1052,3)&lt;&gt;"111",'152-CT'!$J$8=TH!F1052),"x","")</f>
        <v/>
      </c>
      <c r="AC1052" s="81" t="str">
        <f>IF(AND(OR(LEFT(TH!N1052,2)="15",LEFT(TH!O1052,2)="15"),TK!$E$7=TH!F1052),"x","")</f>
        <v/>
      </c>
      <c r="AD1052" s="81" t="str">
        <f>IF(AND(N1052="1521",MONTH(C1052)='BK-NL'!$M$11),"x","")</f>
        <v/>
      </c>
    </row>
    <row r="1053" spans="1:30" ht="15.75" customHeight="1">
      <c r="A1053" s="327" t="str">
        <f>IF(B1053&lt;&gt;"",IF(AND(B1053='IN-TC'!$S$4,OR(TH!N1053="1111",TH!O1053="1111")),TH!D1053,""),"")</f>
        <v/>
      </c>
      <c r="B1053" s="62" t="str">
        <f t="shared" si="327"/>
        <v/>
      </c>
      <c r="C1053" s="63"/>
      <c r="D1053" s="63"/>
      <c r="E1053" s="63"/>
      <c r="F1053" s="66"/>
      <c r="G1053" s="816"/>
      <c r="H1053" s="71"/>
      <c r="I1053" s="405"/>
      <c r="J1053" s="405"/>
      <c r="K1053" s="398"/>
      <c r="L1053" s="405"/>
      <c r="M1053" s="64"/>
      <c r="N1053" s="65"/>
      <c r="O1053" s="65"/>
      <c r="P1053" s="81" t="str">
        <f>IF(AND('331-CT'!$E$7=TH!H1053,OR(N1053="331",O1053="331")),"x","")</f>
        <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
      </c>
      <c r="Z1053" s="81"/>
      <c r="AA1053" s="81" t="str">
        <f>IF(AND(MONTH(E1053)='IN-NX'!$J$5,'IN-NX'!$D$7=D1053),"x","")</f>
        <v/>
      </c>
      <c r="AB1053" s="81" t="str">
        <f>IF(AND(OR(LEFT(TH!N1053,2)="15",LEFT(TH!O1053,2)="15"),LEFT(TH!O1053,3)&lt;&gt;"111",'152-CT'!$J$8=TH!F1053),"x","")</f>
        <v/>
      </c>
      <c r="AC1053" s="81" t="str">
        <f>IF(AND(OR(LEFT(TH!N1053,2)="15",LEFT(TH!O1053,2)="15"),TK!$E$7=TH!F1053),"x","")</f>
        <v/>
      </c>
      <c r="AD1053" s="81" t="str">
        <f>IF(AND(N1053="1521",MONTH(C1053)='BK-NL'!$M$11),"x","")</f>
        <v/>
      </c>
    </row>
    <row r="1054" spans="1:30" ht="15.75" customHeight="1">
      <c r="A1054" s="327" t="str">
        <f>IF(B1054&lt;&gt;"",IF(AND(B1054='IN-TC'!$S$4,OR(TH!N1054="1111",TH!O1054="1111")),TH!D1054,""),"")</f>
        <v/>
      </c>
      <c r="B1054" s="62" t="str">
        <f t="shared" si="327"/>
        <v/>
      </c>
      <c r="C1054" s="63"/>
      <c r="D1054" s="63"/>
      <c r="E1054" s="63"/>
      <c r="F1054" s="66"/>
      <c r="G1054" s="816"/>
      <c r="H1054" s="71"/>
      <c r="I1054" s="405"/>
      <c r="J1054" s="405"/>
      <c r="K1054" s="398"/>
      <c r="L1054" s="405"/>
      <c r="M1054" s="64"/>
      <c r="N1054" s="65"/>
      <c r="O1054" s="65"/>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row>
    <row r="1055" spans="1:30" ht="15.75" customHeight="1">
      <c r="A1055" s="327" t="str">
        <f>IF(B1055&lt;&gt;"",IF(AND(B1055='IN-TC'!$S$4,OR(TH!N1055="1111",TH!O1055="1111")),TH!D1055,""),"")</f>
        <v/>
      </c>
      <c r="B1055" s="62" t="str">
        <f t="shared" si="327"/>
        <v/>
      </c>
      <c r="C1055" s="63"/>
      <c r="D1055" s="63"/>
      <c r="E1055" s="63"/>
      <c r="F1055" s="66"/>
      <c r="G1055" s="66"/>
      <c r="H1055" s="71"/>
      <c r="I1055" s="405"/>
      <c r="J1055" s="405"/>
      <c r="K1055" s="398"/>
      <c r="L1055" s="405"/>
      <c r="M1055" s="64"/>
      <c r="N1055" s="65"/>
      <c r="O1055" s="65"/>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row>
    <row r="1056" spans="1:30" ht="15.75" customHeight="1">
      <c r="A1056" s="327" t="str">
        <f>IF(B1056&lt;&gt;"",IF(AND(B1056='IN-TC'!$S$4,OR(TH!N1056="1111",TH!O1056="1111")),TH!D1056,""),"")</f>
        <v/>
      </c>
      <c r="B1056" s="62" t="str">
        <f t="shared" si="327"/>
        <v/>
      </c>
      <c r="C1056" s="63"/>
      <c r="D1056" s="63"/>
      <c r="E1056" s="63"/>
      <c r="F1056" s="66"/>
      <c r="G1056" s="66"/>
      <c r="H1056" s="71"/>
      <c r="I1056" s="405"/>
      <c r="J1056" s="405"/>
      <c r="K1056" s="398"/>
      <c r="L1056" s="405"/>
      <c r="M1056" s="64"/>
      <c r="N1056" s="65"/>
      <c r="O1056" s="65"/>
      <c r="P1056" s="81" t="str">
        <f>IF(AND('331-CT'!$E$7=TH!H1056,OR(N1056="331",O1056="331")),"x","")</f>
        <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
      </c>
      <c r="Z1056" s="81"/>
      <c r="AA1056" s="81" t="str">
        <f>IF(AND(MONTH(E1056)='IN-NX'!$J$5,'IN-NX'!$D$7=D1056),"x","")</f>
        <v/>
      </c>
      <c r="AB1056" s="81" t="str">
        <f>IF(AND(OR(LEFT(TH!N1056,2)="15",LEFT(TH!O1056,2)="15"),LEFT(TH!O1056,3)&lt;&gt;"111",'152-CT'!$J$8=TH!F1056),"x","")</f>
        <v/>
      </c>
      <c r="AC1056" s="81" t="str">
        <f>IF(AND(OR(LEFT(TH!N1056,2)="15",LEFT(TH!O1056,2)="15"),TK!$E$7=TH!F1056),"x","")</f>
        <v/>
      </c>
      <c r="AD1056" s="81" t="str">
        <f>IF(AND(N1056="1521",MONTH(C1056)='BK-NL'!$M$11),"x","")</f>
        <v/>
      </c>
    </row>
    <row r="1057" spans="1:30" ht="15.75" customHeight="1">
      <c r="A1057" s="327" t="str">
        <f>IF(B1057&lt;&gt;"",IF(AND(B1057='IN-TC'!$S$4,OR(TH!N1057="1111",TH!O1057="1111")),TH!D1057,""),"")</f>
        <v/>
      </c>
      <c r="B1057" s="62" t="str">
        <f t="shared" si="327"/>
        <v/>
      </c>
      <c r="C1057" s="63"/>
      <c r="D1057" s="63"/>
      <c r="E1057" s="63"/>
      <c r="F1057" s="66"/>
      <c r="G1057" s="66"/>
      <c r="H1057" s="71"/>
      <c r="I1057" s="405"/>
      <c r="J1057" s="405"/>
      <c r="K1057" s="398"/>
      <c r="L1057" s="405"/>
      <c r="M1057" s="64"/>
      <c r="N1057" s="65"/>
      <c r="O1057" s="65"/>
      <c r="P1057" s="81" t="str">
        <f>IF(AND('331-CT'!$E$7=TH!H1057,OR(N1057="331",O1057="331")),"x","")</f>
        <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
      </c>
      <c r="AB1057" s="81" t="str">
        <f>IF(AND(OR(LEFT(TH!N1057,2)="15",LEFT(TH!O1057,2)="15"),LEFT(TH!O1057,3)&lt;&gt;"111",'152-CT'!$J$8=TH!F1057),"x","")</f>
        <v/>
      </c>
      <c r="AC1057" s="81" t="str">
        <f>IF(AND(OR(LEFT(TH!N1057,2)="15",LEFT(TH!O1057,2)="15"),TK!$E$7=TH!F1057),"x","")</f>
        <v/>
      </c>
      <c r="AD1057" s="81" t="str">
        <f>IF(AND(N1057="1521",MONTH(C1057)='BK-NL'!$M$11),"x","")</f>
        <v/>
      </c>
    </row>
    <row r="1058" spans="1:30" ht="15.75" customHeight="1">
      <c r="A1058" s="327" t="str">
        <f>IF(B1058&lt;&gt;"",IF(AND(B1058='IN-TC'!$S$4,OR(TH!N1058="1111",TH!O1058="1111")),TH!D1058,""),"")</f>
        <v/>
      </c>
      <c r="B1058" s="62" t="str">
        <f t="shared" si="327"/>
        <v/>
      </c>
      <c r="C1058" s="63"/>
      <c r="D1058" s="63"/>
      <c r="E1058" s="63"/>
      <c r="F1058" s="66"/>
      <c r="G1058" s="66"/>
      <c r="H1058" s="71"/>
      <c r="I1058" s="405"/>
      <c r="J1058" s="405"/>
      <c r="K1058" s="398"/>
      <c r="L1058" s="405"/>
      <c r="M1058" s="64"/>
      <c r="N1058" s="65"/>
      <c r="O1058" s="65"/>
      <c r="P1058" s="81" t="str">
        <f>IF(AND('331-CT'!$E$7=TH!H1058,OR(N1058="331",O1058="331")),"x","")</f>
        <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
      </c>
      <c r="AB1058" s="81" t="str">
        <f>IF(AND(OR(LEFT(TH!N1058,2)="15",LEFT(TH!O1058,2)="15"),LEFT(TH!O1058,3)&lt;&gt;"111",'152-CT'!$J$8=TH!F1058),"x","")</f>
        <v/>
      </c>
      <c r="AC1058" s="81" t="str">
        <f>IF(AND(OR(LEFT(TH!N1058,2)="15",LEFT(TH!O1058,2)="15"),TK!$E$7=TH!F1058),"x","")</f>
        <v/>
      </c>
      <c r="AD1058" s="81" t="str">
        <f>IF(AND(N1058="1521",MONTH(C1058)='BK-NL'!$M$11),"x","")</f>
        <v/>
      </c>
    </row>
    <row r="1059" spans="1:30" ht="15.75" customHeight="1">
      <c r="A1059" s="327" t="str">
        <f>IF(B1059&lt;&gt;"",IF(AND(B1059='IN-TC'!$S$4,OR(TH!N1059="1111",TH!O1059="1111")),TH!D1059,""),"")</f>
        <v/>
      </c>
      <c r="B1059" s="62" t="str">
        <f t="shared" si="327"/>
        <v/>
      </c>
      <c r="C1059" s="63"/>
      <c r="D1059" s="63"/>
      <c r="E1059" s="63"/>
      <c r="F1059" s="66"/>
      <c r="G1059" s="66"/>
      <c r="H1059" s="71"/>
      <c r="I1059" s="405"/>
      <c r="J1059" s="405"/>
      <c r="K1059" s="398"/>
      <c r="L1059" s="405"/>
      <c r="M1059" s="64"/>
      <c r="N1059" s="65"/>
      <c r="O1059" s="65"/>
      <c r="P1059" s="81" t="str">
        <f>IF(AND('331-CT'!$E$7=TH!H1059,OR(N1059="331",O1059="331")),"x","")</f>
        <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
      </c>
      <c r="AB1059" s="81" t="str">
        <f>IF(AND(OR(LEFT(TH!N1059,2)="15",LEFT(TH!O1059,2)="15"),LEFT(TH!O1059,3)&lt;&gt;"111",'152-CT'!$J$8=TH!F1059),"x","")</f>
        <v/>
      </c>
      <c r="AC1059" s="81" t="str">
        <f>IF(AND(OR(LEFT(TH!N1059,2)="15",LEFT(TH!O1059,2)="15"),TK!$E$7=TH!F1059),"x","")</f>
        <v/>
      </c>
      <c r="AD1059" s="81" t="str">
        <f>IF(AND(N1059="1521",MONTH(C1059)='BK-NL'!$M$11),"x","")</f>
        <v/>
      </c>
    </row>
    <row r="1060" spans="1:30" ht="15.75" customHeight="1">
      <c r="A1060" s="327" t="str">
        <f>IF(B1060&lt;&gt;"",IF(AND(B1060='IN-TC'!$S$4,OR(TH!N1060="1111",TH!O1060="1111")),TH!D1060,""),"")</f>
        <v/>
      </c>
      <c r="B1060" s="62" t="str">
        <f t="shared" si="327"/>
        <v/>
      </c>
      <c r="C1060" s="63"/>
      <c r="D1060" s="63"/>
      <c r="E1060" s="63"/>
      <c r="F1060" s="66"/>
      <c r="G1060" s="66"/>
      <c r="H1060" s="71"/>
      <c r="I1060" s="407"/>
      <c r="J1060" s="407"/>
      <c r="K1060" s="400"/>
      <c r="L1060" s="407"/>
      <c r="M1060" s="64"/>
      <c r="N1060" s="65"/>
      <c r="O1060" s="65"/>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row>
    <row r="1061" spans="1:30" ht="15.75" customHeight="1">
      <c r="A1061" s="327" t="str">
        <f>IF(B1061&lt;&gt;"",IF(AND(B1061='IN-TC'!$S$4,OR(TH!N1061="1111",TH!O1061="1111")),TH!D1061,""),"")</f>
        <v/>
      </c>
      <c r="B1061" s="62" t="str">
        <f t="shared" si="327"/>
        <v/>
      </c>
      <c r="C1061" s="63"/>
      <c r="D1061" s="63"/>
      <c r="E1061" s="63"/>
      <c r="F1061" s="66"/>
      <c r="G1061" s="66"/>
      <c r="H1061" s="71"/>
      <c r="I1061" s="407"/>
      <c r="J1061" s="407"/>
      <c r="K1061" s="400"/>
      <c r="L1061" s="407"/>
      <c r="M1061" s="64"/>
      <c r="N1061" s="65"/>
      <c r="O1061" s="65"/>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row>
    <row r="1062" spans="1:30" ht="15.75" customHeight="1">
      <c r="A1062" s="327" t="str">
        <f>IF(B1062&lt;&gt;"",IF(AND(B1062='IN-TC'!$S$4,OR(TH!N1062="1111",TH!O1062="1111")),TH!D1062,""),"")</f>
        <v/>
      </c>
      <c r="B1062" s="62" t="str">
        <f t="shared" si="327"/>
        <v/>
      </c>
      <c r="C1062" s="309"/>
      <c r="D1062" s="309"/>
      <c r="E1062" s="309"/>
      <c r="F1062" s="71"/>
      <c r="G1062" s="819"/>
      <c r="H1062" s="311"/>
      <c r="I1062" s="405"/>
      <c r="J1062" s="405"/>
      <c r="K1062" s="398"/>
      <c r="L1062" s="405"/>
      <c r="M1062" s="64"/>
      <c r="N1062" s="312"/>
      <c r="O1062" s="65"/>
      <c r="P1062" s="81" t="str">
        <f>IF(AND('331-CT'!$E$7=TH!H1062,OR(N1062="331",O1062="331")),"x","")</f>
        <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
      </c>
      <c r="AB1062" s="81" t="str">
        <f>IF(AND(OR(LEFT(TH!N1062,2)="15",LEFT(TH!O1062,2)="15"),LEFT(TH!O1062,3)&lt;&gt;"111",'152-CT'!$J$8=TH!F1062),"x","")</f>
        <v/>
      </c>
      <c r="AC1062" s="81" t="str">
        <f>IF(AND(OR(LEFT(TH!N1062,2)="15",LEFT(TH!O1062,2)="15"),TK!$E$7=TH!F1062),"x","")</f>
        <v/>
      </c>
      <c r="AD1062" s="81" t="str">
        <f>IF(AND(N1062="1521",MONTH(C1062)='BK-NL'!$M$11),"x","")</f>
        <v/>
      </c>
    </row>
    <row r="1063" spans="1:30" ht="15.75" customHeight="1">
      <c r="A1063" s="327" t="str">
        <f>IF(B1063&lt;&gt;"",IF(AND(B1063='IN-TC'!$S$4,OR(TH!N1063="1111",TH!O1063="1111")),TH!D1063,""),"")</f>
        <v/>
      </c>
      <c r="B1063" s="62" t="str">
        <f t="shared" si="327"/>
        <v/>
      </c>
      <c r="C1063" s="309"/>
      <c r="D1063" s="309"/>
      <c r="E1063" s="309"/>
      <c r="F1063" s="71"/>
      <c r="G1063" s="819"/>
      <c r="H1063" s="311"/>
      <c r="I1063" s="405"/>
      <c r="J1063" s="405"/>
      <c r="K1063" s="398"/>
      <c r="L1063" s="405"/>
      <c r="M1063" s="64"/>
      <c r="N1063" s="312"/>
      <c r="O1063" s="65"/>
      <c r="P1063" s="81" t="str">
        <f>IF(AND('331-CT'!$E$7=TH!H1063,OR(N1063="331",O1063="331")),"x","")</f>
        <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
      </c>
      <c r="AB1063" s="81" t="str">
        <f>IF(AND(OR(LEFT(TH!N1063,2)="15",LEFT(TH!O1063,2)="15"),LEFT(TH!O1063,3)&lt;&gt;"111",'152-CT'!$J$8=TH!F1063),"x","")</f>
        <v/>
      </c>
      <c r="AC1063" s="81" t="str">
        <f>IF(AND(OR(LEFT(TH!N1063,2)="15",LEFT(TH!O1063,2)="15"),TK!$E$7=TH!F1063),"x","")</f>
        <v/>
      </c>
      <c r="AD1063" s="81" t="str">
        <f>IF(AND(N1063="1521",MONTH(C1063)='BK-NL'!$M$11),"x","")</f>
        <v/>
      </c>
    </row>
    <row r="1064" spans="1:30" ht="15.75" customHeight="1">
      <c r="A1064" s="327" t="str">
        <f>IF(B1064&lt;&gt;"",IF(AND(B1064='IN-TC'!$S$4,OR(TH!N1064="1111",TH!O1064="1111")),TH!D1064,""),"")</f>
        <v/>
      </c>
      <c r="B1064" s="62" t="str">
        <f t="shared" si="327"/>
        <v/>
      </c>
      <c r="C1064" s="309"/>
      <c r="D1064" s="309"/>
      <c r="E1064" s="309"/>
      <c r="F1064" s="71"/>
      <c r="G1064" s="819"/>
      <c r="H1064" s="311"/>
      <c r="I1064" s="405"/>
      <c r="J1064" s="405"/>
      <c r="K1064" s="398"/>
      <c r="L1064" s="405"/>
      <c r="M1064" s="64"/>
      <c r="N1064" s="312"/>
      <c r="O1064" s="65"/>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row>
    <row r="1065" spans="1:30" ht="15.75" customHeight="1">
      <c r="A1065" s="327" t="str">
        <f>IF(B1065&lt;&gt;"",IF(AND(B1065='IN-TC'!$S$4,OR(TH!N1065="1111",TH!O1065="1111")),TH!D1065,""),"")</f>
        <v/>
      </c>
      <c r="B1065" s="62" t="str">
        <f t="shared" si="327"/>
        <v/>
      </c>
      <c r="C1065" s="309"/>
      <c r="D1065" s="309"/>
      <c r="E1065" s="309"/>
      <c r="F1065" s="71"/>
      <c r="G1065" s="819"/>
      <c r="H1065" s="311"/>
      <c r="I1065" s="405"/>
      <c r="J1065" s="405"/>
      <c r="K1065" s="398"/>
      <c r="L1065" s="405"/>
      <c r="M1065" s="64"/>
      <c r="N1065" s="312"/>
      <c r="O1065" s="65"/>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row>
    <row r="1066" spans="1:30" ht="15.75" customHeight="1">
      <c r="A1066" s="327" t="str">
        <f>IF(B1066&lt;&gt;"",IF(AND(B1066='IN-TC'!$S$4,OR(TH!N1066="1111",TH!O1066="1111")),TH!D1066,""),"")</f>
        <v/>
      </c>
      <c r="B1066" s="62" t="str">
        <f t="shared" si="327"/>
        <v/>
      </c>
      <c r="C1066" s="309"/>
      <c r="D1066" s="309"/>
      <c r="E1066" s="309"/>
      <c r="F1066" s="71"/>
      <c r="G1066" s="819"/>
      <c r="H1066" s="311"/>
      <c r="I1066" s="405"/>
      <c r="J1066" s="405"/>
      <c r="K1066" s="398"/>
      <c r="L1066" s="405"/>
      <c r="M1066" s="64"/>
      <c r="N1066" s="312"/>
      <c r="O1066" s="65"/>
      <c r="P1066" s="81" t="str">
        <f>IF(AND('331-CT'!$E$7=TH!H1066,OR(N1066="331",O1066="331")),"x","")</f>
        <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
      </c>
      <c r="AC1066" s="81" t="str">
        <f>IF(AND(OR(LEFT(TH!N1066,2)="15",LEFT(TH!O1066,2)="15"),TK!$E$7=TH!F1066),"x","")</f>
        <v/>
      </c>
      <c r="AD1066" s="81" t="str">
        <f>IF(AND(N1066="1521",MONTH(C1066)='BK-NL'!$M$11),"x","")</f>
        <v/>
      </c>
    </row>
    <row r="1067" spans="1:30" ht="15.75" customHeight="1">
      <c r="A1067" s="327" t="str">
        <f>IF(B1067&lt;&gt;"",IF(AND(B1067='IN-TC'!$S$4,OR(TH!N1067="1111",TH!O1067="1111")),TH!D1067,""),"")</f>
        <v/>
      </c>
      <c r="B1067" s="62" t="str">
        <f t="shared" si="327"/>
        <v/>
      </c>
      <c r="C1067" s="309"/>
      <c r="D1067" s="309"/>
      <c r="E1067" s="309"/>
      <c r="F1067" s="71"/>
      <c r="G1067" s="819"/>
      <c r="H1067" s="311"/>
      <c r="I1067" s="405"/>
      <c r="J1067" s="405"/>
      <c r="K1067" s="398"/>
      <c r="L1067" s="405"/>
      <c r="M1067" s="64"/>
      <c r="N1067" s="312"/>
      <c r="O1067" s="65"/>
      <c r="P1067" s="81" t="str">
        <f>IF(AND('331-CT'!$E$7=TH!H1067,OR(N1067="331",O1067="331")),"x","")</f>
        <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row>
    <row r="1068" spans="1:30" ht="15.75" customHeight="1">
      <c r="A1068" s="327" t="str">
        <f>IF(B1068&lt;&gt;"",IF(AND(B1068='IN-TC'!$S$4,OR(TH!N1068="1111",TH!O1068="1111")),TH!D1068,""),"")</f>
        <v/>
      </c>
      <c r="B1068" s="62" t="str">
        <f t="shared" si="327"/>
        <v/>
      </c>
      <c r="C1068" s="309"/>
      <c r="D1068" s="309"/>
      <c r="E1068" s="309"/>
      <c r="F1068" s="71"/>
      <c r="G1068" s="819"/>
      <c r="H1068" s="311"/>
      <c r="I1068" s="405"/>
      <c r="J1068" s="405"/>
      <c r="K1068" s="398"/>
      <c r="L1068" s="405"/>
      <c r="M1068" s="64"/>
      <c r="N1068" s="312"/>
      <c r="O1068" s="65"/>
      <c r="P1068" s="81" t="str">
        <f>IF(AND('331-CT'!$E$7=TH!H1068,OR(N1068="331",O1068="331")),"x","")</f>
        <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
      </c>
      <c r="AC1068" s="81" t="str">
        <f>IF(AND(OR(LEFT(TH!N1068,2)="15",LEFT(TH!O1068,2)="15"),TK!$E$7=TH!F1068),"x","")</f>
        <v/>
      </c>
      <c r="AD1068" s="81" t="str">
        <f>IF(AND(N1068="1521",MONTH(C1068)='BK-NL'!$M$11),"x","")</f>
        <v/>
      </c>
    </row>
    <row r="1069" spans="1:30" ht="15.75" customHeight="1">
      <c r="A1069" s="327" t="str">
        <f>IF(B1069&lt;&gt;"",IF(AND(B1069='IN-TC'!$S$4,OR(TH!N1069="1111",TH!O1069="1111")),TH!D1069,""),"")</f>
        <v/>
      </c>
      <c r="B1069" s="62" t="str">
        <f t="shared" si="327"/>
        <v/>
      </c>
      <c r="C1069" s="63"/>
      <c r="D1069" s="63"/>
      <c r="E1069" s="63"/>
      <c r="F1069" s="66"/>
      <c r="G1069" s="816"/>
      <c r="H1069" s="71"/>
      <c r="I1069" s="405"/>
      <c r="J1069" s="405"/>
      <c r="K1069" s="398"/>
      <c r="L1069" s="405"/>
      <c r="M1069" s="64"/>
      <c r="N1069" s="65"/>
      <c r="O1069" s="65"/>
      <c r="P1069" s="81" t="str">
        <f>IF(AND('331-CT'!$E$7=TH!H1069,OR(N1069="331",O1069="331")),"x","")</f>
        <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row>
    <row r="1070" spans="1:30" ht="15.75" customHeight="1">
      <c r="A1070" s="327" t="str">
        <f>IF(B1070&lt;&gt;"",IF(AND(B1070='IN-TC'!$S$4,OR(TH!N1070="1111",TH!O1070="1111")),TH!D1070,""),"")</f>
        <v/>
      </c>
      <c r="B1070" s="62" t="str">
        <f t="shared" si="327"/>
        <v/>
      </c>
      <c r="C1070" s="63"/>
      <c r="D1070" s="63"/>
      <c r="E1070" s="63"/>
      <c r="F1070" s="66"/>
      <c r="G1070" s="816"/>
      <c r="H1070" s="71"/>
      <c r="I1070" s="405"/>
      <c r="J1070" s="405"/>
      <c r="K1070" s="398"/>
      <c r="L1070" s="405"/>
      <c r="M1070" s="64"/>
      <c r="N1070" s="65"/>
      <c r="O1070" s="65"/>
      <c r="P1070" s="81" t="str">
        <f>IF(AND('331-CT'!$E$7=TH!H1070,OR(N1070="331",O1070="331")),"x","")</f>
        <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
      </c>
      <c r="AC1070" s="81" t="str">
        <f>IF(AND(OR(LEFT(TH!N1070,2)="15",LEFT(TH!O1070,2)="15"),TK!$E$7=TH!F1070),"x","")</f>
        <v/>
      </c>
      <c r="AD1070" s="81" t="str">
        <f>IF(AND(N1070="1521",MONTH(C1070)='BK-NL'!$M$11),"x","")</f>
        <v/>
      </c>
    </row>
    <row r="1071" spans="1:30" ht="15.75" customHeight="1">
      <c r="A1071" s="327" t="str">
        <f>IF(B1071&lt;&gt;"",IF(AND(B1071='IN-TC'!$S$4,OR(TH!N1071="1111",TH!O1071="1111")),TH!D1071,""),"")</f>
        <v/>
      </c>
      <c r="B1071" s="62" t="str">
        <f t="shared" si="327"/>
        <v/>
      </c>
      <c r="C1071" s="63"/>
      <c r="D1071" s="63"/>
      <c r="E1071" s="63"/>
      <c r="F1071" s="66"/>
      <c r="G1071" s="66"/>
      <c r="H1071" s="71"/>
      <c r="I1071" s="405"/>
      <c r="J1071" s="405"/>
      <c r="K1071" s="398"/>
      <c r="L1071" s="405"/>
      <c r="M1071" s="64"/>
      <c r="N1071" s="65"/>
      <c r="O1071" s="65"/>
      <c r="P1071" s="81" t="str">
        <f>IF(AND('331-CT'!$E$7=TH!H1071,OR(N1071="331",O1071="331")),"x","")</f>
        <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row>
    <row r="1072" spans="1:30" ht="15.75" customHeight="1">
      <c r="A1072" s="327" t="str">
        <f>IF(B1072&lt;&gt;"",IF(AND(B1072='IN-TC'!$S$4,OR(TH!N1072="1111",TH!O1072="1111")),TH!D1072,""),"")</f>
        <v/>
      </c>
      <c r="B1072" s="62" t="str">
        <f t="shared" si="327"/>
        <v/>
      </c>
      <c r="C1072" s="63"/>
      <c r="D1072" s="63"/>
      <c r="E1072" s="63"/>
      <c r="F1072" s="66"/>
      <c r="G1072" s="66"/>
      <c r="H1072" s="71"/>
      <c r="I1072" s="405"/>
      <c r="J1072" s="405"/>
      <c r="K1072" s="398"/>
      <c r="L1072" s="405"/>
      <c r="M1072" s="64"/>
      <c r="N1072" s="65"/>
      <c r="O1072" s="65"/>
      <c r="P1072" s="81" t="str">
        <f>IF(AND('331-CT'!$E$7=TH!H1072,OR(N1072="331",O1072="331")),"x","")</f>
        <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
      </c>
      <c r="AC1072" s="81" t="str">
        <f>IF(AND(OR(LEFT(TH!N1072,2)="15",LEFT(TH!O1072,2)="15"),TK!$E$7=TH!F1072),"x","")</f>
        <v/>
      </c>
      <c r="AD1072" s="81" t="str">
        <f>IF(AND(N1072="1521",MONTH(C1072)='BK-NL'!$M$11),"x","")</f>
        <v/>
      </c>
    </row>
    <row r="1073" spans="1:30" ht="15.75" customHeight="1">
      <c r="A1073" s="327" t="str">
        <f>IF(B1073&lt;&gt;"",IF(AND(B1073='IN-TC'!$S$4,OR(TH!N1073="1111",TH!O1073="1111")),TH!D1073,""),"")</f>
        <v/>
      </c>
      <c r="B1073" s="62" t="str">
        <f t="shared" si="327"/>
        <v/>
      </c>
      <c r="C1073" s="63"/>
      <c r="D1073" s="63"/>
      <c r="E1073" s="63"/>
      <c r="F1073" s="66"/>
      <c r="G1073" s="66"/>
      <c r="H1073" s="71"/>
      <c r="I1073" s="405"/>
      <c r="J1073" s="405"/>
      <c r="K1073" s="398"/>
      <c r="L1073" s="405"/>
      <c r="M1073" s="64"/>
      <c r="N1073" s="65"/>
      <c r="O1073" s="65"/>
      <c r="P1073" s="81" t="str">
        <f>IF(AND('331-CT'!$E$7=TH!H1073,OR(N1073="331",O1073="331")),"x","")</f>
        <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row>
    <row r="1074" spans="1:30" ht="15.75" customHeight="1">
      <c r="A1074" s="327" t="str">
        <f>IF(B1074&lt;&gt;"",IF(AND(B1074='IN-TC'!$S$4,OR(TH!N1074="1111",TH!O1074="1111")),TH!D1074,""),"")</f>
        <v/>
      </c>
      <c r="B1074" s="62" t="str">
        <f t="shared" si="327"/>
        <v/>
      </c>
      <c r="C1074" s="63"/>
      <c r="D1074" s="63"/>
      <c r="E1074" s="63"/>
      <c r="F1074" s="66"/>
      <c r="G1074" s="66"/>
      <c r="H1074" s="71"/>
      <c r="I1074" s="405"/>
      <c r="J1074" s="405"/>
      <c r="K1074" s="398"/>
      <c r="L1074" s="405"/>
      <c r="M1074" s="64"/>
      <c r="N1074" s="65"/>
      <c r="O1074" s="65"/>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row>
    <row r="1075" spans="1:30" ht="15.75" customHeight="1">
      <c r="A1075" s="327" t="str">
        <f>IF(B1075&lt;&gt;"",IF(AND(B1075='IN-TC'!$S$4,OR(TH!N1075="1111",TH!O1075="1111")),TH!D1075,""),"")</f>
        <v/>
      </c>
      <c r="B1075" s="62" t="str">
        <f t="shared" si="327"/>
        <v/>
      </c>
      <c r="C1075" s="63"/>
      <c r="D1075" s="63"/>
      <c r="E1075" s="63"/>
      <c r="F1075" s="66"/>
      <c r="G1075" s="66"/>
      <c r="H1075" s="71"/>
      <c r="I1075" s="405"/>
      <c r="J1075" s="405"/>
      <c r="K1075" s="398"/>
      <c r="L1075" s="405"/>
      <c r="M1075" s="64"/>
      <c r="N1075" s="65"/>
      <c r="O1075" s="65"/>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row>
    <row r="1076" spans="1:30" ht="15.75" customHeight="1">
      <c r="A1076" s="327" t="str">
        <f>IF(B1076&lt;&gt;"",IF(AND(B1076='IN-TC'!$S$4,OR(TH!N1076="1111",TH!O1076="1111")),TH!D1076,""),"")</f>
        <v/>
      </c>
      <c r="B1076" s="62" t="str">
        <f t="shared" si="327"/>
        <v/>
      </c>
      <c r="C1076" s="63"/>
      <c r="D1076" s="63"/>
      <c r="E1076" s="63"/>
      <c r="F1076" s="66"/>
      <c r="G1076" s="66"/>
      <c r="H1076" s="71"/>
      <c r="I1076" s="407"/>
      <c r="J1076" s="407"/>
      <c r="K1076" s="400"/>
      <c r="L1076" s="407"/>
      <c r="M1076" s="64"/>
      <c r="N1076" s="65"/>
      <c r="O1076" s="65"/>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row>
    <row r="1077" spans="1:30" ht="15.75" customHeight="1">
      <c r="A1077" s="327" t="str">
        <f>IF(B1077&lt;&gt;"",IF(AND(B1077='IN-TC'!$S$4,OR(TH!N1077="1111",TH!O1077="1111")),TH!D1077,""),"")</f>
        <v/>
      </c>
      <c r="B1077" s="62" t="str">
        <f t="shared" si="327"/>
        <v/>
      </c>
      <c r="C1077" s="63"/>
      <c r="D1077" s="63"/>
      <c r="E1077" s="63"/>
      <c r="F1077" s="66"/>
      <c r="G1077" s="66"/>
      <c r="H1077" s="71"/>
      <c r="I1077" s="407"/>
      <c r="J1077" s="407"/>
      <c r="K1077" s="400"/>
      <c r="L1077" s="407"/>
      <c r="M1077" s="64"/>
      <c r="N1077" s="65"/>
      <c r="O1077" s="65"/>
      <c r="P1077" s="81" t="str">
        <f>IF(AND('331-CT'!$E$7=TH!H1077,OR(N1077="331",O1077="331")),"x","")</f>
        <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
      </c>
      <c r="AC1077" s="81" t="str">
        <f>IF(AND(OR(LEFT(TH!N1077,2)="15",LEFT(TH!O1077,2)="15"),TK!$E$7=TH!F1077),"x","")</f>
        <v/>
      </c>
      <c r="AD1077" s="81" t="str">
        <f>IF(AND(N1077="1521",MONTH(C1077)='BK-NL'!$M$11),"x","")</f>
        <v/>
      </c>
    </row>
    <row r="1078" spans="1:30" ht="15.75" customHeight="1">
      <c r="A1078" s="327" t="str">
        <f>IF(B1078&lt;&gt;"",IF(AND(B1078='IN-TC'!$S$4,OR(TH!N1078="1111",TH!O1078="1111")),TH!D1078,""),"")</f>
        <v/>
      </c>
      <c r="B1078" s="62" t="str">
        <f t="shared" si="327"/>
        <v/>
      </c>
      <c r="C1078" s="63"/>
      <c r="D1078" s="63"/>
      <c r="E1078" s="63"/>
      <c r="F1078" s="66"/>
      <c r="G1078" s="66"/>
      <c r="H1078" s="71"/>
      <c r="I1078" s="407"/>
      <c r="J1078" s="407"/>
      <c r="K1078" s="400"/>
      <c r="L1078" s="407"/>
      <c r="M1078" s="64"/>
      <c r="N1078" s="65"/>
      <c r="O1078" s="65"/>
      <c r="P1078" s="81" t="str">
        <f>IF(AND('331-CT'!$E$7=TH!H1078,OR(N1078="331",O1078="331")),"x","")</f>
        <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row>
    <row r="1079" spans="1:30" ht="15.75" customHeight="1">
      <c r="A1079" s="327" t="str">
        <f>IF(B1079&lt;&gt;"",IF(AND(B1079='IN-TC'!$S$4,OR(TH!N1079="1111",TH!O1079="1111")),TH!D1079,""),"")</f>
        <v/>
      </c>
      <c r="B1079" s="62" t="str">
        <f t="shared" si="327"/>
        <v/>
      </c>
      <c r="C1079" s="63"/>
      <c r="D1079" s="63"/>
      <c r="E1079" s="63"/>
      <c r="F1079" s="66"/>
      <c r="G1079" s="66"/>
      <c r="H1079" s="71"/>
      <c r="I1079" s="407"/>
      <c r="J1079" s="407"/>
      <c r="K1079" s="400"/>
      <c r="L1079" s="407"/>
      <c r="M1079" s="64"/>
      <c r="N1079" s="65"/>
      <c r="O1079" s="65"/>
      <c r="P1079" s="81" t="str">
        <f>IF(AND('331-CT'!$E$7=TH!H1079,OR(N1079="331",O1079="331")),"x","")</f>
        <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
      </c>
      <c r="AC1079" s="81" t="str">
        <f>IF(AND(OR(LEFT(TH!N1079,2)="15",LEFT(TH!O1079,2)="15"),TK!$E$7=TH!F1079),"x","")</f>
        <v/>
      </c>
      <c r="AD1079" s="81" t="str">
        <f>IF(AND(N1079="1521",MONTH(C1079)='BK-NL'!$M$11),"x","")</f>
        <v/>
      </c>
    </row>
    <row r="1080" spans="1:30" ht="15.75" customHeight="1">
      <c r="A1080" s="327" t="str">
        <f>IF(B1080&lt;&gt;"",IF(AND(B1080='IN-TC'!$S$4,OR(TH!N1080="1111",TH!O1080="1111")),TH!D1080,""),"")</f>
        <v/>
      </c>
      <c r="B1080" s="62" t="str">
        <f t="shared" si="327"/>
        <v/>
      </c>
      <c r="C1080" s="63"/>
      <c r="D1080" s="63"/>
      <c r="E1080" s="63"/>
      <c r="F1080" s="66"/>
      <c r="G1080" s="66"/>
      <c r="H1080" s="71"/>
      <c r="I1080" s="407"/>
      <c r="J1080" s="407"/>
      <c r="K1080" s="400"/>
      <c r="L1080" s="407"/>
      <c r="M1080" s="64"/>
      <c r="N1080" s="65"/>
      <c r="O1080" s="65"/>
      <c r="P1080" s="81" t="str">
        <f>IF(AND('331-CT'!$E$7=TH!H1080,OR(N1080="331",O1080="331")),"x","")</f>
        <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row>
    <row r="1081" spans="1:30" ht="15.75" customHeight="1">
      <c r="A1081" s="327" t="str">
        <f>IF(B1081&lt;&gt;"",IF(AND(B1081='IN-TC'!$S$4,OR(TH!N1081="1111",TH!O1081="1111")),TH!D1081,""),"")</f>
        <v/>
      </c>
      <c r="B1081" s="62" t="str">
        <f t="shared" si="327"/>
        <v/>
      </c>
      <c r="C1081" s="63"/>
      <c r="D1081" s="63"/>
      <c r="E1081" s="63"/>
      <c r="F1081" s="66"/>
      <c r="G1081" s="66"/>
      <c r="H1081" s="71"/>
      <c r="I1081" s="407"/>
      <c r="J1081" s="407"/>
      <c r="K1081" s="400"/>
      <c r="L1081" s="407"/>
      <c r="M1081" s="64"/>
      <c r="N1081" s="65"/>
      <c r="O1081" s="65"/>
      <c r="P1081" s="81" t="str">
        <f>IF(AND('331-CT'!$E$7=TH!H1081,OR(N1081="331",O1081="331")),"x","")</f>
        <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
      </c>
      <c r="Z1081" s="81"/>
      <c r="AA1081" s="81" t="str">
        <f>IF(AND(MONTH(E1081)='IN-NX'!$J$5,'IN-NX'!$D$7=D1081),"x","")</f>
        <v/>
      </c>
      <c r="AB1081" s="81" t="str">
        <f>IF(AND(OR(LEFT(TH!N1081,2)="15",LEFT(TH!O1081,2)="15"),LEFT(TH!O1081,3)&lt;&gt;"111",'152-CT'!$J$8=TH!F1081),"x","")</f>
        <v/>
      </c>
      <c r="AC1081" s="81" t="str">
        <f>IF(AND(OR(LEFT(TH!N1081,2)="15",LEFT(TH!O1081,2)="15"),TK!$E$7=TH!F1081),"x","")</f>
        <v/>
      </c>
      <c r="AD1081" s="81" t="str">
        <f>IF(AND(N1081="1521",MONTH(C1081)='BK-NL'!$M$11),"x","")</f>
        <v/>
      </c>
    </row>
    <row r="1082" spans="1:30" ht="15.75" customHeight="1">
      <c r="A1082" s="327" t="str">
        <f>IF(B1082&lt;&gt;"",IF(AND(B1082='IN-TC'!$S$4,OR(TH!N1082="1111",TH!O1082="1111")),TH!D1082,""),"")</f>
        <v/>
      </c>
      <c r="B1082" s="62" t="str">
        <f t="shared" si="327"/>
        <v/>
      </c>
      <c r="C1082" s="63"/>
      <c r="D1082" s="63"/>
      <c r="E1082" s="63"/>
      <c r="F1082" s="66"/>
      <c r="G1082" s="66"/>
      <c r="H1082" s="71"/>
      <c r="I1082" s="407"/>
      <c r="J1082" s="407"/>
      <c r="K1082" s="400"/>
      <c r="L1082" s="407"/>
      <c r="M1082" s="64"/>
      <c r="N1082" s="65"/>
      <c r="O1082" s="65"/>
      <c r="P1082" s="81" t="str">
        <f>IF(AND('331-CT'!$E$7=TH!H1082,OR(N1082="331",O1082="331")),"x","")</f>
        <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row>
    <row r="1083" spans="1:30" ht="15.75" customHeight="1">
      <c r="A1083" s="327" t="str">
        <f>IF(B1083&lt;&gt;"",IF(AND(B1083='IN-TC'!$S$4,OR(TH!N1083="1111",TH!O1083="1111")),TH!D1083,""),"")</f>
        <v/>
      </c>
      <c r="B1083" s="62" t="str">
        <f t="shared" si="327"/>
        <v/>
      </c>
      <c r="C1083" s="63"/>
      <c r="D1083" s="63"/>
      <c r="E1083" s="63"/>
      <c r="F1083" s="66"/>
      <c r="G1083" s="66"/>
      <c r="H1083" s="71"/>
      <c r="I1083" s="407"/>
      <c r="J1083" s="407"/>
      <c r="K1083" s="400"/>
      <c r="L1083" s="407"/>
      <c r="M1083" s="64"/>
      <c r="N1083" s="65"/>
      <c r="O1083" s="65"/>
      <c r="P1083" s="81" t="str">
        <f>IF(AND('331-CT'!$E$7=TH!H1083,OR(N1083="331",O1083="331")),"x","")</f>
        <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
      </c>
      <c r="AC1083" s="81" t="str">
        <f>IF(AND(OR(LEFT(TH!N1083,2)="15",LEFT(TH!O1083,2)="15"),TK!$E$7=TH!F1083),"x","")</f>
        <v/>
      </c>
      <c r="AD1083" s="81" t="str">
        <f>IF(AND(N1083="1521",MONTH(C1083)='BK-NL'!$M$11),"x","")</f>
        <v/>
      </c>
    </row>
    <row r="1084" spans="1:30" ht="15.75" customHeight="1">
      <c r="A1084" s="327" t="str">
        <f>IF(B1084&lt;&gt;"",IF(AND(B1084='IN-TC'!$S$4,OR(TH!N1084="1111",TH!O1084="1111")),TH!D1084,""),"")</f>
        <v/>
      </c>
      <c r="B1084" s="62" t="str">
        <f t="shared" si="327"/>
        <v/>
      </c>
      <c r="C1084" s="63"/>
      <c r="D1084" s="63"/>
      <c r="E1084" s="63"/>
      <c r="F1084" s="71"/>
      <c r="G1084" s="816"/>
      <c r="H1084" s="71"/>
      <c r="I1084" s="405"/>
      <c r="J1084" s="405"/>
      <c r="K1084" s="398"/>
      <c r="L1084" s="405"/>
      <c r="M1084" s="64"/>
      <c r="N1084" s="65"/>
      <c r="O1084" s="65"/>
      <c r="P1084" s="81" t="str">
        <f>IF(AND('331-CT'!$E$7=TH!H1084,OR(N1084="331",O1084="331")),"x","")</f>
        <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row>
    <row r="1085" spans="1:30" ht="15.75" customHeight="1">
      <c r="A1085" s="327" t="str">
        <f>IF(B1085&lt;&gt;"",IF(AND(B1085='IN-TC'!$S$4,OR(TH!N1085="1111",TH!O1085="1111")),TH!D1085,""),"")</f>
        <v/>
      </c>
      <c r="B1085" s="62" t="str">
        <f t="shared" si="327"/>
        <v/>
      </c>
      <c r="C1085" s="63"/>
      <c r="D1085" s="63"/>
      <c r="E1085" s="63"/>
      <c r="F1085" s="71"/>
      <c r="G1085" s="816"/>
      <c r="H1085" s="71"/>
      <c r="I1085" s="405"/>
      <c r="J1085" s="405"/>
      <c r="K1085" s="398"/>
      <c r="L1085" s="405"/>
      <c r="M1085" s="64"/>
      <c r="N1085" s="65"/>
      <c r="O1085" s="65"/>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0" ht="15.75" customHeight="1">
      <c r="A1086" s="327" t="str">
        <f>IF(B1086&lt;&gt;"",IF(AND(B1086='IN-TC'!$S$4,OR(TH!N1086="1111",TH!O1086="1111")),TH!D1086,""),"")</f>
        <v/>
      </c>
      <c r="B1086" s="62" t="str">
        <f t="shared" si="327"/>
        <v/>
      </c>
      <c r="C1086" s="63"/>
      <c r="D1086" s="63"/>
      <c r="E1086" s="63"/>
      <c r="F1086" s="71"/>
      <c r="G1086" s="816"/>
      <c r="H1086" s="71"/>
      <c r="I1086" s="405"/>
      <c r="J1086" s="405"/>
      <c r="K1086" s="398"/>
      <c r="L1086" s="405"/>
      <c r="M1086" s="64"/>
      <c r="N1086" s="65"/>
      <c r="O1086" s="65"/>
      <c r="P1086" s="81" t="str">
        <f>IF(AND('331-CT'!$E$7=TH!H1086,OR(N1086="331",O1086="331")),"x","")</f>
        <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
      </c>
      <c r="AC1086" s="81" t="str">
        <f>IF(AND(OR(LEFT(TH!N1086,2)="15",LEFT(TH!O1086,2)="15"),TK!$E$7=TH!F1086),"x","")</f>
        <v/>
      </c>
      <c r="AD1086" s="81" t="str">
        <f>IF(AND(N1086="1521",MONTH(C1086)='BK-NL'!$M$11),"x","")</f>
        <v/>
      </c>
    </row>
    <row r="1087" spans="1:30" ht="15.75" customHeight="1">
      <c r="A1087" s="327" t="str">
        <f>IF(B1087&lt;&gt;"",IF(AND(B1087='IN-TC'!$S$4,OR(TH!N1087="1111",TH!O1087="1111")),TH!D1087,""),"")</f>
        <v/>
      </c>
      <c r="B1087" s="62" t="str">
        <f t="shared" si="327"/>
        <v/>
      </c>
      <c r="C1087" s="63"/>
      <c r="D1087" s="63"/>
      <c r="E1087" s="63"/>
      <c r="F1087" s="71"/>
      <c r="G1087" s="816"/>
      <c r="H1087" s="71"/>
      <c r="I1087" s="405"/>
      <c r="J1087" s="405"/>
      <c r="K1087" s="398"/>
      <c r="L1087" s="405"/>
      <c r="M1087" s="64"/>
      <c r="N1087" s="65"/>
      <c r="O1087" s="65"/>
      <c r="P1087" s="81" t="str">
        <f>IF(AND('331-CT'!$E$7=TH!H1087,OR(N1087="331",O1087="331")),"x","")</f>
        <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row>
    <row r="1088" spans="1:30" ht="15.75" customHeight="1">
      <c r="A1088" s="327" t="str">
        <f>IF(B1088&lt;&gt;"",IF(AND(B1088='IN-TC'!$S$4,OR(TH!N1088="1111",TH!O1088="1111")),TH!D1088,""),"")</f>
        <v/>
      </c>
      <c r="B1088" s="62" t="str">
        <f t="shared" si="327"/>
        <v/>
      </c>
      <c r="C1088" s="63"/>
      <c r="D1088" s="63"/>
      <c r="E1088" s="63"/>
      <c r="F1088" s="71"/>
      <c r="G1088" s="816"/>
      <c r="H1088" s="330"/>
      <c r="I1088" s="405"/>
      <c r="J1088" s="405"/>
      <c r="K1088" s="398"/>
      <c r="L1088" s="405"/>
      <c r="M1088" s="64"/>
      <c r="N1088" s="65"/>
      <c r="O1088" s="65"/>
      <c r="P1088" s="81" t="str">
        <f>IF(AND('331-CT'!$E$7=TH!H1088,OR(N1088="331",O1088="331")),"x","")</f>
        <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
      </c>
      <c r="AC1088" s="81" t="str">
        <f>IF(AND(OR(LEFT(TH!N1088,2)="15",LEFT(TH!O1088,2)="15"),TK!$E$7=TH!F1088),"x","")</f>
        <v/>
      </c>
      <c r="AD1088" s="81" t="str">
        <f>IF(AND(N1088="1521",MONTH(C1088)='BK-NL'!$M$11),"x","")</f>
        <v/>
      </c>
    </row>
    <row r="1089" spans="1:30" ht="15.75" customHeight="1">
      <c r="A1089" s="327" t="str">
        <f>IF(B1089&lt;&gt;"",IF(AND(B1089='IN-TC'!$S$4,OR(TH!N1089="1111",TH!O1089="1111")),TH!D1089,""),"")</f>
        <v/>
      </c>
      <c r="B1089" s="62" t="str">
        <f t="shared" si="327"/>
        <v/>
      </c>
      <c r="C1089" s="63"/>
      <c r="D1089" s="63"/>
      <c r="E1089" s="63"/>
      <c r="F1089" s="71"/>
      <c r="G1089" s="816"/>
      <c r="H1089" s="330"/>
      <c r="I1089" s="405"/>
      <c r="J1089" s="405"/>
      <c r="K1089" s="398"/>
      <c r="L1089" s="405"/>
      <c r="M1089" s="64"/>
      <c r="N1089" s="65"/>
      <c r="O1089" s="65"/>
      <c r="P1089" s="81" t="str">
        <f>IF(AND('331-CT'!$E$7=TH!H1089,OR(N1089="331",O1089="331")),"x","")</f>
        <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row>
    <row r="1090" spans="1:30" ht="15.75" customHeight="1">
      <c r="A1090" s="327" t="str">
        <f>IF(B1090&lt;&gt;"",IF(AND(B1090='IN-TC'!$S$4,OR(TH!N1090="1111",TH!O1090="1111")),TH!D1090,""),"")</f>
        <v/>
      </c>
      <c r="B1090" s="62" t="str">
        <f t="shared" si="327"/>
        <v/>
      </c>
      <c r="C1090" s="63"/>
      <c r="D1090" s="63"/>
      <c r="E1090" s="63"/>
      <c r="F1090" s="71"/>
      <c r="G1090" s="816"/>
      <c r="H1090" s="71"/>
      <c r="I1090" s="405"/>
      <c r="J1090" s="405"/>
      <c r="K1090" s="398"/>
      <c r="L1090" s="405"/>
      <c r="M1090" s="64"/>
      <c r="N1090" s="65"/>
      <c r="O1090" s="65"/>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
      </c>
      <c r="AC1090" s="81" t="str">
        <f>IF(AND(OR(LEFT(TH!N1090,2)="15",LEFT(TH!O1090,2)="15"),TK!$E$7=TH!F1090),"x","")</f>
        <v/>
      </c>
      <c r="AD1090" s="81" t="str">
        <f>IF(AND(N1090="1521",MONTH(C1090)='BK-NL'!$M$11),"x","")</f>
        <v/>
      </c>
    </row>
    <row r="1091" spans="1:30" ht="15.75" customHeight="1">
      <c r="A1091" s="327" t="str">
        <f>IF(B1091&lt;&gt;"",IF(AND(B1091='IN-TC'!$S$4,OR(TH!N1091="1111",TH!O1091="1111")),TH!D1091,""),"")</f>
        <v/>
      </c>
      <c r="B1091" s="62" t="str">
        <f t="shared" si="327"/>
        <v/>
      </c>
      <c r="C1091" s="63"/>
      <c r="D1091" s="63"/>
      <c r="E1091" s="63"/>
      <c r="F1091" s="71"/>
      <c r="G1091" s="816"/>
      <c r="H1091" s="71"/>
      <c r="I1091" s="405"/>
      <c r="J1091" s="405"/>
      <c r="K1091" s="398"/>
      <c r="L1091" s="405"/>
      <c r="M1091" s="64"/>
      <c r="N1091" s="65"/>
      <c r="O1091" s="65"/>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row>
    <row r="1092" spans="1:30" ht="15.75" customHeight="1">
      <c r="A1092" s="327" t="str">
        <f>IF(B1092&lt;&gt;"",IF(AND(B1092='IN-TC'!$S$4,OR(TH!N1092="1111",TH!O1092="1111")),TH!D1092,""),"")</f>
        <v/>
      </c>
      <c r="B1092" s="62" t="str">
        <f t="shared" si="327"/>
        <v/>
      </c>
      <c r="C1092" s="63"/>
      <c r="D1092" s="63"/>
      <c r="E1092" s="63"/>
      <c r="F1092" s="66"/>
      <c r="G1092" s="816"/>
      <c r="H1092" s="71"/>
      <c r="I1092" s="405"/>
      <c r="J1092" s="405"/>
      <c r="K1092" s="398"/>
      <c r="L1092" s="405"/>
      <c r="M1092" s="64"/>
      <c r="N1092" s="65"/>
      <c r="O1092" s="65"/>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
      </c>
      <c r="Z1092" s="81"/>
      <c r="AA1092" s="81" t="str">
        <f>IF(AND(MONTH(E1092)='IN-NX'!$J$5,'IN-NX'!$D$7=D1092),"x","")</f>
        <v/>
      </c>
      <c r="AB1092" s="81" t="str">
        <f>IF(AND(OR(LEFT(TH!N1092,2)="15",LEFT(TH!O1092,2)="15"),LEFT(TH!O1092,3)&lt;&gt;"111",'152-CT'!$J$8=TH!F1092),"x","")</f>
        <v/>
      </c>
      <c r="AC1092" s="81" t="str">
        <f>IF(AND(OR(LEFT(TH!N1092,2)="15",LEFT(TH!O1092,2)="15"),TK!$E$7=TH!F1092),"x","")</f>
        <v/>
      </c>
      <c r="AD1092" s="81" t="str">
        <f>IF(AND(N1092="1521",MONTH(C1092)='BK-NL'!$M$11),"x","")</f>
        <v/>
      </c>
    </row>
    <row r="1093" spans="1:30" ht="15.75" customHeight="1">
      <c r="A1093" s="327" t="str">
        <f>IF(B1093&lt;&gt;"",IF(AND(B1093='IN-TC'!$S$4,OR(TH!N1093="1111",TH!O1093="1111")),TH!D1093,""),"")</f>
        <v/>
      </c>
      <c r="B1093" s="62" t="str">
        <f t="shared" si="327"/>
        <v/>
      </c>
      <c r="C1093" s="63"/>
      <c r="D1093" s="63"/>
      <c r="E1093" s="63"/>
      <c r="F1093" s="71"/>
      <c r="G1093" s="816"/>
      <c r="H1093" s="71"/>
      <c r="I1093" s="405"/>
      <c r="J1093" s="405"/>
      <c r="K1093" s="398"/>
      <c r="L1093" s="405"/>
      <c r="M1093" s="64"/>
      <c r="N1093" s="65"/>
      <c r="O1093" s="65"/>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row>
    <row r="1094" spans="1:30" ht="15.75" customHeight="1">
      <c r="A1094" s="327" t="str">
        <f>IF(B1094&lt;&gt;"",IF(AND(B1094='IN-TC'!$S$4,OR(TH!N1094="1111",TH!O1094="1111")),TH!D1094,""),"")</f>
        <v/>
      </c>
      <c r="B1094" s="62" t="str">
        <f t="shared" si="327"/>
        <v/>
      </c>
      <c r="C1094" s="63"/>
      <c r="D1094" s="63"/>
      <c r="E1094" s="63"/>
      <c r="F1094" s="66"/>
      <c r="G1094" s="816"/>
      <c r="H1094" s="71"/>
      <c r="I1094" s="405"/>
      <c r="J1094" s="405"/>
      <c r="K1094" s="398"/>
      <c r="L1094" s="405"/>
      <c r="M1094" s="64"/>
      <c r="N1094" s="65"/>
      <c r="O1094" s="65"/>
      <c r="P1094" s="81" t="str">
        <f>IF(AND('331-CT'!$E$7=TH!H1094,OR(N1094="331",O1094="331")),"x","")</f>
        <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
      </c>
      <c r="AC1094" s="81" t="str">
        <f>IF(AND(OR(LEFT(TH!N1094,2)="15",LEFT(TH!O1094,2)="15"),TK!$E$7=TH!F1094),"x","")</f>
        <v/>
      </c>
      <c r="AD1094" s="81" t="str">
        <f>IF(AND(N1094="1521",MONTH(C1094)='BK-NL'!$M$11),"x","")</f>
        <v/>
      </c>
    </row>
    <row r="1095" spans="1:30" ht="15.75" customHeight="1">
      <c r="A1095" s="327" t="str">
        <f>IF(B1095&lt;&gt;"",IF(AND(B1095='IN-TC'!$S$4,OR(TH!N1095="1111",TH!O1095="1111")),TH!D1095,""),"")</f>
        <v/>
      </c>
      <c r="B1095" s="62" t="str">
        <f t="shared" si="327"/>
        <v/>
      </c>
      <c r="C1095" s="63"/>
      <c r="D1095" s="63"/>
      <c r="E1095" s="63"/>
      <c r="F1095" s="66"/>
      <c r="G1095" s="816"/>
      <c r="H1095" s="71"/>
      <c r="I1095" s="405"/>
      <c r="J1095" s="405"/>
      <c r="K1095" s="398"/>
      <c r="L1095" s="405"/>
      <c r="M1095" s="64"/>
      <c r="N1095" s="65"/>
      <c r="O1095" s="65"/>
      <c r="P1095" s="81" t="str">
        <f>IF(AND('331-CT'!$E$7=TH!H1095,OR(N1095="331",O1095="331")),"x","")</f>
        <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row>
    <row r="1096" spans="1:30" ht="15.75" customHeight="1">
      <c r="A1096" s="327" t="str">
        <f>IF(B1096&lt;&gt;"",IF(AND(B1096='IN-TC'!$S$4,OR(TH!N1096="1111",TH!O1096="1111")),TH!D1096,""),"")</f>
        <v/>
      </c>
      <c r="B1096" s="62" t="str">
        <f t="shared" si="327"/>
        <v/>
      </c>
      <c r="C1096" s="63"/>
      <c r="D1096" s="63"/>
      <c r="E1096" s="63"/>
      <c r="F1096" s="66"/>
      <c r="G1096" s="66"/>
      <c r="H1096" s="71"/>
      <c r="I1096" s="405"/>
      <c r="J1096" s="405"/>
      <c r="K1096" s="398"/>
      <c r="L1096" s="405"/>
      <c r="M1096" s="64"/>
      <c r="N1096" s="65"/>
      <c r="O1096" s="65"/>
      <c r="P1096" s="81" t="str">
        <f>IF(AND('331-CT'!$E$7=TH!H1096,OR(N1096="331",O1096="331")),"x","")</f>
        <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
      </c>
      <c r="AC1096" s="81" t="str">
        <f>IF(AND(OR(LEFT(TH!N1096,2)="15",LEFT(TH!O1096,2)="15"),TK!$E$7=TH!F1096),"x","")</f>
        <v/>
      </c>
      <c r="AD1096" s="81" t="str">
        <f>IF(AND(N1096="1521",MONTH(C1096)='BK-NL'!$M$11),"x","")</f>
        <v/>
      </c>
    </row>
    <row r="1097" spans="1:30" ht="15.75" customHeight="1">
      <c r="A1097" s="327" t="str">
        <f>IF(B1097&lt;&gt;"",IF(AND(B1097='IN-TC'!$S$4,OR(TH!N1097="1111",TH!O1097="1111")),TH!D1097,""),"")</f>
        <v/>
      </c>
      <c r="B1097" s="62" t="str">
        <f t="shared" si="327"/>
        <v/>
      </c>
      <c r="C1097" s="63"/>
      <c r="D1097" s="63"/>
      <c r="E1097" s="63"/>
      <c r="F1097" s="66"/>
      <c r="G1097" s="66"/>
      <c r="H1097" s="71"/>
      <c r="I1097" s="405"/>
      <c r="J1097" s="405"/>
      <c r="K1097" s="398"/>
      <c r="L1097" s="405"/>
      <c r="M1097" s="64"/>
      <c r="N1097" s="65"/>
      <c r="O1097" s="65"/>
      <c r="P1097" s="81" t="str">
        <f>IF(AND('331-CT'!$E$7=TH!H1097,OR(N1097="331",O1097="331")),"x","")</f>
        <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row>
    <row r="1098" spans="1:30" ht="15.75" customHeight="1">
      <c r="A1098" s="327" t="str">
        <f>IF(B1098&lt;&gt;"",IF(AND(B1098='IN-TC'!$S$4,OR(TH!N1098="1111",TH!O1098="1111")),TH!D1098,""),"")</f>
        <v/>
      </c>
      <c r="B1098" s="62" t="str">
        <f t="shared" si="327"/>
        <v/>
      </c>
      <c r="C1098" s="63"/>
      <c r="D1098" s="63"/>
      <c r="E1098" s="63"/>
      <c r="F1098" s="66"/>
      <c r="G1098" s="66"/>
      <c r="H1098" s="71"/>
      <c r="I1098" s="405"/>
      <c r="J1098" s="405"/>
      <c r="K1098" s="398"/>
      <c r="L1098" s="405"/>
      <c r="M1098" s="64"/>
      <c r="N1098" s="65"/>
      <c r="O1098" s="65"/>
      <c r="P1098" s="81" t="str">
        <f>IF(AND('331-CT'!$E$7=TH!H1098,OR(N1098="331",O1098="331")),"x","")</f>
        <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
      </c>
      <c r="AC1098" s="81" t="str">
        <f>IF(AND(OR(LEFT(TH!N1098,2)="15",LEFT(TH!O1098,2)="15"),TK!$E$7=TH!F1098),"x","")</f>
        <v/>
      </c>
      <c r="AD1098" s="81" t="str">
        <f>IF(AND(N1098="1521",MONTH(C1098)='BK-NL'!$M$11),"x","")</f>
        <v/>
      </c>
    </row>
    <row r="1099" spans="1:30" ht="15.75" customHeight="1">
      <c r="A1099" s="327" t="str">
        <f>IF(B1099&lt;&gt;"",IF(AND(B1099='IN-TC'!$S$4,OR(TH!N1099="1111",TH!O1099="1111")),TH!D1099,""),"")</f>
        <v/>
      </c>
      <c r="B1099" s="62" t="str">
        <f t="shared" si="327"/>
        <v/>
      </c>
      <c r="C1099" s="63"/>
      <c r="D1099" s="63"/>
      <c r="E1099" s="63"/>
      <c r="F1099" s="66"/>
      <c r="G1099" s="66"/>
      <c r="H1099" s="71"/>
      <c r="I1099" s="405"/>
      <c r="J1099" s="405"/>
      <c r="K1099" s="398"/>
      <c r="L1099" s="405"/>
      <c r="M1099" s="64"/>
      <c r="N1099" s="65"/>
      <c r="O1099" s="65"/>
      <c r="P1099" s="81" t="str">
        <f>IF(AND('331-CT'!$E$7=TH!H1099,OR(N1099="331",O1099="331")),"x","")</f>
        <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row>
    <row r="1100" spans="1:30" ht="15.75" customHeight="1">
      <c r="A1100" s="327" t="str">
        <f>IF(B1100&lt;&gt;"",IF(AND(B1100='IN-TC'!$S$4,OR(TH!N1100="1111",TH!O1100="1111")),TH!D1100,""),"")</f>
        <v/>
      </c>
      <c r="B1100" s="62" t="str">
        <f t="shared" ref="B1100:B1163" si="328">IF(C1100&lt;&gt;"",MONTH(C1100),"")</f>
        <v/>
      </c>
      <c r="C1100" s="63"/>
      <c r="D1100" s="63"/>
      <c r="E1100" s="63"/>
      <c r="F1100" s="66"/>
      <c r="G1100" s="66"/>
      <c r="H1100" s="71"/>
      <c r="I1100" s="405"/>
      <c r="J1100" s="405"/>
      <c r="K1100" s="398"/>
      <c r="L1100" s="405"/>
      <c r="M1100" s="64"/>
      <c r="N1100" s="65"/>
      <c r="O1100" s="65"/>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
      </c>
      <c r="AC1100" s="81" t="str">
        <f>IF(AND(OR(LEFT(TH!N1100,2)="15",LEFT(TH!O1100,2)="15"),TK!$E$7=TH!F1100),"x","")</f>
        <v/>
      </c>
      <c r="AD1100" s="81" t="str">
        <f>IF(AND(N1100="1521",MONTH(C1100)='BK-NL'!$M$11),"x","")</f>
        <v/>
      </c>
    </row>
    <row r="1101" spans="1:30" ht="15.75" customHeight="1">
      <c r="A1101" s="327" t="str">
        <f>IF(B1101&lt;&gt;"",IF(AND(B1101='IN-TC'!$S$4,OR(TH!N1101="1111",TH!O1101="1111")),TH!D1101,""),"")</f>
        <v/>
      </c>
      <c r="B1101" s="62" t="str">
        <f t="shared" si="328"/>
        <v/>
      </c>
      <c r="C1101" s="63"/>
      <c r="D1101" s="63"/>
      <c r="E1101" s="63"/>
      <c r="F1101" s="66"/>
      <c r="G1101" s="66"/>
      <c r="H1101" s="71"/>
      <c r="I1101" s="407"/>
      <c r="J1101" s="407"/>
      <c r="K1101" s="400"/>
      <c r="L1101" s="407"/>
      <c r="M1101" s="64"/>
      <c r="N1101" s="65"/>
      <c r="O1101" s="65"/>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row>
    <row r="1102" spans="1:30" ht="15.75" customHeight="1">
      <c r="A1102" s="327" t="str">
        <f>IF(B1102&lt;&gt;"",IF(AND(B1102='IN-TC'!$S$4,OR(TH!N1102="1111",TH!O1102="1111")),TH!D1102,""),"")</f>
        <v/>
      </c>
      <c r="B1102" s="62" t="str">
        <f t="shared" si="328"/>
        <v/>
      </c>
      <c r="C1102" s="63"/>
      <c r="D1102" s="63"/>
      <c r="E1102" s="63"/>
      <c r="F1102" s="66"/>
      <c r="G1102" s="66"/>
      <c r="H1102" s="71"/>
      <c r="I1102" s="407"/>
      <c r="J1102" s="407"/>
      <c r="K1102" s="400"/>
      <c r="L1102" s="407"/>
      <c r="M1102" s="64"/>
      <c r="N1102" s="65"/>
      <c r="O1102" s="65"/>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
      </c>
      <c r="AB1102" s="81" t="str">
        <f>IF(AND(OR(LEFT(TH!N1102,2)="15",LEFT(TH!O1102,2)="15"),LEFT(TH!O1102,3)&lt;&gt;"111",'152-CT'!$J$8=TH!F1102),"x","")</f>
        <v/>
      </c>
      <c r="AC1102" s="81" t="str">
        <f>IF(AND(OR(LEFT(TH!N1102,2)="15",LEFT(TH!O1102,2)="15"),TK!$E$7=TH!F1102),"x","")</f>
        <v/>
      </c>
      <c r="AD1102" s="81" t="str">
        <f>IF(AND(N1102="1521",MONTH(C1102)='BK-NL'!$M$11),"x","")</f>
        <v/>
      </c>
    </row>
    <row r="1103" spans="1:30" ht="15.75" customHeight="1">
      <c r="A1103" s="327" t="str">
        <f>IF(B1103&lt;&gt;"",IF(AND(B1103='IN-TC'!$S$4,OR(TH!N1103="1111",TH!O1103="1111")),TH!D1103,""),"")</f>
        <v/>
      </c>
      <c r="B1103" s="62" t="str">
        <f t="shared" si="328"/>
        <v/>
      </c>
      <c r="C1103" s="63"/>
      <c r="D1103" s="63"/>
      <c r="E1103" s="63"/>
      <c r="F1103" s="66"/>
      <c r="G1103" s="66"/>
      <c r="H1103" s="71"/>
      <c r="I1103" s="407"/>
      <c r="J1103" s="407"/>
      <c r="K1103" s="400"/>
      <c r="L1103" s="407"/>
      <c r="M1103" s="64"/>
      <c r="N1103" s="65"/>
      <c r="O1103" s="65"/>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
      </c>
      <c r="AB1103" s="81" t="str">
        <f>IF(AND(OR(LEFT(TH!N1103,2)="15",LEFT(TH!O1103,2)="15"),LEFT(TH!O1103,3)&lt;&gt;"111",'152-CT'!$J$8=TH!F1103),"x","")</f>
        <v/>
      </c>
      <c r="AC1103" s="81" t="str">
        <f>IF(AND(OR(LEFT(TH!N1103,2)="15",LEFT(TH!O1103,2)="15"),TK!$E$7=TH!F1103),"x","")</f>
        <v/>
      </c>
      <c r="AD1103" s="81" t="str">
        <f>IF(AND(N1103="1521",MONTH(C1103)='BK-NL'!$M$11),"x","")</f>
        <v/>
      </c>
    </row>
    <row r="1104" spans="1:30" ht="15.75" customHeight="1">
      <c r="A1104" s="327" t="str">
        <f>IF(B1104&lt;&gt;"",IF(AND(B1104='IN-TC'!$S$4,OR(TH!N1104="1111",TH!O1104="1111")),TH!D1104,""),"")</f>
        <v/>
      </c>
      <c r="B1104" s="62" t="str">
        <f t="shared" si="328"/>
        <v/>
      </c>
      <c r="C1104" s="63"/>
      <c r="D1104" s="63"/>
      <c r="E1104" s="63"/>
      <c r="F1104" s="66"/>
      <c r="G1104" s="66"/>
      <c r="H1104" s="71"/>
      <c r="I1104" s="407"/>
      <c r="J1104" s="407"/>
      <c r="K1104" s="400"/>
      <c r="L1104" s="407"/>
      <c r="M1104" s="64"/>
      <c r="N1104" s="65"/>
      <c r="O1104" s="65"/>
      <c r="P1104" s="81" t="str">
        <f>IF(AND('331-CT'!$E$7=TH!H1104,OR(N1104="331",O1104="331")),"x","")</f>
        <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
      </c>
      <c r="AB1104" s="81" t="str">
        <f>IF(AND(OR(LEFT(TH!N1104,2)="15",LEFT(TH!O1104,2)="15"),LEFT(TH!O1104,3)&lt;&gt;"111",'152-CT'!$J$8=TH!F1104),"x","")</f>
        <v/>
      </c>
      <c r="AC1104" s="81" t="str">
        <f>IF(AND(OR(LEFT(TH!N1104,2)="15",LEFT(TH!O1104,2)="15"),TK!$E$7=TH!F1104),"x","")</f>
        <v/>
      </c>
      <c r="AD1104" s="81" t="str">
        <f>IF(AND(N1104="1521",MONTH(C1104)='BK-NL'!$M$11),"x","")</f>
        <v/>
      </c>
    </row>
    <row r="1105" spans="1:30" ht="15.75" customHeight="1">
      <c r="A1105" s="327" t="str">
        <f>IF(B1105&lt;&gt;"",IF(AND(B1105='IN-TC'!$S$4,OR(TH!N1105="1111",TH!O1105="1111")),TH!D1105,""),"")</f>
        <v/>
      </c>
      <c r="B1105" s="62" t="str">
        <f t="shared" si="328"/>
        <v/>
      </c>
      <c r="C1105" s="63"/>
      <c r="D1105" s="63"/>
      <c r="E1105" s="63"/>
      <c r="F1105" s="66"/>
      <c r="G1105" s="66"/>
      <c r="H1105" s="71"/>
      <c r="I1105" s="407"/>
      <c r="J1105" s="407"/>
      <c r="K1105" s="400"/>
      <c r="L1105" s="407"/>
      <c r="M1105" s="64"/>
      <c r="N1105" s="65"/>
      <c r="O1105" s="65"/>
      <c r="P1105" s="81" t="str">
        <f>IF(AND('331-CT'!$E$7=TH!H1105,OR(N1105="331",O1105="331")),"x","")</f>
        <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
      </c>
      <c r="AB1105" s="81" t="str">
        <f>IF(AND(OR(LEFT(TH!N1105,2)="15",LEFT(TH!O1105,2)="15"),LEFT(TH!O1105,3)&lt;&gt;"111",'152-CT'!$J$8=TH!F1105),"x","")</f>
        <v/>
      </c>
      <c r="AC1105" s="81" t="str">
        <f>IF(AND(OR(LEFT(TH!N1105,2)="15",LEFT(TH!O1105,2)="15"),TK!$E$7=TH!F1105),"x","")</f>
        <v/>
      </c>
      <c r="AD1105" s="81" t="str">
        <f>IF(AND(N1105="1521",MONTH(C1105)='BK-NL'!$M$11),"x","")</f>
        <v/>
      </c>
    </row>
    <row r="1106" spans="1:30" ht="15.75" customHeight="1">
      <c r="A1106" s="327" t="str">
        <f>IF(B1106&lt;&gt;"",IF(AND(B1106='IN-TC'!$S$4,OR(TH!N1106="1111",TH!O1106="1111")),TH!D1106,""),"")</f>
        <v/>
      </c>
      <c r="B1106" s="62" t="str">
        <f t="shared" si="328"/>
        <v/>
      </c>
      <c r="C1106" s="63"/>
      <c r="D1106" s="63"/>
      <c r="E1106" s="63"/>
      <c r="F1106" s="66"/>
      <c r="G1106" s="66"/>
      <c r="H1106" s="71"/>
      <c r="I1106" s="407"/>
      <c r="J1106" s="407"/>
      <c r="K1106" s="400"/>
      <c r="L1106" s="407"/>
      <c r="M1106" s="64"/>
      <c r="N1106" s="65"/>
      <c r="O1106" s="65"/>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
      </c>
      <c r="AB1106" s="81" t="str">
        <f>IF(AND(OR(LEFT(TH!N1106,2)="15",LEFT(TH!O1106,2)="15"),LEFT(TH!O1106,3)&lt;&gt;"111",'152-CT'!$J$8=TH!F1106),"x","")</f>
        <v/>
      </c>
      <c r="AC1106" s="81" t="str">
        <f>IF(AND(OR(LEFT(TH!N1106,2)="15",LEFT(TH!O1106,2)="15"),TK!$E$7=TH!F1106),"x","")</f>
        <v/>
      </c>
      <c r="AD1106" s="81" t="str">
        <f>IF(AND(N1106="1521",MONTH(C1106)='BK-NL'!$M$11),"x","")</f>
        <v/>
      </c>
    </row>
    <row r="1107" spans="1:30" ht="15.75" customHeight="1">
      <c r="A1107" s="327" t="str">
        <f>IF(B1107&lt;&gt;"",IF(AND(B1107='IN-TC'!$S$4,OR(TH!N1107="1111",TH!O1107="1111")),TH!D1107,""),"")</f>
        <v/>
      </c>
      <c r="B1107" s="62" t="str">
        <f t="shared" si="328"/>
        <v/>
      </c>
      <c r="C1107" s="63"/>
      <c r="D1107" s="63"/>
      <c r="E1107" s="63"/>
      <c r="F1107" s="66"/>
      <c r="G1107" s="66"/>
      <c r="H1107" s="71"/>
      <c r="I1107" s="407"/>
      <c r="J1107" s="407"/>
      <c r="K1107" s="400"/>
      <c r="L1107" s="407"/>
      <c r="M1107" s="64"/>
      <c r="N1107" s="65"/>
      <c r="O1107" s="65"/>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
      </c>
      <c r="AB1107" s="81" t="str">
        <f>IF(AND(OR(LEFT(TH!N1107,2)="15",LEFT(TH!O1107,2)="15"),LEFT(TH!O1107,3)&lt;&gt;"111",'152-CT'!$J$8=TH!F1107),"x","")</f>
        <v/>
      </c>
      <c r="AC1107" s="81" t="str">
        <f>IF(AND(OR(LEFT(TH!N1107,2)="15",LEFT(TH!O1107,2)="15"),TK!$E$7=TH!F1107),"x","")</f>
        <v/>
      </c>
      <c r="AD1107" s="81" t="str">
        <f>IF(AND(N1107="1521",MONTH(C1107)='BK-NL'!$M$11),"x","")</f>
        <v/>
      </c>
    </row>
    <row r="1108" spans="1:30" ht="15.75" customHeight="1">
      <c r="A1108" s="327" t="str">
        <f>IF(B1108&lt;&gt;"",IF(AND(B1108='IN-TC'!$S$4,OR(TH!N1108="1111",TH!O1108="1111")),TH!D1108,""),"")</f>
        <v/>
      </c>
      <c r="B1108" s="62" t="str">
        <f t="shared" si="328"/>
        <v/>
      </c>
      <c r="C1108" s="63"/>
      <c r="D1108" s="63"/>
      <c r="E1108" s="63"/>
      <c r="F1108" s="66"/>
      <c r="G1108" s="66"/>
      <c r="H1108" s="71"/>
      <c r="I1108" s="407"/>
      <c r="J1108" s="407"/>
      <c r="K1108" s="400"/>
      <c r="L1108" s="407"/>
      <c r="M1108" s="64"/>
      <c r="N1108" s="65"/>
      <c r="O1108" s="65"/>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
      </c>
      <c r="AB1108" s="81" t="str">
        <f>IF(AND(OR(LEFT(TH!N1108,2)="15",LEFT(TH!O1108,2)="15"),LEFT(TH!O1108,3)&lt;&gt;"111",'152-CT'!$J$8=TH!F1108),"x","")</f>
        <v/>
      </c>
      <c r="AC1108" s="81" t="str">
        <f>IF(AND(OR(LEFT(TH!N1108,2)="15",LEFT(TH!O1108,2)="15"),TK!$E$7=TH!F1108),"x","")</f>
        <v/>
      </c>
      <c r="AD1108" s="81" t="str">
        <f>IF(AND(N1108="1521",MONTH(C1108)='BK-NL'!$M$11),"x","")</f>
        <v/>
      </c>
    </row>
    <row r="1109" spans="1:30" ht="15.75" customHeight="1">
      <c r="A1109" s="327" t="str">
        <f>IF(B1109&lt;&gt;"",IF(AND(B1109='IN-TC'!$S$4,OR(TH!N1109="1111",TH!O1109="1111")),TH!D1109,""),"")</f>
        <v/>
      </c>
      <c r="B1109" s="62" t="str">
        <f t="shared" si="328"/>
        <v/>
      </c>
      <c r="C1109" s="63"/>
      <c r="D1109" s="63"/>
      <c r="E1109" s="63"/>
      <c r="F1109" s="66"/>
      <c r="G1109" s="66"/>
      <c r="H1109" s="71"/>
      <c r="I1109" s="407"/>
      <c r="J1109" s="407"/>
      <c r="K1109" s="400"/>
      <c r="L1109" s="407"/>
      <c r="M1109" s="64"/>
      <c r="N1109" s="65"/>
      <c r="O1109" s="65"/>
      <c r="P1109" s="81" t="str">
        <f>IF(AND('331-CT'!$E$7=TH!H1109,OR(N1109="331",O1109="331")),"x","")</f>
        <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
      </c>
      <c r="AB1109" s="81" t="str">
        <f>IF(AND(OR(LEFT(TH!N1109,2)="15",LEFT(TH!O1109,2)="15"),LEFT(TH!O1109,3)&lt;&gt;"111",'152-CT'!$J$8=TH!F1109),"x","")</f>
        <v/>
      </c>
      <c r="AC1109" s="81" t="str">
        <f>IF(AND(OR(LEFT(TH!N1109,2)="15",LEFT(TH!O1109,2)="15"),TK!$E$7=TH!F1109),"x","")</f>
        <v/>
      </c>
      <c r="AD1109" s="81" t="str">
        <f>IF(AND(N1109="1521",MONTH(C1109)='BK-NL'!$M$11),"x","")</f>
        <v/>
      </c>
    </row>
    <row r="1110" spans="1:30" ht="15.75" customHeight="1">
      <c r="A1110" s="327" t="str">
        <f>IF(B1110&lt;&gt;"",IF(AND(B1110='IN-TC'!$S$4,OR(TH!N1110="1111",TH!O1110="1111")),TH!D1110,""),"")</f>
        <v/>
      </c>
      <c r="B1110" s="62" t="str">
        <f t="shared" si="328"/>
        <v/>
      </c>
      <c r="C1110" s="63"/>
      <c r="D1110" s="63"/>
      <c r="E1110" s="63"/>
      <c r="F1110" s="66"/>
      <c r="G1110" s="66"/>
      <c r="H1110" s="71"/>
      <c r="I1110" s="407"/>
      <c r="J1110" s="407"/>
      <c r="K1110" s="400"/>
      <c r="L1110" s="407"/>
      <c r="M1110" s="64"/>
      <c r="N1110" s="65"/>
      <c r="O1110" s="65"/>
      <c r="P1110" s="81" t="str">
        <f>IF(AND('331-CT'!$E$7=TH!H1110,OR(N1110="331",O1110="331")),"x","")</f>
        <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
      </c>
      <c r="AB1110" s="81" t="str">
        <f>IF(AND(OR(LEFT(TH!N1110,2)="15",LEFT(TH!O1110,2)="15"),LEFT(TH!O1110,3)&lt;&gt;"111",'152-CT'!$J$8=TH!F1110),"x","")</f>
        <v/>
      </c>
      <c r="AC1110" s="81" t="str">
        <f>IF(AND(OR(LEFT(TH!N1110,2)="15",LEFT(TH!O1110,2)="15"),TK!$E$7=TH!F1110),"x","")</f>
        <v/>
      </c>
      <c r="AD1110" s="81" t="str">
        <f>IF(AND(N1110="1521",MONTH(C1110)='BK-NL'!$M$11),"x","")</f>
        <v/>
      </c>
    </row>
    <row r="1111" spans="1:30" ht="15.75" customHeight="1">
      <c r="A1111" s="327" t="str">
        <f>IF(B1111&lt;&gt;"",IF(AND(B1111='IN-TC'!$S$4,OR(TH!N1111="1111",TH!O1111="1111")),TH!D1111,""),"")</f>
        <v/>
      </c>
      <c r="B1111" s="62" t="str">
        <f t="shared" si="328"/>
        <v/>
      </c>
      <c r="C1111" s="63"/>
      <c r="D1111" s="63"/>
      <c r="E1111" s="63"/>
      <c r="F1111" s="66"/>
      <c r="G1111" s="66"/>
      <c r="H1111" s="71"/>
      <c r="I1111" s="407"/>
      <c r="J1111" s="407"/>
      <c r="K1111" s="400"/>
      <c r="L1111" s="407"/>
      <c r="M1111" s="64"/>
      <c r="N1111" s="65"/>
      <c r="O1111" s="65"/>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
      </c>
      <c r="AB1111" s="81" t="str">
        <f>IF(AND(OR(LEFT(TH!N1111,2)="15",LEFT(TH!O1111,2)="15"),LEFT(TH!O1111,3)&lt;&gt;"111",'152-CT'!$J$8=TH!F1111),"x","")</f>
        <v/>
      </c>
      <c r="AC1111" s="81" t="str">
        <f>IF(AND(OR(LEFT(TH!N1111,2)="15",LEFT(TH!O1111,2)="15"),TK!$E$7=TH!F1111),"x","")</f>
        <v/>
      </c>
      <c r="AD1111" s="81" t="str">
        <f>IF(AND(N1111="1521",MONTH(C1111)='BK-NL'!$M$11),"x","")</f>
        <v/>
      </c>
    </row>
    <row r="1112" spans="1:30" ht="15.75" customHeight="1">
      <c r="A1112" s="327" t="str">
        <f>IF(B1112&lt;&gt;"",IF(AND(B1112='IN-TC'!$S$4,OR(TH!N1112="1111",TH!O1112="1111")),TH!D1112,""),"")</f>
        <v/>
      </c>
      <c r="B1112" s="62" t="str">
        <f t="shared" si="328"/>
        <v/>
      </c>
      <c r="C1112" s="63"/>
      <c r="D1112" s="63"/>
      <c r="E1112" s="63"/>
      <c r="F1112" s="66"/>
      <c r="G1112" s="66"/>
      <c r="H1112" s="71"/>
      <c r="I1112" s="407"/>
      <c r="J1112" s="407"/>
      <c r="K1112" s="400"/>
      <c r="L1112" s="407"/>
      <c r="M1112" s="64"/>
      <c r="N1112" s="65"/>
      <c r="O1112" s="65"/>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
      </c>
      <c r="AB1112" s="81" t="str">
        <f>IF(AND(OR(LEFT(TH!N1112,2)="15",LEFT(TH!O1112,2)="15"),LEFT(TH!O1112,3)&lt;&gt;"111",'152-CT'!$J$8=TH!F1112),"x","")</f>
        <v/>
      </c>
      <c r="AC1112" s="81" t="str">
        <f>IF(AND(OR(LEFT(TH!N1112,2)="15",LEFT(TH!O1112,2)="15"),TK!$E$7=TH!F1112),"x","")</f>
        <v/>
      </c>
      <c r="AD1112" s="81" t="str">
        <f>IF(AND(N1112="1521",MONTH(C1112)='BK-NL'!$M$11),"x","")</f>
        <v/>
      </c>
    </row>
    <row r="1113" spans="1:30" ht="15.75" customHeight="1">
      <c r="A1113" s="327" t="str">
        <f>IF(B1113&lt;&gt;"",IF(AND(B1113='IN-TC'!$S$4,OR(TH!N1113="1111",TH!O1113="1111")),TH!D1113,""),"")</f>
        <v/>
      </c>
      <c r="B1113" s="62" t="str">
        <f t="shared" si="328"/>
        <v/>
      </c>
      <c r="C1113" s="63"/>
      <c r="D1113" s="63"/>
      <c r="E1113" s="63"/>
      <c r="F1113" s="66"/>
      <c r="G1113" s="66"/>
      <c r="H1113" s="71"/>
      <c r="I1113" s="407"/>
      <c r="J1113" s="407"/>
      <c r="K1113" s="400"/>
      <c r="L1113" s="407"/>
      <c r="M1113" s="64"/>
      <c r="N1113" s="65"/>
      <c r="O1113" s="65"/>
      <c r="P1113" s="81" t="str">
        <f>IF(AND('331-CT'!$E$7=TH!H1113,OR(N1113="331",O1113="331")),"x","")</f>
        <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
      </c>
      <c r="AB1113" s="81" t="str">
        <f>IF(AND(OR(LEFT(TH!N1113,2)="15",LEFT(TH!O1113,2)="15"),LEFT(TH!O1113,3)&lt;&gt;"111",'152-CT'!$J$8=TH!F1113),"x","")</f>
        <v/>
      </c>
      <c r="AC1113" s="81" t="str">
        <f>IF(AND(OR(LEFT(TH!N1113,2)="15",LEFT(TH!O1113,2)="15"),TK!$E$7=TH!F1113),"x","")</f>
        <v/>
      </c>
      <c r="AD1113" s="81" t="str">
        <f>IF(AND(N1113="1521",MONTH(C1113)='BK-NL'!$M$11),"x","")</f>
        <v/>
      </c>
    </row>
    <row r="1114" spans="1:30" ht="15.75" customHeight="1">
      <c r="A1114" s="327" t="str">
        <f>IF(B1114&lt;&gt;"",IF(AND(B1114='IN-TC'!$S$4,OR(TH!N1114="1111",TH!O1114="1111")),TH!D1114,""),"")</f>
        <v/>
      </c>
      <c r="B1114" s="62" t="str">
        <f t="shared" si="328"/>
        <v/>
      </c>
      <c r="C1114" s="63"/>
      <c r="D1114" s="63"/>
      <c r="E1114" s="63"/>
      <c r="F1114" s="66"/>
      <c r="G1114" s="816"/>
      <c r="H1114" s="71"/>
      <c r="I1114" s="405"/>
      <c r="J1114" s="405"/>
      <c r="K1114" s="398"/>
      <c r="L1114" s="405"/>
      <c r="M1114" s="64"/>
      <c r="N1114" s="65"/>
      <c r="O1114" s="65"/>
      <c r="P1114" s="81" t="str">
        <f>IF(AND('331-CT'!$E$7=TH!H1114,OR(N1114="331",O1114="331")),"x","")</f>
        <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
      </c>
      <c r="AB1114" s="81" t="str">
        <f>IF(AND(OR(LEFT(TH!N1114,2)="15",LEFT(TH!O1114,2)="15"),LEFT(TH!O1114,3)&lt;&gt;"111",'152-CT'!$J$8=TH!F1114),"x","")</f>
        <v/>
      </c>
      <c r="AC1114" s="81" t="str">
        <f>IF(AND(OR(LEFT(TH!N1114,2)="15",LEFT(TH!O1114,2)="15"),TK!$E$7=TH!F1114),"x","")</f>
        <v/>
      </c>
      <c r="AD1114" s="81" t="str">
        <f>IF(AND(N1114="1521",MONTH(C1114)='BK-NL'!$M$11),"x","")</f>
        <v/>
      </c>
    </row>
    <row r="1115" spans="1:30" ht="15.75" customHeight="1">
      <c r="A1115" s="327" t="str">
        <f>IF(B1115&lt;&gt;"",IF(AND(B1115='IN-TC'!$S$4,OR(TH!N1115="1111",TH!O1115="1111")),TH!D1115,""),"")</f>
        <v/>
      </c>
      <c r="B1115" s="62" t="str">
        <f t="shared" si="328"/>
        <v/>
      </c>
      <c r="C1115" s="63"/>
      <c r="D1115" s="63"/>
      <c r="E1115" s="63"/>
      <c r="F1115" s="66"/>
      <c r="G1115" s="816"/>
      <c r="H1115" s="71"/>
      <c r="I1115" s="405"/>
      <c r="J1115" s="405"/>
      <c r="K1115" s="398"/>
      <c r="L1115" s="405"/>
      <c r="M1115" s="64"/>
      <c r="N1115" s="65"/>
      <c r="O1115" s="65"/>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
      </c>
      <c r="AC1115" s="81" t="str">
        <f>IF(AND(OR(LEFT(TH!N1115,2)="15",LEFT(TH!O1115,2)="15"),TK!$E$7=TH!F1115),"x","")</f>
        <v/>
      </c>
      <c r="AD1115" s="81" t="str">
        <f>IF(AND(N1115="1521",MONTH(C1115)='BK-NL'!$M$11),"x","")</f>
        <v/>
      </c>
    </row>
    <row r="1116" spans="1:30" ht="15.75" customHeight="1">
      <c r="A1116" s="327" t="str">
        <f>IF(B1116&lt;&gt;"",IF(AND(B1116='IN-TC'!$S$4,OR(TH!N1116="1111",TH!O1116="1111")),TH!D1116,""),"")</f>
        <v/>
      </c>
      <c r="B1116" s="62" t="str">
        <f t="shared" si="328"/>
        <v/>
      </c>
      <c r="C1116" s="63"/>
      <c r="D1116" s="63"/>
      <c r="E1116" s="63"/>
      <c r="F1116" s="66"/>
      <c r="G1116" s="816"/>
      <c r="H1116" s="71"/>
      <c r="I1116" s="405"/>
      <c r="J1116" s="405"/>
      <c r="K1116" s="398"/>
      <c r="L1116" s="405"/>
      <c r="M1116" s="64"/>
      <c r="N1116" s="65"/>
      <c r="O1116" s="65"/>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row>
    <row r="1117" spans="1:30" ht="15.75" customHeight="1">
      <c r="A1117" s="327" t="str">
        <f>IF(B1117&lt;&gt;"",IF(AND(B1117='IN-TC'!$S$4,OR(TH!N1117="1111",TH!O1117="1111")),TH!D1117,""),"")</f>
        <v/>
      </c>
      <c r="B1117" s="62" t="str">
        <f t="shared" si="328"/>
        <v/>
      </c>
      <c r="C1117" s="63"/>
      <c r="D1117" s="63"/>
      <c r="E1117" s="63"/>
      <c r="F1117" s="66"/>
      <c r="G1117" s="816"/>
      <c r="H1117" s="71"/>
      <c r="I1117" s="405"/>
      <c r="J1117" s="405"/>
      <c r="K1117" s="398"/>
      <c r="L1117" s="405"/>
      <c r="M1117" s="64"/>
      <c r="N1117" s="65"/>
      <c r="O1117" s="65"/>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
      </c>
      <c r="AB1117" s="81" t="str">
        <f>IF(AND(OR(LEFT(TH!N1117,2)="15",LEFT(TH!O1117,2)="15"),LEFT(TH!O1117,3)&lt;&gt;"111",'152-CT'!$J$8=TH!F1117),"x","")</f>
        <v/>
      </c>
      <c r="AC1117" s="81" t="str">
        <f>IF(AND(OR(LEFT(TH!N1117,2)="15",LEFT(TH!O1117,2)="15"),TK!$E$7=TH!F1117),"x","")</f>
        <v/>
      </c>
      <c r="AD1117" s="81" t="str">
        <f>IF(AND(N1117="1521",MONTH(C1117)='BK-NL'!$M$11),"x","")</f>
        <v/>
      </c>
    </row>
    <row r="1118" spans="1:30" ht="15.75" customHeight="1">
      <c r="A1118" s="327" t="str">
        <f>IF(B1118&lt;&gt;"",IF(AND(B1118='IN-TC'!$S$4,OR(TH!N1118="1111",TH!O1118="1111")),TH!D1118,""),"")</f>
        <v/>
      </c>
      <c r="B1118" s="62" t="str">
        <f t="shared" si="328"/>
        <v/>
      </c>
      <c r="C1118" s="63"/>
      <c r="D1118" s="63"/>
      <c r="E1118" s="63"/>
      <c r="F1118" s="66"/>
      <c r="G1118" s="66"/>
      <c r="H1118" s="71"/>
      <c r="I1118" s="405"/>
      <c r="J1118" s="405"/>
      <c r="K1118" s="398"/>
      <c r="L1118" s="405"/>
      <c r="M1118" s="64"/>
      <c r="N1118" s="65"/>
      <c r="O1118" s="65"/>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
      </c>
      <c r="AB1118" s="81" t="str">
        <f>IF(AND(OR(LEFT(TH!N1118,2)="15",LEFT(TH!O1118,2)="15"),LEFT(TH!O1118,3)&lt;&gt;"111",'152-CT'!$J$8=TH!F1118),"x","")</f>
        <v/>
      </c>
      <c r="AC1118" s="81" t="str">
        <f>IF(AND(OR(LEFT(TH!N1118,2)="15",LEFT(TH!O1118,2)="15"),TK!$E$7=TH!F1118),"x","")</f>
        <v/>
      </c>
      <c r="AD1118" s="81" t="str">
        <f>IF(AND(N1118="1521",MONTH(C1118)='BK-NL'!$M$11),"x","")</f>
        <v/>
      </c>
    </row>
    <row r="1119" spans="1:30" ht="15.75" customHeight="1">
      <c r="A1119" s="327" t="str">
        <f>IF(B1119&lt;&gt;"",IF(AND(B1119='IN-TC'!$S$4,OR(TH!N1119="1111",TH!O1119="1111")),TH!D1119,""),"")</f>
        <v/>
      </c>
      <c r="B1119" s="62" t="str">
        <f t="shared" si="328"/>
        <v/>
      </c>
      <c r="C1119" s="63"/>
      <c r="D1119" s="63"/>
      <c r="E1119" s="63"/>
      <c r="F1119" s="66"/>
      <c r="G1119" s="66"/>
      <c r="H1119" s="71"/>
      <c r="I1119" s="405"/>
      <c r="J1119" s="405"/>
      <c r="K1119" s="398"/>
      <c r="L1119" s="405"/>
      <c r="M1119" s="64"/>
      <c r="N1119" s="65"/>
      <c r="O1119" s="65"/>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
      </c>
      <c r="AB1119" s="81" t="str">
        <f>IF(AND(OR(LEFT(TH!N1119,2)="15",LEFT(TH!O1119,2)="15"),LEFT(TH!O1119,3)&lt;&gt;"111",'152-CT'!$J$8=TH!F1119),"x","")</f>
        <v/>
      </c>
      <c r="AC1119" s="81" t="str">
        <f>IF(AND(OR(LEFT(TH!N1119,2)="15",LEFT(TH!O1119,2)="15"),TK!$E$7=TH!F1119),"x","")</f>
        <v/>
      </c>
      <c r="AD1119" s="81" t="str">
        <f>IF(AND(N1119="1521",MONTH(C1119)='BK-NL'!$M$11),"x","")</f>
        <v/>
      </c>
    </row>
    <row r="1120" spans="1:30" ht="15.75" customHeight="1">
      <c r="A1120" s="327" t="str">
        <f>IF(B1120&lt;&gt;"",IF(AND(B1120='IN-TC'!$S$4,OR(TH!N1120="1111",TH!O1120="1111")),TH!D1120,""),"")</f>
        <v/>
      </c>
      <c r="B1120" s="62" t="str">
        <f t="shared" si="328"/>
        <v/>
      </c>
      <c r="C1120" s="63"/>
      <c r="D1120" s="63"/>
      <c r="E1120" s="63"/>
      <c r="F1120" s="66"/>
      <c r="G1120" s="66"/>
      <c r="H1120" s="71"/>
      <c r="I1120" s="405"/>
      <c r="J1120" s="405"/>
      <c r="K1120" s="398"/>
      <c r="L1120" s="405"/>
      <c r="M1120" s="64"/>
      <c r="N1120" s="65"/>
      <c r="O1120" s="65"/>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
      </c>
      <c r="AB1120" s="81" t="str">
        <f>IF(AND(OR(LEFT(TH!N1120,2)="15",LEFT(TH!O1120,2)="15"),LEFT(TH!O1120,3)&lt;&gt;"111",'152-CT'!$J$8=TH!F1120),"x","")</f>
        <v/>
      </c>
      <c r="AC1120" s="81" t="str">
        <f>IF(AND(OR(LEFT(TH!N1120,2)="15",LEFT(TH!O1120,2)="15"),TK!$E$7=TH!F1120),"x","")</f>
        <v/>
      </c>
      <c r="AD1120" s="81" t="str">
        <f>IF(AND(N1120="1521",MONTH(C1120)='BK-NL'!$M$11),"x","")</f>
        <v/>
      </c>
    </row>
    <row r="1121" spans="1:30" ht="15.75" customHeight="1">
      <c r="A1121" s="327" t="str">
        <f>IF(B1121&lt;&gt;"",IF(AND(B1121='IN-TC'!$S$4,OR(TH!N1121="1111",TH!O1121="1111")),TH!D1121,""),"")</f>
        <v/>
      </c>
      <c r="B1121" s="62" t="str">
        <f t="shared" si="328"/>
        <v/>
      </c>
      <c r="C1121" s="63"/>
      <c r="D1121" s="63"/>
      <c r="E1121" s="63"/>
      <c r="F1121" s="66"/>
      <c r="G1121" s="66"/>
      <c r="H1121" s="71"/>
      <c r="I1121" s="405"/>
      <c r="J1121" s="405"/>
      <c r="K1121" s="398"/>
      <c r="L1121" s="405"/>
      <c r="M1121" s="64"/>
      <c r="N1121" s="65"/>
      <c r="O1121" s="65"/>
      <c r="P1121" s="81" t="str">
        <f>IF(AND('331-CT'!$E$7=TH!H1121,OR(N1121="331",O1121="331")),"x","")</f>
        <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
      </c>
      <c r="AC1121" s="81" t="str">
        <f>IF(AND(OR(LEFT(TH!N1121,2)="15",LEFT(TH!O1121,2)="15"),TK!$E$7=TH!F1121),"x","")</f>
        <v/>
      </c>
      <c r="AD1121" s="81" t="str">
        <f>IF(AND(N1121="1521",MONTH(C1121)='BK-NL'!$M$11),"x","")</f>
        <v/>
      </c>
    </row>
    <row r="1122" spans="1:30" ht="15.75" customHeight="1">
      <c r="A1122" s="327" t="str">
        <f>IF(B1122&lt;&gt;"",IF(AND(B1122='IN-TC'!$S$4,OR(TH!N1122="1111",TH!O1122="1111")),TH!D1122,""),"")</f>
        <v/>
      </c>
      <c r="B1122" s="62" t="str">
        <f t="shared" si="328"/>
        <v/>
      </c>
      <c r="C1122" s="63"/>
      <c r="D1122" s="63"/>
      <c r="E1122" s="63"/>
      <c r="F1122" s="66"/>
      <c r="G1122" s="66"/>
      <c r="H1122" s="71"/>
      <c r="I1122" s="405"/>
      <c r="J1122" s="405"/>
      <c r="K1122" s="398"/>
      <c r="L1122" s="405"/>
      <c r="M1122" s="64"/>
      <c r="N1122" s="65"/>
      <c r="O1122" s="65"/>
      <c r="P1122" s="81" t="str">
        <f>IF(AND('331-CT'!$E$7=TH!H1122,OR(N1122="331",O1122="331")),"x","")</f>
        <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row>
    <row r="1123" spans="1:30" ht="15.75" customHeight="1">
      <c r="A1123" s="327" t="str">
        <f>IF(B1123&lt;&gt;"",IF(AND(B1123='IN-TC'!$S$4,OR(TH!N1123="1111",TH!O1123="1111")),TH!D1123,""),"")</f>
        <v/>
      </c>
      <c r="B1123" s="62" t="str">
        <f t="shared" si="328"/>
        <v/>
      </c>
      <c r="C1123" s="63"/>
      <c r="D1123" s="63"/>
      <c r="E1123" s="63"/>
      <c r="F1123" s="66"/>
      <c r="G1123" s="66"/>
      <c r="H1123" s="71"/>
      <c r="I1123" s="407"/>
      <c r="J1123" s="407"/>
      <c r="K1123" s="400"/>
      <c r="L1123" s="407"/>
      <c r="M1123" s="64"/>
      <c r="N1123" s="65"/>
      <c r="O1123" s="65"/>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
      </c>
      <c r="AB1123" s="81" t="str">
        <f>IF(AND(OR(LEFT(TH!N1123,2)="15",LEFT(TH!O1123,2)="15"),LEFT(TH!O1123,3)&lt;&gt;"111",'152-CT'!$J$8=TH!F1123),"x","")</f>
        <v/>
      </c>
      <c r="AC1123" s="81" t="str">
        <f>IF(AND(OR(LEFT(TH!N1123,2)="15",LEFT(TH!O1123,2)="15"),TK!$E$7=TH!F1123),"x","")</f>
        <v/>
      </c>
      <c r="AD1123" s="81" t="str">
        <f>IF(AND(N1123="1521",MONTH(C1123)='BK-NL'!$M$11),"x","")</f>
        <v/>
      </c>
    </row>
    <row r="1124" spans="1:30" ht="15.75" customHeight="1">
      <c r="A1124" s="327" t="str">
        <f>IF(B1124&lt;&gt;"",IF(AND(B1124='IN-TC'!$S$4,OR(TH!N1124="1111",TH!O1124="1111")),TH!D1124,""),"")</f>
        <v/>
      </c>
      <c r="B1124" s="62" t="str">
        <f t="shared" si="328"/>
        <v/>
      </c>
      <c r="C1124" s="63"/>
      <c r="D1124" s="63"/>
      <c r="E1124" s="63"/>
      <c r="F1124" s="66"/>
      <c r="G1124" s="66"/>
      <c r="H1124" s="71"/>
      <c r="I1124" s="407"/>
      <c r="J1124" s="407"/>
      <c r="K1124" s="400"/>
      <c r="L1124" s="407"/>
      <c r="M1124" s="64"/>
      <c r="N1124" s="65"/>
      <c r="O1124" s="65"/>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
      </c>
      <c r="AB1124" s="81" t="str">
        <f>IF(AND(OR(LEFT(TH!N1124,2)="15",LEFT(TH!O1124,2)="15"),LEFT(TH!O1124,3)&lt;&gt;"111",'152-CT'!$J$8=TH!F1124),"x","")</f>
        <v/>
      </c>
      <c r="AC1124" s="81" t="str">
        <f>IF(AND(OR(LEFT(TH!N1124,2)="15",LEFT(TH!O1124,2)="15"),TK!$E$7=TH!F1124),"x","")</f>
        <v/>
      </c>
      <c r="AD1124" s="81" t="str">
        <f>IF(AND(N1124="1521",MONTH(C1124)='BK-NL'!$M$11),"x","")</f>
        <v/>
      </c>
    </row>
    <row r="1125" spans="1:30" ht="15.75" customHeight="1">
      <c r="A1125" s="327" t="str">
        <f>IF(B1125&lt;&gt;"",IF(AND(B1125='IN-TC'!$S$4,OR(TH!N1125="1111",TH!O1125="1111")),TH!D1125,""),"")</f>
        <v/>
      </c>
      <c r="B1125" s="62" t="str">
        <f t="shared" si="328"/>
        <v/>
      </c>
      <c r="C1125" s="63"/>
      <c r="D1125" s="63"/>
      <c r="E1125" s="63"/>
      <c r="F1125" s="66"/>
      <c r="G1125" s="66"/>
      <c r="H1125" s="71"/>
      <c r="I1125" s="407"/>
      <c r="J1125" s="407"/>
      <c r="K1125" s="400"/>
      <c r="L1125" s="407"/>
      <c r="M1125" s="64"/>
      <c r="N1125" s="65"/>
      <c r="O1125" s="65"/>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row>
    <row r="1126" spans="1:30" ht="15.75" customHeight="1">
      <c r="A1126" s="327" t="str">
        <f>IF(B1126&lt;&gt;"",IF(AND(B1126='IN-TC'!$S$4,OR(TH!N1126="1111",TH!O1126="1111")),TH!D1126,""),"")</f>
        <v/>
      </c>
      <c r="B1126" s="62" t="str">
        <f t="shared" si="328"/>
        <v/>
      </c>
      <c r="C1126" s="63"/>
      <c r="D1126" s="63"/>
      <c r="E1126" s="63"/>
      <c r="F1126" s="66"/>
      <c r="G1126" s="66"/>
      <c r="H1126" s="71"/>
      <c r="I1126" s="407"/>
      <c r="J1126" s="407"/>
      <c r="K1126" s="400"/>
      <c r="L1126" s="407"/>
      <c r="M1126" s="64"/>
      <c r="N1126" s="65"/>
      <c r="O1126" s="65"/>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row>
    <row r="1127" spans="1:30" ht="15.75" customHeight="1">
      <c r="A1127" s="327" t="str">
        <f>IF(B1127&lt;&gt;"",IF(AND(B1127='IN-TC'!$S$4,OR(TH!N1127="1111",TH!O1127="1111")),TH!D1127,""),"")</f>
        <v/>
      </c>
      <c r="B1127" s="62" t="str">
        <f t="shared" si="328"/>
        <v/>
      </c>
      <c r="C1127" s="63"/>
      <c r="D1127" s="63"/>
      <c r="E1127" s="63"/>
      <c r="F1127" s="66"/>
      <c r="G1127" s="66"/>
      <c r="H1127" s="71"/>
      <c r="I1127" s="407"/>
      <c r="J1127" s="407"/>
      <c r="K1127" s="400"/>
      <c r="L1127" s="407"/>
      <c r="M1127" s="64"/>
      <c r="N1127" s="65"/>
      <c r="O1127" s="65"/>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
      </c>
      <c r="AC1127" s="81" t="str">
        <f>IF(AND(OR(LEFT(TH!N1127,2)="15",LEFT(TH!O1127,2)="15"),TK!$E$7=TH!F1127),"x","")</f>
        <v/>
      </c>
      <c r="AD1127" s="81" t="str">
        <f>IF(AND(N1127="1521",MONTH(C1127)='BK-NL'!$M$11),"x","")</f>
        <v/>
      </c>
    </row>
    <row r="1128" spans="1:30" ht="15.75" customHeight="1">
      <c r="A1128" s="327" t="str">
        <f>IF(B1128&lt;&gt;"",IF(AND(B1128='IN-TC'!$S$4,OR(TH!N1128="1111",TH!O1128="1111")),TH!D1128,""),"")</f>
        <v/>
      </c>
      <c r="B1128" s="62" t="str">
        <f t="shared" si="328"/>
        <v/>
      </c>
      <c r="C1128" s="63"/>
      <c r="D1128" s="63"/>
      <c r="E1128" s="63"/>
      <c r="F1128" s="66"/>
      <c r="G1128" s="66"/>
      <c r="H1128" s="71"/>
      <c r="I1128" s="407"/>
      <c r="J1128" s="407"/>
      <c r="K1128" s="400"/>
      <c r="L1128" s="407"/>
      <c r="M1128" s="64"/>
      <c r="N1128" s="65"/>
      <c r="O1128" s="65"/>
      <c r="P1128" s="81" t="str">
        <f>IF(AND('331-CT'!$E$7=TH!H1128,OR(N1128="331",O1128="331")),"x","")</f>
        <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row>
    <row r="1129" spans="1:30" ht="15.75" customHeight="1">
      <c r="A1129" s="327" t="str">
        <f>IF(B1129&lt;&gt;"",IF(AND(B1129='IN-TC'!$S$4,OR(TH!N1129="1111",TH!O1129="1111")),TH!D1129,""),"")</f>
        <v/>
      </c>
      <c r="B1129" s="62" t="str">
        <f t="shared" si="328"/>
        <v/>
      </c>
      <c r="C1129" s="63"/>
      <c r="D1129" s="63"/>
      <c r="E1129" s="63"/>
      <c r="F1129" s="66"/>
      <c r="G1129" s="66"/>
      <c r="H1129" s="71"/>
      <c r="I1129" s="407"/>
      <c r="J1129" s="407"/>
      <c r="K1129" s="400"/>
      <c r="L1129" s="407"/>
      <c r="M1129" s="64"/>
      <c r="N1129" s="65"/>
      <c r="O1129" s="65"/>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
      </c>
      <c r="AC1129" s="81" t="str">
        <f>IF(AND(OR(LEFT(TH!N1129,2)="15",LEFT(TH!O1129,2)="15"),TK!$E$7=TH!F1129),"x","")</f>
        <v/>
      </c>
      <c r="AD1129" s="81" t="str">
        <f>IF(AND(N1129="1521",MONTH(C1129)='BK-NL'!$M$11),"x","")</f>
        <v/>
      </c>
    </row>
    <row r="1130" spans="1:30" ht="15.75" customHeight="1">
      <c r="A1130" s="327" t="str">
        <f>IF(B1130&lt;&gt;"",IF(AND(B1130='IN-TC'!$S$4,OR(TH!N1130="1111",TH!O1130="1111")),TH!D1130,""),"")</f>
        <v/>
      </c>
      <c r="B1130" s="62" t="str">
        <f t="shared" si="328"/>
        <v/>
      </c>
      <c r="C1130" s="63"/>
      <c r="D1130" s="63"/>
      <c r="E1130" s="63"/>
      <c r="F1130" s="66"/>
      <c r="G1130" s="66"/>
      <c r="H1130" s="71"/>
      <c r="I1130" s="407"/>
      <c r="J1130" s="407"/>
      <c r="K1130" s="400"/>
      <c r="L1130" s="407"/>
      <c r="M1130" s="64"/>
      <c r="N1130" s="65"/>
      <c r="O1130" s="65"/>
      <c r="P1130" s="81" t="str">
        <f>IF(AND('331-CT'!$E$7=TH!H1130,OR(N1130="331",O1130="331")),"x","")</f>
        <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row>
    <row r="1131" spans="1:30" ht="15.75" customHeight="1">
      <c r="A1131" s="327" t="str">
        <f>IF(B1131&lt;&gt;"",IF(AND(B1131='IN-TC'!$S$4,OR(TH!N1131="1111",TH!O1131="1111")),TH!D1131,""),"")</f>
        <v/>
      </c>
      <c r="B1131" s="62" t="str">
        <f t="shared" si="328"/>
        <v/>
      </c>
      <c r="C1131" s="63"/>
      <c r="D1131" s="63"/>
      <c r="E1131" s="63"/>
      <c r="F1131" s="66"/>
      <c r="G1131" s="66"/>
      <c r="H1131" s="71"/>
      <c r="I1131" s="407"/>
      <c r="J1131" s="407"/>
      <c r="K1131" s="400"/>
      <c r="L1131" s="407"/>
      <c r="M1131" s="64"/>
      <c r="N1131" s="65"/>
      <c r="O1131" s="65"/>
      <c r="P1131" s="81" t="str">
        <f>IF(AND('331-CT'!$E$7=TH!H1131,OR(N1131="331",O1131="331")),"x","")</f>
        <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
      </c>
      <c r="AC1131" s="81" t="str">
        <f>IF(AND(OR(LEFT(TH!N1131,2)="15",LEFT(TH!O1131,2)="15"),TK!$E$7=TH!F1131),"x","")</f>
        <v/>
      </c>
      <c r="AD1131" s="81" t="str">
        <f>IF(AND(N1131="1521",MONTH(C1131)='BK-NL'!$M$11),"x","")</f>
        <v/>
      </c>
    </row>
    <row r="1132" spans="1:30" ht="15.75" customHeight="1">
      <c r="A1132" s="327" t="str">
        <f>IF(B1132&lt;&gt;"",IF(AND(B1132='IN-TC'!$S$4,OR(TH!N1132="1111",TH!O1132="1111")),TH!D1132,""),"")</f>
        <v/>
      </c>
      <c r="B1132" s="62" t="str">
        <f t="shared" si="328"/>
        <v/>
      </c>
      <c r="C1132" s="63"/>
      <c r="D1132" s="63"/>
      <c r="E1132" s="63"/>
      <c r="F1132" s="66"/>
      <c r="G1132" s="66"/>
      <c r="H1132" s="71"/>
      <c r="I1132" s="407"/>
      <c r="J1132" s="407"/>
      <c r="K1132" s="400"/>
      <c r="L1132" s="407"/>
      <c r="M1132" s="64"/>
      <c r="N1132" s="65"/>
      <c r="O1132" s="65"/>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row>
    <row r="1133" spans="1:30" ht="15.75" customHeight="1">
      <c r="A1133" s="327" t="str">
        <f>IF(B1133&lt;&gt;"",IF(AND(B1133='IN-TC'!$S$4,OR(TH!N1133="1111",TH!O1133="1111")),TH!D1133,""),"")</f>
        <v/>
      </c>
      <c r="B1133" s="62" t="str">
        <f t="shared" si="328"/>
        <v/>
      </c>
      <c r="C1133" s="63"/>
      <c r="D1133" s="63"/>
      <c r="E1133" s="63"/>
      <c r="F1133" s="66"/>
      <c r="G1133" s="66"/>
      <c r="H1133" s="71"/>
      <c r="I1133" s="407"/>
      <c r="J1133" s="407"/>
      <c r="K1133" s="400"/>
      <c r="L1133" s="407"/>
      <c r="M1133" s="64"/>
      <c r="N1133" s="65"/>
      <c r="O1133" s="65"/>
      <c r="P1133" s="81" t="str">
        <f>IF(AND('331-CT'!$E$7=TH!H1133,OR(N1133="331",O1133="331")),"x","")</f>
        <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
      </c>
      <c r="AC1133" s="81" t="str">
        <f>IF(AND(OR(LEFT(TH!N1133,2)="15",LEFT(TH!O1133,2)="15"),TK!$E$7=TH!F1133),"x","")</f>
        <v/>
      </c>
      <c r="AD1133" s="81" t="str">
        <f>IF(AND(N1133="1521",MONTH(C1133)='BK-NL'!$M$11),"x","")</f>
        <v/>
      </c>
    </row>
    <row r="1134" spans="1:30" ht="15.75" customHeight="1">
      <c r="A1134" s="327" t="str">
        <f>IF(B1134&lt;&gt;"",IF(AND(B1134='IN-TC'!$S$4,OR(TH!N1134="1111",TH!O1134="1111")),TH!D1134,""),"")</f>
        <v/>
      </c>
      <c r="B1134" s="62" t="str">
        <f t="shared" si="328"/>
        <v/>
      </c>
      <c r="C1134" s="63"/>
      <c r="D1134" s="63"/>
      <c r="E1134" s="63"/>
      <c r="F1134" s="311"/>
      <c r="G1134" s="816"/>
      <c r="H1134" s="71"/>
      <c r="I1134" s="405"/>
      <c r="J1134" s="405"/>
      <c r="K1134" s="398"/>
      <c r="L1134" s="405"/>
      <c r="M1134" s="64"/>
      <c r="N1134" s="65"/>
      <c r="O1134" s="65"/>
      <c r="P1134" s="81" t="str">
        <f>IF(AND('331-CT'!$E$7=TH!H1134,OR(N1134="331",O1134="331")),"x","")</f>
        <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row>
    <row r="1135" spans="1:30" ht="15.75" customHeight="1">
      <c r="A1135" s="327" t="str">
        <f>IF(B1135&lt;&gt;"",IF(AND(B1135='IN-TC'!$S$4,OR(TH!N1135="1111",TH!O1135="1111")),TH!D1135,""),"")</f>
        <v/>
      </c>
      <c r="B1135" s="62" t="str">
        <f t="shared" si="328"/>
        <v/>
      </c>
      <c r="C1135" s="63"/>
      <c r="D1135" s="63"/>
      <c r="E1135" s="63"/>
      <c r="F1135" s="311"/>
      <c r="G1135" s="816"/>
      <c r="H1135" s="71"/>
      <c r="I1135" s="405"/>
      <c r="J1135" s="405"/>
      <c r="K1135" s="398"/>
      <c r="L1135" s="405"/>
      <c r="M1135" s="64"/>
      <c r="N1135" s="65"/>
      <c r="O1135" s="65"/>
      <c r="P1135" s="81" t="str">
        <f>IF(AND('331-CT'!$E$7=TH!H1135,OR(N1135="331",O1135="331")),"x","")</f>
        <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
      </c>
      <c r="AC1135" s="81" t="str">
        <f>IF(AND(OR(LEFT(TH!N1135,2)="15",LEFT(TH!O1135,2)="15"),TK!$E$7=TH!F1135),"x","")</f>
        <v/>
      </c>
      <c r="AD1135" s="81" t="str">
        <f>IF(AND(N1135="1521",MONTH(C1135)='BK-NL'!$M$11),"x","")</f>
        <v/>
      </c>
    </row>
    <row r="1136" spans="1:30" ht="15.75" customHeight="1">
      <c r="A1136" s="327" t="str">
        <f>IF(B1136&lt;&gt;"",IF(AND(B1136='IN-TC'!$S$4,OR(TH!N1136="1111",TH!O1136="1111")),TH!D1136,""),"")</f>
        <v/>
      </c>
      <c r="B1136" s="62" t="str">
        <f t="shared" si="328"/>
        <v/>
      </c>
      <c r="C1136" s="63"/>
      <c r="D1136" s="63"/>
      <c r="E1136" s="63"/>
      <c r="F1136" s="311"/>
      <c r="G1136" s="816"/>
      <c r="H1136" s="71"/>
      <c r="I1136" s="405"/>
      <c r="J1136" s="405"/>
      <c r="K1136" s="398"/>
      <c r="L1136" s="405"/>
      <c r="M1136" s="64"/>
      <c r="N1136" s="65"/>
      <c r="O1136" s="65"/>
      <c r="P1136" s="81" t="str">
        <f>IF(AND('331-CT'!$E$7=TH!H1136,OR(N1136="331",O1136="331")),"x","")</f>
        <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row>
    <row r="1137" spans="1:30" ht="15.75" customHeight="1">
      <c r="A1137" s="327" t="str">
        <f>IF(B1137&lt;&gt;"",IF(AND(B1137='IN-TC'!$S$4,OR(TH!N1137="1111",TH!O1137="1111")),TH!D1137,""),"")</f>
        <v/>
      </c>
      <c r="B1137" s="62" t="str">
        <f t="shared" si="328"/>
        <v/>
      </c>
      <c r="C1137" s="63"/>
      <c r="D1137" s="63"/>
      <c r="E1137" s="63"/>
      <c r="F1137" s="311"/>
      <c r="G1137" s="816"/>
      <c r="H1137" s="71"/>
      <c r="I1137" s="405"/>
      <c r="J1137" s="405"/>
      <c r="K1137" s="398"/>
      <c r="L1137" s="405"/>
      <c r="M1137" s="64"/>
      <c r="N1137" s="65"/>
      <c r="O1137" s="65"/>
      <c r="P1137" s="81" t="str">
        <f>IF(AND('331-CT'!$E$7=TH!H1137,OR(N1137="331",O1137="331")),"x","")</f>
        <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
      </c>
      <c r="AC1137" s="81" t="str">
        <f>IF(AND(OR(LEFT(TH!N1137,2)="15",LEFT(TH!O1137,2)="15"),TK!$E$7=TH!F1137),"x","")</f>
        <v/>
      </c>
      <c r="AD1137" s="81" t="str">
        <f>IF(AND(N1137="1521",MONTH(C1137)='BK-NL'!$M$11),"x","")</f>
        <v/>
      </c>
    </row>
    <row r="1138" spans="1:30" ht="15.75" customHeight="1">
      <c r="A1138" s="327" t="str">
        <f>IF(B1138&lt;&gt;"",IF(AND(B1138='IN-TC'!$S$4,OR(TH!N1138="1111",TH!O1138="1111")),TH!D1138,""),"")</f>
        <v/>
      </c>
      <c r="B1138" s="62" t="str">
        <f t="shared" si="328"/>
        <v/>
      </c>
      <c r="C1138" s="63"/>
      <c r="D1138" s="63"/>
      <c r="E1138" s="63"/>
      <c r="F1138" s="66"/>
      <c r="G1138" s="816"/>
      <c r="H1138" s="71"/>
      <c r="I1138" s="405"/>
      <c r="J1138" s="405"/>
      <c r="K1138" s="398"/>
      <c r="L1138" s="405"/>
      <c r="M1138" s="64"/>
      <c r="N1138" s="65"/>
      <c r="O1138" s="65"/>
      <c r="P1138" s="81" t="str">
        <f>IF(AND('331-CT'!$E$7=TH!H1138,OR(N1138="331",O1138="331")),"x","")</f>
        <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
      </c>
      <c r="AC1138" s="81" t="str">
        <f>IF(AND(OR(LEFT(TH!N1138,2)="15",LEFT(TH!O1138,2)="15"),TK!$E$7=TH!F1138),"x","")</f>
        <v/>
      </c>
      <c r="AD1138" s="81" t="str">
        <f>IF(AND(N1138="1521",MONTH(C1138)='BK-NL'!$M$11),"x","")</f>
        <v/>
      </c>
    </row>
    <row r="1139" spans="1:30" ht="15.75" customHeight="1">
      <c r="A1139" s="327" t="str">
        <f>IF(B1139&lt;&gt;"",IF(AND(B1139='IN-TC'!$S$4,OR(TH!N1139="1111",TH!O1139="1111")),TH!D1139,""),"")</f>
        <v/>
      </c>
      <c r="B1139" s="62" t="str">
        <f t="shared" si="328"/>
        <v/>
      </c>
      <c r="C1139" s="63"/>
      <c r="D1139" s="63"/>
      <c r="E1139" s="63"/>
      <c r="F1139" s="66"/>
      <c r="G1139" s="816"/>
      <c r="H1139" s="71"/>
      <c r="I1139" s="405"/>
      <c r="J1139" s="405"/>
      <c r="K1139" s="398"/>
      <c r="L1139" s="405"/>
      <c r="M1139" s="64"/>
      <c r="N1139" s="65"/>
      <c r="O1139" s="65"/>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row>
    <row r="1140" spans="1:30" ht="15.75" customHeight="1">
      <c r="A1140" s="327" t="str">
        <f>IF(B1140&lt;&gt;"",IF(AND(B1140='IN-TC'!$S$4,OR(TH!N1140="1111",TH!O1140="1111")),TH!D1140,""),"")</f>
        <v/>
      </c>
      <c r="B1140" s="62" t="str">
        <f t="shared" si="328"/>
        <v/>
      </c>
      <c r="C1140" s="63"/>
      <c r="D1140" s="63"/>
      <c r="E1140" s="63"/>
      <c r="F1140" s="66"/>
      <c r="G1140" s="816"/>
      <c r="H1140" s="71"/>
      <c r="I1140" s="405"/>
      <c r="J1140" s="405"/>
      <c r="K1140" s="398"/>
      <c r="L1140" s="405"/>
      <c r="M1140" s="64"/>
      <c r="N1140" s="65"/>
      <c r="O1140" s="65"/>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
      </c>
      <c r="AC1140" s="81" t="str">
        <f>IF(AND(OR(LEFT(TH!N1140,2)="15",LEFT(TH!O1140,2)="15"),TK!$E$7=TH!F1140),"x","")</f>
        <v/>
      </c>
      <c r="AD1140" s="81" t="str">
        <f>IF(AND(N1140="1521",MONTH(C1140)='BK-NL'!$M$11),"x","")</f>
        <v/>
      </c>
    </row>
    <row r="1141" spans="1:30" ht="15.75" customHeight="1">
      <c r="A1141" s="327" t="str">
        <f>IF(B1141&lt;&gt;"",IF(AND(B1141='IN-TC'!$S$4,OR(TH!N1141="1111",TH!O1141="1111")),TH!D1141,""),"")</f>
        <v/>
      </c>
      <c r="B1141" s="62" t="str">
        <f t="shared" si="328"/>
        <v/>
      </c>
      <c r="C1141" s="63"/>
      <c r="D1141" s="63"/>
      <c r="E1141" s="63"/>
      <c r="F1141" s="66"/>
      <c r="G1141" s="816"/>
      <c r="H1141" s="71"/>
      <c r="I1141" s="405"/>
      <c r="J1141" s="405"/>
      <c r="K1141" s="398"/>
      <c r="L1141" s="405"/>
      <c r="M1141" s="64"/>
      <c r="N1141" s="65"/>
      <c r="O1141" s="65"/>
      <c r="P1141" s="81" t="str">
        <f>IF(AND('331-CT'!$E$7=TH!H1141,OR(N1141="331",O1141="331")),"x","")</f>
        <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
      </c>
      <c r="AC1141" s="81" t="str">
        <f>IF(AND(OR(LEFT(TH!N1141,2)="15",LEFT(TH!O1141,2)="15"),TK!$E$7=TH!F1141),"x","")</f>
        <v/>
      </c>
      <c r="AD1141" s="81" t="str">
        <f>IF(AND(N1141="1521",MONTH(C1141)='BK-NL'!$M$11),"x","")</f>
        <v/>
      </c>
    </row>
    <row r="1142" spans="1:30" ht="15.75" customHeight="1">
      <c r="A1142" s="327" t="str">
        <f>IF(B1142&lt;&gt;"",IF(AND(B1142='IN-TC'!$S$4,OR(TH!N1142="1111",TH!O1142="1111")),TH!D1142,""),"")</f>
        <v/>
      </c>
      <c r="B1142" s="62" t="str">
        <f t="shared" si="328"/>
        <v/>
      </c>
      <c r="C1142" s="63"/>
      <c r="D1142" s="63"/>
      <c r="E1142" s="63"/>
      <c r="F1142" s="66"/>
      <c r="G1142" s="816"/>
      <c r="H1142" s="71"/>
      <c r="I1142" s="405"/>
      <c r="J1142" s="405"/>
      <c r="K1142" s="398"/>
      <c r="L1142" s="405"/>
      <c r="M1142" s="64"/>
      <c r="N1142" s="65"/>
      <c r="O1142" s="65"/>
      <c r="P1142" s="81" t="str">
        <f>IF(AND('331-CT'!$E$7=TH!H1142,OR(N1142="331",O1142="331")),"x","")</f>
        <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
      </c>
      <c r="AC1142" s="81" t="str">
        <f>IF(AND(OR(LEFT(TH!N1142,2)="15",LEFT(TH!O1142,2)="15"),TK!$E$7=TH!F1142),"x","")</f>
        <v/>
      </c>
      <c r="AD1142" s="81" t="str">
        <f>IF(AND(N1142="1521",MONTH(C1142)='BK-NL'!$M$11),"x","")</f>
        <v/>
      </c>
    </row>
    <row r="1143" spans="1:30" ht="15.75" customHeight="1">
      <c r="A1143" s="327" t="str">
        <f>IF(B1143&lt;&gt;"",IF(AND(B1143='IN-TC'!$S$4,OR(TH!N1143="1111",TH!O1143="1111")),TH!D1143,""),"")</f>
        <v/>
      </c>
      <c r="B1143" s="62" t="str">
        <f t="shared" si="328"/>
        <v/>
      </c>
      <c r="C1143" s="63"/>
      <c r="D1143" s="63"/>
      <c r="E1143" s="63"/>
      <c r="F1143" s="66"/>
      <c r="G1143" s="816"/>
      <c r="H1143" s="71"/>
      <c r="I1143" s="405"/>
      <c r="J1143" s="405"/>
      <c r="K1143" s="398"/>
      <c r="L1143" s="405"/>
      <c r="M1143" s="64"/>
      <c r="N1143" s="65"/>
      <c r="O1143" s="65"/>
      <c r="P1143" s="81" t="str">
        <f>IF(AND('331-CT'!$E$7=TH!H1143,OR(N1143="331",O1143="331")),"x","")</f>
        <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
      </c>
      <c r="AC1143" s="81" t="str">
        <f>IF(AND(OR(LEFT(TH!N1143,2)="15",LEFT(TH!O1143,2)="15"),TK!$E$7=TH!F1143),"x","")</f>
        <v/>
      </c>
      <c r="AD1143" s="81" t="str">
        <f>IF(AND(N1143="1521",MONTH(C1143)='BK-NL'!$M$11),"x","")</f>
        <v/>
      </c>
    </row>
    <row r="1144" spans="1:30" ht="15.75" customHeight="1">
      <c r="A1144" s="327" t="str">
        <f>IF(B1144&lt;&gt;"",IF(AND(B1144='IN-TC'!$S$4,OR(TH!N1144="1111",TH!O1144="1111")),TH!D1144,""),"")</f>
        <v/>
      </c>
      <c r="B1144" s="62" t="str">
        <f t="shared" si="328"/>
        <v/>
      </c>
      <c r="C1144" s="63"/>
      <c r="D1144" s="63"/>
      <c r="E1144" s="63"/>
      <c r="F1144" s="66"/>
      <c r="G1144" s="816"/>
      <c r="H1144" s="71"/>
      <c r="I1144" s="405"/>
      <c r="J1144" s="405"/>
      <c r="K1144" s="398"/>
      <c r="L1144" s="405"/>
      <c r="M1144" s="64"/>
      <c r="N1144" s="65"/>
      <c r="O1144" s="65"/>
      <c r="P1144" s="81" t="str">
        <f>IF(AND('331-CT'!$E$7=TH!H1144,OR(N1144="331",O1144="331")),"x","")</f>
        <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
      </c>
      <c r="Z1144" s="81"/>
      <c r="AA1144" s="81" t="str">
        <f>IF(AND(MONTH(E1144)='IN-NX'!$J$5,'IN-NX'!$D$7=D1144),"x","")</f>
        <v/>
      </c>
      <c r="AB1144" s="81" t="str">
        <f>IF(AND(OR(LEFT(TH!N1144,2)="15",LEFT(TH!O1144,2)="15"),LEFT(TH!O1144,3)&lt;&gt;"111",'152-CT'!$J$8=TH!F1144),"x","")</f>
        <v/>
      </c>
      <c r="AC1144" s="81" t="str">
        <f>IF(AND(OR(LEFT(TH!N1144,2)="15",LEFT(TH!O1144,2)="15"),TK!$E$7=TH!F1144),"x","")</f>
        <v/>
      </c>
      <c r="AD1144" s="81" t="str">
        <f>IF(AND(N1144="1521",MONTH(C1144)='BK-NL'!$M$11),"x","")</f>
        <v/>
      </c>
    </row>
    <row r="1145" spans="1:30" ht="15.75" customHeight="1">
      <c r="A1145" s="327" t="str">
        <f>IF(B1145&lt;&gt;"",IF(AND(B1145='IN-TC'!$S$4,OR(TH!N1145="1111",TH!O1145="1111")),TH!D1145,""),"")</f>
        <v/>
      </c>
      <c r="B1145" s="62" t="str">
        <f t="shared" si="328"/>
        <v/>
      </c>
      <c r="C1145" s="63"/>
      <c r="D1145" s="63"/>
      <c r="E1145" s="63"/>
      <c r="F1145" s="66"/>
      <c r="G1145" s="816"/>
      <c r="H1145" s="71"/>
      <c r="I1145" s="405"/>
      <c r="J1145" s="405"/>
      <c r="K1145" s="398"/>
      <c r="L1145" s="405"/>
      <c r="M1145" s="64"/>
      <c r="N1145" s="65"/>
      <c r="O1145" s="65"/>
      <c r="P1145" s="81" t="str">
        <f>IF(AND('331-CT'!$E$7=TH!H1145,OR(N1145="331",O1145="331")),"x","")</f>
        <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
      </c>
      <c r="AC1145" s="81" t="str">
        <f>IF(AND(OR(LEFT(TH!N1145,2)="15",LEFT(TH!O1145,2)="15"),TK!$E$7=TH!F1145),"x","")</f>
        <v/>
      </c>
      <c r="AD1145" s="81" t="str">
        <f>IF(AND(N1145="1521",MONTH(C1145)='BK-NL'!$M$11),"x","")</f>
        <v/>
      </c>
    </row>
    <row r="1146" spans="1:30" ht="15.75" customHeight="1">
      <c r="A1146" s="327" t="str">
        <f>IF(B1146&lt;&gt;"",IF(AND(B1146='IN-TC'!$S$4,OR(TH!N1146="1111",TH!O1146="1111")),TH!D1146,""),"")</f>
        <v/>
      </c>
      <c r="B1146" s="62" t="str">
        <f t="shared" si="328"/>
        <v/>
      </c>
      <c r="C1146" s="63"/>
      <c r="D1146" s="63"/>
      <c r="E1146" s="63"/>
      <c r="F1146" s="66"/>
      <c r="G1146" s="816"/>
      <c r="H1146" s="71"/>
      <c r="I1146" s="405"/>
      <c r="J1146" s="405"/>
      <c r="K1146" s="398"/>
      <c r="L1146" s="405"/>
      <c r="M1146" s="64"/>
      <c r="N1146" s="65"/>
      <c r="O1146" s="65"/>
      <c r="P1146" s="81" t="str">
        <f>IF(AND('331-CT'!$E$7=TH!H1146,OR(N1146="331",O1146="331")),"x","")</f>
        <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row>
    <row r="1147" spans="1:30" ht="15.75" customHeight="1">
      <c r="A1147" s="327" t="str">
        <f>IF(B1147&lt;&gt;"",IF(AND(B1147='IN-TC'!$S$4,OR(TH!N1147="1111",TH!O1147="1111")),TH!D1147,""),"")</f>
        <v/>
      </c>
      <c r="B1147" s="62" t="str">
        <f t="shared" si="328"/>
        <v/>
      </c>
      <c r="C1147" s="63"/>
      <c r="D1147" s="63"/>
      <c r="E1147" s="63"/>
      <c r="F1147" s="66"/>
      <c r="G1147" s="816"/>
      <c r="H1147" s="71"/>
      <c r="I1147" s="405"/>
      <c r="J1147" s="405"/>
      <c r="K1147" s="398"/>
      <c r="L1147" s="405"/>
      <c r="M1147" s="64"/>
      <c r="N1147" s="65"/>
      <c r="O1147" s="65"/>
      <c r="P1147" s="81" t="str">
        <f>IF(AND('331-CT'!$E$7=TH!H1147,OR(N1147="331",O1147="331")),"x","")</f>
        <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
      </c>
      <c r="AC1147" s="81" t="str">
        <f>IF(AND(OR(LEFT(TH!N1147,2)="15",LEFT(TH!O1147,2)="15"),TK!$E$7=TH!F1147),"x","")</f>
        <v/>
      </c>
      <c r="AD1147" s="81" t="str">
        <f>IF(AND(N1147="1521",MONTH(C1147)='BK-NL'!$M$11),"x","")</f>
        <v/>
      </c>
    </row>
    <row r="1148" spans="1:30" ht="15.75" customHeight="1">
      <c r="A1148" s="327" t="str">
        <f>IF(B1148&lt;&gt;"",IF(AND(B1148='IN-TC'!$S$4,OR(TH!N1148="1111",TH!O1148="1111")),TH!D1148,""),"")</f>
        <v/>
      </c>
      <c r="B1148" s="62" t="str">
        <f t="shared" si="328"/>
        <v/>
      </c>
      <c r="C1148" s="63"/>
      <c r="D1148" s="63"/>
      <c r="E1148" s="63"/>
      <c r="F1148" s="66"/>
      <c r="G1148" s="816"/>
      <c r="H1148" s="71"/>
      <c r="I1148" s="405"/>
      <c r="J1148" s="405"/>
      <c r="K1148" s="398"/>
      <c r="L1148" s="405"/>
      <c r="M1148" s="64"/>
      <c r="N1148" s="65"/>
      <c r="O1148" s="65"/>
      <c r="P1148" s="81" t="str">
        <f>IF(AND('331-CT'!$E$7=TH!H1148,OR(N1148="331",O1148="331")),"x","")</f>
        <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row>
    <row r="1149" spans="1:30" ht="15.75" customHeight="1">
      <c r="A1149" s="327" t="str">
        <f>IF(B1149&lt;&gt;"",IF(AND(B1149='IN-TC'!$S$4,OR(TH!N1149="1111",TH!O1149="1111")),TH!D1149,""),"")</f>
        <v/>
      </c>
      <c r="B1149" s="62" t="str">
        <f t="shared" si="328"/>
        <v/>
      </c>
      <c r="C1149" s="63"/>
      <c r="D1149" s="63"/>
      <c r="E1149" s="63"/>
      <c r="F1149" s="66"/>
      <c r="G1149" s="816"/>
      <c r="H1149" s="71"/>
      <c r="I1149" s="405"/>
      <c r="J1149" s="405"/>
      <c r="K1149" s="398"/>
      <c r="L1149" s="405"/>
      <c r="M1149" s="64"/>
      <c r="N1149" s="65"/>
      <c r="O1149" s="65"/>
      <c r="P1149" s="81" t="str">
        <f>IF(AND('331-CT'!$E$7=TH!H1149,OR(N1149="331",O1149="331")),"x","")</f>
        <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
      </c>
      <c r="AC1149" s="81" t="str">
        <f>IF(AND(OR(LEFT(TH!N1149,2)="15",LEFT(TH!O1149,2)="15"),TK!$E$7=TH!F1149),"x","")</f>
        <v/>
      </c>
      <c r="AD1149" s="81" t="str">
        <f>IF(AND(N1149="1521",MONTH(C1149)='BK-NL'!$M$11),"x","")</f>
        <v/>
      </c>
    </row>
    <row r="1150" spans="1:30" ht="15.75" customHeight="1">
      <c r="A1150" s="327" t="str">
        <f>IF(B1150&lt;&gt;"",IF(AND(B1150='IN-TC'!$S$4,OR(TH!N1150="1111",TH!O1150="1111")),TH!D1150,""),"")</f>
        <v/>
      </c>
      <c r="B1150" s="62" t="str">
        <f t="shared" si="328"/>
        <v/>
      </c>
      <c r="C1150" s="63"/>
      <c r="D1150" s="63"/>
      <c r="E1150" s="63"/>
      <c r="F1150" s="66"/>
      <c r="G1150" s="816"/>
      <c r="H1150" s="71"/>
      <c r="I1150" s="405"/>
      <c r="J1150" s="405"/>
      <c r="K1150" s="398"/>
      <c r="L1150" s="405"/>
      <c r="M1150" s="64"/>
      <c r="N1150" s="65"/>
      <c r="O1150" s="65"/>
      <c r="P1150" s="81" t="str">
        <f>IF(AND('331-CT'!$E$7=TH!H1150,OR(N1150="331",O1150="331")),"x","")</f>
        <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row>
    <row r="1151" spans="1:30" ht="15.75" customHeight="1">
      <c r="A1151" s="327" t="str">
        <f>IF(B1151&lt;&gt;"",IF(AND(B1151='IN-TC'!$S$4,OR(TH!N1151="1111",TH!O1151="1111")),TH!D1151,""),"")</f>
        <v/>
      </c>
      <c r="B1151" s="62" t="str">
        <f t="shared" si="328"/>
        <v/>
      </c>
      <c r="C1151" s="63"/>
      <c r="D1151" s="63"/>
      <c r="E1151" s="63"/>
      <c r="F1151" s="66"/>
      <c r="G1151" s="816"/>
      <c r="H1151" s="71"/>
      <c r="I1151" s="405"/>
      <c r="J1151" s="405"/>
      <c r="K1151" s="398"/>
      <c r="L1151" s="405"/>
      <c r="M1151" s="64"/>
      <c r="N1151" s="65"/>
      <c r="O1151" s="65"/>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
      </c>
      <c r="AC1151" s="81" t="str">
        <f>IF(AND(OR(LEFT(TH!N1151,2)="15",LEFT(TH!O1151,2)="15"),TK!$E$7=TH!F1151),"x","")</f>
        <v/>
      </c>
      <c r="AD1151" s="81" t="str">
        <f>IF(AND(N1151="1521",MONTH(C1151)='BK-NL'!$M$11),"x","")</f>
        <v/>
      </c>
    </row>
    <row r="1152" spans="1:30" ht="15.75" customHeight="1">
      <c r="A1152" s="327" t="str">
        <f>IF(B1152&lt;&gt;"",IF(AND(B1152='IN-TC'!$S$4,OR(TH!N1152="1111",TH!O1152="1111")),TH!D1152,""),"")</f>
        <v/>
      </c>
      <c r="B1152" s="62" t="str">
        <f t="shared" si="328"/>
        <v/>
      </c>
      <c r="C1152" s="63"/>
      <c r="D1152" s="63"/>
      <c r="E1152" s="63"/>
      <c r="F1152" s="66"/>
      <c r="G1152" s="66"/>
      <c r="H1152" s="71"/>
      <c r="I1152" s="405"/>
      <c r="J1152" s="405"/>
      <c r="K1152" s="398"/>
      <c r="L1152" s="405"/>
      <c r="M1152" s="64"/>
      <c r="N1152" s="65"/>
      <c r="O1152" s="65"/>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row>
    <row r="1153" spans="1:30" ht="15.75" customHeight="1">
      <c r="A1153" s="327" t="str">
        <f>IF(B1153&lt;&gt;"",IF(AND(B1153='IN-TC'!$S$4,OR(TH!N1153="1111",TH!O1153="1111")),TH!D1153,""),"")</f>
        <v/>
      </c>
      <c r="B1153" s="62" t="str">
        <f t="shared" si="328"/>
        <v/>
      </c>
      <c r="C1153" s="63"/>
      <c r="D1153" s="63"/>
      <c r="E1153" s="63"/>
      <c r="F1153" s="66"/>
      <c r="G1153" s="66"/>
      <c r="H1153" s="71"/>
      <c r="I1153" s="405"/>
      <c r="J1153" s="405"/>
      <c r="K1153" s="398"/>
      <c r="L1153" s="405"/>
      <c r="M1153" s="64"/>
      <c r="N1153" s="65"/>
      <c r="O1153" s="65"/>
      <c r="P1153" s="81" t="str">
        <f>IF(AND('331-CT'!$E$7=TH!H1153,OR(N1153="331",O1153="331")),"x","")</f>
        <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
      </c>
      <c r="AC1153" s="81" t="str">
        <f>IF(AND(OR(LEFT(TH!N1153,2)="15",LEFT(TH!O1153,2)="15"),TK!$E$7=TH!F1153),"x","")</f>
        <v/>
      </c>
      <c r="AD1153" s="81" t="str">
        <f>IF(AND(N1153="1521",MONTH(C1153)='BK-NL'!$M$11),"x","")</f>
        <v/>
      </c>
    </row>
    <row r="1154" spans="1:30" ht="15.75" customHeight="1">
      <c r="A1154" s="327" t="str">
        <f>IF(B1154&lt;&gt;"",IF(AND(B1154='IN-TC'!$S$4,OR(TH!N1154="1111",TH!O1154="1111")),TH!D1154,""),"")</f>
        <v/>
      </c>
      <c r="B1154" s="62" t="str">
        <f t="shared" si="328"/>
        <v/>
      </c>
      <c r="C1154" s="63"/>
      <c r="D1154" s="63"/>
      <c r="E1154" s="63"/>
      <c r="F1154" s="66"/>
      <c r="G1154" s="66"/>
      <c r="H1154" s="71"/>
      <c r="I1154" s="405"/>
      <c r="J1154" s="405"/>
      <c r="K1154" s="398"/>
      <c r="L1154" s="405"/>
      <c r="M1154" s="64"/>
      <c r="N1154" s="65"/>
      <c r="O1154" s="65"/>
      <c r="P1154" s="81" t="str">
        <f>IF(AND('331-CT'!$E$7=TH!H1154,OR(N1154="331",O1154="331")),"x","")</f>
        <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row>
    <row r="1155" spans="1:30" ht="15.75" customHeight="1">
      <c r="A1155" s="327" t="str">
        <f>IF(B1155&lt;&gt;"",IF(AND(B1155='IN-TC'!$S$4,OR(TH!N1155="1111",TH!O1155="1111")),TH!D1155,""),"")</f>
        <v/>
      </c>
      <c r="B1155" s="62" t="str">
        <f t="shared" si="328"/>
        <v/>
      </c>
      <c r="C1155" s="63"/>
      <c r="D1155" s="63"/>
      <c r="E1155" s="63"/>
      <c r="F1155" s="66"/>
      <c r="G1155" s="66"/>
      <c r="H1155" s="71"/>
      <c r="I1155" s="405"/>
      <c r="J1155" s="405"/>
      <c r="K1155" s="398"/>
      <c r="L1155" s="405"/>
      <c r="M1155" s="64"/>
      <c r="N1155" s="65"/>
      <c r="O1155" s="65"/>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
      </c>
      <c r="AC1155" s="81" t="str">
        <f>IF(AND(OR(LEFT(TH!N1155,2)="15",LEFT(TH!O1155,2)="15"),TK!$E$7=TH!F1155),"x","")</f>
        <v/>
      </c>
      <c r="AD1155" s="81" t="str">
        <f>IF(AND(N1155="1521",MONTH(C1155)='BK-NL'!$M$11),"x","")</f>
        <v/>
      </c>
    </row>
    <row r="1156" spans="1:30" ht="15.75" customHeight="1">
      <c r="A1156" s="327" t="str">
        <f>IF(B1156&lt;&gt;"",IF(AND(B1156='IN-TC'!$S$4,OR(TH!N1156="1111",TH!O1156="1111")),TH!D1156,""),"")</f>
        <v/>
      </c>
      <c r="B1156" s="62" t="str">
        <f t="shared" si="328"/>
        <v/>
      </c>
      <c r="C1156" s="63"/>
      <c r="D1156" s="63"/>
      <c r="E1156" s="63"/>
      <c r="F1156" s="66"/>
      <c r="G1156" s="66"/>
      <c r="H1156" s="71"/>
      <c r="I1156" s="405"/>
      <c r="J1156" s="405"/>
      <c r="K1156" s="398"/>
      <c r="L1156" s="405"/>
      <c r="M1156" s="64"/>
      <c r="N1156" s="65"/>
      <c r="O1156" s="65"/>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row>
    <row r="1157" spans="1:30" ht="15.75" customHeight="1">
      <c r="A1157" s="327" t="str">
        <f>IF(B1157&lt;&gt;"",IF(AND(B1157='IN-TC'!$S$4,OR(TH!N1157="1111",TH!O1157="1111")),TH!D1157,""),"")</f>
        <v/>
      </c>
      <c r="B1157" s="62" t="str">
        <f t="shared" si="328"/>
        <v/>
      </c>
      <c r="C1157" s="63"/>
      <c r="D1157" s="63"/>
      <c r="E1157" s="63"/>
      <c r="F1157" s="66"/>
      <c r="G1157" s="66"/>
      <c r="H1157" s="71"/>
      <c r="I1157" s="407"/>
      <c r="J1157" s="407"/>
      <c r="K1157" s="400"/>
      <c r="L1157" s="407"/>
      <c r="M1157" s="64"/>
      <c r="N1157" s="65"/>
      <c r="O1157" s="65"/>
      <c r="P1157" s="81" t="str">
        <f>IF(AND('331-CT'!$E$7=TH!H1157,OR(N1157="331",O1157="331")),"x","")</f>
        <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
      </c>
      <c r="AC1157" s="81" t="str">
        <f>IF(AND(OR(LEFT(TH!N1157,2)="15",LEFT(TH!O1157,2)="15"),TK!$E$7=TH!F1157),"x","")</f>
        <v/>
      </c>
      <c r="AD1157" s="81" t="str">
        <f>IF(AND(N1157="1521",MONTH(C1157)='BK-NL'!$M$11),"x","")</f>
        <v/>
      </c>
    </row>
    <row r="1158" spans="1:30" ht="15.75" customHeight="1">
      <c r="A1158" s="327" t="str">
        <f>IF(B1158&lt;&gt;"",IF(AND(B1158='IN-TC'!$S$4,OR(TH!N1158="1111",TH!O1158="1111")),TH!D1158,""),"")</f>
        <v/>
      </c>
      <c r="B1158" s="62" t="str">
        <f t="shared" si="328"/>
        <v/>
      </c>
      <c r="C1158" s="63"/>
      <c r="D1158" s="63"/>
      <c r="E1158" s="63"/>
      <c r="F1158" s="66"/>
      <c r="G1158" s="66"/>
      <c r="H1158" s="71"/>
      <c r="I1158" s="407"/>
      <c r="J1158" s="407"/>
      <c r="K1158" s="400"/>
      <c r="L1158" s="407"/>
      <c r="M1158" s="64"/>
      <c r="N1158" s="65"/>
      <c r="O1158" s="65"/>
      <c r="P1158" s="81" t="str">
        <f>IF(AND('331-CT'!$E$7=TH!H1158,OR(N1158="331",O1158="331")),"x","")</f>
        <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row>
    <row r="1159" spans="1:30" ht="15.75" customHeight="1">
      <c r="A1159" s="327" t="str">
        <f>IF(B1159&lt;&gt;"",IF(AND(B1159='IN-TC'!$S$4,OR(TH!N1159="1111",TH!O1159="1111")),TH!D1159,""),"")</f>
        <v/>
      </c>
      <c r="B1159" s="62" t="str">
        <f t="shared" si="328"/>
        <v/>
      </c>
      <c r="C1159" s="63"/>
      <c r="D1159" s="63"/>
      <c r="E1159" s="63"/>
      <c r="F1159" s="66"/>
      <c r="G1159" s="66"/>
      <c r="H1159" s="71"/>
      <c r="I1159" s="407"/>
      <c r="J1159" s="407"/>
      <c r="K1159" s="400"/>
      <c r="L1159" s="407"/>
      <c r="M1159" s="64"/>
      <c r="N1159" s="65"/>
      <c r="O1159" s="65"/>
      <c r="P1159" s="81" t="str">
        <f>IF(AND('331-CT'!$E$7=TH!H1159,OR(N1159="331",O1159="331")),"x","")</f>
        <v/>
      </c>
      <c r="Q1159" s="81" t="str">
        <f>IF(AND(B1159='111'!$L$11,OR($N1159=$Q$7,$O1159=$Q$7)),"x","")</f>
        <v/>
      </c>
      <c r="R1159" s="81" t="str">
        <f>IF(AND($N1159=$Q$7,$B1159&lt;'111'!$L$11),"x","")</f>
        <v/>
      </c>
      <c r="S1159" s="81" t="str">
        <f>IF(AND($O1159=$Q$7,$B1159&lt;'111'!$L$11),"x","")</f>
        <v/>
      </c>
      <c r="T1159" s="81" t="str">
        <f>IF(ISERROR(FIND('112'!$M$9,G1159,1)),"",IF((AND(FIND('112'!$M$9,G1159,1)&gt;=1,B1159='112'!$K$9,OR($N1159='112'!$I$6,$O1159='112'!$I$6))),"x",""))</f>
        <v/>
      </c>
      <c r="U1159" s="81" t="str">
        <f>IF(ISERROR(FIND('112'!$M$9,G1159,1)),"",IF((AND(LEFT(G1159,2)=LEFT('112'!$M$9,2),B1159&lt;'112'!$K$9,$N1159='112'!$I$6)),"x",""))</f>
        <v/>
      </c>
      <c r="V1159" s="81" t="str">
        <f>IF(ISERROR(FIND('112'!$M$9,G1159,1)),"",IF((AND(RIGHT(G1159,2)=RIGHT('112'!$M$9,2),B1159&lt;'112'!$K$9,$O1159='112'!$I$6)),"x",""))</f>
        <v/>
      </c>
      <c r="W1159" s="81" t="str">
        <f>IF(AND('341-CT'!$H$9=H1159,OR(LEFT(N1159,3)=$W$7,LEFT(O1159,3)=$W$7)),"x","")</f>
        <v/>
      </c>
      <c r="X1159" s="81" t="str">
        <f>IF(OR(TH!N1159=TH!$X$7,O1159=TH!$X$7),"x","")</f>
        <v/>
      </c>
      <c r="Y1159" s="81" t="str">
        <f>IF(AND(OR(N1159="131",O1159="131"),H1159='131-CT'!$H$9),"x","")</f>
        <v/>
      </c>
      <c r="Z1159" s="81"/>
      <c r="AA1159" s="81" t="str">
        <f>IF(AND(MONTH(E1159)='IN-NX'!$J$5,'IN-NX'!$D$7=D1159),"x","")</f>
        <v/>
      </c>
      <c r="AB1159" s="81" t="str">
        <f>IF(AND(OR(LEFT(TH!N1159,2)="15",LEFT(TH!O1159,2)="15"),LEFT(TH!O1159,3)&lt;&gt;"111",'152-CT'!$J$8=TH!F1159),"x","")</f>
        <v/>
      </c>
      <c r="AC1159" s="81" t="str">
        <f>IF(AND(OR(LEFT(TH!N1159,2)="15",LEFT(TH!O1159,2)="15"),TK!$E$7=TH!F1159),"x","")</f>
        <v/>
      </c>
      <c r="AD1159" s="81" t="str">
        <f>IF(AND(N1159="1521",MONTH(C1159)='BK-NL'!$M$11),"x","")</f>
        <v/>
      </c>
    </row>
    <row r="1160" spans="1:30" ht="15.75" customHeight="1">
      <c r="A1160" s="327" t="str">
        <f>IF(B1160&lt;&gt;"",IF(AND(B1160='IN-TC'!$S$4,OR(TH!N1160="1111",TH!O1160="1111")),TH!D1160,""),"")</f>
        <v/>
      </c>
      <c r="B1160" s="62" t="str">
        <f t="shared" si="328"/>
        <v/>
      </c>
      <c r="C1160" s="63"/>
      <c r="D1160" s="63"/>
      <c r="E1160" s="63"/>
      <c r="F1160" s="66"/>
      <c r="G1160" s="66"/>
      <c r="H1160" s="71"/>
      <c r="I1160" s="407"/>
      <c r="J1160" s="407"/>
      <c r="K1160" s="400"/>
      <c r="L1160" s="407"/>
      <c r="M1160" s="64"/>
      <c r="N1160" s="65"/>
      <c r="O1160" s="65"/>
      <c r="P1160" s="81" t="str">
        <f>IF(AND('331-CT'!$E$7=TH!H1160,OR(N1160="331",O1160="331")),"x","")</f>
        <v/>
      </c>
      <c r="Q1160" s="81" t="str">
        <f>IF(AND(B1160='111'!$L$11,OR($N1160=$Q$7,$O1160=$Q$7)),"x","")</f>
        <v/>
      </c>
      <c r="R1160" s="81" t="str">
        <f>IF(AND($N1160=$Q$7,$B1160&lt;'111'!$L$11),"x","")</f>
        <v/>
      </c>
      <c r="S1160" s="81" t="str">
        <f>IF(AND($O1160=$Q$7,$B1160&lt;'111'!$L$11),"x","")</f>
        <v/>
      </c>
      <c r="T1160" s="81" t="str">
        <f>IF(ISERROR(FIND('112'!$M$9,G1160,1)),"",IF((AND(FIND('112'!$M$9,G1160,1)&gt;=1,B1160='112'!$K$9,OR($N1160='112'!$I$6,$O1160='112'!$I$6))),"x",""))</f>
        <v/>
      </c>
      <c r="U1160" s="81" t="str">
        <f>IF(ISERROR(FIND('112'!$M$9,G1160,1)),"",IF((AND(LEFT(G1160,2)=LEFT('112'!$M$9,2),B1160&lt;'112'!$K$9,$N1160='112'!$I$6)),"x",""))</f>
        <v/>
      </c>
      <c r="V1160" s="81" t="str">
        <f>IF(ISERROR(FIND('112'!$M$9,G1160,1)),"",IF((AND(RIGHT(G1160,2)=RIGHT('112'!$M$9,2),B1160&lt;'112'!$K$9,$O1160='112'!$I$6)),"x",""))</f>
        <v/>
      </c>
      <c r="W1160" s="81" t="str">
        <f>IF(AND('341-CT'!$H$9=H1160,OR(LEFT(N1160,3)=$W$7,LEFT(O1160,3)=$W$7)),"x","")</f>
        <v/>
      </c>
      <c r="X1160" s="81" t="str">
        <f>IF(OR(TH!N1160=TH!$X$7,O1160=TH!$X$7),"x","")</f>
        <v/>
      </c>
      <c r="Y1160" s="81" t="str">
        <f>IF(AND(OR(N1160="131",O1160="131"),H1160='131-CT'!$H$9),"x","")</f>
        <v/>
      </c>
      <c r="Z1160" s="81"/>
      <c r="AA1160" s="81" t="str">
        <f>IF(AND(MONTH(E1160)='IN-NX'!$J$5,'IN-NX'!$D$7=D1160),"x","")</f>
        <v/>
      </c>
      <c r="AB1160" s="81" t="str">
        <f>IF(AND(OR(LEFT(TH!N1160,2)="15",LEFT(TH!O1160,2)="15"),LEFT(TH!O1160,3)&lt;&gt;"111",'152-CT'!$J$8=TH!F1160),"x","")</f>
        <v/>
      </c>
      <c r="AC1160" s="81" t="str">
        <f>IF(AND(OR(LEFT(TH!N1160,2)="15",LEFT(TH!O1160,2)="15"),TK!$E$7=TH!F1160),"x","")</f>
        <v/>
      </c>
      <c r="AD1160" s="81" t="str">
        <f>IF(AND(N1160="1521",MONTH(C1160)='BK-NL'!$M$11),"x","")</f>
        <v/>
      </c>
    </row>
    <row r="1161" spans="1:30" ht="15.75" customHeight="1">
      <c r="A1161" s="327" t="str">
        <f>IF(B1161&lt;&gt;"",IF(AND(B1161='IN-TC'!$S$4,OR(TH!N1161="1111",TH!O1161="1111")),TH!D1161,""),"")</f>
        <v/>
      </c>
      <c r="B1161" s="62" t="str">
        <f t="shared" si="328"/>
        <v/>
      </c>
      <c r="C1161" s="63"/>
      <c r="D1161" s="63"/>
      <c r="E1161" s="63"/>
      <c r="F1161" s="66"/>
      <c r="G1161" s="66"/>
      <c r="H1161" s="71"/>
      <c r="I1161" s="407"/>
      <c r="J1161" s="407"/>
      <c r="K1161" s="400"/>
      <c r="L1161" s="407"/>
      <c r="M1161" s="64"/>
      <c r="N1161" s="65"/>
      <c r="O1161" s="65"/>
      <c r="P1161" s="81" t="str">
        <f>IF(AND('331-CT'!$E$7=TH!H1161,OR(N1161="331",O1161="331")),"x","")</f>
        <v/>
      </c>
      <c r="Q1161" s="81" t="str">
        <f>IF(AND(B1161='111'!$L$11,OR($N1161=$Q$7,$O1161=$Q$7)),"x","")</f>
        <v/>
      </c>
      <c r="R1161" s="81" t="str">
        <f>IF(AND($N1161=$Q$7,$B1161&lt;'111'!$L$11),"x","")</f>
        <v/>
      </c>
      <c r="S1161" s="81" t="str">
        <f>IF(AND($O1161=$Q$7,$B1161&lt;'111'!$L$11),"x","")</f>
        <v/>
      </c>
      <c r="T1161" s="81" t="str">
        <f>IF(ISERROR(FIND('112'!$M$9,G1161,1)),"",IF((AND(FIND('112'!$M$9,G1161,1)&gt;=1,B1161='112'!$K$9,OR($N1161='112'!$I$6,$O1161='112'!$I$6))),"x",""))</f>
        <v/>
      </c>
      <c r="U1161" s="81" t="str">
        <f>IF(ISERROR(FIND('112'!$M$9,G1161,1)),"",IF((AND(LEFT(G1161,2)=LEFT('112'!$M$9,2),B1161&lt;'112'!$K$9,$N1161='112'!$I$6)),"x",""))</f>
        <v/>
      </c>
      <c r="V1161" s="81" t="str">
        <f>IF(ISERROR(FIND('112'!$M$9,G1161,1)),"",IF((AND(RIGHT(G1161,2)=RIGHT('112'!$M$9,2),B1161&lt;'112'!$K$9,$O1161='112'!$I$6)),"x",""))</f>
        <v/>
      </c>
      <c r="W1161" s="81" t="str">
        <f>IF(AND('341-CT'!$H$9=H1161,OR(LEFT(N1161,3)=$W$7,LEFT(O1161,3)=$W$7)),"x","")</f>
        <v/>
      </c>
      <c r="X1161" s="81" t="str">
        <f>IF(OR(TH!N1161=TH!$X$7,O1161=TH!$X$7),"x","")</f>
        <v/>
      </c>
      <c r="Y1161" s="81" t="str">
        <f>IF(AND(OR(N1161="131",O1161="131"),H1161='131-CT'!$H$9),"x","")</f>
        <v/>
      </c>
      <c r="Z1161" s="81"/>
      <c r="AA1161" s="81" t="str">
        <f>IF(AND(MONTH(E1161)='IN-NX'!$J$5,'IN-NX'!$D$7=D1161),"x","")</f>
        <v/>
      </c>
      <c r="AB1161" s="81" t="str">
        <f>IF(AND(OR(LEFT(TH!N1161,2)="15",LEFT(TH!O1161,2)="15"),LEFT(TH!O1161,3)&lt;&gt;"111",'152-CT'!$J$8=TH!F1161),"x","")</f>
        <v/>
      </c>
      <c r="AC1161" s="81" t="str">
        <f>IF(AND(OR(LEFT(TH!N1161,2)="15",LEFT(TH!O1161,2)="15"),TK!$E$7=TH!F1161),"x","")</f>
        <v/>
      </c>
      <c r="AD1161" s="81" t="str">
        <f>IF(AND(N1161="1521",MONTH(C1161)='BK-NL'!$M$11),"x","")</f>
        <v/>
      </c>
    </row>
    <row r="1162" spans="1:30" ht="15.75" customHeight="1">
      <c r="A1162" s="327" t="str">
        <f>IF(B1162&lt;&gt;"",IF(AND(B1162='IN-TC'!$S$4,OR(TH!N1162="1111",TH!O1162="1111")),TH!D1162,""),"")</f>
        <v/>
      </c>
      <c r="B1162" s="62" t="str">
        <f t="shared" si="328"/>
        <v/>
      </c>
      <c r="C1162" s="63"/>
      <c r="D1162" s="63"/>
      <c r="E1162" s="63"/>
      <c r="F1162" s="66"/>
      <c r="G1162" s="66"/>
      <c r="H1162" s="71"/>
      <c r="I1162" s="407"/>
      <c r="J1162" s="407"/>
      <c r="K1162" s="400"/>
      <c r="L1162" s="407"/>
      <c r="M1162" s="64"/>
      <c r="N1162" s="65"/>
      <c r="O1162" s="65"/>
      <c r="P1162" s="81" t="str">
        <f>IF(AND('331-CT'!$E$7=TH!H1162,OR(N1162="331",O1162="331")),"x","")</f>
        <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
      </c>
      <c r="AC1162" s="81" t="str">
        <f>IF(AND(OR(LEFT(TH!N1162,2)="15",LEFT(TH!O1162,2)="15"),TK!$E$7=TH!F1162),"x","")</f>
        <v/>
      </c>
      <c r="AD1162" s="81" t="str">
        <f>IF(AND(N1162="1521",MONTH(C1162)='BK-NL'!$M$11),"x","")</f>
        <v/>
      </c>
    </row>
    <row r="1163" spans="1:30" ht="15.75" customHeight="1">
      <c r="A1163" s="327" t="str">
        <f>IF(B1163&lt;&gt;"",IF(AND(B1163='IN-TC'!$S$4,OR(TH!N1163="1111",TH!O1163="1111")),TH!D1163,""),"")</f>
        <v/>
      </c>
      <c r="B1163" s="62" t="str">
        <f t="shared" si="328"/>
        <v/>
      </c>
      <c r="C1163" s="63"/>
      <c r="D1163" s="63"/>
      <c r="E1163" s="63"/>
      <c r="F1163" s="71"/>
      <c r="G1163" s="816"/>
      <c r="H1163" s="71"/>
      <c r="I1163" s="405"/>
      <c r="J1163" s="405"/>
      <c r="K1163" s="398"/>
      <c r="L1163" s="405"/>
      <c r="M1163" s="64"/>
      <c r="N1163" s="65"/>
      <c r="O1163" s="65"/>
      <c r="P1163" s="81" t="str">
        <f>IF(AND('331-CT'!$E$7=TH!H1163,OR(N1163="331",O1163="331")),"x","")</f>
        <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
      </c>
      <c r="AC1163" s="81" t="str">
        <f>IF(AND(OR(LEFT(TH!N1163,2)="15",LEFT(TH!O1163,2)="15"),TK!$E$7=TH!F1163),"x","")</f>
        <v/>
      </c>
      <c r="AD1163" s="81" t="str">
        <f>IF(AND(N1163="1521",MONTH(C1163)='BK-NL'!$M$11),"x","")</f>
        <v/>
      </c>
    </row>
    <row r="1164" spans="1:30" ht="15.75" customHeight="1">
      <c r="A1164" s="327" t="str">
        <f>IF(B1164&lt;&gt;"",IF(AND(B1164='IN-TC'!$S$4,OR(TH!N1164="1111",TH!O1164="1111")),TH!D1164,""),"")</f>
        <v/>
      </c>
      <c r="B1164" s="62" t="str">
        <f t="shared" ref="B1164:B1227" si="329">IF(C1164&lt;&gt;"",MONTH(C1164),"")</f>
        <v/>
      </c>
      <c r="C1164" s="63"/>
      <c r="D1164" s="63"/>
      <c r="E1164" s="63"/>
      <c r="F1164" s="71"/>
      <c r="G1164" s="816"/>
      <c r="H1164" s="71"/>
      <c r="I1164" s="405"/>
      <c r="J1164" s="405"/>
      <c r="K1164" s="398"/>
      <c r="L1164" s="405"/>
      <c r="M1164" s="64"/>
      <c r="N1164" s="65"/>
      <c r="O1164" s="65"/>
      <c r="P1164" s="81" t="str">
        <f>IF(AND('331-CT'!$E$7=TH!H1164,OR(N1164="331",O1164="331")),"x","")</f>
        <v/>
      </c>
      <c r="Q1164" s="81" t="str">
        <f>IF(AND(B1164='111'!$L$11,OR($N1164=$Q$7,$O1164=$Q$7)),"x","")</f>
        <v/>
      </c>
      <c r="R1164" s="81" t="str">
        <f>IF(AND($N1164=$Q$7,$B1164&lt;'111'!$L$11),"x","")</f>
        <v/>
      </c>
      <c r="S1164" s="81" t="str">
        <f>IF(AND($O1164=$Q$7,$B1164&lt;'111'!$L$11),"x","")</f>
        <v/>
      </c>
      <c r="T1164" s="81" t="str">
        <f>IF(ISERROR(FIND('112'!$M$9,G1164,1)),"",IF((AND(FIND('112'!$M$9,G1164,1)&gt;=1,B1164='112'!$K$9,OR($N1164='112'!$I$6,$O1164='112'!$I$6))),"x",""))</f>
        <v/>
      </c>
      <c r="U1164" s="81" t="str">
        <f>IF(ISERROR(FIND('112'!$M$9,G1164,1)),"",IF((AND(LEFT(G1164,2)=LEFT('112'!$M$9,2),B1164&lt;'112'!$K$9,$N1164='112'!$I$6)),"x",""))</f>
        <v/>
      </c>
      <c r="V1164" s="81" t="str">
        <f>IF(ISERROR(FIND('112'!$M$9,G1164,1)),"",IF((AND(RIGHT(G1164,2)=RIGHT('112'!$M$9,2),B1164&lt;'112'!$K$9,$O1164='112'!$I$6)),"x",""))</f>
        <v/>
      </c>
      <c r="W1164" s="81" t="str">
        <f>IF(AND('341-CT'!$H$9=H1164,OR(LEFT(N1164,3)=$W$7,LEFT(O1164,3)=$W$7)),"x","")</f>
        <v/>
      </c>
      <c r="X1164" s="81" t="str">
        <f>IF(OR(TH!N1164=TH!$X$7,O1164=TH!$X$7),"x","")</f>
        <v/>
      </c>
      <c r="Y1164" s="81" t="str">
        <f>IF(AND(OR(N1164="131",O1164="131"),H1164='131-CT'!$H$9),"x","")</f>
        <v/>
      </c>
      <c r="Z1164" s="81"/>
      <c r="AA1164" s="81" t="str">
        <f>IF(AND(MONTH(E1164)='IN-NX'!$J$5,'IN-NX'!$D$7=D1164),"x","")</f>
        <v/>
      </c>
      <c r="AB1164" s="81" t="str">
        <f>IF(AND(OR(LEFT(TH!N1164,2)="15",LEFT(TH!O1164,2)="15"),LEFT(TH!O1164,3)&lt;&gt;"111",'152-CT'!$J$8=TH!F1164),"x","")</f>
        <v/>
      </c>
      <c r="AC1164" s="81" t="str">
        <f>IF(AND(OR(LEFT(TH!N1164,2)="15",LEFT(TH!O1164,2)="15"),TK!$E$7=TH!F1164),"x","")</f>
        <v/>
      </c>
      <c r="AD1164" s="81" t="str">
        <f>IF(AND(N1164="1521",MONTH(C1164)='BK-NL'!$M$11),"x","")</f>
        <v/>
      </c>
    </row>
    <row r="1165" spans="1:30" ht="15.75" customHeight="1">
      <c r="A1165" s="327" t="str">
        <f>IF(B1165&lt;&gt;"",IF(AND(B1165='IN-TC'!$S$4,OR(TH!N1165="1111",TH!O1165="1111")),TH!D1165,""),"")</f>
        <v/>
      </c>
      <c r="B1165" s="62" t="str">
        <f t="shared" si="329"/>
        <v/>
      </c>
      <c r="C1165" s="63"/>
      <c r="D1165" s="63"/>
      <c r="E1165" s="63"/>
      <c r="F1165" s="71"/>
      <c r="G1165" s="816"/>
      <c r="H1165" s="71"/>
      <c r="I1165" s="405"/>
      <c r="J1165" s="405"/>
      <c r="K1165" s="398"/>
      <c r="L1165" s="405"/>
      <c r="M1165" s="64"/>
      <c r="N1165" s="65"/>
      <c r="O1165" s="65"/>
      <c r="P1165" s="81" t="str">
        <f>IF(AND('331-CT'!$E$7=TH!H1165,OR(N1165="331",O1165="331")),"x","")</f>
        <v/>
      </c>
      <c r="Q1165" s="81" t="str">
        <f>IF(AND(B1165='111'!$L$11,OR($N1165=$Q$7,$O1165=$Q$7)),"x","")</f>
        <v/>
      </c>
      <c r="R1165" s="81" t="str">
        <f>IF(AND($N1165=$Q$7,$B1165&lt;'111'!$L$11),"x","")</f>
        <v/>
      </c>
      <c r="S1165" s="81" t="str">
        <f>IF(AND($O1165=$Q$7,$B1165&lt;'111'!$L$11),"x","")</f>
        <v/>
      </c>
      <c r="T1165" s="81" t="str">
        <f>IF(ISERROR(FIND('112'!$M$9,G1165,1)),"",IF((AND(FIND('112'!$M$9,G1165,1)&gt;=1,B1165='112'!$K$9,OR($N1165='112'!$I$6,$O1165='112'!$I$6))),"x",""))</f>
        <v/>
      </c>
      <c r="U1165" s="81" t="str">
        <f>IF(ISERROR(FIND('112'!$M$9,G1165,1)),"",IF((AND(LEFT(G1165,2)=LEFT('112'!$M$9,2),B1165&lt;'112'!$K$9,$N1165='112'!$I$6)),"x",""))</f>
        <v/>
      </c>
      <c r="V1165" s="81" t="str">
        <f>IF(ISERROR(FIND('112'!$M$9,G1165,1)),"",IF((AND(RIGHT(G1165,2)=RIGHT('112'!$M$9,2),B1165&lt;'112'!$K$9,$O1165='112'!$I$6)),"x",""))</f>
        <v/>
      </c>
      <c r="W1165" s="81" t="str">
        <f>IF(AND('341-CT'!$H$9=H1165,OR(LEFT(N1165,3)=$W$7,LEFT(O1165,3)=$W$7)),"x","")</f>
        <v/>
      </c>
      <c r="X1165" s="81" t="str">
        <f>IF(OR(TH!N1165=TH!$X$7,O1165=TH!$X$7),"x","")</f>
        <v/>
      </c>
      <c r="Y1165" s="81" t="str">
        <f>IF(AND(OR(N1165="131",O1165="131"),H1165='131-CT'!$H$9),"x","")</f>
        <v/>
      </c>
      <c r="Z1165" s="81"/>
      <c r="AA1165" s="81" t="str">
        <f>IF(AND(MONTH(E1165)='IN-NX'!$J$5,'IN-NX'!$D$7=D1165),"x","")</f>
        <v/>
      </c>
      <c r="AB1165" s="81" t="str">
        <f>IF(AND(OR(LEFT(TH!N1165,2)="15",LEFT(TH!O1165,2)="15"),LEFT(TH!O1165,3)&lt;&gt;"111",'152-CT'!$J$8=TH!F1165),"x","")</f>
        <v/>
      </c>
      <c r="AC1165" s="81" t="str">
        <f>IF(AND(OR(LEFT(TH!N1165,2)="15",LEFT(TH!O1165,2)="15"),TK!$E$7=TH!F1165),"x","")</f>
        <v/>
      </c>
      <c r="AD1165" s="81" t="str">
        <f>IF(AND(N1165="1521",MONTH(C1165)='BK-NL'!$M$11),"x","")</f>
        <v/>
      </c>
    </row>
    <row r="1166" spans="1:30" ht="15.75" customHeight="1">
      <c r="A1166" s="327" t="str">
        <f>IF(B1166&lt;&gt;"",IF(AND(B1166='IN-TC'!$S$4,OR(TH!N1166="1111",TH!O1166="1111")),TH!D1166,""),"")</f>
        <v/>
      </c>
      <c r="B1166" s="62" t="str">
        <f t="shared" si="329"/>
        <v/>
      </c>
      <c r="C1166" s="63"/>
      <c r="D1166" s="63"/>
      <c r="E1166" s="63"/>
      <c r="F1166" s="71"/>
      <c r="G1166" s="816"/>
      <c r="H1166" s="71"/>
      <c r="I1166" s="405"/>
      <c r="J1166" s="405"/>
      <c r="K1166" s="398"/>
      <c r="L1166" s="405"/>
      <c r="M1166" s="64"/>
      <c r="N1166" s="65"/>
      <c r="O1166" s="65"/>
      <c r="P1166" s="81" t="str">
        <f>IF(AND('331-CT'!$E$7=TH!H1166,OR(N1166="331",O1166="331")),"x","")</f>
        <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
      </c>
      <c r="AC1166" s="81" t="str">
        <f>IF(AND(OR(LEFT(TH!N1166,2)="15",LEFT(TH!O1166,2)="15"),TK!$E$7=TH!F1166),"x","")</f>
        <v/>
      </c>
      <c r="AD1166" s="81" t="str">
        <f>IF(AND(N1166="1521",MONTH(C1166)='BK-NL'!$M$11),"x","")</f>
        <v/>
      </c>
    </row>
    <row r="1167" spans="1:30" ht="15.75" customHeight="1">
      <c r="A1167" s="327" t="str">
        <f>IF(B1167&lt;&gt;"",IF(AND(B1167='IN-TC'!$S$4,OR(TH!N1167="1111",TH!O1167="1111")),TH!D1167,""),"")</f>
        <v/>
      </c>
      <c r="B1167" s="62" t="str">
        <f t="shared" si="329"/>
        <v/>
      </c>
      <c r="C1167" s="63"/>
      <c r="D1167" s="63"/>
      <c r="E1167" s="63"/>
      <c r="F1167" s="71"/>
      <c r="G1167" s="816"/>
      <c r="H1167" s="71"/>
      <c r="I1167" s="405"/>
      <c r="J1167" s="405"/>
      <c r="K1167" s="398"/>
      <c r="L1167" s="405"/>
      <c r="M1167" s="64"/>
      <c r="N1167" s="65"/>
      <c r="O1167" s="65"/>
      <c r="P1167" s="81" t="str">
        <f>IF(AND('331-CT'!$E$7=TH!H1167,OR(N1167="331",O1167="331")),"x","")</f>
        <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row>
    <row r="1168" spans="1:30" ht="15.75" customHeight="1">
      <c r="A1168" s="327" t="str">
        <f>IF(B1168&lt;&gt;"",IF(AND(B1168='IN-TC'!$S$4,OR(TH!N1168="1111",TH!O1168="1111")),TH!D1168,""),"")</f>
        <v/>
      </c>
      <c r="B1168" s="62" t="str">
        <f t="shared" si="329"/>
        <v/>
      </c>
      <c r="C1168" s="63"/>
      <c r="D1168" s="63"/>
      <c r="E1168" s="63"/>
      <c r="F1168" s="71"/>
      <c r="G1168" s="816"/>
      <c r="H1168" s="71"/>
      <c r="I1168" s="405"/>
      <c r="J1168" s="405"/>
      <c r="K1168" s="398"/>
      <c r="L1168" s="405"/>
      <c r="M1168" s="64"/>
      <c r="N1168" s="65"/>
      <c r="O1168" s="65"/>
      <c r="P1168" s="81" t="str">
        <f>IF(AND('331-CT'!$E$7=TH!H1168,OR(N1168="331",O1168="331")),"x","")</f>
        <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
      </c>
      <c r="AC1168" s="81" t="str">
        <f>IF(AND(OR(LEFT(TH!N1168,2)="15",LEFT(TH!O1168,2)="15"),TK!$E$7=TH!F1168),"x","")</f>
        <v/>
      </c>
      <c r="AD1168" s="81" t="str">
        <f>IF(AND(N1168="1521",MONTH(C1168)='BK-NL'!$M$11),"x","")</f>
        <v/>
      </c>
    </row>
    <row r="1169" spans="1:30" ht="15.75" customHeight="1">
      <c r="A1169" s="327" t="str">
        <f>IF(B1169&lt;&gt;"",IF(AND(B1169='IN-TC'!$S$4,OR(TH!N1169="1111",TH!O1169="1111")),TH!D1169,""),"")</f>
        <v/>
      </c>
      <c r="B1169" s="62" t="str">
        <f t="shared" si="329"/>
        <v/>
      </c>
      <c r="C1169" s="63"/>
      <c r="D1169" s="63"/>
      <c r="E1169" s="63"/>
      <c r="F1169" s="71"/>
      <c r="G1169" s="816"/>
      <c r="H1169" s="71"/>
      <c r="I1169" s="405"/>
      <c r="J1169" s="405"/>
      <c r="K1169" s="398"/>
      <c r="L1169" s="405"/>
      <c r="M1169" s="64"/>
      <c r="N1169" s="65"/>
      <c r="O1169" s="65"/>
      <c r="P1169" s="81" t="str">
        <f>IF(AND('331-CT'!$E$7=TH!H1169,OR(N1169="331",O1169="331")),"x","")</f>
        <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row>
    <row r="1170" spans="1:30" ht="15.75" customHeight="1">
      <c r="A1170" s="327" t="str">
        <f>IF(B1170&lt;&gt;"",IF(AND(B1170='IN-TC'!$S$4,OR(TH!N1170="1111",TH!O1170="1111")),TH!D1170,""),"")</f>
        <v/>
      </c>
      <c r="B1170" s="62" t="str">
        <f t="shared" si="329"/>
        <v/>
      </c>
      <c r="C1170" s="63"/>
      <c r="D1170" s="63"/>
      <c r="E1170" s="63"/>
      <c r="F1170" s="71"/>
      <c r="G1170" s="816"/>
      <c r="H1170" s="71"/>
      <c r="I1170" s="405"/>
      <c r="J1170" s="405"/>
      <c r="K1170" s="398"/>
      <c r="L1170" s="405"/>
      <c r="M1170" s="64"/>
      <c r="N1170" s="65"/>
      <c r="O1170" s="65"/>
      <c r="P1170" s="81" t="str">
        <f>IF(AND('331-CT'!$E$7=TH!H1170,OR(N1170="331",O1170="331")),"x","")</f>
        <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
      </c>
      <c r="AC1170" s="81" t="str">
        <f>IF(AND(OR(LEFT(TH!N1170,2)="15",LEFT(TH!O1170,2)="15"),TK!$E$7=TH!F1170),"x","")</f>
        <v/>
      </c>
      <c r="AD1170" s="81" t="str">
        <f>IF(AND(N1170="1521",MONTH(C1170)='BK-NL'!$M$11),"x","")</f>
        <v/>
      </c>
    </row>
    <row r="1171" spans="1:30" ht="15.75" customHeight="1">
      <c r="A1171" s="327" t="str">
        <f>IF(B1171&lt;&gt;"",IF(AND(B1171='IN-TC'!$S$4,OR(TH!N1171="1111",TH!O1171="1111")),TH!D1171,""),"")</f>
        <v/>
      </c>
      <c r="B1171" s="62" t="str">
        <f t="shared" si="329"/>
        <v/>
      </c>
      <c r="C1171" s="63"/>
      <c r="D1171" s="63"/>
      <c r="E1171" s="63"/>
      <c r="F1171" s="71"/>
      <c r="G1171" s="816"/>
      <c r="H1171" s="71"/>
      <c r="I1171" s="405"/>
      <c r="J1171" s="405"/>
      <c r="K1171" s="398"/>
      <c r="L1171" s="405"/>
      <c r="M1171" s="64"/>
      <c r="N1171" s="65"/>
      <c r="O1171" s="65"/>
      <c r="P1171" s="81" t="str">
        <f>IF(AND('331-CT'!$E$7=TH!H1171,OR(N1171="331",O1171="331")),"x","")</f>
        <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row>
    <row r="1172" spans="1:30" ht="15.75" customHeight="1">
      <c r="A1172" s="327" t="str">
        <f>IF(B1172&lt;&gt;"",IF(AND(B1172='IN-TC'!$S$4,OR(TH!N1172="1111",TH!O1172="1111")),TH!D1172,""),"")</f>
        <v/>
      </c>
      <c r="B1172" s="62" t="str">
        <f t="shared" si="329"/>
        <v/>
      </c>
      <c r="C1172" s="63"/>
      <c r="D1172" s="63"/>
      <c r="E1172" s="63"/>
      <c r="F1172" s="71"/>
      <c r="G1172" s="816"/>
      <c r="H1172" s="71"/>
      <c r="I1172" s="405"/>
      <c r="J1172" s="405"/>
      <c r="K1172" s="398"/>
      <c r="L1172" s="405"/>
      <c r="M1172" s="64"/>
      <c r="N1172" s="65"/>
      <c r="O1172" s="65"/>
      <c r="P1172" s="81" t="str">
        <f>IF(AND('331-CT'!$E$7=TH!H1172,OR(N1172="331",O1172="331")),"x","")</f>
        <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
      </c>
      <c r="AC1172" s="81" t="str">
        <f>IF(AND(OR(LEFT(TH!N1172,2)="15",LEFT(TH!O1172,2)="15"),TK!$E$7=TH!F1172),"x","")</f>
        <v/>
      </c>
      <c r="AD1172" s="81" t="str">
        <f>IF(AND(N1172="1521",MONTH(C1172)='BK-NL'!$M$11),"x","")</f>
        <v/>
      </c>
    </row>
    <row r="1173" spans="1:30" ht="15.75" customHeight="1">
      <c r="A1173" s="327" t="str">
        <f>IF(B1173&lt;&gt;"",IF(AND(B1173='IN-TC'!$S$4,OR(TH!N1173="1111",TH!O1173="1111")),TH!D1173,""),"")</f>
        <v/>
      </c>
      <c r="B1173" s="62" t="str">
        <f t="shared" si="329"/>
        <v/>
      </c>
      <c r="C1173" s="63"/>
      <c r="D1173" s="63"/>
      <c r="E1173" s="63"/>
      <c r="F1173" s="1001"/>
      <c r="G1173" s="66"/>
      <c r="H1173" s="71"/>
      <c r="I1173" s="1002"/>
      <c r="J1173" s="1002"/>
      <c r="K1173" s="400"/>
      <c r="L1173" s="407"/>
      <c r="M1173" s="64"/>
      <c r="N1173" s="65"/>
      <c r="O1173" s="65"/>
      <c r="P1173" s="81" t="str">
        <f>IF(AND('331-CT'!$E$7=TH!H1173,OR(N1173="331",O1173="331")),"x","")</f>
        <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row>
    <row r="1174" spans="1:30" ht="15.75" customHeight="1">
      <c r="A1174" s="327" t="str">
        <f>IF(B1174&lt;&gt;"",IF(AND(B1174='IN-TC'!$S$4,OR(TH!N1174="1111",TH!O1174="1111")),TH!D1174,""),"")</f>
        <v/>
      </c>
      <c r="B1174" s="62" t="str">
        <f t="shared" si="329"/>
        <v/>
      </c>
      <c r="C1174" s="1003"/>
      <c r="D1174" s="63"/>
      <c r="E1174" s="63"/>
      <c r="F1174" s="991"/>
      <c r="G1174" s="66"/>
      <c r="H1174" s="71"/>
      <c r="I1174" s="1002"/>
      <c r="J1174" s="405"/>
      <c r="K1174" s="400"/>
      <c r="L1174" s="407"/>
      <c r="M1174" s="64"/>
      <c r="N1174" s="65"/>
      <c r="O1174" s="65"/>
      <c r="P1174" s="81" t="str">
        <f>IF(AND('331-CT'!$E$7=TH!H1174,OR(N1174="331",O1174="331")),"x","")</f>
        <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
      </c>
      <c r="AC1174" s="81" t="str">
        <f>IF(AND(OR(LEFT(TH!N1174,2)="15",LEFT(TH!O1174,2)="15"),TK!$E$7=TH!F1174),"x","")</f>
        <v/>
      </c>
      <c r="AD1174" s="81" t="str">
        <f>IF(AND(N1174="1521",MONTH(C1174)='BK-NL'!$M$11),"x","")</f>
        <v/>
      </c>
    </row>
    <row r="1175" spans="1:30" ht="15.75" customHeight="1">
      <c r="A1175" s="327" t="str">
        <f>IF(B1175&lt;&gt;"",IF(AND(B1175='IN-TC'!$S$4,OR(TH!N1175="1111",TH!O1175="1111")),TH!D1175,""),"")</f>
        <v/>
      </c>
      <c r="B1175" s="62" t="str">
        <f t="shared" si="329"/>
        <v/>
      </c>
      <c r="C1175" s="1003"/>
      <c r="D1175" s="63"/>
      <c r="E1175" s="63"/>
      <c r="F1175" s="991"/>
      <c r="G1175" s="66"/>
      <c r="H1175" s="71"/>
      <c r="I1175" s="1002"/>
      <c r="J1175" s="1002"/>
      <c r="K1175" s="400"/>
      <c r="L1175" s="407"/>
      <c r="M1175" s="64"/>
      <c r="N1175" s="65"/>
      <c r="O1175" s="65"/>
      <c r="P1175" s="81" t="str">
        <f>IF(AND('331-CT'!$E$7=TH!H1175,OR(N1175="331",O1175="331")),"x","")</f>
        <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row>
    <row r="1176" spans="1:30" ht="15.75" customHeight="1">
      <c r="A1176" s="327" t="str">
        <f>IF(B1176&lt;&gt;"",IF(AND(B1176='IN-TC'!$S$4,OR(TH!N1176="1111",TH!O1176="1111")),TH!D1176,""),"")</f>
        <v/>
      </c>
      <c r="B1176" s="62" t="str">
        <f t="shared" si="329"/>
        <v/>
      </c>
      <c r="C1176" s="1003"/>
      <c r="D1176" s="63"/>
      <c r="E1176" s="63"/>
      <c r="F1176" s="991"/>
      <c r="G1176" s="66"/>
      <c r="H1176" s="71"/>
      <c r="I1176" s="1002"/>
      <c r="J1176" s="1002"/>
      <c r="K1176" s="400"/>
      <c r="L1176" s="407"/>
      <c r="M1176" s="64"/>
      <c r="N1176" s="65"/>
      <c r="O1176" s="65"/>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
      </c>
      <c r="AC1176" s="81" t="str">
        <f>IF(AND(OR(LEFT(TH!N1176,2)="15",LEFT(TH!O1176,2)="15"),TK!$E$7=TH!F1176),"x","")</f>
        <v/>
      </c>
      <c r="AD1176" s="81" t="str">
        <f>IF(AND(N1176="1521",MONTH(C1176)='BK-NL'!$M$11),"x","")</f>
        <v/>
      </c>
    </row>
    <row r="1177" spans="1:30" ht="15.75" customHeight="1">
      <c r="A1177" s="327" t="str">
        <f>IF(B1177&lt;&gt;"",IF(AND(B1177='IN-TC'!$S$4,OR(TH!N1177="1111",TH!O1177="1111")),TH!D1177,""),"")</f>
        <v/>
      </c>
      <c r="B1177" s="62" t="str">
        <f t="shared" si="329"/>
        <v/>
      </c>
      <c r="C1177" s="1003"/>
      <c r="D1177" s="63"/>
      <c r="E1177" s="63"/>
      <c r="F1177" s="991"/>
      <c r="G1177" s="66"/>
      <c r="H1177" s="71"/>
      <c r="I1177" s="1002"/>
      <c r="J1177" s="1002"/>
      <c r="K1177" s="400"/>
      <c r="L1177" s="407"/>
      <c r="M1177" s="64"/>
      <c r="N1177" s="65"/>
      <c r="O1177" s="65"/>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row>
    <row r="1178" spans="1:30" ht="15.75" customHeight="1">
      <c r="A1178" s="327" t="str">
        <f>IF(B1178&lt;&gt;"",IF(AND(B1178='IN-TC'!$S$4,OR(TH!N1178="1111",TH!O1178="1111")),TH!D1178,""),"")</f>
        <v/>
      </c>
      <c r="B1178" s="62" t="str">
        <f t="shared" si="329"/>
        <v/>
      </c>
      <c r="C1178" s="1003"/>
      <c r="D1178" s="63"/>
      <c r="E1178" s="63"/>
      <c r="F1178" s="991"/>
      <c r="G1178" s="66"/>
      <c r="H1178" s="71"/>
      <c r="I1178" s="1002"/>
      <c r="J1178" s="1002"/>
      <c r="K1178" s="400"/>
      <c r="L1178" s="407"/>
      <c r="M1178" s="64"/>
      <c r="N1178" s="65"/>
      <c r="O1178" s="65"/>
      <c r="P1178" s="81" t="str">
        <f>IF(AND('331-CT'!$E$7=TH!H1178,OR(N1178="331",O1178="331")),"x","")</f>
        <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
      </c>
      <c r="AC1178" s="81" t="str">
        <f>IF(AND(OR(LEFT(TH!N1178,2)="15",LEFT(TH!O1178,2)="15"),TK!$E$7=TH!F1178),"x","")</f>
        <v/>
      </c>
      <c r="AD1178" s="81" t="str">
        <f>IF(AND(N1178="1521",MONTH(C1178)='BK-NL'!$M$11),"x","")</f>
        <v/>
      </c>
    </row>
    <row r="1179" spans="1:30" ht="15.75" customHeight="1">
      <c r="A1179" s="327" t="str">
        <f>IF(B1179&lt;&gt;"",IF(AND(B1179='IN-TC'!$S$4,OR(TH!N1179="1111",TH!O1179="1111")),TH!D1179,""),"")</f>
        <v/>
      </c>
      <c r="B1179" s="62" t="str">
        <f t="shared" si="329"/>
        <v/>
      </c>
      <c r="C1179" s="1003"/>
      <c r="D1179" s="63"/>
      <c r="E1179" s="63"/>
      <c r="F1179" s="991"/>
      <c r="G1179" s="66"/>
      <c r="H1179" s="71"/>
      <c r="I1179" s="1002"/>
      <c r="J1179" s="1002"/>
      <c r="K1179" s="400"/>
      <c r="L1179" s="407"/>
      <c r="M1179" s="64"/>
      <c r="N1179" s="65"/>
      <c r="O1179" s="65"/>
      <c r="P1179" s="81" t="str">
        <f>IF(AND('331-CT'!$E$7=TH!H1179,OR(N1179="331",O1179="331")),"x","")</f>
        <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row>
    <row r="1180" spans="1:30" ht="15.75" customHeight="1">
      <c r="A1180" s="327" t="str">
        <f>IF(B1180&lt;&gt;"",IF(AND(B1180='IN-TC'!$S$4,OR(TH!N1180="1111",TH!O1180="1111")),TH!D1180,""),"")</f>
        <v/>
      </c>
      <c r="B1180" s="62" t="str">
        <f t="shared" si="329"/>
        <v/>
      </c>
      <c r="C1180" s="1003"/>
      <c r="D1180" s="63"/>
      <c r="E1180" s="63"/>
      <c r="F1180" s="1004"/>
      <c r="G1180" s="66"/>
      <c r="H1180" s="71"/>
      <c r="I1180" s="1002"/>
      <c r="J1180" s="1002"/>
      <c r="K1180" s="400"/>
      <c r="L1180" s="407"/>
      <c r="M1180" s="64"/>
      <c r="N1180" s="65"/>
      <c r="O1180" s="65"/>
      <c r="P1180" s="81" t="str">
        <f>IF(AND('331-CT'!$E$7=TH!H1180,OR(N1180="331",O1180="331")),"x","")</f>
        <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
      </c>
      <c r="AC1180" s="81" t="str">
        <f>IF(AND(OR(LEFT(TH!N1180,2)="15",LEFT(TH!O1180,2)="15"),TK!$E$7=TH!F1180),"x","")</f>
        <v/>
      </c>
      <c r="AD1180" s="81" t="str">
        <f>IF(AND(N1180="1521",MONTH(C1180)='BK-NL'!$M$11),"x","")</f>
        <v/>
      </c>
    </row>
    <row r="1181" spans="1:30" ht="15.75" customHeight="1">
      <c r="A1181" s="327" t="str">
        <f>IF(B1181&lt;&gt;"",IF(AND(B1181='IN-TC'!$S$4,OR(TH!N1181="1111",TH!O1181="1111")),TH!D1181,""),"")</f>
        <v/>
      </c>
      <c r="B1181" s="62" t="str">
        <f t="shared" si="329"/>
        <v/>
      </c>
      <c r="C1181" s="1003"/>
      <c r="D1181" s="63"/>
      <c r="E1181" s="63"/>
      <c r="F1181" s="1005"/>
      <c r="G1181" s="66"/>
      <c r="H1181" s="71"/>
      <c r="I1181" s="1002"/>
      <c r="J1181" s="1002"/>
      <c r="K1181" s="400"/>
      <c r="L1181" s="407"/>
      <c r="M1181" s="64"/>
      <c r="N1181" s="65"/>
      <c r="O1181" s="65"/>
      <c r="P1181" s="81" t="str">
        <f>IF(AND('331-CT'!$E$7=TH!H1181,OR(N1181="331",O1181="331")),"x","")</f>
        <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row>
    <row r="1182" spans="1:30" ht="15.75" customHeight="1">
      <c r="A1182" s="327" t="str">
        <f>IF(B1182&lt;&gt;"",IF(AND(B1182='IN-TC'!$S$4,OR(TH!N1182="1111",TH!O1182="1111")),TH!D1182,""),"")</f>
        <v/>
      </c>
      <c r="B1182" s="62" t="str">
        <f t="shared" si="329"/>
        <v/>
      </c>
      <c r="C1182" s="1003"/>
      <c r="D1182" s="63"/>
      <c r="E1182" s="63"/>
      <c r="F1182" s="1005"/>
      <c r="G1182" s="66"/>
      <c r="H1182" s="71"/>
      <c r="I1182" s="1002"/>
      <c r="J1182" s="1002"/>
      <c r="K1182" s="400"/>
      <c r="L1182" s="407"/>
      <c r="M1182" s="64"/>
      <c r="N1182" s="65"/>
      <c r="O1182" s="65"/>
      <c r="P1182" s="81" t="str">
        <f>IF(AND('331-CT'!$E$7=TH!H1182,OR(N1182="331",O1182="331")),"x","")</f>
        <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
      </c>
      <c r="AC1182" s="81" t="str">
        <f>IF(AND(OR(LEFT(TH!N1182,2)="15",LEFT(TH!O1182,2)="15"),TK!$E$7=TH!F1182),"x","")</f>
        <v/>
      </c>
      <c r="AD1182" s="81" t="str">
        <f>IF(AND(N1182="1521",MONTH(C1182)='BK-NL'!$M$11),"x","")</f>
        <v/>
      </c>
    </row>
    <row r="1183" spans="1:30" ht="15.75" customHeight="1">
      <c r="A1183" s="327" t="str">
        <f>IF(B1183&lt;&gt;"",IF(AND(B1183='IN-TC'!$S$4,OR(TH!N1183="1111",TH!O1183="1111")),TH!D1183,""),"")</f>
        <v/>
      </c>
      <c r="B1183" s="62" t="str">
        <f t="shared" si="329"/>
        <v/>
      </c>
      <c r="C1183" s="1003"/>
      <c r="D1183" s="63"/>
      <c r="E1183" s="63"/>
      <c r="F1183" s="1005"/>
      <c r="G1183" s="66"/>
      <c r="H1183" s="71"/>
      <c r="I1183" s="1002"/>
      <c r="J1183" s="1002"/>
      <c r="K1183" s="400"/>
      <c r="L1183" s="407"/>
      <c r="M1183" s="64"/>
      <c r="N1183" s="65"/>
      <c r="O1183" s="65"/>
      <c r="P1183" s="81" t="str">
        <f>IF(AND('331-CT'!$E$7=TH!H1183,OR(N1183="331",O1183="331")),"x","")</f>
        <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row>
    <row r="1184" spans="1:30" ht="15.75" customHeight="1">
      <c r="A1184" s="327" t="str">
        <f>IF(B1184&lt;&gt;"",IF(AND(B1184='IN-TC'!$S$4,OR(TH!N1184="1111",TH!O1184="1111")),TH!D1184,""),"")</f>
        <v/>
      </c>
      <c r="B1184" s="62" t="str">
        <f t="shared" si="329"/>
        <v/>
      </c>
      <c r="C1184" s="1003"/>
      <c r="D1184" s="63"/>
      <c r="E1184" s="63"/>
      <c r="F1184" s="1005"/>
      <c r="G1184" s="66"/>
      <c r="H1184" s="71"/>
      <c r="I1184" s="1002"/>
      <c r="J1184" s="1002"/>
      <c r="K1184" s="400"/>
      <c r="L1184" s="407"/>
      <c r="M1184" s="64"/>
      <c r="N1184" s="65"/>
      <c r="O1184" s="65"/>
      <c r="P1184" s="81" t="str">
        <f>IF(AND('331-CT'!$E$7=TH!H1184,OR(N1184="331",O1184="331")),"x","")</f>
        <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
      </c>
      <c r="AC1184" s="81" t="str">
        <f>IF(AND(OR(LEFT(TH!N1184,2)="15",LEFT(TH!O1184,2)="15"),TK!$E$7=TH!F1184),"x","")</f>
        <v/>
      </c>
      <c r="AD1184" s="81" t="str">
        <f>IF(AND(N1184="1521",MONTH(C1184)='BK-NL'!$M$11),"x","")</f>
        <v/>
      </c>
    </row>
    <row r="1185" spans="1:30" ht="15.75" customHeight="1">
      <c r="A1185" s="327" t="str">
        <f>IF(B1185&lt;&gt;"",IF(AND(B1185='IN-TC'!$S$4,OR(TH!N1185="1111",TH!O1185="1111")),TH!D1185,""),"")</f>
        <v/>
      </c>
      <c r="B1185" s="62" t="str">
        <f t="shared" si="329"/>
        <v/>
      </c>
      <c r="C1185" s="1003"/>
      <c r="D1185" s="63"/>
      <c r="E1185" s="63"/>
      <c r="F1185" s="1005"/>
      <c r="G1185" s="66"/>
      <c r="H1185" s="71"/>
      <c r="I1185" s="1002"/>
      <c r="J1185" s="1002"/>
      <c r="K1185" s="400"/>
      <c r="L1185" s="407"/>
      <c r="M1185" s="64"/>
      <c r="N1185" s="65"/>
      <c r="O1185" s="65"/>
      <c r="P1185" s="81" t="str">
        <f>IF(AND('331-CT'!$E$7=TH!H1185,OR(N1185="331",O1185="331")),"x","")</f>
        <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row>
    <row r="1186" spans="1:30" ht="15.75" customHeight="1">
      <c r="A1186" s="327" t="str">
        <f>IF(B1186&lt;&gt;"",IF(AND(B1186='IN-TC'!$S$4,OR(TH!N1186="1111",TH!O1186="1111")),TH!D1186,""),"")</f>
        <v/>
      </c>
      <c r="B1186" s="62" t="str">
        <f t="shared" si="329"/>
        <v/>
      </c>
      <c r="C1186" s="1003"/>
      <c r="D1186" s="63"/>
      <c r="E1186" s="63"/>
      <c r="F1186" s="1005"/>
      <c r="G1186" s="66"/>
      <c r="H1186" s="71"/>
      <c r="I1186" s="1002"/>
      <c r="J1186" s="1002"/>
      <c r="K1186" s="400"/>
      <c r="L1186" s="407"/>
      <c r="M1186" s="64"/>
      <c r="N1186" s="65"/>
      <c r="O1186" s="65"/>
      <c r="P1186" s="81" t="str">
        <f>IF(AND('331-CT'!$E$7=TH!H1186,OR(N1186="331",O1186="331")),"x","")</f>
        <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
      </c>
      <c r="AC1186" s="81" t="str">
        <f>IF(AND(OR(LEFT(TH!N1186,2)="15",LEFT(TH!O1186,2)="15"),TK!$E$7=TH!F1186),"x","")</f>
        <v/>
      </c>
      <c r="AD1186" s="81" t="str">
        <f>IF(AND(N1186="1521",MONTH(C1186)='BK-NL'!$M$11),"x","")</f>
        <v/>
      </c>
    </row>
    <row r="1187" spans="1:30" ht="15.75" customHeight="1">
      <c r="A1187" s="327" t="str">
        <f>IF(B1187&lt;&gt;"",IF(AND(B1187='IN-TC'!$S$4,OR(TH!N1187="1111",TH!O1187="1111")),TH!D1187,""),"")</f>
        <v/>
      </c>
      <c r="B1187" s="62" t="str">
        <f t="shared" si="329"/>
        <v/>
      </c>
      <c r="C1187" s="1003"/>
      <c r="D1187" s="63"/>
      <c r="E1187" s="63"/>
      <c r="F1187" s="1005"/>
      <c r="G1187" s="66"/>
      <c r="H1187" s="71"/>
      <c r="I1187" s="1002"/>
      <c r="J1187" s="1002"/>
      <c r="K1187" s="400"/>
      <c r="L1187" s="407"/>
      <c r="M1187" s="64"/>
      <c r="N1187" s="65"/>
      <c r="O1187" s="65"/>
      <c r="P1187" s="81" t="str">
        <f>IF(AND('331-CT'!$E$7=TH!H1187,OR(N1187="331",O1187="331")),"x","")</f>
        <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row>
    <row r="1188" spans="1:30" ht="15.75" customHeight="1">
      <c r="A1188" s="327" t="str">
        <f>IF(B1188&lt;&gt;"",IF(AND(B1188='IN-TC'!$S$4,OR(TH!N1188="1111",TH!O1188="1111")),TH!D1188,""),"")</f>
        <v/>
      </c>
      <c r="B1188" s="62" t="str">
        <f t="shared" si="329"/>
        <v/>
      </c>
      <c r="C1188" s="1003"/>
      <c r="D1188" s="63"/>
      <c r="E1188" s="63"/>
      <c r="F1188" s="1005"/>
      <c r="G1188" s="66"/>
      <c r="H1188" s="71"/>
      <c r="I1188" s="1002"/>
      <c r="J1188" s="1002"/>
      <c r="K1188" s="400"/>
      <c r="L1188" s="407"/>
      <c r="M1188" s="64"/>
      <c r="N1188" s="65"/>
      <c r="O1188" s="65"/>
      <c r="P1188" s="81" t="str">
        <f>IF(AND('331-CT'!$E$7=TH!H1188,OR(N1188="331",O1188="331")),"x","")</f>
        <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
      </c>
      <c r="AC1188" s="81" t="str">
        <f>IF(AND(OR(LEFT(TH!N1188,2)="15",LEFT(TH!O1188,2)="15"),TK!$E$7=TH!F1188),"x","")</f>
        <v/>
      </c>
      <c r="AD1188" s="81" t="str">
        <f>IF(AND(N1188="1521",MONTH(C1188)='BK-NL'!$M$11),"x","")</f>
        <v/>
      </c>
    </row>
    <row r="1189" spans="1:30" ht="15.75" customHeight="1">
      <c r="A1189" s="327" t="str">
        <f>IF(B1189&lt;&gt;"",IF(AND(B1189='IN-TC'!$S$4,OR(TH!N1189="1111",TH!O1189="1111")),TH!D1189,""),"")</f>
        <v/>
      </c>
      <c r="B1189" s="62" t="str">
        <f t="shared" si="329"/>
        <v/>
      </c>
      <c r="C1189" s="1003"/>
      <c r="D1189" s="63"/>
      <c r="E1189" s="63"/>
      <c r="F1189" s="1005"/>
      <c r="G1189" s="66"/>
      <c r="H1189" s="71"/>
      <c r="I1189" s="1002"/>
      <c r="J1189" s="1002"/>
      <c r="K1189" s="400"/>
      <c r="L1189" s="407"/>
      <c r="M1189" s="64"/>
      <c r="N1189" s="65"/>
      <c r="O1189" s="65"/>
      <c r="P1189" s="81" t="str">
        <f>IF(AND('331-CT'!$E$7=TH!H1189,OR(N1189="331",O1189="331")),"x","")</f>
        <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row>
    <row r="1190" spans="1:30" ht="15.75" customHeight="1">
      <c r="A1190" s="327" t="str">
        <f>IF(B1190&lt;&gt;"",IF(AND(B1190='IN-TC'!$S$4,OR(TH!N1190="1111",TH!O1190="1111")),TH!D1190,""),"")</f>
        <v/>
      </c>
      <c r="B1190" s="62" t="str">
        <f t="shared" si="329"/>
        <v/>
      </c>
      <c r="C1190" s="1003"/>
      <c r="D1190" s="63"/>
      <c r="E1190" s="63"/>
      <c r="F1190" s="1005"/>
      <c r="G1190" s="66"/>
      <c r="H1190" s="71"/>
      <c r="I1190" s="1002"/>
      <c r="J1190" s="1002"/>
      <c r="K1190" s="400"/>
      <c r="L1190" s="407"/>
      <c r="M1190" s="64"/>
      <c r="N1190" s="65"/>
      <c r="O1190" s="65"/>
      <c r="P1190" s="81" t="str">
        <f>IF(AND('331-CT'!$E$7=TH!H1190,OR(N1190="331",O1190="331")),"x","")</f>
        <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
      </c>
      <c r="AC1190" s="81" t="str">
        <f>IF(AND(OR(LEFT(TH!N1190,2)="15",LEFT(TH!O1190,2)="15"),TK!$E$7=TH!F1190),"x","")</f>
        <v/>
      </c>
      <c r="AD1190" s="81" t="str">
        <f>IF(AND(N1190="1521",MONTH(C1190)='BK-NL'!$M$11),"x","")</f>
        <v/>
      </c>
    </row>
    <row r="1191" spans="1:30" ht="15.75" customHeight="1">
      <c r="A1191" s="327" t="str">
        <f>IF(B1191&lt;&gt;"",IF(AND(B1191='IN-TC'!$S$4,OR(TH!N1191="1111",TH!O1191="1111")),TH!D1191,""),"")</f>
        <v/>
      </c>
      <c r="B1191" s="62" t="str">
        <f t="shared" si="329"/>
        <v/>
      </c>
      <c r="C1191" s="1003"/>
      <c r="D1191" s="63"/>
      <c r="E1191" s="63"/>
      <c r="F1191" s="1005"/>
      <c r="G1191" s="66"/>
      <c r="H1191" s="71"/>
      <c r="I1191" s="1002"/>
      <c r="J1191" s="1002"/>
      <c r="K1191" s="400"/>
      <c r="L1191" s="407"/>
      <c r="M1191" s="64"/>
      <c r="N1191" s="65"/>
      <c r="O1191" s="65"/>
      <c r="P1191" s="81" t="str">
        <f>IF(AND('331-CT'!$E$7=TH!H1191,OR(N1191="331",O1191="331")),"x","")</f>
        <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row>
    <row r="1192" spans="1:30" ht="15.75" customHeight="1">
      <c r="A1192" s="327" t="str">
        <f>IF(B1192&lt;&gt;"",IF(AND(B1192='IN-TC'!$S$4,OR(TH!N1192="1111",TH!O1192="1111")),TH!D1192,""),"")</f>
        <v/>
      </c>
      <c r="B1192" s="62" t="str">
        <f t="shared" si="329"/>
        <v/>
      </c>
      <c r="C1192" s="1003"/>
      <c r="D1192" s="63"/>
      <c r="E1192" s="63"/>
      <c r="F1192" s="1005"/>
      <c r="G1192" s="66"/>
      <c r="H1192" s="71"/>
      <c r="I1192" s="1006"/>
      <c r="J1192" s="1006"/>
      <c r="K1192" s="400"/>
      <c r="L1192" s="407"/>
      <c r="M1192" s="64"/>
      <c r="N1192" s="65"/>
      <c r="O1192" s="65"/>
      <c r="P1192" s="81" t="str">
        <f>IF(AND('331-CT'!$E$7=TH!H1192,OR(N1192="331",O1192="331")),"x","")</f>
        <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
      </c>
      <c r="AC1192" s="81" t="str">
        <f>IF(AND(OR(LEFT(TH!N1192,2)="15",LEFT(TH!O1192,2)="15"),TK!$E$7=TH!F1192),"x","")</f>
        <v/>
      </c>
      <c r="AD1192" s="81" t="str">
        <f>IF(AND(N1192="1521",MONTH(C1192)='BK-NL'!$M$11),"x","")</f>
        <v/>
      </c>
    </row>
    <row r="1193" spans="1:30" ht="15.75" customHeight="1">
      <c r="A1193" s="327" t="str">
        <f>IF(B1193&lt;&gt;"",IF(AND(B1193='IN-TC'!$S$4,OR(TH!N1193="1111",TH!O1193="1111")),TH!D1193,""),"")</f>
        <v/>
      </c>
      <c r="B1193" s="62" t="str">
        <f t="shared" si="329"/>
        <v/>
      </c>
      <c r="C1193" s="1003"/>
      <c r="D1193" s="63"/>
      <c r="E1193" s="63"/>
      <c r="F1193" s="1005"/>
      <c r="G1193" s="66"/>
      <c r="H1193" s="71"/>
      <c r="I1193" s="1006"/>
      <c r="J1193" s="1006"/>
      <c r="K1193" s="400"/>
      <c r="L1193" s="407"/>
      <c r="M1193" s="64"/>
      <c r="N1193" s="65"/>
      <c r="O1193" s="65"/>
      <c r="P1193" s="81" t="str">
        <f>IF(AND('331-CT'!$E$7=TH!H1193,OR(N1193="331",O1193="331")),"x","")</f>
        <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row>
    <row r="1194" spans="1:30" ht="15.75" customHeight="1">
      <c r="A1194" s="327" t="str">
        <f>IF(B1194&lt;&gt;"",IF(AND(B1194='IN-TC'!$S$4,OR(TH!N1194="1111",TH!O1194="1111")),TH!D1194,""),"")</f>
        <v/>
      </c>
      <c r="B1194" s="62" t="str">
        <f t="shared" si="329"/>
        <v/>
      </c>
      <c r="C1194" s="63"/>
      <c r="D1194" s="63"/>
      <c r="E1194" s="63"/>
      <c r="F1194" s="71"/>
      <c r="G1194" s="816"/>
      <c r="H1194" s="71"/>
      <c r="I1194" s="405"/>
      <c r="J1194" s="405"/>
      <c r="K1194" s="398"/>
      <c r="L1194" s="405"/>
      <c r="M1194" s="64"/>
      <c r="N1194" s="65"/>
      <c r="O1194" s="65"/>
      <c r="P1194" s="81" t="str">
        <f>IF(AND('331-CT'!$E$7=TH!H1194,OR(N1194="331",O1194="331")),"x","")</f>
        <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
      </c>
      <c r="AC1194" s="81" t="str">
        <f>IF(AND(OR(LEFT(TH!N1194,2)="15",LEFT(TH!O1194,2)="15"),TK!$E$7=TH!F1194),"x","")</f>
        <v/>
      </c>
      <c r="AD1194" s="81" t="str">
        <f>IF(AND(N1194="1521",MONTH(C1194)='BK-NL'!$M$11),"x","")</f>
        <v/>
      </c>
    </row>
    <row r="1195" spans="1:30" ht="15.75" customHeight="1">
      <c r="A1195" s="327" t="str">
        <f>IF(B1195&lt;&gt;"",IF(AND(B1195='IN-TC'!$S$4,OR(TH!N1195="1111",TH!O1195="1111")),TH!D1195,""),"")</f>
        <v/>
      </c>
      <c r="B1195" s="62" t="str">
        <f t="shared" si="329"/>
        <v/>
      </c>
      <c r="C1195" s="1003"/>
      <c r="D1195" s="63"/>
      <c r="E1195" s="63"/>
      <c r="F1195" s="1001"/>
      <c r="G1195" s="66"/>
      <c r="H1195" s="71"/>
      <c r="I1195" s="1002"/>
      <c r="J1195" s="1002"/>
      <c r="K1195" s="400"/>
      <c r="L1195" s="407"/>
      <c r="M1195" s="64"/>
      <c r="N1195" s="65"/>
      <c r="O1195" s="65"/>
      <c r="P1195" s="81" t="str">
        <f>IF(AND('331-CT'!$E$7=TH!H1195,OR(N1195="331",O1195="331")),"x","")</f>
        <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row>
    <row r="1196" spans="1:30" ht="15.75" customHeight="1">
      <c r="A1196" s="327" t="str">
        <f>IF(B1196&lt;&gt;"",IF(AND(B1196='IN-TC'!$S$4,OR(TH!N1196="1111",TH!O1196="1111")),TH!D1196,""),"")</f>
        <v/>
      </c>
      <c r="B1196" s="62" t="str">
        <f t="shared" si="329"/>
        <v/>
      </c>
      <c r="C1196" s="1003"/>
      <c r="D1196" s="63"/>
      <c r="E1196" s="63"/>
      <c r="F1196" s="991"/>
      <c r="G1196" s="66"/>
      <c r="H1196" s="71"/>
      <c r="I1196" s="1002"/>
      <c r="J1196" s="1002"/>
      <c r="K1196" s="400"/>
      <c r="L1196" s="407"/>
      <c r="M1196" s="64"/>
      <c r="N1196" s="65"/>
      <c r="O1196" s="65"/>
      <c r="P1196" s="81" t="str">
        <f>IF(AND('331-CT'!$E$7=TH!H1196,OR(N1196="331",O1196="331")),"x","")</f>
        <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
      </c>
      <c r="AC1196" s="81" t="str">
        <f>IF(AND(OR(LEFT(TH!N1196,2)="15",LEFT(TH!O1196,2)="15"),TK!$E$7=TH!F1196),"x","")</f>
        <v/>
      </c>
      <c r="AD1196" s="81" t="str">
        <f>IF(AND(N1196="1521",MONTH(C1196)='BK-NL'!$M$11),"x","")</f>
        <v/>
      </c>
    </row>
    <row r="1197" spans="1:30" ht="15.75" customHeight="1">
      <c r="A1197" s="327" t="str">
        <f>IF(B1197&lt;&gt;"",IF(AND(B1197='IN-TC'!$S$4,OR(TH!N1197="1111",TH!O1197="1111")),TH!D1197,""),"")</f>
        <v/>
      </c>
      <c r="B1197" s="62" t="str">
        <f t="shared" si="329"/>
        <v/>
      </c>
      <c r="C1197" s="1003"/>
      <c r="D1197" s="63"/>
      <c r="E1197" s="63"/>
      <c r="F1197" s="991"/>
      <c r="G1197" s="66"/>
      <c r="H1197" s="71"/>
      <c r="I1197" s="1002"/>
      <c r="J1197" s="1002"/>
      <c r="K1197" s="400"/>
      <c r="L1197" s="407"/>
      <c r="M1197" s="64"/>
      <c r="N1197" s="65"/>
      <c r="O1197" s="65"/>
      <c r="P1197" s="81" t="str">
        <f>IF(AND('331-CT'!$E$7=TH!H1197,OR(N1197="331",O1197="331")),"x","")</f>
        <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row>
    <row r="1198" spans="1:30" ht="15.75" customHeight="1">
      <c r="A1198" s="327" t="str">
        <f>IF(B1198&lt;&gt;"",IF(AND(B1198='IN-TC'!$S$4,OR(TH!N1198="1111",TH!O1198="1111")),TH!D1198,""),"")</f>
        <v/>
      </c>
      <c r="B1198" s="62" t="str">
        <f t="shared" si="329"/>
        <v/>
      </c>
      <c r="C1198" s="1003"/>
      <c r="D1198" s="63"/>
      <c r="E1198" s="63"/>
      <c r="F1198" s="991"/>
      <c r="G1198" s="66"/>
      <c r="H1198" s="71"/>
      <c r="I1198" s="1002"/>
      <c r="J1198" s="1002"/>
      <c r="K1198" s="400"/>
      <c r="L1198" s="407"/>
      <c r="M1198" s="64"/>
      <c r="N1198" s="65"/>
      <c r="O1198" s="65"/>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
      </c>
      <c r="AC1198" s="81" t="str">
        <f>IF(AND(OR(LEFT(TH!N1198,2)="15",LEFT(TH!O1198,2)="15"),TK!$E$7=TH!F1198),"x","")</f>
        <v/>
      </c>
      <c r="AD1198" s="81" t="str">
        <f>IF(AND(N1198="1521",MONTH(C1198)='BK-NL'!$M$11),"x","")</f>
        <v/>
      </c>
    </row>
    <row r="1199" spans="1:30" ht="15.75" customHeight="1">
      <c r="A1199" s="327" t="str">
        <f>IF(B1199&lt;&gt;"",IF(AND(B1199='IN-TC'!$S$4,OR(TH!N1199="1111",TH!O1199="1111")),TH!D1199,""),"")</f>
        <v/>
      </c>
      <c r="B1199" s="62" t="str">
        <f t="shared" si="329"/>
        <v/>
      </c>
      <c r="C1199" s="1003"/>
      <c r="D1199" s="63"/>
      <c r="E1199" s="63"/>
      <c r="F1199" s="991"/>
      <c r="G1199" s="66"/>
      <c r="H1199" s="71"/>
      <c r="I1199" s="1002"/>
      <c r="J1199" s="1002"/>
      <c r="K1199" s="400"/>
      <c r="L1199" s="407"/>
      <c r="M1199" s="64"/>
      <c r="N1199" s="65"/>
      <c r="O1199" s="65"/>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row>
    <row r="1200" spans="1:30" ht="15.75" customHeight="1">
      <c r="A1200" s="327" t="str">
        <f>IF(B1200&lt;&gt;"",IF(AND(B1200='IN-TC'!$S$4,OR(TH!N1200="1111",TH!O1200="1111")),TH!D1200,""),"")</f>
        <v/>
      </c>
      <c r="B1200" s="62" t="str">
        <f t="shared" si="329"/>
        <v/>
      </c>
      <c r="C1200" s="1003"/>
      <c r="D1200" s="63"/>
      <c r="E1200" s="63"/>
      <c r="F1200" s="991"/>
      <c r="G1200" s="66"/>
      <c r="H1200" s="71"/>
      <c r="I1200" s="1002"/>
      <c r="J1200" s="1006"/>
      <c r="K1200" s="400"/>
      <c r="L1200" s="407"/>
      <c r="M1200" s="64"/>
      <c r="N1200" s="65"/>
      <c r="O1200" s="65"/>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
      </c>
      <c r="AD1200" s="81" t="str">
        <f>IF(AND(N1200="1521",MONTH(C1200)='BK-NL'!$M$11),"x","")</f>
        <v/>
      </c>
    </row>
    <row r="1201" spans="1:30" ht="15.75" customHeight="1">
      <c r="A1201" s="327" t="str">
        <f>IF(B1201&lt;&gt;"",IF(AND(B1201='IN-TC'!$S$4,OR(TH!N1201="1111",TH!O1201="1111")),TH!D1201,""),"")</f>
        <v/>
      </c>
      <c r="B1201" s="62" t="str">
        <f t="shared" si="329"/>
        <v/>
      </c>
      <c r="C1201" s="1003"/>
      <c r="D1201" s="63"/>
      <c r="E1201" s="63"/>
      <c r="F1201" s="991"/>
      <c r="G1201" s="66"/>
      <c r="H1201" s="71"/>
      <c r="I1201" s="1002"/>
      <c r="J1201" s="1002"/>
      <c r="K1201" s="400"/>
      <c r="L1201" s="407"/>
      <c r="M1201" s="64"/>
      <c r="N1201" s="65"/>
      <c r="O1201" s="65"/>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row>
    <row r="1202" spans="1:30" ht="15.75" customHeight="1">
      <c r="A1202" s="327" t="str">
        <f>IF(B1202&lt;&gt;"",IF(AND(B1202='IN-TC'!$S$4,OR(TH!N1202="1111",TH!O1202="1111")),TH!D1202,""),"")</f>
        <v/>
      </c>
      <c r="B1202" s="62" t="str">
        <f t="shared" si="329"/>
        <v/>
      </c>
      <c r="C1202" s="1003"/>
      <c r="D1202" s="63"/>
      <c r="E1202" s="63"/>
      <c r="F1202" s="1005"/>
      <c r="G1202" s="66"/>
      <c r="H1202" s="71"/>
      <c r="I1202" s="1002"/>
      <c r="J1202" s="1006"/>
      <c r="K1202" s="400"/>
      <c r="L1202" s="407"/>
      <c r="M1202" s="64"/>
      <c r="N1202" s="65"/>
      <c r="O1202" s="65"/>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
      </c>
      <c r="AC1202" s="81" t="str">
        <f>IF(AND(OR(LEFT(TH!N1202,2)="15",LEFT(TH!O1202,2)="15"),TK!$E$7=TH!F1202),"x","")</f>
        <v/>
      </c>
      <c r="AD1202" s="81" t="str">
        <f>IF(AND(N1202="1521",MONTH(C1202)='BK-NL'!$M$11),"x","")</f>
        <v/>
      </c>
    </row>
    <row r="1203" spans="1:30" ht="15.75" customHeight="1">
      <c r="A1203" s="327" t="str">
        <f>IF(B1203&lt;&gt;"",IF(AND(B1203='IN-TC'!$S$4,OR(TH!N1203="1111",TH!O1203="1111")),TH!D1203,""),"")</f>
        <v/>
      </c>
      <c r="B1203" s="62" t="str">
        <f t="shared" si="329"/>
        <v/>
      </c>
      <c r="C1203" s="1003"/>
      <c r="D1203" s="63"/>
      <c r="E1203" s="63"/>
      <c r="F1203" s="1004"/>
      <c r="G1203" s="66"/>
      <c r="H1203" s="71"/>
      <c r="I1203" s="1006"/>
      <c r="J1203" s="1006"/>
      <c r="K1203" s="400"/>
      <c r="L1203" s="407"/>
      <c r="M1203" s="64"/>
      <c r="N1203" s="65"/>
      <c r="O1203" s="65"/>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row>
    <row r="1204" spans="1:30" ht="15.75" customHeight="1">
      <c r="A1204" s="327" t="str">
        <f>IF(B1204&lt;&gt;"",IF(AND(B1204='IN-TC'!$S$4,OR(TH!N1204="1111",TH!O1204="1111")),TH!D1204,""),"")</f>
        <v/>
      </c>
      <c r="B1204" s="62" t="str">
        <f t="shared" si="329"/>
        <v/>
      </c>
      <c r="C1204" s="1003"/>
      <c r="D1204" s="63"/>
      <c r="E1204" s="63"/>
      <c r="F1204" s="1005"/>
      <c r="G1204" s="66"/>
      <c r="H1204" s="71"/>
      <c r="I1204" s="1006"/>
      <c r="J1204" s="1006"/>
      <c r="K1204" s="400"/>
      <c r="L1204" s="407"/>
      <c r="M1204" s="64"/>
      <c r="N1204" s="65"/>
      <c r="O1204" s="65"/>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
      </c>
      <c r="AC1204" s="81" t="str">
        <f>IF(AND(OR(LEFT(TH!N1204,2)="15",LEFT(TH!O1204,2)="15"),TK!$E$7=TH!F1204),"x","")</f>
        <v/>
      </c>
      <c r="AD1204" s="81" t="str">
        <f>IF(AND(N1204="1521",MONTH(C1204)='BK-NL'!$M$11),"x","")</f>
        <v/>
      </c>
    </row>
    <row r="1205" spans="1:30" ht="15.75" customHeight="1">
      <c r="A1205" s="327" t="str">
        <f>IF(B1205&lt;&gt;"",IF(AND(B1205='IN-TC'!$S$4,OR(TH!N1205="1111",TH!O1205="1111")),TH!D1205,""),"")</f>
        <v/>
      </c>
      <c r="B1205" s="62" t="str">
        <f t="shared" si="329"/>
        <v/>
      </c>
      <c r="C1205" s="1003"/>
      <c r="D1205" s="63"/>
      <c r="E1205" s="63"/>
      <c r="F1205" s="1005"/>
      <c r="G1205" s="66"/>
      <c r="H1205" s="71"/>
      <c r="I1205" s="1006"/>
      <c r="J1205" s="1006"/>
      <c r="K1205" s="400"/>
      <c r="L1205" s="407"/>
      <c r="M1205" s="64"/>
      <c r="N1205" s="65"/>
      <c r="O1205" s="65"/>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row>
    <row r="1206" spans="1:30" ht="15.75" customHeight="1">
      <c r="A1206" s="327" t="str">
        <f>IF(B1206&lt;&gt;"",IF(AND(B1206='IN-TC'!$S$4,OR(TH!N1206="1111",TH!O1206="1111")),TH!D1206,""),"")</f>
        <v/>
      </c>
      <c r="B1206" s="62" t="str">
        <f t="shared" si="329"/>
        <v/>
      </c>
      <c r="C1206" s="1003"/>
      <c r="D1206" s="63"/>
      <c r="E1206" s="63"/>
      <c r="F1206" s="1005"/>
      <c r="G1206" s="66"/>
      <c r="H1206" s="71"/>
      <c r="I1206" s="1006"/>
      <c r="J1206" s="1006"/>
      <c r="K1206" s="400"/>
      <c r="L1206" s="407"/>
      <c r="M1206" s="64"/>
      <c r="N1206" s="65"/>
      <c r="O1206" s="65"/>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
      </c>
      <c r="AC1206" s="81" t="str">
        <f>IF(AND(OR(LEFT(TH!N1206,2)="15",LEFT(TH!O1206,2)="15"),TK!$E$7=TH!F1206),"x","")</f>
        <v/>
      </c>
      <c r="AD1206" s="81" t="str">
        <f>IF(AND(N1206="1521",MONTH(C1206)='BK-NL'!$M$11),"x","")</f>
        <v/>
      </c>
    </row>
    <row r="1207" spans="1:30" ht="15.75" customHeight="1">
      <c r="A1207" s="327" t="str">
        <f>IF(B1207&lt;&gt;"",IF(AND(B1207='IN-TC'!$S$4,OR(TH!N1207="1111",TH!O1207="1111")),TH!D1207,""),"")</f>
        <v/>
      </c>
      <c r="B1207" s="62" t="str">
        <f t="shared" si="329"/>
        <v/>
      </c>
      <c r="C1207" s="1003"/>
      <c r="D1207" s="63"/>
      <c r="E1207" s="63"/>
      <c r="F1207" s="1007"/>
      <c r="G1207" s="66"/>
      <c r="H1207" s="71"/>
      <c r="I1207" s="1006"/>
      <c r="J1207" s="1006"/>
      <c r="K1207" s="400"/>
      <c r="L1207" s="407"/>
      <c r="M1207" s="64"/>
      <c r="N1207" s="65"/>
      <c r="O1207" s="65"/>
      <c r="P1207" s="81" t="str">
        <f>IF(AND('331-CT'!$E$7=TH!H1207,OR(N1207="331",O1207="331")),"x","")</f>
        <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row>
    <row r="1208" spans="1:30" ht="15.75" customHeight="1">
      <c r="A1208" s="998" t="str">
        <f>IF(B1208&lt;&gt;"",IF(AND(B1208='IN-TC'!$S$4,OR(TH!N1208="1111",TH!O1208="1111")),TH!D1208,""),"")</f>
        <v/>
      </c>
      <c r="B1208" s="831" t="str">
        <f t="shared" si="329"/>
        <v/>
      </c>
      <c r="C1208" s="63"/>
      <c r="D1208" s="63"/>
      <c r="E1208" s="63"/>
      <c r="F1208" s="71"/>
      <c r="G1208" s="816"/>
      <c r="H1208" s="311"/>
      <c r="I1208" s="405"/>
      <c r="J1208" s="1006"/>
      <c r="K1208" s="398"/>
      <c r="L1208" s="405"/>
      <c r="M1208" s="64"/>
      <c r="N1208" s="65"/>
      <c r="O1208" s="65"/>
      <c r="P1208" s="81" t="str">
        <f>IF(AND('331-CT'!$E$7=TH!H1208,OR(N1208="331",O1208="331")),"x","")</f>
        <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
      </c>
      <c r="AC1208" s="81" t="str">
        <f>IF(AND(OR(LEFT(TH!N1208,2)="15",LEFT(TH!O1208,2)="15"),TK!$E$7=TH!F1208),"x","")</f>
        <v/>
      </c>
      <c r="AD1208" s="81" t="str">
        <f>IF(AND(N1208="1521",MONTH(C1208)='BK-NL'!$M$11),"x","")</f>
        <v/>
      </c>
    </row>
    <row r="1209" spans="1:30" ht="15.75" customHeight="1">
      <c r="A1209" s="998" t="str">
        <f>IF(B1209&lt;&gt;"",IF(AND(B1209='IN-TC'!$S$4,OR(TH!N1209="1111",TH!O1209="1111")),TH!D1209,""),"")</f>
        <v/>
      </c>
      <c r="B1209" s="831" t="str">
        <f t="shared" si="329"/>
        <v/>
      </c>
      <c r="C1209" s="63"/>
      <c r="D1209" s="63"/>
      <c r="E1209" s="63"/>
      <c r="F1209" s="71"/>
      <c r="G1209" s="816"/>
      <c r="H1209" s="311"/>
      <c r="I1209" s="405"/>
      <c r="J1209" s="405"/>
      <c r="K1209" s="398"/>
      <c r="L1209" s="405"/>
      <c r="M1209" s="64"/>
      <c r="N1209" s="65"/>
      <c r="O1209" s="65"/>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row>
    <row r="1210" spans="1:30" ht="15.75" customHeight="1">
      <c r="A1210" s="998" t="str">
        <f>IF(B1210&lt;&gt;"",IF(AND(B1210='IN-TC'!$S$4,OR(TH!N1210="1111",TH!O1210="1111")),TH!D1210,""),"")</f>
        <v/>
      </c>
      <c r="B1210" s="831" t="str">
        <f t="shared" si="329"/>
        <v/>
      </c>
      <c r="C1210" s="63"/>
      <c r="D1210" s="63"/>
      <c r="E1210" s="63"/>
      <c r="F1210" s="71"/>
      <c r="G1210" s="816"/>
      <c r="H1210" s="311"/>
      <c r="I1210" s="405"/>
      <c r="J1210" s="1006"/>
      <c r="K1210" s="398"/>
      <c r="L1210" s="405"/>
      <c r="M1210" s="64"/>
      <c r="N1210" s="65"/>
      <c r="O1210" s="65"/>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
      </c>
      <c r="AC1210" s="81" t="str">
        <f>IF(AND(OR(LEFT(TH!N1210,2)="15",LEFT(TH!O1210,2)="15"),TK!$E$7=TH!F1210),"x","")</f>
        <v/>
      </c>
      <c r="AD1210" s="81" t="str">
        <f>IF(AND(N1210="1521",MONTH(C1210)='BK-NL'!$M$11),"x","")</f>
        <v/>
      </c>
    </row>
    <row r="1211" spans="1:30" ht="15.75" customHeight="1">
      <c r="A1211" s="998" t="str">
        <f>IF(B1211&lt;&gt;"",IF(AND(B1211='IN-TC'!$S$4,OR(TH!N1211="1111",TH!O1211="1111")),TH!D1211,""),"")</f>
        <v/>
      </c>
      <c r="B1211" s="831" t="str">
        <f t="shared" si="329"/>
        <v/>
      </c>
      <c r="C1211" s="63"/>
      <c r="D1211" s="63"/>
      <c r="E1211" s="63"/>
      <c r="F1211" s="71"/>
      <c r="G1211" s="816"/>
      <c r="H1211" s="311"/>
      <c r="I1211" s="405"/>
      <c r="J1211" s="405"/>
      <c r="K1211" s="398"/>
      <c r="L1211" s="405"/>
      <c r="M1211" s="64"/>
      <c r="N1211" s="65"/>
      <c r="O1211" s="65"/>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row>
    <row r="1212" spans="1:30" ht="15.75" customHeight="1">
      <c r="A1212" s="998" t="str">
        <f>IF(B1212&lt;&gt;"",IF(AND(B1212='IN-TC'!$S$4,OR(TH!N1212="1111",TH!O1212="1111")),TH!D1212,""),"")</f>
        <v/>
      </c>
      <c r="B1212" s="831" t="str">
        <f t="shared" si="329"/>
        <v/>
      </c>
      <c r="C1212" s="63"/>
      <c r="D1212" s="63"/>
      <c r="E1212" s="63"/>
      <c r="F1212" s="71"/>
      <c r="G1212" s="816"/>
      <c r="H1212" s="311"/>
      <c r="I1212" s="405"/>
      <c r="J1212" s="1006"/>
      <c r="K1212" s="398"/>
      <c r="L1212" s="405"/>
      <c r="M1212" s="64"/>
      <c r="N1212" s="65"/>
      <c r="O1212" s="65"/>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
      </c>
      <c r="AC1212" s="81" t="str">
        <f>IF(AND(OR(LEFT(TH!N1212,2)="15",LEFT(TH!O1212,2)="15"),TK!$E$7=TH!F1212),"x","")</f>
        <v/>
      </c>
      <c r="AD1212" s="81" t="str">
        <f>IF(AND(N1212="1521",MONTH(C1212)='BK-NL'!$M$11),"x","")</f>
        <v/>
      </c>
    </row>
    <row r="1213" spans="1:30" ht="15.75" customHeight="1">
      <c r="A1213" s="998" t="str">
        <f>IF(B1213&lt;&gt;"",IF(AND(B1213='IN-TC'!$S$4,OR(TH!N1213="1111",TH!O1213="1111")),TH!D1213,""),"")</f>
        <v/>
      </c>
      <c r="B1213" s="831" t="str">
        <f t="shared" si="329"/>
        <v/>
      </c>
      <c r="C1213" s="63"/>
      <c r="D1213" s="63"/>
      <c r="E1213" s="63"/>
      <c r="F1213" s="71"/>
      <c r="G1213" s="816"/>
      <c r="H1213" s="311"/>
      <c r="I1213" s="405"/>
      <c r="J1213" s="405"/>
      <c r="K1213" s="398"/>
      <c r="L1213" s="405"/>
      <c r="M1213" s="64"/>
      <c r="N1213" s="65"/>
      <c r="O1213" s="65"/>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row>
    <row r="1214" spans="1:30" ht="15.75" customHeight="1">
      <c r="A1214" s="998" t="str">
        <f>IF(B1214&lt;&gt;"",IF(AND(B1214='IN-TC'!$S$4,OR(TH!N1214="1111",TH!O1214="1111")),TH!D1214,""),"")</f>
        <v/>
      </c>
      <c r="B1214" s="831" t="str">
        <f t="shared" si="329"/>
        <v/>
      </c>
      <c r="C1214" s="63"/>
      <c r="D1214" s="63"/>
      <c r="E1214" s="63"/>
      <c r="F1214" s="71"/>
      <c r="G1214" s="816"/>
      <c r="H1214" s="311"/>
      <c r="I1214" s="405"/>
      <c r="J1214" s="1006"/>
      <c r="K1214" s="398"/>
      <c r="L1214" s="405"/>
      <c r="M1214" s="64"/>
      <c r="N1214" s="65"/>
      <c r="O1214" s="65"/>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
      </c>
      <c r="AC1214" s="81" t="str">
        <f>IF(AND(OR(LEFT(TH!N1214,2)="15",LEFT(TH!O1214,2)="15"),TK!$E$7=TH!F1214),"x","")</f>
        <v/>
      </c>
      <c r="AD1214" s="81" t="str">
        <f>IF(AND(N1214="1521",MONTH(C1214)='BK-NL'!$M$11),"x","")</f>
        <v/>
      </c>
    </row>
    <row r="1215" spans="1:30" ht="15.75" customHeight="1">
      <c r="A1215" s="998" t="str">
        <f>IF(B1215&lt;&gt;"",IF(AND(B1215='IN-TC'!$S$4,OR(TH!N1215="1111",TH!O1215="1111")),TH!D1215,""),"")</f>
        <v/>
      </c>
      <c r="B1215" s="831" t="str">
        <f t="shared" si="329"/>
        <v/>
      </c>
      <c r="C1215" s="63"/>
      <c r="D1215" s="63"/>
      <c r="E1215" s="63"/>
      <c r="F1215" s="71"/>
      <c r="G1215" s="816"/>
      <c r="H1215" s="311"/>
      <c r="I1215" s="405"/>
      <c r="J1215" s="405"/>
      <c r="K1215" s="398"/>
      <c r="L1215" s="405"/>
      <c r="M1215" s="64"/>
      <c r="N1215" s="65"/>
      <c r="O1215" s="65"/>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row>
    <row r="1216" spans="1:30" ht="15.75" customHeight="1">
      <c r="A1216" s="998" t="str">
        <f>IF(B1216&lt;&gt;"",IF(AND(B1216='IN-TC'!$S$4,OR(TH!N1216="1111",TH!O1216="1111")),TH!D1216,""),"")</f>
        <v/>
      </c>
      <c r="B1216" s="831" t="str">
        <f t="shared" si="329"/>
        <v/>
      </c>
      <c r="C1216" s="63"/>
      <c r="D1216" s="63"/>
      <c r="E1216" s="63"/>
      <c r="F1216" s="71"/>
      <c r="G1216" s="816"/>
      <c r="H1216" s="311"/>
      <c r="I1216" s="405"/>
      <c r="J1216" s="405"/>
      <c r="K1216" s="398"/>
      <c r="L1216" s="405"/>
      <c r="M1216" s="64"/>
      <c r="N1216" s="65"/>
      <c r="O1216" s="65"/>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
      </c>
      <c r="AC1216" s="81" t="str">
        <f>IF(AND(OR(LEFT(TH!N1216,2)="15",LEFT(TH!O1216,2)="15"),TK!$E$7=TH!F1216),"x","")</f>
        <v/>
      </c>
      <c r="AD1216" s="81" t="str">
        <f>IF(AND(N1216="1521",MONTH(C1216)='BK-NL'!$M$11),"x","")</f>
        <v/>
      </c>
    </row>
    <row r="1217" spans="1:30" ht="15.75" customHeight="1">
      <c r="A1217" s="998" t="str">
        <f>IF(B1217&lt;&gt;"",IF(AND(B1217='IN-TC'!$S$4,OR(TH!N1217="1111",TH!O1217="1111")),TH!D1217,""),"")</f>
        <v/>
      </c>
      <c r="B1217" s="831" t="str">
        <f t="shared" si="329"/>
        <v/>
      </c>
      <c r="C1217" s="63"/>
      <c r="D1217" s="63"/>
      <c r="E1217" s="63"/>
      <c r="F1217" s="71"/>
      <c r="G1217" s="816"/>
      <c r="H1217" s="311"/>
      <c r="I1217" s="405"/>
      <c r="J1217" s="405"/>
      <c r="K1217" s="398"/>
      <c r="L1217" s="405"/>
      <c r="M1217" s="64"/>
      <c r="N1217" s="65"/>
      <c r="O1217" s="65"/>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row>
    <row r="1218" spans="1:30" ht="15.75" customHeight="1">
      <c r="A1218" s="998" t="str">
        <f>IF(B1218&lt;&gt;"",IF(AND(B1218='IN-TC'!$S$4,OR(TH!N1218="1111",TH!O1218="1111")),TH!D1218,""),"")</f>
        <v/>
      </c>
      <c r="B1218" s="831" t="str">
        <f t="shared" si="329"/>
        <v/>
      </c>
      <c r="C1218" s="63"/>
      <c r="D1218" s="63"/>
      <c r="E1218" s="63"/>
      <c r="F1218" s="311"/>
      <c r="G1218" s="816"/>
      <c r="H1218" s="311"/>
      <c r="I1218" s="405"/>
      <c r="J1218" s="405"/>
      <c r="K1218" s="398"/>
      <c r="L1218" s="405"/>
      <c r="M1218" s="64"/>
      <c r="N1218" s="65"/>
      <c r="O1218" s="65"/>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
      </c>
      <c r="AC1218" s="81" t="str">
        <f>IF(AND(OR(LEFT(TH!N1218,2)="15",LEFT(TH!O1218,2)="15"),TK!$E$7=TH!F1218),"x","")</f>
        <v/>
      </c>
      <c r="AD1218" s="81" t="str">
        <f>IF(AND(N1218="1521",MONTH(C1218)='BK-NL'!$M$11),"x","")</f>
        <v/>
      </c>
    </row>
    <row r="1219" spans="1:30" ht="15.75" customHeight="1">
      <c r="A1219" s="998" t="str">
        <f>IF(B1219&lt;&gt;"",IF(AND(B1219='IN-TC'!$S$4,OR(TH!N1219="1111",TH!O1219="1111")),TH!D1219,""),"")</f>
        <v/>
      </c>
      <c r="B1219" s="831" t="str">
        <f t="shared" si="329"/>
        <v/>
      </c>
      <c r="C1219" s="63"/>
      <c r="D1219" s="63"/>
      <c r="E1219" s="63"/>
      <c r="F1219" s="477"/>
      <c r="G1219" s="816"/>
      <c r="H1219" s="311"/>
      <c r="I1219" s="405"/>
      <c r="J1219" s="405"/>
      <c r="K1219" s="398"/>
      <c r="L1219" s="405"/>
      <c r="M1219" s="64"/>
      <c r="N1219" s="65"/>
      <c r="O1219" s="65"/>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
      </c>
      <c r="AC1219" s="81" t="str">
        <f>IF(AND(OR(LEFT(TH!N1219,2)="15",LEFT(TH!O1219,2)="15"),TK!$E$7=TH!F1219),"x","")</f>
        <v/>
      </c>
      <c r="AD1219" s="81" t="str">
        <f>IF(AND(N1219="1521",MONTH(C1219)='BK-NL'!$M$11),"x","")</f>
        <v/>
      </c>
    </row>
    <row r="1220" spans="1:30" ht="15.75" customHeight="1">
      <c r="A1220" s="998" t="str">
        <f>IF(B1220&lt;&gt;"",IF(AND(B1220='IN-TC'!$S$4,OR(TH!N1220="1111",TH!O1220="1111")),TH!D1220,""),"")</f>
        <v/>
      </c>
      <c r="B1220" s="831" t="str">
        <f t="shared" si="329"/>
        <v/>
      </c>
      <c r="C1220" s="63"/>
      <c r="D1220" s="63"/>
      <c r="E1220" s="63"/>
      <c r="F1220" s="477"/>
      <c r="G1220" s="816"/>
      <c r="H1220" s="311"/>
      <c r="I1220" s="405"/>
      <c r="J1220" s="405"/>
      <c r="K1220" s="398"/>
      <c r="L1220" s="405"/>
      <c r="M1220" s="64"/>
      <c r="N1220" s="65"/>
      <c r="O1220" s="65"/>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row>
    <row r="1221" spans="1:30" ht="15.75" customHeight="1">
      <c r="A1221" s="998" t="str">
        <f>IF(B1221&lt;&gt;"",IF(AND(B1221='IN-TC'!$S$4,OR(TH!N1221="1111",TH!O1221="1111")),TH!D1221,""),"")</f>
        <v/>
      </c>
      <c r="B1221" s="831" t="str">
        <f t="shared" si="329"/>
        <v/>
      </c>
      <c r="C1221" s="63"/>
      <c r="D1221" s="63"/>
      <c r="E1221" s="63"/>
      <c r="F1221" s="71"/>
      <c r="G1221" s="816"/>
      <c r="H1221" s="311"/>
      <c r="I1221" s="405"/>
      <c r="J1221" s="405"/>
      <c r="K1221" s="398"/>
      <c r="L1221" s="405"/>
      <c r="M1221" s="64"/>
      <c r="N1221" s="65"/>
      <c r="O1221" s="65"/>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row>
    <row r="1222" spans="1:30" ht="15.75" customHeight="1">
      <c r="A1222" s="998" t="str">
        <f>IF(B1222&lt;&gt;"",IF(AND(B1222='IN-TC'!$S$4,OR(TH!N1222="1111",TH!O1222="1111")),TH!D1222,""),"")</f>
        <v/>
      </c>
      <c r="B1222" s="831" t="str">
        <f t="shared" si="329"/>
        <v/>
      </c>
      <c r="C1222" s="63"/>
      <c r="D1222" s="63"/>
      <c r="E1222" s="63"/>
      <c r="F1222" s="71"/>
      <c r="G1222" s="816"/>
      <c r="H1222" s="330"/>
      <c r="I1222" s="405"/>
      <c r="J1222" s="405"/>
      <c r="K1222" s="398"/>
      <c r="L1222" s="405"/>
      <c r="M1222" s="64"/>
      <c r="N1222" s="65"/>
      <c r="O1222" s="65"/>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row>
    <row r="1223" spans="1:30" ht="15.75" customHeight="1">
      <c r="A1223" s="998" t="str">
        <f>IF(B1223&lt;&gt;"",IF(AND(B1223='IN-TC'!$S$4,OR(TH!N1223="1111",TH!O1223="1111")),TH!D1223,""),"")</f>
        <v/>
      </c>
      <c r="B1223" s="831" t="str">
        <f t="shared" si="329"/>
        <v/>
      </c>
      <c r="C1223" s="63"/>
      <c r="D1223" s="63"/>
      <c r="E1223" s="63"/>
      <c r="F1223" s="71"/>
      <c r="G1223" s="816"/>
      <c r="H1223" s="311"/>
      <c r="I1223" s="405"/>
      <c r="J1223" s="405"/>
      <c r="K1223" s="398"/>
      <c r="L1223" s="405"/>
      <c r="M1223" s="64"/>
      <c r="N1223" s="65"/>
      <c r="O1223" s="65"/>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
      </c>
      <c r="AC1223" s="81" t="str">
        <f>IF(AND(OR(LEFT(TH!N1223,2)="15",LEFT(TH!O1223,2)="15"),TK!$E$7=TH!F1223),"x","")</f>
        <v/>
      </c>
      <c r="AD1223" s="81" t="str">
        <f>IF(AND(N1223="1521",MONTH(C1223)='BK-NL'!$M$11),"x","")</f>
        <v/>
      </c>
    </row>
    <row r="1224" spans="1:30" ht="15.75" customHeight="1">
      <c r="A1224" s="998" t="str">
        <f>IF(B1224&lt;&gt;"",IF(AND(B1224='IN-TC'!$S$4,OR(TH!N1224="1111",TH!O1224="1111")),TH!D1224,""),"")</f>
        <v/>
      </c>
      <c r="B1224" s="831" t="str">
        <f t="shared" si="329"/>
        <v/>
      </c>
      <c r="C1224" s="63"/>
      <c r="D1224" s="63"/>
      <c r="E1224" s="63"/>
      <c r="F1224" s="71"/>
      <c r="G1224" s="816"/>
      <c r="H1224" s="311"/>
      <c r="I1224" s="405"/>
      <c r="J1224" s="405"/>
      <c r="K1224" s="398"/>
      <c r="L1224" s="405"/>
      <c r="M1224" s="64"/>
      <c r="N1224" s="65"/>
      <c r="O1224" s="65"/>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row>
    <row r="1225" spans="1:30" ht="15.75" customHeight="1">
      <c r="A1225" s="998" t="str">
        <f>IF(B1225&lt;&gt;"",IF(AND(B1225='IN-TC'!$S$4,OR(TH!N1225="1111",TH!O1225="1111")),TH!D1225,""),"")</f>
        <v/>
      </c>
      <c r="B1225" s="831" t="str">
        <f t="shared" si="329"/>
        <v/>
      </c>
      <c r="C1225" s="63"/>
      <c r="D1225" s="63"/>
      <c r="E1225" s="63"/>
      <c r="F1225" s="71"/>
      <c r="G1225" s="816"/>
      <c r="H1225" s="311"/>
      <c r="I1225" s="405"/>
      <c r="J1225" s="405"/>
      <c r="K1225" s="398"/>
      <c r="L1225" s="405"/>
      <c r="M1225" s="64"/>
      <c r="N1225" s="65"/>
      <c r="O1225" s="65"/>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
      </c>
      <c r="AC1225" s="81" t="str">
        <f>IF(AND(OR(LEFT(TH!N1225,2)="15",LEFT(TH!O1225,2)="15"),TK!$E$7=TH!F1225),"x","")</f>
        <v/>
      </c>
      <c r="AD1225" s="81" t="str">
        <f>IF(AND(N1225="1521",MONTH(C1225)='BK-NL'!$M$11),"x","")</f>
        <v/>
      </c>
    </row>
    <row r="1226" spans="1:30" ht="15.75" customHeight="1">
      <c r="A1226" s="998" t="str">
        <f>IF(B1226&lt;&gt;"",IF(AND(B1226='IN-TC'!$S$4,OR(TH!N1226="1111",TH!O1226="1111")),TH!D1226,""),"")</f>
        <v/>
      </c>
      <c r="B1226" s="831" t="str">
        <f t="shared" si="329"/>
        <v/>
      </c>
      <c r="C1226" s="63"/>
      <c r="D1226" s="63"/>
      <c r="E1226" s="63"/>
      <c r="F1226" s="71"/>
      <c r="G1226" s="816"/>
      <c r="H1226" s="311"/>
      <c r="I1226" s="405"/>
      <c r="J1226" s="405"/>
      <c r="K1226" s="398"/>
      <c r="L1226" s="405"/>
      <c r="M1226" s="64"/>
      <c r="N1226" s="65"/>
      <c r="O1226" s="65"/>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row>
    <row r="1227" spans="1:30" ht="15.75" customHeight="1">
      <c r="A1227" s="998" t="str">
        <f>IF(B1227&lt;&gt;"",IF(AND(B1227='IN-TC'!$S$4,OR(TH!N1227="1111",TH!O1227="1111")),TH!D1227,""),"")</f>
        <v/>
      </c>
      <c r="B1227" s="831" t="str">
        <f t="shared" si="329"/>
        <v/>
      </c>
      <c r="C1227" s="63"/>
      <c r="D1227" s="63"/>
      <c r="E1227" s="63"/>
      <c r="F1227" s="71"/>
      <c r="G1227" s="816"/>
      <c r="H1227" s="311"/>
      <c r="I1227" s="405"/>
      <c r="J1227" s="405"/>
      <c r="K1227" s="398"/>
      <c r="L1227" s="405"/>
      <c r="M1227" s="64"/>
      <c r="N1227" s="65"/>
      <c r="O1227" s="65"/>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
      </c>
      <c r="AC1227" s="81" t="str">
        <f>IF(AND(OR(LEFT(TH!N1227,2)="15",LEFT(TH!O1227,2)="15"),TK!$E$7=TH!F1227),"x","")</f>
        <v/>
      </c>
      <c r="AD1227" s="81" t="str">
        <f>IF(AND(N1227="1521",MONTH(C1227)='BK-NL'!$M$11),"x","")</f>
        <v/>
      </c>
    </row>
    <row r="1228" spans="1:30" ht="15.75" customHeight="1">
      <c r="A1228" s="998" t="str">
        <f>IF(B1228&lt;&gt;"",IF(AND(B1228='IN-TC'!$S$4,OR(TH!N1228="1111",TH!O1228="1111")),TH!D1228,""),"")</f>
        <v/>
      </c>
      <c r="B1228" s="831" t="str">
        <f t="shared" ref="B1228:B1352" si="330">IF(C1228&lt;&gt;"",MONTH(C1228),"")</f>
        <v/>
      </c>
      <c r="C1228" s="63"/>
      <c r="D1228" s="63"/>
      <c r="E1228" s="63"/>
      <c r="F1228" s="71"/>
      <c r="G1228" s="816"/>
      <c r="H1228" s="311"/>
      <c r="I1228" s="405"/>
      <c r="J1228" s="405"/>
      <c r="K1228" s="398"/>
      <c r="L1228" s="405"/>
      <c r="M1228" s="64"/>
      <c r="N1228" s="65"/>
      <c r="O1228" s="65"/>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row>
    <row r="1229" spans="1:30" ht="15.75" customHeight="1">
      <c r="A1229" s="998" t="str">
        <f>IF(B1229&lt;&gt;"",IF(AND(B1229='IN-TC'!$S$4,OR(TH!N1229="1111",TH!O1229="1111")),TH!D1229,""),"")</f>
        <v/>
      </c>
      <c r="B1229" s="831" t="str">
        <f t="shared" si="330"/>
        <v/>
      </c>
      <c r="C1229" s="63"/>
      <c r="D1229" s="63"/>
      <c r="E1229" s="63"/>
      <c r="F1229" s="71"/>
      <c r="G1229" s="816"/>
      <c r="H1229" s="311"/>
      <c r="I1229" s="405"/>
      <c r="J1229" s="405"/>
      <c r="K1229" s="398"/>
      <c r="L1229" s="405"/>
      <c r="M1229" s="64"/>
      <c r="N1229" s="65"/>
      <c r="O1229" s="65"/>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
      </c>
      <c r="AC1229" s="81" t="str">
        <f>IF(AND(OR(LEFT(TH!N1229,2)="15",LEFT(TH!O1229,2)="15"),TK!$E$7=TH!F1229),"x","")</f>
        <v/>
      </c>
      <c r="AD1229" s="81" t="str">
        <f>IF(AND(N1229="1521",MONTH(C1229)='BK-NL'!$M$11),"x","")</f>
        <v/>
      </c>
    </row>
    <row r="1230" spans="1:30" ht="15.75" customHeight="1">
      <c r="A1230" s="998" t="str">
        <f>IF(B1230&lt;&gt;"",IF(AND(B1230='IN-TC'!$S$4,OR(TH!N1230="1111",TH!O1230="1111")),TH!D1230,""),"")</f>
        <v/>
      </c>
      <c r="B1230" s="831" t="str">
        <f t="shared" si="330"/>
        <v/>
      </c>
      <c r="C1230" s="63"/>
      <c r="D1230" s="63"/>
      <c r="E1230" s="63"/>
      <c r="F1230" s="71"/>
      <c r="G1230" s="816"/>
      <c r="H1230" s="311"/>
      <c r="I1230" s="405"/>
      <c r="J1230" s="405"/>
      <c r="K1230" s="398"/>
      <c r="L1230" s="405"/>
      <c r="M1230" s="64"/>
      <c r="N1230" s="65"/>
      <c r="O1230" s="65"/>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row>
    <row r="1231" spans="1:30" ht="15.75" customHeight="1">
      <c r="A1231" s="998" t="str">
        <f>IF(B1231&lt;&gt;"",IF(AND(B1231='IN-TC'!$S$4,OR(TH!N1231="1111",TH!O1231="1111")),TH!D1231,""),"")</f>
        <v/>
      </c>
      <c r="B1231" s="831" t="str">
        <f t="shared" si="330"/>
        <v/>
      </c>
      <c r="C1231" s="63"/>
      <c r="D1231" s="63"/>
      <c r="E1231" s="63"/>
      <c r="F1231" s="71"/>
      <c r="G1231" s="816"/>
      <c r="H1231" s="311"/>
      <c r="I1231" s="405"/>
      <c r="J1231" s="405"/>
      <c r="K1231" s="398"/>
      <c r="L1231" s="405"/>
      <c r="M1231" s="64"/>
      <c r="N1231" s="65"/>
      <c r="O1231" s="65"/>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
      </c>
      <c r="AC1231" s="81" t="str">
        <f>IF(AND(OR(LEFT(TH!N1231,2)="15",LEFT(TH!O1231,2)="15"),TK!$E$7=TH!F1231),"x","")</f>
        <v/>
      </c>
      <c r="AD1231" s="81" t="str">
        <f>IF(AND(N1231="1521",MONTH(C1231)='BK-NL'!$M$11),"x","")</f>
        <v/>
      </c>
    </row>
    <row r="1232" spans="1:30" ht="15.75" customHeight="1">
      <c r="A1232" s="998" t="str">
        <f>IF(B1232&lt;&gt;"",IF(AND(B1232='IN-TC'!$S$4,OR(TH!N1232="1111",TH!O1232="1111")),TH!D1232,""),"")</f>
        <v/>
      </c>
      <c r="B1232" s="831" t="str">
        <f t="shared" si="330"/>
        <v/>
      </c>
      <c r="C1232" s="63"/>
      <c r="D1232" s="63"/>
      <c r="E1232" s="63"/>
      <c r="F1232" s="71"/>
      <c r="G1232" s="816"/>
      <c r="H1232" s="311"/>
      <c r="I1232" s="405"/>
      <c r="J1232" s="405"/>
      <c r="K1232" s="398"/>
      <c r="L1232" s="405"/>
      <c r="M1232" s="64"/>
      <c r="N1232" s="65"/>
      <c r="O1232" s="65"/>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
      </c>
      <c r="AC1232" s="81" t="str">
        <f>IF(AND(OR(LEFT(TH!N1232,2)="15",LEFT(TH!O1232,2)="15"),TK!$E$7=TH!F1232),"x","")</f>
        <v/>
      </c>
      <c r="AD1232" s="81" t="str">
        <f>IF(AND(N1232="1521",MONTH(C1232)='BK-NL'!$M$11),"x","")</f>
        <v/>
      </c>
    </row>
    <row r="1233" spans="1:30" ht="15.75" customHeight="1">
      <c r="A1233" s="998" t="str">
        <f>IF(B1233&lt;&gt;"",IF(AND(B1233='IN-TC'!$S$4,OR(TH!N1233="1111",TH!O1233="1111")),TH!D1233,""),"")</f>
        <v/>
      </c>
      <c r="B1233" s="831" t="str">
        <f t="shared" si="330"/>
        <v/>
      </c>
      <c r="C1233" s="63"/>
      <c r="D1233" s="63"/>
      <c r="E1233" s="63"/>
      <c r="F1233" s="71"/>
      <c r="G1233" s="816"/>
      <c r="H1233" s="311"/>
      <c r="I1233" s="405"/>
      <c r="J1233" s="405"/>
      <c r="K1233" s="398"/>
      <c r="L1233" s="405"/>
      <c r="M1233" s="64"/>
      <c r="N1233" s="65"/>
      <c r="O1233" s="65"/>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
      </c>
      <c r="AC1233" s="81" t="str">
        <f>IF(AND(OR(LEFT(TH!N1233,2)="15",LEFT(TH!O1233,2)="15"),TK!$E$7=TH!F1233),"x","")</f>
        <v/>
      </c>
      <c r="AD1233" s="81" t="str">
        <f>IF(AND(N1233="1521",MONTH(C1233)='BK-NL'!$M$11),"x","")</f>
        <v/>
      </c>
    </row>
    <row r="1234" spans="1:30" ht="15.75" customHeight="1">
      <c r="A1234" s="998" t="str">
        <f>IF(B1234&lt;&gt;"",IF(AND(B1234='IN-TC'!$S$4,OR(TH!N1234="1111",TH!O1234="1111")),TH!D1234,""),"")</f>
        <v/>
      </c>
      <c r="B1234" s="831" t="str">
        <f t="shared" si="330"/>
        <v/>
      </c>
      <c r="C1234" s="63"/>
      <c r="D1234" s="63"/>
      <c r="E1234" s="63"/>
      <c r="F1234" s="71"/>
      <c r="G1234" s="816"/>
      <c r="H1234" s="311"/>
      <c r="I1234" s="405"/>
      <c r="J1234" s="405"/>
      <c r="K1234" s="398"/>
      <c r="L1234" s="405"/>
      <c r="M1234" s="64"/>
      <c r="N1234" s="65"/>
      <c r="O1234" s="65"/>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row>
    <row r="1235" spans="1:30" ht="15.75" customHeight="1">
      <c r="A1235" s="998" t="str">
        <f>IF(B1235&lt;&gt;"",IF(AND(B1235='IN-TC'!$S$4,OR(TH!N1235="1111",TH!O1235="1111")),TH!D1235,""),"")</f>
        <v/>
      </c>
      <c r="B1235" s="831" t="str">
        <f t="shared" si="330"/>
        <v/>
      </c>
      <c r="C1235" s="63"/>
      <c r="D1235" s="63"/>
      <c r="E1235" s="63"/>
      <c r="F1235" s="71"/>
      <c r="G1235" s="816"/>
      <c r="H1235" s="311"/>
      <c r="I1235" s="405"/>
      <c r="J1235" s="405"/>
      <c r="K1235" s="398"/>
      <c r="L1235" s="405"/>
      <c r="M1235" s="64"/>
      <c r="N1235" s="65"/>
      <c r="O1235" s="65"/>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row>
    <row r="1236" spans="1:30" ht="15.75" customHeight="1">
      <c r="A1236" s="998" t="str">
        <f>IF(B1236&lt;&gt;"",IF(AND(B1236='IN-TC'!$S$4,OR(TH!N1236="1111",TH!O1236="1111")),TH!D1236,""),"")</f>
        <v/>
      </c>
      <c r="B1236" s="831" t="str">
        <f t="shared" si="330"/>
        <v/>
      </c>
      <c r="C1236" s="63"/>
      <c r="D1236" s="63"/>
      <c r="E1236" s="63"/>
      <c r="F1236" s="71"/>
      <c r="G1236" s="816"/>
      <c r="H1236" s="311"/>
      <c r="I1236" s="405"/>
      <c r="J1236" s="405"/>
      <c r="K1236" s="398"/>
      <c r="L1236" s="405"/>
      <c r="M1236" s="64"/>
      <c r="N1236" s="65"/>
      <c r="O1236" s="65"/>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
      </c>
      <c r="AD1236" s="81" t="str">
        <f>IF(AND(N1236="1521",MONTH(C1236)='BK-NL'!$M$11),"x","")</f>
        <v/>
      </c>
    </row>
    <row r="1237" spans="1:30" ht="15.75" customHeight="1">
      <c r="A1237" s="327" t="str">
        <f>IF(B1237&lt;&gt;"",IF(AND(B1237='IN-TC'!$S$4,OR(TH!N1237="1111",TH!O1237="1111")),TH!D1237,""),"")</f>
        <v/>
      </c>
      <c r="B1237" s="62" t="str">
        <f t="shared" si="330"/>
        <v/>
      </c>
      <c r="C1237" s="1003"/>
      <c r="D1237" s="63"/>
      <c r="E1237" s="63"/>
      <c r="F1237" s="1001"/>
      <c r="G1237" s="66"/>
      <c r="H1237" s="71"/>
      <c r="I1237" s="1002"/>
      <c r="J1237" s="1002"/>
      <c r="K1237" s="400"/>
      <c r="L1237" s="407"/>
      <c r="M1237" s="64"/>
      <c r="N1237" s="65"/>
      <c r="O1237" s="65"/>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
      </c>
      <c r="AC1237" s="81" t="str">
        <f>IF(AND(OR(LEFT(TH!N1237,2)="15",LEFT(TH!O1237,2)="15"),TK!$E$7=TH!F1237),"x","")</f>
        <v/>
      </c>
      <c r="AD1237" s="81" t="str">
        <f>IF(AND(N1237="1521",MONTH(C1237)='BK-NL'!$M$11),"x","")</f>
        <v/>
      </c>
    </row>
    <row r="1238" spans="1:30" ht="15.75" customHeight="1">
      <c r="A1238" s="327" t="str">
        <f>IF(B1238&lt;&gt;"",IF(AND(B1238='IN-TC'!$S$4,OR(TH!N1238="1111",TH!O1238="1111")),TH!D1238,""),"")</f>
        <v/>
      </c>
      <c r="B1238" s="62" t="str">
        <f t="shared" si="330"/>
        <v/>
      </c>
      <c r="C1238" s="1003"/>
      <c r="D1238" s="63"/>
      <c r="E1238" s="63"/>
      <c r="F1238" s="991"/>
      <c r="G1238" s="66"/>
      <c r="H1238" s="71"/>
      <c r="I1238" s="1002"/>
      <c r="J1238" s="1002"/>
      <c r="K1238" s="400"/>
      <c r="L1238" s="407"/>
      <c r="M1238" s="64"/>
      <c r="N1238" s="65"/>
      <c r="O1238" s="65"/>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row>
    <row r="1239" spans="1:30" ht="15.75" customHeight="1">
      <c r="A1239" s="327" t="str">
        <f>IF(B1239&lt;&gt;"",IF(AND(B1239='IN-TC'!$S$4,OR(TH!N1239="1111",TH!O1239="1111")),TH!D1239,""),"")</f>
        <v/>
      </c>
      <c r="B1239" s="62" t="str">
        <f t="shared" ref="B1239" si="331">IF(C1239&lt;&gt;"",MONTH(C1239),"")</f>
        <v/>
      </c>
      <c r="C1239" s="1003"/>
      <c r="D1239" s="63"/>
      <c r="E1239" s="63"/>
      <c r="F1239" s="991"/>
      <c r="G1239" s="66"/>
      <c r="H1239" s="71"/>
      <c r="I1239" s="1002"/>
      <c r="J1239" s="1002"/>
      <c r="K1239" s="400"/>
      <c r="L1239" s="407"/>
      <c r="M1239" s="64"/>
      <c r="N1239" s="65"/>
      <c r="O1239" s="65"/>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
      </c>
      <c r="AC1239" s="81" t="str">
        <f>IF(AND(OR(LEFT(TH!N1239,2)="15",LEFT(TH!O1239,2)="15"),TK!$E$7=TH!F1239),"x","")</f>
        <v/>
      </c>
      <c r="AD1239" s="81" t="str">
        <f>IF(AND(N1239="1521",MONTH(C1239)='BK-NL'!$M$11),"x","")</f>
        <v/>
      </c>
    </row>
    <row r="1240" spans="1:30" ht="15.75" customHeight="1">
      <c r="A1240" s="327" t="str">
        <f>IF(B1240&lt;&gt;"",IF(AND(B1240='IN-TC'!$S$4,OR(TH!N1240="1111",TH!O1240="1111")),TH!D1240,""),"")</f>
        <v/>
      </c>
      <c r="B1240" s="62" t="str">
        <f t="shared" si="330"/>
        <v/>
      </c>
      <c r="C1240" s="1003"/>
      <c r="D1240" s="63"/>
      <c r="E1240" s="63"/>
      <c r="F1240" s="991"/>
      <c r="G1240" s="66"/>
      <c r="H1240" s="71"/>
      <c r="I1240" s="1002"/>
      <c r="J1240" s="1002"/>
      <c r="K1240" s="400"/>
      <c r="L1240" s="407"/>
      <c r="M1240" s="64"/>
      <c r="N1240" s="65"/>
      <c r="O1240" s="65"/>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row>
    <row r="1241" spans="1:30" ht="15.75" customHeight="1">
      <c r="A1241" s="327" t="str">
        <f>IF(B1241&lt;&gt;"",IF(AND(B1241='IN-TC'!$S$4,OR(TH!N1241="1111",TH!O1241="1111")),TH!D1241,""),"")</f>
        <v/>
      </c>
      <c r="B1241" s="62" t="str">
        <f t="shared" si="330"/>
        <v/>
      </c>
      <c r="C1241" s="1003"/>
      <c r="D1241" s="63"/>
      <c r="E1241" s="63"/>
      <c r="F1241" s="991"/>
      <c r="G1241" s="66"/>
      <c r="H1241" s="71"/>
      <c r="I1241" s="1002"/>
      <c r="J1241" s="1002"/>
      <c r="K1241" s="400"/>
      <c r="L1241" s="407"/>
      <c r="M1241" s="64"/>
      <c r="N1241" s="65"/>
      <c r="O1241" s="65"/>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
      </c>
      <c r="AC1241" s="81" t="str">
        <f>IF(AND(OR(LEFT(TH!N1241,2)="15",LEFT(TH!O1241,2)="15"),TK!$E$7=TH!F1241),"x","")</f>
        <v/>
      </c>
      <c r="AD1241" s="81" t="str">
        <f>IF(AND(N1241="1521",MONTH(C1241)='BK-NL'!$M$11),"x","")</f>
        <v/>
      </c>
    </row>
    <row r="1242" spans="1:30" ht="15.75" customHeight="1">
      <c r="A1242" s="327" t="str">
        <f>IF(B1242&lt;&gt;"",IF(AND(B1242='IN-TC'!$S$4,OR(TH!N1242="1111",TH!O1242="1111")),TH!D1242,""),"")</f>
        <v/>
      </c>
      <c r="B1242" s="62" t="str">
        <f t="shared" si="330"/>
        <v/>
      </c>
      <c r="C1242" s="1003"/>
      <c r="D1242" s="63"/>
      <c r="E1242" s="63"/>
      <c r="F1242" s="991"/>
      <c r="G1242" s="66"/>
      <c r="H1242" s="71"/>
      <c r="I1242" s="1002"/>
      <c r="J1242" s="1002"/>
      <c r="K1242" s="400"/>
      <c r="L1242" s="407"/>
      <c r="M1242" s="64"/>
      <c r="N1242" s="65"/>
      <c r="O1242" s="65"/>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row>
    <row r="1243" spans="1:30" ht="15.75" customHeight="1">
      <c r="A1243" s="327" t="str">
        <f>IF(B1243&lt;&gt;"",IF(AND(B1243='IN-TC'!$S$4,OR(TH!N1243="1111",TH!O1243="1111")),TH!D1243,""),"")</f>
        <v/>
      </c>
      <c r="B1243" s="62" t="str">
        <f t="shared" si="330"/>
        <v/>
      </c>
      <c r="C1243" s="1003"/>
      <c r="D1243" s="63"/>
      <c r="E1243" s="63"/>
      <c r="F1243" s="991"/>
      <c r="G1243" s="66"/>
      <c r="H1243" s="71"/>
      <c r="I1243" s="1002"/>
      <c r="J1243" s="1006"/>
      <c r="K1243" s="400"/>
      <c r="L1243" s="407"/>
      <c r="M1243" s="64"/>
      <c r="N1243" s="65"/>
      <c r="O1243" s="65"/>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
      </c>
      <c r="AC1243" s="81" t="str">
        <f>IF(AND(OR(LEFT(TH!N1243,2)="15",LEFT(TH!O1243,2)="15"),TK!$E$7=TH!F1243),"x","")</f>
        <v/>
      </c>
      <c r="AD1243" s="81" t="str">
        <f>IF(AND(N1243="1521",MONTH(C1243)='BK-NL'!$M$11),"x","")</f>
        <v/>
      </c>
    </row>
    <row r="1244" spans="1:30" ht="15.75" customHeight="1">
      <c r="A1244" s="327" t="str">
        <f>IF(B1244&lt;&gt;"",IF(AND(B1244='IN-TC'!$S$4,OR(TH!N1244="1111",TH!O1244="1111")),TH!D1244,""),"")</f>
        <v/>
      </c>
      <c r="B1244" s="62" t="str">
        <f t="shared" si="330"/>
        <v/>
      </c>
      <c r="C1244" s="1003"/>
      <c r="D1244" s="63"/>
      <c r="E1244" s="63"/>
      <c r="F1244" s="991"/>
      <c r="G1244" s="66"/>
      <c r="H1244" s="71"/>
      <c r="I1244" s="1002"/>
      <c r="J1244" s="1002"/>
      <c r="K1244" s="400"/>
      <c r="L1244" s="407"/>
      <c r="M1244" s="64"/>
      <c r="N1244" s="65"/>
      <c r="O1244" s="65"/>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
      </c>
      <c r="AC1244" s="81" t="str">
        <f>IF(AND(OR(LEFT(TH!N1244,2)="15",LEFT(TH!O1244,2)="15"),TK!$E$7=TH!F1244),"x","")</f>
        <v/>
      </c>
      <c r="AD1244" s="81" t="str">
        <f>IF(AND(N1244="1521",MONTH(C1244)='BK-NL'!$M$11),"x","")</f>
        <v/>
      </c>
    </row>
    <row r="1245" spans="1:30" ht="15.75" customHeight="1">
      <c r="A1245" s="327" t="str">
        <f>IF(B1245&lt;&gt;"",IF(AND(B1245='IN-TC'!$S$4,OR(TH!N1245="1111",TH!O1245="1111")),TH!D1245,""),"")</f>
        <v/>
      </c>
      <c r="B1245" s="62" t="str">
        <f t="shared" si="330"/>
        <v/>
      </c>
      <c r="C1245" s="1003"/>
      <c r="D1245" s="63"/>
      <c r="E1245" s="63"/>
      <c r="F1245" s="1008"/>
      <c r="G1245" s="66"/>
      <c r="H1245" s="71"/>
      <c r="I1245" s="1009"/>
      <c r="J1245" s="1009"/>
      <c r="K1245" s="400"/>
      <c r="L1245" s="407"/>
      <c r="M1245" s="64"/>
      <c r="N1245" s="65"/>
      <c r="O1245" s="65"/>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
      </c>
      <c r="AC1245" s="81" t="str">
        <f>IF(AND(OR(LEFT(TH!N1245,2)="15",LEFT(TH!O1245,2)="15"),TK!$E$7=TH!F1245),"x","")</f>
        <v/>
      </c>
      <c r="AD1245" s="81" t="str">
        <f>IF(AND(N1245="1521",MONTH(C1245)='BK-NL'!$M$11),"x","")</f>
        <v/>
      </c>
    </row>
    <row r="1246" spans="1:30" ht="15.75" customHeight="1">
      <c r="A1246" s="327" t="str">
        <f>IF(B1246&lt;&gt;"",IF(AND(B1246='IN-TC'!$S$4,OR(TH!N1246="1111",TH!O1246="1111")),TH!D1246,""),"")</f>
        <v/>
      </c>
      <c r="B1246" s="62" t="str">
        <f t="shared" si="330"/>
        <v/>
      </c>
      <c r="C1246" s="1003"/>
      <c r="D1246" s="63"/>
      <c r="E1246" s="63"/>
      <c r="F1246" s="991"/>
      <c r="G1246" s="66"/>
      <c r="H1246" s="71"/>
      <c r="I1246" s="1010"/>
      <c r="J1246" s="1010"/>
      <c r="K1246" s="400"/>
      <c r="L1246" s="407"/>
      <c r="M1246" s="64"/>
      <c r="N1246" s="65"/>
      <c r="O1246" s="65"/>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
      </c>
      <c r="AC1246" s="81" t="str">
        <f>IF(AND(OR(LEFT(TH!N1246,2)="15",LEFT(TH!O1246,2)="15"),TK!$E$7=TH!F1246),"x","")</f>
        <v/>
      </c>
      <c r="AD1246" s="81" t="str">
        <f>IF(AND(N1246="1521",MONTH(C1246)='BK-NL'!$M$11),"x","")</f>
        <v/>
      </c>
    </row>
    <row r="1247" spans="1:30" ht="15.75" customHeight="1">
      <c r="A1247" s="327" t="str">
        <f>IF(B1247&lt;&gt;"",IF(AND(B1247='IN-TC'!$S$4,OR(TH!N1247="1111",TH!O1247="1111")),TH!D1247,""),"")</f>
        <v/>
      </c>
      <c r="B1247" s="62" t="str">
        <f t="shared" si="330"/>
        <v/>
      </c>
      <c r="C1247" s="1003"/>
      <c r="D1247" s="63"/>
      <c r="E1247" s="63"/>
      <c r="F1247" s="991"/>
      <c r="G1247" s="66"/>
      <c r="H1247" s="71"/>
      <c r="I1247" s="1010"/>
      <c r="J1247" s="1010"/>
      <c r="K1247" s="400"/>
      <c r="L1247" s="407"/>
      <c r="M1247" s="64"/>
      <c r="N1247" s="65"/>
      <c r="O1247" s="65"/>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
      </c>
      <c r="AC1247" s="81" t="str">
        <f>IF(AND(OR(LEFT(TH!N1247,2)="15",LEFT(TH!O1247,2)="15"),TK!$E$7=TH!F1247),"x","")</f>
        <v/>
      </c>
      <c r="AD1247" s="81" t="str">
        <f>IF(AND(N1247="1521",MONTH(C1247)='BK-NL'!$M$11),"x","")</f>
        <v/>
      </c>
    </row>
    <row r="1248" spans="1:30" ht="15.75" customHeight="1">
      <c r="A1248" s="327" t="str">
        <f>IF(B1248&lt;&gt;"",IF(AND(B1248='IN-TC'!$S$4,OR(TH!N1248="1111",TH!O1248="1111")),TH!D1248,""),"")</f>
        <v/>
      </c>
      <c r="B1248" s="62" t="str">
        <f t="shared" si="330"/>
        <v/>
      </c>
      <c r="C1248" s="1003"/>
      <c r="D1248" s="63"/>
      <c r="E1248" s="63"/>
      <c r="F1248" s="991"/>
      <c r="G1248" s="66"/>
      <c r="H1248" s="71"/>
      <c r="I1248" s="1010"/>
      <c r="J1248" s="1010"/>
      <c r="K1248" s="400"/>
      <c r="L1248" s="407"/>
      <c r="M1248" s="64"/>
      <c r="N1248" s="65"/>
      <c r="O1248" s="65"/>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
      </c>
      <c r="AC1248" s="81" t="str">
        <f>IF(AND(OR(LEFT(TH!N1248,2)="15",LEFT(TH!O1248,2)="15"),TK!$E$7=TH!F1248),"x","")</f>
        <v/>
      </c>
      <c r="AD1248" s="81" t="str">
        <f>IF(AND(N1248="1521",MONTH(C1248)='BK-NL'!$M$11),"x","")</f>
        <v/>
      </c>
    </row>
    <row r="1249" spans="1:30" ht="15.75" customHeight="1">
      <c r="A1249" s="327" t="str">
        <f>IF(B1249&lt;&gt;"",IF(AND(B1249='IN-TC'!$S$4,OR(TH!N1249="1111",TH!O1249="1111")),TH!D1249,""),"")</f>
        <v/>
      </c>
      <c r="B1249" s="62" t="str">
        <f t="shared" si="330"/>
        <v/>
      </c>
      <c r="C1249" s="1003"/>
      <c r="D1249" s="63"/>
      <c r="E1249" s="63"/>
      <c r="F1249" s="991"/>
      <c r="G1249" s="66"/>
      <c r="H1249" s="71"/>
      <c r="I1249" s="1010"/>
      <c r="J1249" s="1010"/>
      <c r="K1249" s="400"/>
      <c r="L1249" s="407"/>
      <c r="M1249" s="64"/>
      <c r="N1249" s="65"/>
      <c r="O1249" s="65"/>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
      </c>
      <c r="AC1249" s="81" t="str">
        <f>IF(AND(OR(LEFT(TH!N1249,2)="15",LEFT(TH!O1249,2)="15"),TK!$E$7=TH!F1249),"x","")</f>
        <v/>
      </c>
      <c r="AD1249" s="81" t="str">
        <f>IF(AND(N1249="1521",MONTH(C1249)='BK-NL'!$M$11),"x","")</f>
        <v/>
      </c>
    </row>
    <row r="1250" spans="1:30" ht="15.75" customHeight="1">
      <c r="A1250" s="327" t="str">
        <f>IF(B1250&lt;&gt;"",IF(AND(B1250='IN-TC'!$S$4,OR(TH!N1250="1111",TH!O1250="1111")),TH!D1250,""),"")</f>
        <v/>
      </c>
      <c r="B1250" s="62" t="str">
        <f t="shared" si="330"/>
        <v/>
      </c>
      <c r="C1250" s="1003"/>
      <c r="D1250" s="63"/>
      <c r="E1250" s="63"/>
      <c r="F1250" s="991"/>
      <c r="G1250" s="66"/>
      <c r="H1250" s="71"/>
      <c r="I1250" s="1010"/>
      <c r="J1250" s="1010"/>
      <c r="K1250" s="400"/>
      <c r="L1250" s="407"/>
      <c r="M1250" s="64"/>
      <c r="N1250" s="65"/>
      <c r="O1250" s="65"/>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
      </c>
      <c r="AC1250" s="81" t="str">
        <f>IF(AND(OR(LEFT(TH!N1250,2)="15",LEFT(TH!O1250,2)="15"),TK!$E$7=TH!F1250),"x","")</f>
        <v/>
      </c>
      <c r="AD1250" s="81" t="str">
        <f>IF(AND(N1250="1521",MONTH(C1250)='BK-NL'!$M$11),"x","")</f>
        <v/>
      </c>
    </row>
    <row r="1251" spans="1:30" ht="15.75" customHeight="1">
      <c r="A1251" s="327" t="str">
        <f>IF(B1251&lt;&gt;"",IF(AND(B1251='IN-TC'!$S$4,OR(TH!N1251="1111",TH!O1251="1111")),TH!D1251,""),"")</f>
        <v/>
      </c>
      <c r="B1251" s="62" t="str">
        <f t="shared" si="330"/>
        <v/>
      </c>
      <c r="C1251" s="1003"/>
      <c r="D1251" s="63"/>
      <c r="E1251" s="63"/>
      <c r="F1251" s="1005"/>
      <c r="G1251" s="66"/>
      <c r="H1251" s="71"/>
      <c r="I1251" s="1010"/>
      <c r="J1251" s="1010"/>
      <c r="K1251" s="400"/>
      <c r="L1251" s="407"/>
      <c r="M1251" s="64"/>
      <c r="N1251" s="65"/>
      <c r="O1251" s="65"/>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
      </c>
      <c r="AC1251" s="81" t="str">
        <f>IF(AND(OR(LEFT(TH!N1251,2)="15",LEFT(TH!O1251,2)="15"),TK!$E$7=TH!F1251),"x","")</f>
        <v/>
      </c>
      <c r="AD1251" s="81" t="str">
        <f>IF(AND(N1251="1521",MONTH(C1251)='BK-NL'!$M$11),"x","")</f>
        <v/>
      </c>
    </row>
    <row r="1252" spans="1:30" ht="15.75" customHeight="1">
      <c r="A1252" s="327" t="str">
        <f>IF(B1252&lt;&gt;"",IF(AND(B1252='IN-TC'!$S$4,OR(TH!N1252="1111",TH!O1252="1111")),TH!D1252,""),"")</f>
        <v/>
      </c>
      <c r="B1252" s="62" t="str">
        <f t="shared" si="330"/>
        <v/>
      </c>
      <c r="C1252" s="1003"/>
      <c r="D1252" s="63"/>
      <c r="E1252" s="63"/>
      <c r="F1252" s="991"/>
      <c r="G1252" s="66"/>
      <c r="H1252" s="71"/>
      <c r="I1252" s="1010"/>
      <c r="J1252" s="1010"/>
      <c r="K1252" s="400"/>
      <c r="L1252" s="407"/>
      <c r="M1252" s="64"/>
      <c r="N1252" s="65"/>
      <c r="O1252" s="65"/>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
      </c>
      <c r="AC1252" s="81" t="str">
        <f>IF(AND(OR(LEFT(TH!N1252,2)="15",LEFT(TH!O1252,2)="15"),TK!$E$7=TH!F1252),"x","")</f>
        <v/>
      </c>
      <c r="AD1252" s="81" t="str">
        <f>IF(AND(N1252="1521",MONTH(C1252)='BK-NL'!$M$11),"x","")</f>
        <v/>
      </c>
    </row>
    <row r="1253" spans="1:30" ht="15.75" customHeight="1">
      <c r="A1253" s="327" t="str">
        <f>IF(B1253&lt;&gt;"",IF(AND(B1253='IN-TC'!$S$4,OR(TH!N1253="1111",TH!O1253="1111")),TH!D1253,""),"")</f>
        <v/>
      </c>
      <c r="B1253" s="62" t="str">
        <f t="shared" si="330"/>
        <v/>
      </c>
      <c r="C1253" s="1003"/>
      <c r="D1253" s="63"/>
      <c r="E1253" s="63"/>
      <c r="F1253" s="1005"/>
      <c r="G1253" s="66"/>
      <c r="H1253" s="71"/>
      <c r="I1253" s="1010"/>
      <c r="J1253" s="1010"/>
      <c r="K1253" s="400"/>
      <c r="L1253" s="407"/>
      <c r="M1253" s="64"/>
      <c r="N1253" s="65"/>
      <c r="O1253" s="65"/>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
      </c>
      <c r="AC1253" s="81" t="str">
        <f>IF(AND(OR(LEFT(TH!N1253,2)="15",LEFT(TH!O1253,2)="15"),TK!$E$7=TH!F1253),"x","")</f>
        <v/>
      </c>
      <c r="AD1253" s="81" t="str">
        <f>IF(AND(N1253="1521",MONTH(C1253)='BK-NL'!$M$11),"x","")</f>
        <v/>
      </c>
    </row>
    <row r="1254" spans="1:30" ht="15.75" customHeight="1">
      <c r="A1254" s="327" t="str">
        <f>IF(B1254&lt;&gt;"",IF(AND(B1254='IN-TC'!$S$4,OR(TH!N1254="1111",TH!O1254="1111")),TH!D1254,""),"")</f>
        <v/>
      </c>
      <c r="B1254" s="62" t="str">
        <f t="shared" si="330"/>
        <v/>
      </c>
      <c r="C1254" s="1003"/>
      <c r="D1254" s="63"/>
      <c r="E1254" s="63"/>
      <c r="F1254" s="1005"/>
      <c r="G1254" s="66"/>
      <c r="H1254" s="71"/>
      <c r="I1254" s="1010"/>
      <c r="J1254" s="1010"/>
      <c r="K1254" s="400"/>
      <c r="L1254" s="407"/>
      <c r="M1254" s="64"/>
      <c r="N1254" s="65"/>
      <c r="O1254" s="65"/>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
      </c>
      <c r="AC1254" s="81" t="str">
        <f>IF(AND(OR(LEFT(TH!N1254,2)="15",LEFT(TH!O1254,2)="15"),TK!$E$7=TH!F1254),"x","")</f>
        <v/>
      </c>
      <c r="AD1254" s="81" t="str">
        <f>IF(AND(N1254="1521",MONTH(C1254)='BK-NL'!$M$11),"x","")</f>
        <v/>
      </c>
    </row>
    <row r="1255" spans="1:30" ht="15.75" customHeight="1">
      <c r="A1255" s="327" t="str">
        <f>IF(B1255&lt;&gt;"",IF(AND(B1255='IN-TC'!$S$4,OR(TH!N1255="1111",TH!O1255="1111")),TH!D1255,""),"")</f>
        <v/>
      </c>
      <c r="B1255" s="62" t="str">
        <f t="shared" si="330"/>
        <v/>
      </c>
      <c r="C1255" s="1003"/>
      <c r="D1255" s="63"/>
      <c r="E1255" s="63"/>
      <c r="F1255" s="1005"/>
      <c r="G1255" s="66"/>
      <c r="H1255" s="71"/>
      <c r="I1255" s="1010"/>
      <c r="J1255" s="1010"/>
      <c r="K1255" s="400"/>
      <c r="L1255" s="407"/>
      <c r="M1255" s="64"/>
      <c r="N1255" s="65"/>
      <c r="O1255" s="65"/>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
      </c>
      <c r="AC1255" s="81" t="str">
        <f>IF(AND(OR(LEFT(TH!N1255,2)="15",LEFT(TH!O1255,2)="15"),TK!$E$7=TH!F1255),"x","")</f>
        <v/>
      </c>
      <c r="AD1255" s="81" t="str">
        <f>IF(AND(N1255="1521",MONTH(C1255)='BK-NL'!$M$11),"x","")</f>
        <v/>
      </c>
    </row>
    <row r="1256" spans="1:30" ht="15.75" customHeight="1">
      <c r="A1256" s="327" t="str">
        <f>IF(B1256&lt;&gt;"",IF(AND(B1256='IN-TC'!$S$4,OR(TH!N1256="1111",TH!O1256="1111")),TH!D1256,""),"")</f>
        <v/>
      </c>
      <c r="B1256" s="62" t="str">
        <f t="shared" ref="B1256:B1258" si="332">IF(C1256&lt;&gt;"",MONTH(C1256),"")</f>
        <v/>
      </c>
      <c r="C1256" s="1003"/>
      <c r="D1256" s="63"/>
      <c r="E1256" s="63"/>
      <c r="F1256" s="1005"/>
      <c r="G1256" s="66"/>
      <c r="H1256" s="71"/>
      <c r="I1256" s="1010"/>
      <c r="J1256" s="1010"/>
      <c r="K1256" s="400"/>
      <c r="L1256" s="407"/>
      <c r="M1256" s="64"/>
      <c r="N1256" s="65"/>
      <c r="O1256" s="65"/>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row>
    <row r="1257" spans="1:30" ht="15.75" customHeight="1">
      <c r="A1257" s="327" t="str">
        <f>IF(B1257&lt;&gt;"",IF(AND(B1257='IN-TC'!$S$4,OR(TH!N1257="1111",TH!O1257="1111")),TH!D1257,""),"")</f>
        <v/>
      </c>
      <c r="B1257" s="62" t="str">
        <f t="shared" si="332"/>
        <v/>
      </c>
      <c r="C1257" s="1003"/>
      <c r="D1257" s="63"/>
      <c r="E1257" s="63"/>
      <c r="F1257" s="1005"/>
      <c r="G1257" s="66"/>
      <c r="H1257" s="71"/>
      <c r="I1257" s="1010"/>
      <c r="J1257" s="1010"/>
      <c r="K1257" s="400"/>
      <c r="L1257" s="407"/>
      <c r="M1257" s="64"/>
      <c r="N1257" s="65"/>
      <c r="O1257" s="65"/>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
      </c>
      <c r="AC1257" s="81" t="str">
        <f>IF(AND(OR(LEFT(TH!N1257,2)="15",LEFT(TH!O1257,2)="15"),TK!$E$7=TH!F1257),"x","")</f>
        <v/>
      </c>
      <c r="AD1257" s="81" t="str">
        <f>IF(AND(N1257="1521",MONTH(C1257)='BK-NL'!$M$11),"x","")</f>
        <v/>
      </c>
    </row>
    <row r="1258" spans="1:30" ht="15.75" customHeight="1">
      <c r="A1258" s="327" t="str">
        <f>IF(B1258&lt;&gt;"",IF(AND(B1258='IN-TC'!$S$4,OR(TH!N1258="1111",TH!O1258="1111")),TH!D1258,""),"")</f>
        <v/>
      </c>
      <c r="B1258" s="62" t="str">
        <f t="shared" si="332"/>
        <v/>
      </c>
      <c r="C1258" s="1003"/>
      <c r="D1258" s="63"/>
      <c r="E1258" s="63"/>
      <c r="F1258" s="1005"/>
      <c r="G1258" s="66"/>
      <c r="H1258" s="71"/>
      <c r="I1258" s="1010"/>
      <c r="J1258" s="1010"/>
      <c r="K1258" s="400"/>
      <c r="L1258" s="407"/>
      <c r="M1258" s="64"/>
      <c r="N1258" s="65"/>
      <c r="O1258" s="65"/>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row>
    <row r="1259" spans="1:30" ht="15.75" customHeight="1">
      <c r="A1259" s="327" t="str">
        <f>IF(B1259&lt;&gt;"",IF(AND(B1259='IN-TC'!$S$4,OR(TH!N1259="1111",TH!O1259="1111")),TH!D1259,""),"")</f>
        <v/>
      </c>
      <c r="B1259" s="62" t="str">
        <f t="shared" ref="B1259:B1261" si="333">IF(C1259&lt;&gt;"",MONTH(C1259),"")</f>
        <v/>
      </c>
      <c r="C1259" s="1003"/>
      <c r="D1259" s="63"/>
      <c r="E1259" s="63"/>
      <c r="F1259" s="1005"/>
      <c r="G1259" s="66"/>
      <c r="H1259" s="71"/>
      <c r="I1259" s="1010"/>
      <c r="J1259" s="1010"/>
      <c r="K1259" s="400"/>
      <c r="L1259" s="407"/>
      <c r="M1259" s="64"/>
      <c r="N1259" s="65"/>
      <c r="O1259" s="65"/>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0" ht="15.75" customHeight="1">
      <c r="A1260" s="327" t="str">
        <f>IF(B1260&lt;&gt;"",IF(AND(B1260='IN-TC'!$S$4,OR(TH!N1260="1111",TH!O1260="1111")),TH!D1260,""),"")</f>
        <v/>
      </c>
      <c r="B1260" s="62" t="str">
        <f t="shared" si="333"/>
        <v/>
      </c>
      <c r="C1260" s="1003"/>
      <c r="D1260" s="63"/>
      <c r="E1260" s="63"/>
      <c r="F1260" s="1005"/>
      <c r="G1260" s="66"/>
      <c r="H1260" s="71"/>
      <c r="I1260" s="1010"/>
      <c r="J1260" s="1010"/>
      <c r="K1260" s="400"/>
      <c r="L1260" s="407"/>
      <c r="M1260" s="64"/>
      <c r="N1260" s="65"/>
      <c r="O1260" s="65"/>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0" ht="15.75" customHeight="1">
      <c r="A1261" s="327" t="str">
        <f>IF(B1261&lt;&gt;"",IF(AND(B1261='IN-TC'!$S$4,OR(TH!N1261="1111",TH!O1261="1111")),TH!D1261,""),"")</f>
        <v/>
      </c>
      <c r="B1261" s="62" t="str">
        <f t="shared" si="333"/>
        <v/>
      </c>
      <c r="C1261" s="1003"/>
      <c r="D1261" s="63"/>
      <c r="E1261" s="63"/>
      <c r="F1261" s="1005"/>
      <c r="G1261" s="66"/>
      <c r="H1261" s="71"/>
      <c r="I1261" s="1010"/>
      <c r="J1261" s="1010"/>
      <c r="K1261" s="400"/>
      <c r="L1261" s="407"/>
      <c r="M1261" s="64"/>
      <c r="N1261" s="65"/>
      <c r="O1261" s="65"/>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
      </c>
      <c r="AD1261" s="81" t="str">
        <f>IF(AND(N1261="1521",MONTH(C1261)='BK-NL'!$M$11),"x","")</f>
        <v/>
      </c>
    </row>
    <row r="1262" spans="1:30" ht="15.75" customHeight="1">
      <c r="A1262" s="327" t="str">
        <f>IF(B1262&lt;&gt;"",IF(AND(B1262='IN-TC'!$S$4,OR(TH!N1262="1111",TH!O1262="1111")),TH!D1262,""),"")</f>
        <v/>
      </c>
      <c r="B1262" s="62" t="str">
        <f t="shared" si="330"/>
        <v/>
      </c>
      <c r="C1262" s="1003"/>
      <c r="D1262" s="63"/>
      <c r="E1262" s="63"/>
      <c r="F1262" s="1005"/>
      <c r="G1262" s="66"/>
      <c r="H1262" s="71"/>
      <c r="I1262" s="1010"/>
      <c r="J1262" s="1010"/>
      <c r="K1262" s="400"/>
      <c r="L1262" s="407"/>
      <c r="M1262" s="64"/>
      <c r="N1262" s="65"/>
      <c r="O1262" s="65"/>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0" ht="15.75" customHeight="1">
      <c r="A1263" s="327" t="str">
        <f>IF(B1263&lt;&gt;"",IF(AND(B1263='IN-TC'!$S$4,OR(TH!N1263="1111",TH!O1263="1111")),TH!D1263,""),"")</f>
        <v/>
      </c>
      <c r="B1263" s="62" t="str">
        <f t="shared" si="330"/>
        <v/>
      </c>
      <c r="C1263" s="1003"/>
      <c r="D1263" s="63"/>
      <c r="E1263" s="63"/>
      <c r="F1263" s="1005"/>
      <c r="G1263" s="66"/>
      <c r="H1263" s="71"/>
      <c r="I1263" s="1010"/>
      <c r="J1263" s="1010"/>
      <c r="K1263" s="400"/>
      <c r="L1263" s="407"/>
      <c r="M1263" s="64"/>
      <c r="N1263" s="65"/>
      <c r="O1263" s="65"/>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0" ht="15.75" customHeight="1">
      <c r="A1264" s="327" t="str">
        <f>IF(B1264&lt;&gt;"",IF(AND(B1264='IN-TC'!$S$4,OR(TH!N1264="1111",TH!O1264="1111")),TH!D1264,""),"")</f>
        <v/>
      </c>
      <c r="B1264" s="62" t="str">
        <f t="shared" ref="B1264" si="334">IF(C1264&lt;&gt;"",MONTH(C1264),"")</f>
        <v/>
      </c>
      <c r="C1264" s="1003"/>
      <c r="D1264" s="63"/>
      <c r="E1264" s="63"/>
      <c r="F1264" s="1005"/>
      <c r="G1264" s="66"/>
      <c r="H1264" s="71"/>
      <c r="I1264" s="1010"/>
      <c r="J1264" s="1010"/>
      <c r="K1264" s="400"/>
      <c r="L1264" s="407"/>
      <c r="M1264" s="64"/>
      <c r="N1264" s="65"/>
      <c r="O1264" s="65"/>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
      </c>
      <c r="AC1264" s="81" t="str">
        <f>IF(AND(OR(LEFT(TH!N1264,2)="15",LEFT(TH!O1264,2)="15"),TK!$E$7=TH!F1264),"x","")</f>
        <v/>
      </c>
      <c r="AD1264" s="81" t="str">
        <f>IF(AND(N1264="1521",MONTH(C1264)='BK-NL'!$M$11),"x","")</f>
        <v/>
      </c>
    </row>
    <row r="1265" spans="1:30" ht="15.75" customHeight="1">
      <c r="A1265" s="327" t="str">
        <f>IF(B1265&lt;&gt;"",IF(AND(B1265='IN-TC'!$S$4,OR(TH!N1265="1111",TH!O1265="1111")),TH!D1265,""),"")</f>
        <v/>
      </c>
      <c r="B1265" s="62" t="str">
        <f t="shared" si="330"/>
        <v/>
      </c>
      <c r="C1265" s="1003"/>
      <c r="D1265" s="63"/>
      <c r="E1265" s="63"/>
      <c r="F1265" s="1005"/>
      <c r="G1265" s="66"/>
      <c r="H1265" s="71"/>
      <c r="I1265" s="1010"/>
      <c r="J1265" s="1010"/>
      <c r="K1265" s="400"/>
      <c r="L1265" s="407"/>
      <c r="M1265" s="64"/>
      <c r="N1265" s="65"/>
      <c r="O1265" s="65"/>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
      </c>
      <c r="AC1265" s="81" t="str">
        <f>IF(AND(OR(LEFT(TH!N1265,2)="15",LEFT(TH!O1265,2)="15"),TK!$E$7=TH!F1265),"x","")</f>
        <v/>
      </c>
      <c r="AD1265" s="81" t="str">
        <f>IF(AND(N1265="1521",MONTH(C1265)='BK-NL'!$M$11),"x","")</f>
        <v/>
      </c>
    </row>
    <row r="1266" spans="1:30" ht="15.75" customHeight="1">
      <c r="A1266" s="998" t="str">
        <f>IF(B1266&lt;&gt;"",IF(AND(B1266='IN-TC'!$S$4,OR(TH!N1266="1111",TH!O1266="1111")),TH!D1266,""),"")</f>
        <v/>
      </c>
      <c r="B1266" s="831" t="str">
        <f t="shared" si="330"/>
        <v/>
      </c>
      <c r="C1266" s="63"/>
      <c r="D1266" s="63"/>
      <c r="E1266" s="63"/>
      <c r="F1266" s="71"/>
      <c r="G1266" s="816"/>
      <c r="H1266" s="311"/>
      <c r="I1266" s="405"/>
      <c r="J1266" s="405"/>
      <c r="K1266" s="398"/>
      <c r="L1266" s="405"/>
      <c r="M1266" s="64"/>
      <c r="N1266" s="65"/>
      <c r="O1266" s="65"/>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
      </c>
      <c r="AC1266" s="81" t="str">
        <f>IF(AND(OR(LEFT(TH!N1266,2)="15",LEFT(TH!O1266,2)="15"),TK!$E$7=TH!F1266),"x","")</f>
        <v/>
      </c>
      <c r="AD1266" s="81" t="str">
        <f>IF(AND(N1266="1521",MONTH(C1266)='BK-NL'!$M$11),"x","")</f>
        <v/>
      </c>
    </row>
    <row r="1267" spans="1:30" ht="15.75" customHeight="1">
      <c r="A1267" s="998" t="str">
        <f>IF(B1267&lt;&gt;"",IF(AND(B1267='IN-TC'!$S$4,OR(TH!N1267="1111",TH!O1267="1111")),TH!D1267,""),"")</f>
        <v/>
      </c>
      <c r="B1267" s="831" t="str">
        <f t="shared" si="330"/>
        <v/>
      </c>
      <c r="C1267" s="63"/>
      <c r="D1267" s="63"/>
      <c r="E1267" s="63"/>
      <c r="F1267" s="71"/>
      <c r="G1267" s="816"/>
      <c r="H1267" s="311"/>
      <c r="I1267" s="405"/>
      <c r="J1267" s="405"/>
      <c r="K1267" s="398"/>
      <c r="L1267" s="405"/>
      <c r="M1267" s="64"/>
      <c r="N1267" s="65"/>
      <c r="O1267" s="65"/>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
      </c>
      <c r="AC1267" s="81" t="str">
        <f>IF(AND(OR(LEFT(TH!N1267,2)="15",LEFT(TH!O1267,2)="15"),TK!$E$7=TH!F1267),"x","")</f>
        <v/>
      </c>
      <c r="AD1267" s="81" t="str">
        <f>IF(AND(N1267="1521",MONTH(C1267)='BK-NL'!$M$11),"x","")</f>
        <v/>
      </c>
    </row>
    <row r="1268" spans="1:30" ht="15.75" customHeight="1">
      <c r="A1268" s="998" t="str">
        <f>IF(B1268&lt;&gt;"",IF(AND(B1268='IN-TC'!$S$4,OR(TH!N1268="1111",TH!O1268="1111")),TH!D1268,""),"")</f>
        <v/>
      </c>
      <c r="B1268" s="831" t="str">
        <f t="shared" si="330"/>
        <v/>
      </c>
      <c r="C1268" s="63"/>
      <c r="D1268" s="63"/>
      <c r="E1268" s="63"/>
      <c r="F1268" s="71"/>
      <c r="G1268" s="816"/>
      <c r="H1268" s="311"/>
      <c r="I1268" s="405"/>
      <c r="J1268" s="405"/>
      <c r="K1268" s="398"/>
      <c r="L1268" s="405"/>
      <c r="M1268" s="64"/>
      <c r="N1268" s="65"/>
      <c r="O1268" s="65"/>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
      </c>
      <c r="AC1268" s="81" t="str">
        <f>IF(AND(OR(LEFT(TH!N1268,2)="15",LEFT(TH!O1268,2)="15"),TK!$E$7=TH!F1268),"x","")</f>
        <v/>
      </c>
      <c r="AD1268" s="81" t="str">
        <f>IF(AND(N1268="1521",MONTH(C1268)='BK-NL'!$M$11),"x","")</f>
        <v/>
      </c>
    </row>
    <row r="1269" spans="1:30" ht="15.75" customHeight="1">
      <c r="A1269" s="998" t="str">
        <f>IF(B1269&lt;&gt;"",IF(AND(B1269='IN-TC'!$S$4,OR(TH!N1269="1111",TH!O1269="1111")),TH!D1269,""),"")</f>
        <v/>
      </c>
      <c r="B1269" s="831" t="str">
        <f t="shared" si="330"/>
        <v/>
      </c>
      <c r="C1269" s="63"/>
      <c r="D1269" s="63"/>
      <c r="E1269" s="63"/>
      <c r="F1269" s="71"/>
      <c r="G1269" s="816"/>
      <c r="H1269" s="311"/>
      <c r="I1269" s="405"/>
      <c r="J1269" s="405"/>
      <c r="K1269" s="398"/>
      <c r="L1269" s="405"/>
      <c r="M1269" s="64"/>
      <c r="N1269" s="65"/>
      <c r="O1269" s="65"/>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
      </c>
      <c r="AC1269" s="81" t="str">
        <f>IF(AND(OR(LEFT(TH!N1269,2)="15",LEFT(TH!O1269,2)="15"),TK!$E$7=TH!F1269),"x","")</f>
        <v/>
      </c>
      <c r="AD1269" s="81" t="str">
        <f>IF(AND(N1269="1521",MONTH(C1269)='BK-NL'!$M$11),"x","")</f>
        <v/>
      </c>
    </row>
    <row r="1270" spans="1:30" ht="15.75" customHeight="1">
      <c r="A1270" s="998" t="str">
        <f>IF(B1270&lt;&gt;"",IF(AND(B1270='IN-TC'!$S$4,OR(TH!N1270="1111",TH!O1270="1111")),TH!D1270,""),"")</f>
        <v/>
      </c>
      <c r="B1270" s="831" t="str">
        <f t="shared" si="330"/>
        <v/>
      </c>
      <c r="C1270" s="63"/>
      <c r="D1270" s="63"/>
      <c r="E1270" s="63"/>
      <c r="F1270" s="71"/>
      <c r="G1270" s="816"/>
      <c r="H1270" s="311"/>
      <c r="I1270" s="405"/>
      <c r="J1270" s="405"/>
      <c r="K1270" s="398"/>
      <c r="L1270" s="405"/>
      <c r="M1270" s="64"/>
      <c r="N1270" s="65"/>
      <c r="O1270" s="65"/>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
      </c>
      <c r="AC1270" s="81" t="str">
        <f>IF(AND(OR(LEFT(TH!N1270,2)="15",LEFT(TH!O1270,2)="15"),TK!$E$7=TH!F1270),"x","")</f>
        <v/>
      </c>
      <c r="AD1270" s="81" t="str">
        <f>IF(AND(N1270="1521",MONTH(C1270)='BK-NL'!$M$11),"x","")</f>
        <v/>
      </c>
    </row>
    <row r="1271" spans="1:30" ht="15.75" customHeight="1">
      <c r="A1271" s="998" t="str">
        <f>IF(B1271&lt;&gt;"",IF(AND(B1271='IN-TC'!$S$4,OR(TH!N1271="1111",TH!O1271="1111")),TH!D1271,""),"")</f>
        <v/>
      </c>
      <c r="B1271" s="831" t="str">
        <f t="shared" si="330"/>
        <v/>
      </c>
      <c r="C1271" s="63"/>
      <c r="D1271" s="63"/>
      <c r="E1271" s="63"/>
      <c r="F1271" s="71"/>
      <c r="G1271" s="816"/>
      <c r="H1271" s="311"/>
      <c r="I1271" s="405"/>
      <c r="J1271" s="405"/>
      <c r="K1271" s="398"/>
      <c r="L1271" s="405"/>
      <c r="M1271" s="64"/>
      <c r="N1271" s="65"/>
      <c r="O1271" s="65"/>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ht="15.75" customHeight="1">
      <c r="A1272" s="998" t="str">
        <f>IF(B1272&lt;&gt;"",IF(AND(B1272='IN-TC'!$S$4,OR(TH!N1272="1111",TH!O1272="1111")),TH!D1272,""),"")</f>
        <v/>
      </c>
      <c r="B1272" s="831" t="str">
        <f t="shared" si="330"/>
        <v/>
      </c>
      <c r="C1272" s="63"/>
      <c r="D1272" s="63"/>
      <c r="E1272" s="63"/>
      <c r="F1272" s="71"/>
      <c r="G1272" s="816"/>
      <c r="H1272" s="311"/>
      <c r="I1272" s="405"/>
      <c r="J1272" s="405"/>
      <c r="K1272" s="398"/>
      <c r="L1272" s="405"/>
      <c r="M1272" s="64"/>
      <c r="N1272" s="65"/>
      <c r="O1272" s="65"/>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ht="15.75" customHeight="1">
      <c r="A1273" s="998" t="str">
        <f>IF(B1273&lt;&gt;"",IF(AND(B1273='IN-TC'!$S$4,OR(TH!N1273="1111",TH!O1273="1111")),TH!D1273,""),"")</f>
        <v/>
      </c>
      <c r="B1273" s="831" t="str">
        <f t="shared" si="330"/>
        <v/>
      </c>
      <c r="C1273" s="63"/>
      <c r="D1273" s="63"/>
      <c r="E1273" s="63"/>
      <c r="F1273" s="71"/>
      <c r="G1273" s="816"/>
      <c r="H1273" s="311"/>
      <c r="I1273" s="405"/>
      <c r="J1273" s="405"/>
      <c r="K1273" s="398"/>
      <c r="L1273" s="405"/>
      <c r="M1273" s="64"/>
      <c r="N1273" s="65"/>
      <c r="O1273" s="65"/>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
      </c>
      <c r="AD1273" s="81" t="str">
        <f>IF(AND(N1273="1521",MONTH(C1273)='BK-NL'!$M$11),"x","")</f>
        <v/>
      </c>
    </row>
    <row r="1274" spans="1:30" ht="15.75" customHeight="1">
      <c r="A1274" s="998" t="str">
        <f>IF(B1274&lt;&gt;"",IF(AND(B1274='IN-TC'!$S$4,OR(TH!N1274="1111",TH!O1274="1111")),TH!D1274,""),"")</f>
        <v/>
      </c>
      <c r="B1274" s="831" t="str">
        <f t="shared" si="330"/>
        <v/>
      </c>
      <c r="C1274" s="63"/>
      <c r="D1274" s="63"/>
      <c r="E1274" s="63"/>
      <c r="F1274" s="71"/>
      <c r="G1274" s="816"/>
      <c r="H1274" s="311"/>
      <c r="I1274" s="405"/>
      <c r="J1274" s="405"/>
      <c r="K1274" s="398"/>
      <c r="L1274" s="405"/>
      <c r="M1274" s="64"/>
      <c r="N1274" s="65"/>
      <c r="O1274" s="65"/>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ht="15.75" customHeight="1">
      <c r="A1275" s="998" t="str">
        <f>IF(B1275&lt;&gt;"",IF(AND(B1275='IN-TC'!$S$4,OR(TH!N1275="1111",TH!O1275="1111")),TH!D1275,""),"")</f>
        <v/>
      </c>
      <c r="B1275" s="831" t="str">
        <f t="shared" si="330"/>
        <v/>
      </c>
      <c r="C1275" s="63"/>
      <c r="D1275" s="63"/>
      <c r="E1275" s="63"/>
      <c r="F1275" s="71"/>
      <c r="G1275" s="816"/>
      <c r="H1275" s="311"/>
      <c r="I1275" s="405"/>
      <c r="J1275" s="405"/>
      <c r="K1275" s="398"/>
      <c r="L1275" s="405"/>
      <c r="M1275" s="64"/>
      <c r="N1275" s="65"/>
      <c r="O1275" s="65"/>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ht="15.75" customHeight="1">
      <c r="A1276" s="998" t="str">
        <f>IF(B1276&lt;&gt;"",IF(AND(B1276='IN-TC'!$S$4,OR(TH!N1276="1111",TH!O1276="1111")),TH!D1276,""),"")</f>
        <v/>
      </c>
      <c r="B1276" s="831" t="str">
        <f t="shared" si="330"/>
        <v/>
      </c>
      <c r="C1276" s="63"/>
      <c r="D1276" s="63"/>
      <c r="E1276" s="63"/>
      <c r="F1276" s="71"/>
      <c r="G1276" s="816"/>
      <c r="H1276" s="311"/>
      <c r="I1276" s="405"/>
      <c r="J1276" s="405"/>
      <c r="K1276" s="398"/>
      <c r="L1276" s="405"/>
      <c r="M1276" s="64"/>
      <c r="N1276" s="65"/>
      <c r="O1276" s="65"/>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ht="15.75" customHeight="1">
      <c r="A1277" s="998" t="str">
        <f>IF(B1277&lt;&gt;"",IF(AND(B1277='IN-TC'!$S$4,OR(TH!N1277="1111",TH!O1277="1111")),TH!D1277,""),"")</f>
        <v/>
      </c>
      <c r="B1277" s="831" t="str">
        <f t="shared" si="330"/>
        <v/>
      </c>
      <c r="C1277" s="63"/>
      <c r="D1277" s="63"/>
      <c r="E1277" s="63"/>
      <c r="F1277" s="71"/>
      <c r="G1277" s="816"/>
      <c r="H1277" s="311"/>
      <c r="I1277" s="405"/>
      <c r="J1277" s="405"/>
      <c r="K1277" s="398"/>
      <c r="L1277" s="405"/>
      <c r="M1277" s="64"/>
      <c r="N1277" s="65"/>
      <c r="O1277" s="65"/>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ht="15.75" customHeight="1">
      <c r="A1278" s="998" t="str">
        <f>IF(B1278&lt;&gt;"",IF(AND(B1278='IN-TC'!$S$4,OR(TH!N1278="1111",TH!O1278="1111")),TH!D1278,""),"")</f>
        <v/>
      </c>
      <c r="B1278" s="831" t="str">
        <f t="shared" si="330"/>
        <v/>
      </c>
      <c r="C1278" s="63"/>
      <c r="D1278" s="63"/>
      <c r="E1278" s="63"/>
      <c r="F1278" s="71"/>
      <c r="G1278" s="816"/>
      <c r="H1278" s="311"/>
      <c r="I1278" s="405"/>
      <c r="J1278" s="398"/>
      <c r="K1278" s="398"/>
      <c r="L1278" s="405"/>
      <c r="M1278" s="64"/>
      <c r="N1278" s="65"/>
      <c r="O1278" s="65"/>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ht="15.75" customHeight="1">
      <c r="A1279" s="998" t="str">
        <f>IF(B1279&lt;&gt;"",IF(AND(B1279='IN-TC'!$S$4,OR(TH!N1279="1111",TH!O1279="1111")),TH!D1279,""),"")</f>
        <v/>
      </c>
      <c r="B1279" s="831" t="str">
        <f t="shared" si="330"/>
        <v/>
      </c>
      <c r="C1279" s="63"/>
      <c r="D1279" s="63"/>
      <c r="E1279" s="63"/>
      <c r="F1279" s="71"/>
      <c r="G1279" s="816"/>
      <c r="H1279" s="311"/>
      <c r="I1279" s="405"/>
      <c r="J1279" s="405"/>
      <c r="K1279" s="398"/>
      <c r="L1279" s="405"/>
      <c r="M1279" s="64"/>
      <c r="N1279" s="65"/>
      <c r="O1279" s="65"/>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ht="15.75" customHeight="1">
      <c r="A1280" s="998" t="str">
        <f>IF(B1280&lt;&gt;"",IF(AND(B1280='IN-TC'!$S$4,OR(TH!N1280="1111",TH!O1280="1111")),TH!D1280,""),"")</f>
        <v/>
      </c>
      <c r="B1280" s="831" t="str">
        <f t="shared" si="330"/>
        <v/>
      </c>
      <c r="C1280" s="63"/>
      <c r="D1280" s="63"/>
      <c r="E1280" s="63"/>
      <c r="F1280" s="71"/>
      <c r="G1280" s="816"/>
      <c r="H1280" s="311"/>
      <c r="I1280" s="405"/>
      <c r="J1280" s="405"/>
      <c r="K1280" s="398"/>
      <c r="L1280" s="405"/>
      <c r="M1280" s="64"/>
      <c r="N1280" s="65"/>
      <c r="O1280" s="65"/>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
      </c>
      <c r="AC1280" s="81" t="str">
        <f>IF(AND(OR(LEFT(TH!N1280,2)="15",LEFT(TH!O1280,2)="15"),TK!$E$7=TH!F1280),"x","")</f>
        <v/>
      </c>
      <c r="AD1280" s="81" t="str">
        <f>IF(AND(N1280="1521",MONTH(C1280)='BK-NL'!$M$11),"x","")</f>
        <v/>
      </c>
    </row>
    <row r="1281" spans="1:30" ht="15.75" customHeight="1">
      <c r="A1281" s="998" t="str">
        <f>IF(B1281&lt;&gt;"",IF(AND(B1281='IN-TC'!$S$4,OR(TH!N1281="1111",TH!O1281="1111")),TH!D1281,""),"")</f>
        <v/>
      </c>
      <c r="B1281" s="831" t="str">
        <f t="shared" si="330"/>
        <v/>
      </c>
      <c r="C1281" s="63"/>
      <c r="D1281" s="63"/>
      <c r="E1281" s="63"/>
      <c r="F1281" s="71"/>
      <c r="G1281" s="816"/>
      <c r="H1281" s="311"/>
      <c r="I1281" s="405"/>
      <c r="J1281" s="405"/>
      <c r="K1281" s="398"/>
      <c r="L1281" s="405"/>
      <c r="M1281" s="64"/>
      <c r="N1281" s="65"/>
      <c r="O1281" s="65"/>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ht="15.75" customHeight="1">
      <c r="A1282" s="998" t="str">
        <f>IF(B1282&lt;&gt;"",IF(AND(B1282='IN-TC'!$S$4,OR(TH!N1282="1111",TH!O1282="1111")),TH!D1282,""),"")</f>
        <v/>
      </c>
      <c r="B1282" s="831" t="str">
        <f t="shared" si="330"/>
        <v/>
      </c>
      <c r="C1282" s="63"/>
      <c r="D1282" s="63"/>
      <c r="E1282" s="63"/>
      <c r="F1282" s="71"/>
      <c r="G1282" s="816"/>
      <c r="H1282" s="311"/>
      <c r="I1282" s="405"/>
      <c r="J1282" s="405"/>
      <c r="K1282" s="398"/>
      <c r="L1282" s="405"/>
      <c r="M1282" s="64"/>
      <c r="N1282" s="65"/>
      <c r="O1282" s="65"/>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ht="15.75" customHeight="1">
      <c r="A1283" s="998" t="str">
        <f>IF(B1283&lt;&gt;"",IF(AND(B1283='IN-TC'!$S$4,OR(TH!N1283="1111",TH!O1283="1111")),TH!D1283,""),"")</f>
        <v/>
      </c>
      <c r="B1283" s="831" t="str">
        <f t="shared" si="330"/>
        <v/>
      </c>
      <c r="C1283" s="63"/>
      <c r="D1283" s="63"/>
      <c r="E1283" s="63"/>
      <c r="F1283" s="71"/>
      <c r="G1283" s="816"/>
      <c r="H1283" s="311"/>
      <c r="I1283" s="405"/>
      <c r="J1283" s="405"/>
      <c r="K1283" s="398"/>
      <c r="L1283" s="405"/>
      <c r="M1283" s="64"/>
      <c r="N1283" s="65"/>
      <c r="O1283" s="65"/>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ht="15.75" customHeight="1">
      <c r="A1284" s="998" t="str">
        <f>IF(B1284&lt;&gt;"",IF(AND(B1284='IN-TC'!$S$4,OR(TH!N1284="1111",TH!O1284="1111")),TH!D1284,""),"")</f>
        <v/>
      </c>
      <c r="B1284" s="831" t="str">
        <f t="shared" si="330"/>
        <v/>
      </c>
      <c r="C1284" s="63"/>
      <c r="D1284" s="63"/>
      <c r="E1284" s="63"/>
      <c r="F1284" s="71"/>
      <c r="G1284" s="816"/>
      <c r="H1284" s="311"/>
      <c r="I1284" s="405"/>
      <c r="J1284" s="405"/>
      <c r="K1284" s="398"/>
      <c r="L1284" s="405"/>
      <c r="M1284" s="64"/>
      <c r="N1284" s="65"/>
      <c r="O1284" s="65"/>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ht="15.75" customHeight="1">
      <c r="A1285" s="998" t="str">
        <f>IF(B1285&lt;&gt;"",IF(AND(B1285='IN-TC'!$S$4,OR(TH!N1285="1111",TH!O1285="1111")),TH!D1285,""),"")</f>
        <v/>
      </c>
      <c r="B1285" s="831" t="str">
        <f t="shared" si="330"/>
        <v/>
      </c>
      <c r="C1285" s="63"/>
      <c r="D1285" s="63"/>
      <c r="E1285" s="63"/>
      <c r="F1285" s="71"/>
      <c r="G1285" s="816"/>
      <c r="H1285" s="311"/>
      <c r="I1285" s="405"/>
      <c r="J1285" s="405"/>
      <c r="K1285" s="398"/>
      <c r="L1285" s="405"/>
      <c r="M1285" s="64"/>
      <c r="N1285" s="65"/>
      <c r="O1285" s="65"/>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ht="15.75" customHeight="1">
      <c r="A1286" s="998" t="str">
        <f>IF(B1286&lt;&gt;"",IF(AND(B1286='IN-TC'!$S$4,OR(TH!N1286="1111",TH!O1286="1111")),TH!D1286,""),"")</f>
        <v/>
      </c>
      <c r="B1286" s="831" t="str">
        <f t="shared" si="330"/>
        <v/>
      </c>
      <c r="C1286" s="63"/>
      <c r="D1286" s="63"/>
      <c r="E1286" s="63"/>
      <c r="F1286" s="71"/>
      <c r="G1286" s="816"/>
      <c r="H1286" s="311"/>
      <c r="I1286" s="405"/>
      <c r="J1286" s="405"/>
      <c r="K1286" s="398"/>
      <c r="L1286" s="405"/>
      <c r="M1286" s="64"/>
      <c r="N1286" s="65"/>
      <c r="O1286" s="65"/>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
      </c>
      <c r="AC1286" s="81" t="str">
        <f>IF(AND(OR(LEFT(TH!N1286,2)="15",LEFT(TH!O1286,2)="15"),TK!$E$7=TH!F1286),"x","")</f>
        <v/>
      </c>
      <c r="AD1286" s="81" t="str">
        <f>IF(AND(N1286="1521",MONTH(C1286)='BK-NL'!$M$11),"x","")</f>
        <v/>
      </c>
    </row>
    <row r="1287" spans="1:30" ht="15.75" customHeight="1">
      <c r="A1287" s="998" t="str">
        <f>IF(B1287&lt;&gt;"",IF(AND(B1287='IN-TC'!$S$4,OR(TH!N1287="1111",TH!O1287="1111")),TH!D1287,""),"")</f>
        <v/>
      </c>
      <c r="B1287" s="831" t="str">
        <f t="shared" si="330"/>
        <v/>
      </c>
      <c r="C1287" s="63"/>
      <c r="D1287" s="63"/>
      <c r="E1287" s="63"/>
      <c r="F1287" s="71"/>
      <c r="G1287" s="816"/>
      <c r="H1287" s="311"/>
      <c r="I1287" s="405"/>
      <c r="J1287" s="405"/>
      <c r="K1287" s="398"/>
      <c r="L1287" s="405"/>
      <c r="M1287" s="64"/>
      <c r="N1287" s="65"/>
      <c r="O1287" s="65"/>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ht="15.75" customHeight="1">
      <c r="A1288" s="998" t="str">
        <f>IF(B1288&lt;&gt;"",IF(AND(B1288='IN-TC'!$S$4,OR(TH!N1288="1111",TH!O1288="1111")),TH!D1288,""),"")</f>
        <v/>
      </c>
      <c r="B1288" s="831" t="str">
        <f t="shared" si="330"/>
        <v/>
      </c>
      <c r="C1288" s="63"/>
      <c r="D1288" s="63"/>
      <c r="E1288" s="63"/>
      <c r="F1288" s="71"/>
      <c r="G1288" s="816"/>
      <c r="H1288" s="311"/>
      <c r="I1288" s="405"/>
      <c r="J1288" s="405"/>
      <c r="K1288" s="398"/>
      <c r="L1288" s="405"/>
      <c r="M1288" s="64"/>
      <c r="N1288" s="65"/>
      <c r="O1288" s="65"/>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ht="15.75" customHeight="1">
      <c r="A1289" s="998" t="str">
        <f>IF(B1289&lt;&gt;"",IF(AND(B1289='IN-TC'!$S$4,OR(TH!N1289="1111",TH!O1289="1111")),TH!D1289,""),"")</f>
        <v/>
      </c>
      <c r="B1289" s="831" t="str">
        <f t="shared" si="330"/>
        <v/>
      </c>
      <c r="C1289" s="63"/>
      <c r="D1289" s="63"/>
      <c r="E1289" s="63"/>
      <c r="F1289" s="71"/>
      <c r="G1289" s="816"/>
      <c r="H1289" s="311"/>
      <c r="I1289" s="405"/>
      <c r="J1289" s="405"/>
      <c r="K1289" s="398"/>
      <c r="L1289" s="405"/>
      <c r="M1289" s="64"/>
      <c r="N1289" s="65"/>
      <c r="O1289" s="65"/>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ht="15.75" customHeight="1">
      <c r="A1290" s="998" t="str">
        <f>IF(B1290&lt;&gt;"",IF(AND(B1290='IN-TC'!$S$4,OR(TH!N1290="1111",TH!O1290="1111")),TH!D1290,""),"")</f>
        <v/>
      </c>
      <c r="B1290" s="831" t="str">
        <f t="shared" si="330"/>
        <v/>
      </c>
      <c r="C1290" s="63"/>
      <c r="D1290" s="63"/>
      <c r="E1290" s="63"/>
      <c r="F1290" s="71"/>
      <c r="G1290" s="816"/>
      <c r="H1290" s="311"/>
      <c r="I1290" s="405"/>
      <c r="J1290" s="405"/>
      <c r="K1290" s="398"/>
      <c r="L1290" s="405"/>
      <c r="M1290" s="64"/>
      <c r="N1290" s="65"/>
      <c r="O1290" s="65"/>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ht="15.75" customHeight="1">
      <c r="A1291" s="998" t="str">
        <f>IF(B1291&lt;&gt;"",IF(AND(B1291='IN-TC'!$S$4,OR(TH!N1291="1111",TH!O1291="1111")),TH!D1291,""),"")</f>
        <v/>
      </c>
      <c r="B1291" s="831" t="str">
        <f t="shared" si="330"/>
        <v/>
      </c>
      <c r="C1291" s="63"/>
      <c r="D1291" s="63"/>
      <c r="E1291" s="63"/>
      <c r="F1291" s="71"/>
      <c r="G1291" s="816"/>
      <c r="H1291" s="311"/>
      <c r="I1291" s="405"/>
      <c r="J1291" s="405"/>
      <c r="K1291" s="398"/>
      <c r="L1291" s="405"/>
      <c r="M1291" s="64"/>
      <c r="N1291" s="65"/>
      <c r="O1291" s="65"/>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ht="15.75" customHeight="1">
      <c r="A1292" s="998" t="str">
        <f>IF(B1292&lt;&gt;"",IF(AND(B1292='IN-TC'!$S$4,OR(TH!N1292="1111",TH!O1292="1111")),TH!D1292,""),"")</f>
        <v/>
      </c>
      <c r="B1292" s="831" t="str">
        <f t="shared" si="330"/>
        <v/>
      </c>
      <c r="C1292" s="63"/>
      <c r="D1292" s="63"/>
      <c r="E1292" s="63"/>
      <c r="F1292" s="71"/>
      <c r="G1292" s="816"/>
      <c r="H1292" s="311"/>
      <c r="I1292" s="405"/>
      <c r="J1292" s="405"/>
      <c r="K1292" s="398"/>
      <c r="L1292" s="405"/>
      <c r="M1292" s="64"/>
      <c r="N1292" s="65"/>
      <c r="O1292" s="65"/>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ht="15.75" customHeight="1">
      <c r="A1293" s="998" t="str">
        <f>IF(B1293&lt;&gt;"",IF(AND(B1293='IN-TC'!$S$4,OR(TH!N1293="1111",TH!O1293="1111")),TH!D1293,""),"")</f>
        <v/>
      </c>
      <c r="B1293" s="831" t="str">
        <f t="shared" si="330"/>
        <v/>
      </c>
      <c r="C1293" s="63"/>
      <c r="D1293" s="63"/>
      <c r="E1293" s="63"/>
      <c r="F1293" s="71"/>
      <c r="G1293" s="816"/>
      <c r="H1293" s="311"/>
      <c r="I1293" s="405"/>
      <c r="J1293" s="405"/>
      <c r="K1293" s="398"/>
      <c r="L1293" s="405"/>
      <c r="M1293" s="64"/>
      <c r="N1293" s="65"/>
      <c r="O1293" s="65"/>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
      </c>
      <c r="AC1293" s="81" t="str">
        <f>IF(AND(OR(LEFT(TH!N1293,2)="15",LEFT(TH!O1293,2)="15"),TK!$E$7=TH!F1293),"x","")</f>
        <v/>
      </c>
      <c r="AD1293" s="81" t="str">
        <f>IF(AND(N1293="1521",MONTH(C1293)='BK-NL'!$M$11),"x","")</f>
        <v/>
      </c>
    </row>
    <row r="1294" spans="1:30" ht="15.75" customHeight="1">
      <c r="A1294" s="998" t="str">
        <f>IF(B1294&lt;&gt;"",IF(AND(B1294='IN-TC'!$S$4,OR(TH!N1294="1111",TH!O1294="1111")),TH!D1294,""),"")</f>
        <v/>
      </c>
      <c r="B1294" s="831" t="str">
        <f>IF(C1294&lt;&gt;"",MONTH(C1294),"")</f>
        <v/>
      </c>
      <c r="C1294" s="63"/>
      <c r="D1294" s="63"/>
      <c r="E1294" s="63"/>
      <c r="F1294" s="71"/>
      <c r="G1294" s="816"/>
      <c r="H1294" s="311"/>
      <c r="I1294" s="405"/>
      <c r="J1294" s="405"/>
      <c r="K1294" s="398"/>
      <c r="L1294" s="405"/>
      <c r="M1294" s="64"/>
      <c r="N1294" s="65"/>
      <c r="O1294" s="65"/>
      <c r="P1294" s="81" t="str">
        <f>IF(AND('331-CT'!$E$7=TH!H1294,OR(N1294="331",O1294="331")),"x","")</f>
        <v/>
      </c>
      <c r="Q1294" s="81" t="str">
        <f>IF(AND(B1294='111'!$L$11,OR($N1294=$Q$7,$O1294=$Q$7)),"x","")</f>
        <v/>
      </c>
      <c r="R1294" s="81" t="str">
        <f>IF(AND($N1294=$Q$7,$B1294&lt;'111'!$L$11),"x","")</f>
        <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
      </c>
      <c r="AC1294" s="81" t="str">
        <f>IF(AND(OR(LEFT(TH!N1294,2)="15",LEFT(TH!O1294,2)="15"),TK!$E$7=TH!F1294),"x","")</f>
        <v/>
      </c>
      <c r="AD1294" s="81" t="str">
        <f>IF(AND(N1294="1521",MONTH(C1294)='BK-NL'!$M$11),"x","")</f>
        <v/>
      </c>
    </row>
    <row r="1295" spans="1:30" ht="15.75" customHeight="1">
      <c r="A1295" s="998" t="str">
        <f>IF(B1295&lt;&gt;"",IF(AND(B1295='IN-TC'!$S$4,OR(TH!N1295="1111",TH!O1295="1111")),TH!D1295,""),"")</f>
        <v/>
      </c>
      <c r="B1295" s="831" t="str">
        <f>IF(C1295&lt;&gt;"",MONTH(C1295),"")</f>
        <v/>
      </c>
      <c r="C1295" s="63"/>
      <c r="D1295" s="63"/>
      <c r="E1295" s="63"/>
      <c r="F1295" s="71"/>
      <c r="G1295" s="816"/>
      <c r="H1295" s="311"/>
      <c r="I1295" s="405"/>
      <c r="J1295" s="405"/>
      <c r="K1295" s="398"/>
      <c r="L1295" s="405"/>
      <c r="M1295" s="64"/>
      <c r="N1295" s="65"/>
      <c r="O1295" s="65"/>
      <c r="P1295" s="81" t="str">
        <f>IF(AND('331-CT'!$E$7=TH!H1295,OR(N1295="331",O1295="331")),"x","")</f>
        <v/>
      </c>
      <c r="Q1295" s="81" t="str">
        <f>IF(AND(B1295='111'!$L$11,OR($N1295=$Q$7,$O1295=$Q$7)),"x","")</f>
        <v/>
      </c>
      <c r="R1295" s="81" t="str">
        <f>IF(AND($N1295=$Q$7,$B1295&lt;'111'!$L$11),"x","")</f>
        <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ht="15.75" customHeight="1">
      <c r="A1296" s="998" t="str">
        <f>IF(B1296&lt;&gt;"",IF(AND(B1296='IN-TC'!$S$4,OR(TH!N1296="1111",TH!O1296="1111")),TH!D1296,""),"")</f>
        <v/>
      </c>
      <c r="B1296" s="831" t="str">
        <f t="shared" si="330"/>
        <v/>
      </c>
      <c r="C1296" s="63"/>
      <c r="D1296" s="63"/>
      <c r="E1296" s="63"/>
      <c r="F1296" s="71"/>
      <c r="G1296" s="816"/>
      <c r="H1296" s="311"/>
      <c r="I1296" s="405"/>
      <c r="J1296" s="405"/>
      <c r="K1296" s="398"/>
      <c r="L1296" s="405"/>
      <c r="M1296" s="64"/>
      <c r="N1296" s="65"/>
      <c r="O1296" s="65"/>
      <c r="P1296" s="81" t="str">
        <f>IF(AND('331-CT'!$E$7=TH!H1296,OR(N1296="331",O1296="331")),"x","")</f>
        <v/>
      </c>
      <c r="Q1296" s="81" t="str">
        <f>IF(AND(B1296='111'!$L$11,OR($N1296=$Q$7,$O1296=$Q$7)),"x","")</f>
        <v/>
      </c>
      <c r="R1296" s="81" t="str">
        <f>IF(AND($N1296=$Q$7,$B1296&lt;'111'!$L$11),"x","")</f>
        <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0" ht="15.75" customHeight="1">
      <c r="A1297" s="998" t="str">
        <f>IF(B1297&lt;&gt;"",IF(AND(B1297='IN-TC'!$S$4,OR(TH!N1297="1111",TH!O1297="1111")),TH!D1297,""),"")</f>
        <v/>
      </c>
      <c r="B1297" s="831" t="str">
        <f t="shared" si="330"/>
        <v/>
      </c>
      <c r="C1297" s="63"/>
      <c r="D1297" s="63"/>
      <c r="E1297" s="63"/>
      <c r="F1297" s="71"/>
      <c r="G1297" s="816"/>
      <c r="H1297" s="311"/>
      <c r="I1297" s="405"/>
      <c r="J1297" s="405"/>
      <c r="K1297" s="398"/>
      <c r="L1297" s="405"/>
      <c r="M1297" s="64"/>
      <c r="N1297" s="65"/>
      <c r="O1297" s="65"/>
      <c r="P1297" s="81" t="str">
        <f>IF(AND('331-CT'!$E$7=TH!H1297,OR(N1297="331",O1297="331")),"x","")</f>
        <v/>
      </c>
      <c r="Q1297" s="81" t="str">
        <f>IF(AND(B1297='111'!$L$11,OR($N1297=$Q$7,$O1297=$Q$7)),"x","")</f>
        <v/>
      </c>
      <c r="R1297" s="81" t="str">
        <f>IF(AND($N1297=$Q$7,$B1297&lt;'111'!$L$11),"x","")</f>
        <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
      </c>
      <c r="AD1297" s="81" t="str">
        <f>IF(AND(N1297="1521",MONTH(C1297)='BK-NL'!$M$11),"x","")</f>
        <v/>
      </c>
    </row>
    <row r="1298" spans="1:30" ht="15.75" customHeight="1">
      <c r="A1298" s="998" t="str">
        <f>IF(B1298&lt;&gt;"",IF(AND(B1298='IN-TC'!$S$4,OR(TH!N1298="1111",TH!O1298="1111")),TH!D1298,""),"")</f>
        <v/>
      </c>
      <c r="B1298" s="831" t="str">
        <f t="shared" si="330"/>
        <v/>
      </c>
      <c r="C1298" s="63"/>
      <c r="D1298" s="63"/>
      <c r="E1298" s="63"/>
      <c r="F1298" s="71"/>
      <c r="G1298" s="816"/>
      <c r="H1298" s="311"/>
      <c r="I1298" s="405"/>
      <c r="J1298" s="405"/>
      <c r="K1298" s="398"/>
      <c r="L1298" s="405"/>
      <c r="M1298" s="64"/>
      <c r="N1298" s="65"/>
      <c r="O1298" s="65"/>
      <c r="P1298" s="81" t="str">
        <f>IF(AND('331-CT'!$E$7=TH!H1298,OR(N1298="331",O1298="331")),"x","")</f>
        <v/>
      </c>
      <c r="Q1298" s="81" t="str">
        <f>IF(AND(B1298='111'!$L$11,OR($N1298=$Q$7,$O1298=$Q$7)),"x","")</f>
        <v/>
      </c>
      <c r="R1298" s="81" t="str">
        <f>IF(AND($N1298=$Q$7,$B1298&lt;'111'!$L$11),"x","")</f>
        <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0" ht="15.75" customHeight="1">
      <c r="A1299" s="998" t="str">
        <f>IF(B1299&lt;&gt;"",IF(AND(B1299='IN-TC'!$S$4,OR(TH!N1299="1111",TH!O1299="1111")),TH!D1299,""),"")</f>
        <v/>
      </c>
      <c r="B1299" s="831" t="str">
        <f t="shared" si="330"/>
        <v/>
      </c>
      <c r="C1299" s="63"/>
      <c r="D1299" s="63"/>
      <c r="E1299" s="63"/>
      <c r="F1299" s="71"/>
      <c r="G1299" s="816"/>
      <c r="H1299" s="311"/>
      <c r="I1299" s="405"/>
      <c r="J1299" s="405"/>
      <c r="K1299" s="398"/>
      <c r="L1299" s="405"/>
      <c r="M1299" s="64"/>
      <c r="N1299" s="65"/>
      <c r="O1299" s="65"/>
      <c r="P1299" s="81" t="str">
        <f>IF(AND('331-CT'!$E$7=TH!H1299,OR(N1299="331",O1299="331")),"x","")</f>
        <v/>
      </c>
      <c r="Q1299" s="81" t="str">
        <f>IF(AND(B1299='111'!$L$11,OR($N1299=$Q$7,$O1299=$Q$7)),"x","")</f>
        <v/>
      </c>
      <c r="R1299" s="81" t="str">
        <f>IF(AND($N1299=$Q$7,$B1299&lt;'111'!$L$11),"x","")</f>
        <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0" ht="15.75" customHeight="1">
      <c r="A1300" s="998" t="str">
        <f>IF(B1300&lt;&gt;"",IF(AND(B1300='IN-TC'!$S$4,OR(TH!N1300="1111",TH!O1300="1111")),TH!D1300,""),"")</f>
        <v/>
      </c>
      <c r="B1300" s="831" t="str">
        <f t="shared" ref="B1300" si="335">IF(C1300&lt;&gt;"",MONTH(C1300),"")</f>
        <v/>
      </c>
      <c r="C1300" s="63"/>
      <c r="D1300" s="63"/>
      <c r="E1300" s="63"/>
      <c r="F1300" s="71"/>
      <c r="G1300" s="816"/>
      <c r="H1300" s="311"/>
      <c r="I1300" s="405"/>
      <c r="J1300" s="405"/>
      <c r="K1300" s="398"/>
      <c r="L1300" s="405"/>
      <c r="M1300" s="64"/>
      <c r="N1300" s="65"/>
      <c r="O1300" s="65"/>
      <c r="P1300" s="81" t="str">
        <f>IF(AND('331-CT'!$E$7=TH!H1300,OR(N1300="331",O1300="331")),"x","")</f>
        <v/>
      </c>
      <c r="Q1300" s="81" t="str">
        <f>IF(AND(B1300='111'!$L$11,OR($N1300=$Q$7,$O1300=$Q$7)),"x","")</f>
        <v/>
      </c>
      <c r="R1300" s="81" t="str">
        <f>IF(AND($N1300=$Q$7,$B1300&lt;'111'!$L$11),"x","")</f>
        <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0" ht="15.75" customHeight="1">
      <c r="A1301" s="998" t="str">
        <f>IF(B1301&lt;&gt;"",IF(AND(B1301='IN-TC'!$S$4,OR(TH!N1301="1111",TH!O1301="1111")),TH!D1301,""),"")</f>
        <v/>
      </c>
      <c r="B1301" s="831" t="str">
        <f t="shared" ref="B1301:B1314" si="336">IF(C1301&lt;&gt;"",MONTH(C1301),"")</f>
        <v/>
      </c>
      <c r="C1301" s="63"/>
      <c r="D1301" s="63"/>
      <c r="E1301" s="63"/>
      <c r="F1301" s="71"/>
      <c r="G1301" s="816"/>
      <c r="H1301" s="311"/>
      <c r="I1301" s="405"/>
      <c r="J1301" s="405"/>
      <c r="K1301" s="398"/>
      <c r="L1301" s="405"/>
      <c r="M1301" s="64"/>
      <c r="N1301" s="65"/>
      <c r="O1301" s="65"/>
      <c r="P1301" s="81" t="str">
        <f>IF(AND('331-CT'!$E$7=TH!H1301,OR(N1301="331",O1301="331")),"x","")</f>
        <v/>
      </c>
      <c r="Q1301" s="81" t="str">
        <f>IF(AND(B1301='111'!$L$11,OR($N1301=$Q$7,$O1301=$Q$7)),"x","")</f>
        <v/>
      </c>
      <c r="R1301" s="81" t="str">
        <f>IF(AND($N1301=$Q$7,$B1301&lt;'111'!$L$11),"x","")</f>
        <v/>
      </c>
      <c r="S1301" s="81" t="str">
        <f>IF(AND($O1301=$Q$7,$B1301&lt;'111'!$L$11),"x","")</f>
        <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0" ht="15.75" customHeight="1">
      <c r="A1302" s="998" t="str">
        <f>IF(B1302&lt;&gt;"",IF(AND(B1302='IN-TC'!$S$4,OR(TH!N1302="1111",TH!O1302="1111")),TH!D1302,""),"")</f>
        <v/>
      </c>
      <c r="B1302" s="831" t="str">
        <f t="shared" si="336"/>
        <v/>
      </c>
      <c r="C1302" s="63"/>
      <c r="D1302" s="63"/>
      <c r="E1302" s="63"/>
      <c r="F1302" s="71"/>
      <c r="G1302" s="816"/>
      <c r="H1302" s="311"/>
      <c r="I1302" s="405"/>
      <c r="J1302" s="405"/>
      <c r="K1302" s="398"/>
      <c r="L1302" s="405"/>
      <c r="M1302" s="64"/>
      <c r="N1302" s="65"/>
      <c r="O1302" s="65"/>
      <c r="P1302" s="81" t="str">
        <f>IF(AND('331-CT'!$E$7=TH!H1302,OR(N1302="331",O1302="331")),"x","")</f>
        <v/>
      </c>
      <c r="Q1302" s="81" t="str">
        <f>IF(AND(B1302='111'!$L$11,OR($N1302=$Q$7,$O1302=$Q$7)),"x","")</f>
        <v/>
      </c>
      <c r="R1302" s="81" t="str">
        <f>IF(AND($N1302=$Q$7,$B1302&lt;'111'!$L$11),"x","")</f>
        <v/>
      </c>
      <c r="S1302" s="81" t="str">
        <f>IF(AND($O1302=$Q$7,$B1302&lt;'111'!$L$11),"x","")</f>
        <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row>
    <row r="1303" spans="1:30" ht="15.75" customHeight="1">
      <c r="A1303" s="998" t="str">
        <f>IF(B1303&lt;&gt;"",IF(AND(B1303='IN-TC'!$S$4,OR(TH!N1303="1111",TH!O1303="1111")),TH!D1303,""),"")</f>
        <v/>
      </c>
      <c r="B1303" s="831" t="str">
        <f t="shared" si="336"/>
        <v/>
      </c>
      <c r="C1303" s="63"/>
      <c r="D1303" s="63"/>
      <c r="E1303" s="63"/>
      <c r="F1303" s="71"/>
      <c r="G1303" s="816"/>
      <c r="H1303" s="311"/>
      <c r="I1303" s="405"/>
      <c r="J1303" s="405"/>
      <c r="K1303" s="398"/>
      <c r="L1303" s="405"/>
      <c r="M1303" s="64"/>
      <c r="N1303" s="65"/>
      <c r="O1303" s="65"/>
      <c r="P1303" s="81" t="str">
        <f>IF(AND('331-CT'!$E$7=TH!H1303,OR(N1303="331",O1303="331")),"x","")</f>
        <v/>
      </c>
      <c r="Q1303" s="81" t="str">
        <f>IF(AND(B1303='111'!$L$11,OR($N1303=$Q$7,$O1303=$Q$7)),"x","")</f>
        <v/>
      </c>
      <c r="R1303" s="81" t="str">
        <f>IF(AND($N1303=$Q$7,$B1303&lt;'111'!$L$11),"x","")</f>
        <v/>
      </c>
      <c r="S1303" s="81" t="str">
        <f>IF(AND($O1303=$Q$7,$B1303&lt;'111'!$L$11),"x","")</f>
        <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row>
    <row r="1304" spans="1:30" ht="15.75" customHeight="1">
      <c r="A1304" s="998" t="str">
        <f>IF(B1304&lt;&gt;"",IF(AND(B1304='IN-TC'!$S$4,OR(TH!N1304="1111",TH!O1304="1111")),TH!D1304,""),"")</f>
        <v/>
      </c>
      <c r="B1304" s="831" t="str">
        <f t="shared" si="336"/>
        <v/>
      </c>
      <c r="C1304" s="63"/>
      <c r="D1304" s="63"/>
      <c r="E1304" s="63"/>
      <c r="F1304" s="71"/>
      <c r="G1304" s="816"/>
      <c r="H1304" s="311"/>
      <c r="I1304" s="405"/>
      <c r="J1304" s="405"/>
      <c r="K1304" s="398"/>
      <c r="L1304" s="405"/>
      <c r="M1304" s="64"/>
      <c r="N1304" s="65"/>
      <c r="O1304" s="65"/>
      <c r="P1304" s="81" t="str">
        <f>IF(AND('331-CT'!$E$7=TH!H1304,OR(N1304="331",O1304="331")),"x","")</f>
        <v/>
      </c>
      <c r="Q1304" s="81" t="str">
        <f>IF(AND(B1304='111'!$L$11,OR($N1304=$Q$7,$O1304=$Q$7)),"x","")</f>
        <v/>
      </c>
      <c r="R1304" s="81" t="str">
        <f>IF(AND($N1304=$Q$7,$B1304&lt;'111'!$L$11),"x","")</f>
        <v/>
      </c>
      <c r="S1304" s="81" t="str">
        <f>IF(AND($O1304=$Q$7,$B1304&lt;'111'!$L$11),"x","")</f>
        <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
      </c>
      <c r="AC1304" s="81" t="str">
        <f>IF(AND(OR(LEFT(TH!N1304,2)="15",LEFT(TH!O1304,2)="15"),TK!$E$7=TH!F1304),"x","")</f>
        <v/>
      </c>
      <c r="AD1304" s="81" t="str">
        <f>IF(AND(N1304="1521",MONTH(C1304)='BK-NL'!$M$11),"x","")</f>
        <v/>
      </c>
    </row>
    <row r="1305" spans="1:30" ht="15.75" customHeight="1">
      <c r="A1305" s="998" t="str">
        <f>IF(B1305&lt;&gt;"",IF(AND(B1305='IN-TC'!$S$4,OR(TH!N1305="1111",TH!O1305="1111")),TH!D1305,""),"")</f>
        <v/>
      </c>
      <c r="B1305" s="831" t="str">
        <f t="shared" si="336"/>
        <v/>
      </c>
      <c r="C1305" s="63"/>
      <c r="D1305" s="63"/>
      <c r="E1305" s="63"/>
      <c r="F1305" s="71"/>
      <c r="G1305" s="816"/>
      <c r="H1305" s="311"/>
      <c r="I1305" s="405"/>
      <c r="J1305" s="405"/>
      <c r="K1305" s="398"/>
      <c r="L1305" s="405"/>
      <c r="M1305" s="64"/>
      <c r="N1305" s="65"/>
      <c r="O1305" s="65"/>
      <c r="P1305" s="81" t="str">
        <f>IF(AND('331-CT'!$E$7=TH!H1305,OR(N1305="331",O1305="331")),"x","")</f>
        <v/>
      </c>
      <c r="Q1305" s="81" t="str">
        <f>IF(AND(B1305='111'!$L$11,OR($N1305=$Q$7,$O1305=$Q$7)),"x","")</f>
        <v/>
      </c>
      <c r="R1305" s="81" t="str">
        <f>IF(AND($N1305=$Q$7,$B1305&lt;'111'!$L$11),"x","")</f>
        <v/>
      </c>
      <c r="S1305" s="81" t="str">
        <f>IF(AND($O1305=$Q$7,$B1305&lt;'111'!$L$11),"x","")</f>
        <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
      </c>
      <c r="AC1305" s="81" t="str">
        <f>IF(AND(OR(LEFT(TH!N1305,2)="15",LEFT(TH!O1305,2)="15"),TK!$E$7=TH!F1305),"x","")</f>
        <v/>
      </c>
      <c r="AD1305" s="81" t="str">
        <f>IF(AND(N1305="1521",MONTH(C1305)='BK-NL'!$M$11),"x","")</f>
        <v/>
      </c>
    </row>
    <row r="1306" spans="1:30" ht="15.75" customHeight="1">
      <c r="A1306" s="998" t="str">
        <f>IF(B1306&lt;&gt;"",IF(AND(B1306='IN-TC'!$S$4,OR(TH!N1306="1111",TH!O1306="1111")),TH!D1306,""),"")</f>
        <v/>
      </c>
      <c r="B1306" s="831" t="str">
        <f t="shared" si="336"/>
        <v/>
      </c>
      <c r="C1306" s="63"/>
      <c r="D1306" s="63"/>
      <c r="E1306" s="63"/>
      <c r="F1306" s="71"/>
      <c r="G1306" s="816"/>
      <c r="H1306" s="311"/>
      <c r="I1306" s="405"/>
      <c r="J1306" s="405"/>
      <c r="K1306" s="398"/>
      <c r="L1306" s="405"/>
      <c r="M1306" s="64"/>
      <c r="N1306" s="65"/>
      <c r="O1306" s="65"/>
      <c r="P1306" s="81" t="str">
        <f>IF(AND('331-CT'!$E$7=TH!H1306,OR(N1306="331",O1306="331")),"x","")</f>
        <v/>
      </c>
      <c r="Q1306" s="81" t="str">
        <f>IF(AND(B1306='111'!$L$11,OR($N1306=$Q$7,$O1306=$Q$7)),"x","")</f>
        <v/>
      </c>
      <c r="R1306" s="81" t="str">
        <f>IF(AND($N1306=$Q$7,$B1306&lt;'111'!$L$11),"x","")</f>
        <v/>
      </c>
      <c r="S1306" s="81" t="str">
        <f>IF(AND($O1306=$Q$7,$B1306&lt;'111'!$L$11),"x","")</f>
        <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
      </c>
      <c r="AC1306" s="81" t="str">
        <f>IF(AND(OR(LEFT(TH!N1306,2)="15",LEFT(TH!O1306,2)="15"),TK!$E$7=TH!F1306),"x","")</f>
        <v/>
      </c>
      <c r="AD1306" s="81" t="str">
        <f>IF(AND(N1306="1521",MONTH(C1306)='BK-NL'!$M$11),"x","")</f>
        <v/>
      </c>
    </row>
    <row r="1307" spans="1:30" ht="15.75" customHeight="1">
      <c r="A1307" s="998" t="str">
        <f>IF(B1307&lt;&gt;"",IF(AND(B1307='IN-TC'!$S$4,OR(TH!N1307="1111",TH!O1307="1111")),TH!D1307,""),"")</f>
        <v/>
      </c>
      <c r="B1307" s="831" t="str">
        <f t="shared" si="336"/>
        <v/>
      </c>
      <c r="C1307" s="63"/>
      <c r="D1307" s="63"/>
      <c r="E1307" s="63"/>
      <c r="F1307" s="71"/>
      <c r="G1307" s="816"/>
      <c r="H1307" s="311"/>
      <c r="I1307" s="405"/>
      <c r="J1307" s="405"/>
      <c r="K1307" s="398"/>
      <c r="L1307" s="405"/>
      <c r="M1307" s="64"/>
      <c r="N1307" s="65"/>
      <c r="O1307" s="65"/>
      <c r="P1307" s="81" t="str">
        <f>IF(AND('331-CT'!$E$7=TH!H1307,OR(N1307="331",O1307="331")),"x","")</f>
        <v/>
      </c>
      <c r="Q1307" s="81" t="str">
        <f>IF(AND(B1307='111'!$L$11,OR($N1307=$Q$7,$O1307=$Q$7)),"x","")</f>
        <v/>
      </c>
      <c r="R1307" s="81" t="str">
        <f>IF(AND($N1307=$Q$7,$B1307&lt;'111'!$L$11),"x","")</f>
        <v/>
      </c>
      <c r="S1307" s="81" t="str">
        <f>IF(AND($O1307=$Q$7,$B1307&lt;'111'!$L$11),"x","")</f>
        <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
      </c>
      <c r="AC1307" s="81" t="str">
        <f>IF(AND(OR(LEFT(TH!N1307,2)="15",LEFT(TH!O1307,2)="15"),TK!$E$7=TH!F1307),"x","")</f>
        <v/>
      </c>
      <c r="AD1307" s="81" t="str">
        <f>IF(AND(N1307="1521",MONTH(C1307)='BK-NL'!$M$11),"x","")</f>
        <v/>
      </c>
    </row>
    <row r="1308" spans="1:30" ht="15.75" customHeight="1">
      <c r="A1308" s="998" t="str">
        <f>IF(B1308&lt;&gt;"",IF(AND(B1308='IN-TC'!$S$4,OR(TH!N1308="1111",TH!O1308="1111")),TH!D1308,""),"")</f>
        <v/>
      </c>
      <c r="B1308" s="831" t="str">
        <f t="shared" si="336"/>
        <v/>
      </c>
      <c r="C1308" s="63"/>
      <c r="D1308" s="63"/>
      <c r="E1308" s="63"/>
      <c r="F1308" s="71"/>
      <c r="G1308" s="816"/>
      <c r="H1308" s="311"/>
      <c r="I1308" s="405"/>
      <c r="J1308" s="405"/>
      <c r="K1308" s="398"/>
      <c r="L1308" s="405"/>
      <c r="M1308" s="64"/>
      <c r="N1308" s="65"/>
      <c r="O1308" s="65"/>
      <c r="P1308" s="81" t="str">
        <f>IF(AND('331-CT'!$E$7=TH!H1308,OR(N1308="331",O1308="331")),"x","")</f>
        <v/>
      </c>
      <c r="Q1308" s="81" t="str">
        <f>IF(AND(B1308='111'!$L$11,OR($N1308=$Q$7,$O1308=$Q$7)),"x","")</f>
        <v/>
      </c>
      <c r="R1308" s="81" t="str">
        <f>IF(AND($N1308=$Q$7,$B1308&lt;'111'!$L$11),"x","")</f>
        <v/>
      </c>
      <c r="S1308" s="81" t="str">
        <f>IF(AND($O1308=$Q$7,$B1308&lt;'111'!$L$11),"x","")</f>
        <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
      </c>
      <c r="AC1308" s="81" t="str">
        <f>IF(AND(OR(LEFT(TH!N1308,2)="15",LEFT(TH!O1308,2)="15"),TK!$E$7=TH!F1308),"x","")</f>
        <v/>
      </c>
      <c r="AD1308" s="81" t="str">
        <f>IF(AND(N1308="1521",MONTH(C1308)='BK-NL'!$M$11),"x","")</f>
        <v/>
      </c>
    </row>
    <row r="1309" spans="1:30" ht="15.75" customHeight="1">
      <c r="A1309" s="998" t="str">
        <f>IF(B1309&lt;&gt;"",IF(AND(B1309='IN-TC'!$S$4,OR(TH!N1309="1111",TH!O1309="1111")),TH!D1309,""),"")</f>
        <v/>
      </c>
      <c r="B1309" s="831" t="str">
        <f t="shared" si="336"/>
        <v/>
      </c>
      <c r="C1309" s="63"/>
      <c r="D1309" s="63"/>
      <c r="E1309" s="63"/>
      <c r="F1309" s="71"/>
      <c r="G1309" s="816"/>
      <c r="H1309" s="311"/>
      <c r="I1309" s="405"/>
      <c r="J1309" s="405"/>
      <c r="K1309" s="398"/>
      <c r="L1309" s="405"/>
      <c r="M1309" s="64"/>
      <c r="N1309" s="65"/>
      <c r="O1309" s="65"/>
      <c r="P1309" s="81" t="str">
        <f>IF(AND('331-CT'!$E$7=TH!H1309,OR(N1309="331",O1309="331")),"x","")</f>
        <v/>
      </c>
      <c r="Q1309" s="81" t="str">
        <f>IF(AND(B1309='111'!$L$11,OR($N1309=$Q$7,$O1309=$Q$7)),"x","")</f>
        <v/>
      </c>
      <c r="R1309" s="81" t="str">
        <f>IF(AND($N1309=$Q$7,$B1309&lt;'111'!$L$11),"x","")</f>
        <v/>
      </c>
      <c r="S1309" s="81" t="str">
        <f>IF(AND($O1309=$Q$7,$B1309&lt;'111'!$L$11),"x","")</f>
        <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
      </c>
      <c r="AC1309" s="81" t="str">
        <f>IF(AND(OR(LEFT(TH!N1309,2)="15",LEFT(TH!O1309,2)="15"),TK!$E$7=TH!F1309),"x","")</f>
        <v/>
      </c>
      <c r="AD1309" s="81" t="str">
        <f>IF(AND(N1309="1521",MONTH(C1309)='BK-NL'!$M$11),"x","")</f>
        <v/>
      </c>
    </row>
    <row r="1310" spans="1:30" ht="15.75" customHeight="1">
      <c r="A1310" s="998" t="str">
        <f>IF(B1310&lt;&gt;"",IF(AND(B1310='IN-TC'!$S$4,OR(TH!N1310="1111",TH!O1310="1111")),TH!D1310,""),"")</f>
        <v/>
      </c>
      <c r="B1310" s="831" t="str">
        <f t="shared" si="336"/>
        <v/>
      </c>
      <c r="C1310" s="63"/>
      <c r="D1310" s="63"/>
      <c r="E1310" s="63"/>
      <c r="F1310" s="71"/>
      <c r="G1310" s="816"/>
      <c r="H1310" s="311"/>
      <c r="I1310" s="405"/>
      <c r="J1310" s="405"/>
      <c r="K1310" s="398"/>
      <c r="L1310" s="405"/>
      <c r="M1310" s="64"/>
      <c r="N1310" s="65"/>
      <c r="O1310" s="65"/>
      <c r="P1310" s="81" t="str">
        <f>IF(AND('331-CT'!$E$7=TH!H1310,OR(N1310="331",O1310="331")),"x","")</f>
        <v/>
      </c>
      <c r="Q1310" s="81" t="str">
        <f>IF(AND(B1310='111'!$L$11,OR($N1310=$Q$7,$O1310=$Q$7)),"x","")</f>
        <v/>
      </c>
      <c r="R1310" s="81" t="str">
        <f>IF(AND($N1310=$Q$7,$B1310&lt;'111'!$L$11),"x","")</f>
        <v/>
      </c>
      <c r="S1310" s="81" t="str">
        <f>IF(AND($O1310=$Q$7,$B1310&lt;'111'!$L$11),"x","")</f>
        <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
      </c>
      <c r="AC1310" s="81" t="str">
        <f>IF(AND(OR(LEFT(TH!N1310,2)="15",LEFT(TH!O1310,2)="15"),TK!$E$7=TH!F1310),"x","")</f>
        <v/>
      </c>
      <c r="AD1310" s="81" t="str">
        <f>IF(AND(N1310="1521",MONTH(C1310)='BK-NL'!$M$11),"x","")</f>
        <v/>
      </c>
    </row>
    <row r="1311" spans="1:30" ht="15.75" customHeight="1">
      <c r="A1311" s="998" t="str">
        <f>IF(B1311&lt;&gt;"",IF(AND(B1311='IN-TC'!$S$4,OR(TH!N1311="1111",TH!O1311="1111")),TH!D1311,""),"")</f>
        <v/>
      </c>
      <c r="B1311" s="831" t="str">
        <f t="shared" si="336"/>
        <v/>
      </c>
      <c r="C1311" s="63"/>
      <c r="D1311" s="63"/>
      <c r="E1311" s="63"/>
      <c r="F1311" s="71"/>
      <c r="G1311" s="816"/>
      <c r="H1311" s="311"/>
      <c r="I1311" s="405"/>
      <c r="J1311" s="405"/>
      <c r="K1311" s="398"/>
      <c r="L1311" s="405"/>
      <c r="M1311" s="64"/>
      <c r="N1311" s="65"/>
      <c r="O1311" s="65"/>
      <c r="P1311" s="81" t="str">
        <f>IF(AND('331-CT'!$E$7=TH!H1311,OR(N1311="331",O1311="331")),"x","")</f>
        <v/>
      </c>
      <c r="Q1311" s="81" t="str">
        <f>IF(AND(B1311='111'!$L$11,OR($N1311=$Q$7,$O1311=$Q$7)),"x","")</f>
        <v/>
      </c>
      <c r="R1311" s="81" t="str">
        <f>IF(AND($N1311=$Q$7,$B1311&lt;'111'!$L$11),"x","")</f>
        <v/>
      </c>
      <c r="S1311" s="81" t="str">
        <f>IF(AND($O1311=$Q$7,$B1311&lt;'111'!$L$11),"x","")</f>
        <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
      </c>
      <c r="AC1311" s="81" t="str">
        <f>IF(AND(OR(LEFT(TH!N1311,2)="15",LEFT(TH!O1311,2)="15"),TK!$E$7=TH!F1311),"x","")</f>
        <v/>
      </c>
      <c r="AD1311" s="81" t="str">
        <f>IF(AND(N1311="1521",MONTH(C1311)='BK-NL'!$M$11),"x","")</f>
        <v/>
      </c>
    </row>
    <row r="1312" spans="1:30" ht="15.75" customHeight="1">
      <c r="A1312" s="998" t="str">
        <f>IF(B1312&lt;&gt;"",IF(AND(B1312='IN-TC'!$S$4,OR(TH!N1312="1111",TH!O1312="1111")),TH!D1312,""),"")</f>
        <v/>
      </c>
      <c r="B1312" s="831" t="str">
        <f t="shared" si="336"/>
        <v/>
      </c>
      <c r="C1312" s="63"/>
      <c r="D1312" s="63"/>
      <c r="E1312" s="63"/>
      <c r="F1312" s="71"/>
      <c r="G1312" s="816"/>
      <c r="H1312" s="311"/>
      <c r="I1312" s="405"/>
      <c r="J1312" s="405"/>
      <c r="K1312" s="398"/>
      <c r="L1312" s="405"/>
      <c r="M1312" s="64"/>
      <c r="N1312" s="65"/>
      <c r="O1312" s="65"/>
      <c r="P1312" s="81" t="str">
        <f>IF(AND('331-CT'!$E$7=TH!H1312,OR(N1312="331",O1312="331")),"x","")</f>
        <v/>
      </c>
      <c r="Q1312" s="81" t="str">
        <f>IF(AND(B1312='111'!$L$11,OR($N1312=$Q$7,$O1312=$Q$7)),"x","")</f>
        <v/>
      </c>
      <c r="R1312" s="81" t="str">
        <f>IF(AND($N1312=$Q$7,$B1312&lt;'111'!$L$11),"x","")</f>
        <v/>
      </c>
      <c r="S1312" s="81" t="str">
        <f>IF(AND($O1312=$Q$7,$B1312&lt;'111'!$L$11),"x","")</f>
        <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
      </c>
      <c r="AC1312" s="81" t="str">
        <f>IF(AND(OR(LEFT(TH!N1312,2)="15",LEFT(TH!O1312,2)="15"),TK!$E$7=TH!F1312),"x","")</f>
        <v/>
      </c>
      <c r="AD1312" s="81" t="str">
        <f>IF(AND(N1312="1521",MONTH(C1312)='BK-NL'!$M$11),"x","")</f>
        <v/>
      </c>
    </row>
    <row r="1313" spans="1:30" ht="15.75" customHeight="1">
      <c r="A1313" s="998" t="str">
        <f>IF(B1313&lt;&gt;"",IF(AND(B1313='IN-TC'!$S$4,OR(TH!N1313="1111",TH!O1313="1111")),TH!D1313,""),"")</f>
        <v/>
      </c>
      <c r="B1313" s="831" t="str">
        <f t="shared" si="336"/>
        <v/>
      </c>
      <c r="C1313" s="63"/>
      <c r="D1313" s="63"/>
      <c r="E1313" s="63"/>
      <c r="F1313" s="71"/>
      <c r="G1313" s="816"/>
      <c r="H1313" s="311"/>
      <c r="I1313" s="405"/>
      <c r="J1313" s="405"/>
      <c r="K1313" s="398"/>
      <c r="L1313" s="405"/>
      <c r="M1313" s="64"/>
      <c r="N1313" s="65"/>
      <c r="O1313" s="65"/>
      <c r="P1313" s="81" t="str">
        <f>IF(AND('331-CT'!$E$7=TH!H1313,OR(N1313="331",O1313="331")),"x","")</f>
        <v/>
      </c>
      <c r="Q1313" s="81" t="str">
        <f>IF(AND(B1313='111'!$L$11,OR($N1313=$Q$7,$O1313=$Q$7)),"x","")</f>
        <v/>
      </c>
      <c r="R1313" s="81" t="str">
        <f>IF(AND($N1313=$Q$7,$B1313&lt;'111'!$L$11),"x","")</f>
        <v/>
      </c>
      <c r="S1313" s="81" t="str">
        <f>IF(AND($O1313=$Q$7,$B1313&lt;'111'!$L$11),"x","")</f>
        <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
      </c>
      <c r="AC1313" s="81" t="str">
        <f>IF(AND(OR(LEFT(TH!N1313,2)="15",LEFT(TH!O1313,2)="15"),TK!$E$7=TH!F1313),"x","")</f>
        <v/>
      </c>
      <c r="AD1313" s="81" t="str">
        <f>IF(AND(N1313="1521",MONTH(C1313)='BK-NL'!$M$11),"x","")</f>
        <v/>
      </c>
    </row>
    <row r="1314" spans="1:30" ht="15.75" customHeight="1">
      <c r="A1314" s="998" t="str">
        <f>IF(B1314&lt;&gt;"",IF(AND(B1314='IN-TC'!$S$4,OR(TH!N1314="1111",TH!O1314="1111")),TH!D1314,""),"")</f>
        <v/>
      </c>
      <c r="B1314" s="831" t="str">
        <f t="shared" si="336"/>
        <v/>
      </c>
      <c r="C1314" s="63"/>
      <c r="D1314" s="63"/>
      <c r="E1314" s="63"/>
      <c r="F1314" s="71"/>
      <c r="G1314" s="816"/>
      <c r="H1314" s="311"/>
      <c r="I1314" s="405"/>
      <c r="J1314" s="405"/>
      <c r="K1314" s="398"/>
      <c r="L1314" s="405"/>
      <c r="M1314" s="64"/>
      <c r="N1314" s="65"/>
      <c r="O1314" s="65"/>
      <c r="P1314" s="81" t="str">
        <f>IF(AND('331-CT'!$E$7=TH!H1314,OR(N1314="331",O1314="331")),"x","")</f>
        <v/>
      </c>
      <c r="Q1314" s="81" t="str">
        <f>IF(AND(B1314='111'!$L$11,OR($N1314=$Q$7,$O1314=$Q$7)),"x","")</f>
        <v/>
      </c>
      <c r="R1314" s="81" t="str">
        <f>IF(AND($N1314=$Q$7,$B1314&lt;'111'!$L$11),"x","")</f>
        <v/>
      </c>
      <c r="S1314" s="81" t="str">
        <f>IF(AND($O1314=$Q$7,$B1314&lt;'111'!$L$11),"x","")</f>
        <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
      </c>
      <c r="AC1314" s="81" t="str">
        <f>IF(AND(OR(LEFT(TH!N1314,2)="15",LEFT(TH!O1314,2)="15"),TK!$E$7=TH!F1314),"x","")</f>
        <v/>
      </c>
      <c r="AD1314" s="81" t="str">
        <f>IF(AND(N1314="1521",MONTH(C1314)='BK-NL'!$M$11),"x","")</f>
        <v/>
      </c>
    </row>
    <row r="1315" spans="1:30" ht="15.75" customHeight="1">
      <c r="A1315" s="998" t="str">
        <f>IF(B1315&lt;&gt;"",IF(AND(B1315='IN-TC'!$S$4,OR(TH!N1315="1111",TH!O1315="1111")),TH!D1315,""),"")</f>
        <v/>
      </c>
      <c r="B1315" s="831" t="str">
        <f t="shared" ref="B1315:B1325" si="337">IF(C1315&lt;&gt;"",MONTH(C1315),"")</f>
        <v/>
      </c>
      <c r="C1315" s="63"/>
      <c r="D1315" s="63"/>
      <c r="E1315" s="63"/>
      <c r="F1315" s="71"/>
      <c r="G1315" s="816"/>
      <c r="H1315" s="311"/>
      <c r="I1315" s="405"/>
      <c r="J1315" s="405"/>
      <c r="K1315" s="398"/>
      <c r="L1315" s="405"/>
      <c r="M1315" s="64"/>
      <c r="N1315" s="65"/>
      <c r="O1315" s="65"/>
      <c r="P1315" s="81" t="str">
        <f>IF(AND('331-CT'!$E$7=TH!H1315,OR(N1315="331",O1315="331")),"x","")</f>
        <v/>
      </c>
      <c r="Q1315" s="81" t="str">
        <f>IF(AND(B1315='111'!$L$11,OR($N1315=$Q$7,$O1315=$Q$7)),"x","")</f>
        <v/>
      </c>
      <c r="R1315" s="81" t="str">
        <f>IF(AND($N1315=$Q$7,$B1315&lt;'111'!$L$11),"x","")</f>
        <v/>
      </c>
      <c r="S1315" s="81" t="str">
        <f>IF(AND($O1315=$Q$7,$B1315&lt;'111'!$L$11),"x","")</f>
        <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
      </c>
      <c r="AC1315" s="81" t="str">
        <f>IF(AND(OR(LEFT(TH!N1315,2)="15",LEFT(TH!O1315,2)="15"),TK!$E$7=TH!F1315),"x","")</f>
        <v/>
      </c>
      <c r="AD1315" s="81" t="str">
        <f>IF(AND(N1315="1521",MONTH(C1315)='BK-NL'!$M$11),"x","")</f>
        <v/>
      </c>
    </row>
    <row r="1316" spans="1:30" ht="18" customHeight="1">
      <c r="A1316" s="998" t="str">
        <f>IF(B1316&lt;&gt;"",IF(AND(B1316='IN-TC'!$S$4,OR(TH!N1316="1111",TH!O1316="1111")),TH!D1316,""),"")</f>
        <v/>
      </c>
      <c r="B1316" s="831" t="str">
        <f t="shared" ref="B1316:B1317" si="338">IF(C1316&lt;&gt;"",MONTH(C1316),"")</f>
        <v/>
      </c>
      <c r="C1316" s="63"/>
      <c r="D1316" s="63"/>
      <c r="E1316" s="63"/>
      <c r="F1316" s="71"/>
      <c r="G1316" s="816"/>
      <c r="H1316" s="311"/>
      <c r="I1316" s="405"/>
      <c r="J1316" s="405"/>
      <c r="K1316" s="398"/>
      <c r="L1316" s="405"/>
      <c r="M1316" s="64"/>
      <c r="N1316" s="65"/>
      <c r="O1316" s="65"/>
      <c r="P1316" s="81" t="str">
        <f>IF(AND('331-CT'!$E$7=TH!H1316,OR(N1316="331",O1316="331")),"x","")</f>
        <v/>
      </c>
      <c r="Q1316" s="81" t="str">
        <f>IF(AND(B1316='111'!$L$11,OR($N1316=$Q$7,$O1316=$Q$7)),"x","")</f>
        <v/>
      </c>
      <c r="R1316" s="81" t="str">
        <f>IF(AND($N1316=$Q$7,$B1316&lt;'111'!$L$11),"x","")</f>
        <v/>
      </c>
      <c r="S1316" s="81" t="str">
        <f>IF(AND($O1316=$Q$7,$B1316&lt;'111'!$L$11),"x","")</f>
        <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
      </c>
      <c r="AC1316" s="81" t="str">
        <f>IF(AND(OR(LEFT(TH!N1316,2)="15",LEFT(TH!O1316,2)="15"),TK!$E$7=TH!F1316),"x","")</f>
        <v/>
      </c>
      <c r="AD1316" s="81" t="str">
        <f>IF(AND(N1316="1521",MONTH(C1316)='BK-NL'!$M$11),"x","")</f>
        <v/>
      </c>
    </row>
    <row r="1317" spans="1:30" ht="15.75" customHeight="1">
      <c r="A1317" s="998" t="str">
        <f>IF(B1317&lt;&gt;"",IF(AND(B1317='IN-TC'!$S$4,OR(TH!N1317="1111",TH!O1317="1111")),TH!D1317,""),"")</f>
        <v/>
      </c>
      <c r="B1317" s="831" t="str">
        <f t="shared" si="338"/>
        <v/>
      </c>
      <c r="C1317" s="63"/>
      <c r="D1317" s="63"/>
      <c r="E1317" s="63"/>
      <c r="F1317" s="71"/>
      <c r="G1317" s="816"/>
      <c r="H1317" s="311"/>
      <c r="I1317" s="405"/>
      <c r="J1317" s="405"/>
      <c r="K1317" s="398"/>
      <c r="L1317" s="405"/>
      <c r="M1317" s="64"/>
      <c r="N1317" s="65"/>
      <c r="O1317" s="65"/>
      <c r="P1317" s="81" t="str">
        <f>IF(AND('331-CT'!$E$7=TH!H1317,OR(N1317="331",O1317="331")),"x","")</f>
        <v/>
      </c>
      <c r="Q1317" s="81" t="str">
        <f>IF(AND(B1317='111'!$L$11,OR($N1317=$Q$7,$O1317=$Q$7)),"x","")</f>
        <v/>
      </c>
      <c r="R1317" s="81" t="str">
        <f>IF(AND($N1317=$Q$7,$B1317&lt;'111'!$L$11),"x","")</f>
        <v/>
      </c>
      <c r="S1317" s="81" t="str">
        <f>IF(AND($O1317=$Q$7,$B1317&lt;'111'!$L$11),"x","")</f>
        <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row>
    <row r="1318" spans="1:30" ht="18" customHeight="1">
      <c r="A1318" s="998" t="str">
        <f>IF(B1318&lt;&gt;"",IF(AND(B1318='IN-TC'!$S$4,OR(TH!N1318="1111",TH!O1318="1111")),TH!D1318,""),"")</f>
        <v/>
      </c>
      <c r="B1318" s="831" t="str">
        <f t="shared" si="337"/>
        <v/>
      </c>
      <c r="C1318" s="63"/>
      <c r="D1318" s="63"/>
      <c r="E1318" s="63"/>
      <c r="F1318" s="71"/>
      <c r="G1318" s="816"/>
      <c r="H1318" s="311"/>
      <c r="I1318" s="405"/>
      <c r="J1318" s="405"/>
      <c r="K1318" s="398"/>
      <c r="L1318" s="405"/>
      <c r="M1318" s="64"/>
      <c r="N1318" s="65"/>
      <c r="O1318" s="65"/>
      <c r="P1318" s="81" t="str">
        <f>IF(AND('331-CT'!$E$7=TH!H1318,OR(N1318="331",O1318="331")),"x","")</f>
        <v/>
      </c>
      <c r="Q1318" s="81" t="str">
        <f>IF(AND(B1318='111'!$L$11,OR($N1318=$Q$7,$O1318=$Q$7)),"x","")</f>
        <v/>
      </c>
      <c r="R1318" s="81" t="str">
        <f>IF(AND($N1318=$Q$7,$B1318&lt;'111'!$L$11),"x","")</f>
        <v/>
      </c>
      <c r="S1318" s="81" t="str">
        <f>IF(AND($O1318=$Q$7,$B1318&lt;'111'!$L$11),"x","")</f>
        <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0" ht="15.75" customHeight="1">
      <c r="A1319" s="998" t="str">
        <f>IF(B1319&lt;&gt;"",IF(AND(B1319='IN-TC'!$S$4,OR(TH!N1319="1111",TH!O1319="1111")),TH!D1319,""),"")</f>
        <v/>
      </c>
      <c r="B1319" s="831" t="str">
        <f t="shared" si="337"/>
        <v/>
      </c>
      <c r="C1319" s="63"/>
      <c r="D1319" s="63"/>
      <c r="E1319" s="63"/>
      <c r="F1319" s="71"/>
      <c r="G1319" s="816"/>
      <c r="H1319" s="311"/>
      <c r="I1319" s="405"/>
      <c r="J1319" s="405"/>
      <c r="K1319" s="398"/>
      <c r="L1319" s="405"/>
      <c r="M1319" s="64"/>
      <c r="N1319" s="65"/>
      <c r="O1319" s="65"/>
      <c r="P1319" s="81" t="str">
        <f>IF(AND('331-CT'!$E$7=TH!H1319,OR(N1319="331",O1319="331")),"x","")</f>
        <v/>
      </c>
      <c r="Q1319" s="81" t="str">
        <f>IF(AND(B1319='111'!$L$11,OR($N1319=$Q$7,$O1319=$Q$7)),"x","")</f>
        <v/>
      </c>
      <c r="R1319" s="81" t="str">
        <f>IF(AND($N1319=$Q$7,$B1319&lt;'111'!$L$11),"x","")</f>
        <v/>
      </c>
      <c r="S1319" s="81" t="str">
        <f>IF(AND($O1319=$Q$7,$B1319&lt;'111'!$L$11),"x","")</f>
        <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row>
    <row r="1320" spans="1:30" ht="15.75" customHeight="1">
      <c r="A1320" s="998" t="str">
        <f>IF(B1320&lt;&gt;"",IF(AND(B1320='IN-TC'!$S$4,OR(TH!N1320="1111",TH!O1320="1111")),TH!D1320,""),"")</f>
        <v/>
      </c>
      <c r="B1320" s="831" t="str">
        <f t="shared" si="337"/>
        <v/>
      </c>
      <c r="C1320" s="63"/>
      <c r="D1320" s="63"/>
      <c r="E1320" s="63"/>
      <c r="F1320" s="71"/>
      <c r="G1320" s="816"/>
      <c r="H1320" s="311"/>
      <c r="I1320" s="405"/>
      <c r="J1320" s="405"/>
      <c r="K1320" s="398"/>
      <c r="L1320" s="405"/>
      <c r="M1320" s="64"/>
      <c r="N1320" s="65"/>
      <c r="O1320" s="65"/>
      <c r="P1320" s="81" t="str">
        <f>IF(AND('331-CT'!$E$7=TH!H1320,OR(N1320="331",O1320="331")),"x","")</f>
        <v/>
      </c>
      <c r="Q1320" s="81" t="str">
        <f>IF(AND(B1320='111'!$L$11,OR($N1320=$Q$7,$O1320=$Q$7)),"x","")</f>
        <v/>
      </c>
      <c r="R1320" s="81" t="str">
        <f>IF(AND($N1320=$Q$7,$B1320&lt;'111'!$L$11),"x","")</f>
        <v/>
      </c>
      <c r="S1320" s="81" t="str">
        <f>IF(AND($O1320=$Q$7,$B1320&lt;'111'!$L$11),"x","")</f>
        <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row>
    <row r="1321" spans="1:30" ht="15.75" customHeight="1">
      <c r="A1321" s="998" t="str">
        <f>IF(B1321&lt;&gt;"",IF(AND(B1321='IN-TC'!$S$4,OR(TH!N1321="1111",TH!O1321="1111")),TH!D1321,""),"")</f>
        <v/>
      </c>
      <c r="B1321" s="831" t="str">
        <f t="shared" si="337"/>
        <v/>
      </c>
      <c r="C1321" s="63"/>
      <c r="D1321" s="63"/>
      <c r="E1321" s="63"/>
      <c r="F1321" s="71"/>
      <c r="G1321" s="816"/>
      <c r="H1321" s="311"/>
      <c r="I1321" s="405"/>
      <c r="J1321" s="405"/>
      <c r="K1321" s="398"/>
      <c r="L1321" s="405"/>
      <c r="M1321" s="64"/>
      <c r="N1321" s="65"/>
      <c r="O1321" s="65"/>
      <c r="P1321" s="81" t="str">
        <f>IF(AND('331-CT'!$E$7=TH!H1321,OR(N1321="331",O1321="331")),"x","")</f>
        <v/>
      </c>
      <c r="Q1321" s="81" t="str">
        <f>IF(AND(B1321='111'!$L$11,OR($N1321=$Q$7,$O1321=$Q$7)),"x","")</f>
        <v/>
      </c>
      <c r="R1321" s="81" t="str">
        <f>IF(AND($N1321=$Q$7,$B1321&lt;'111'!$L$11),"x","")</f>
        <v/>
      </c>
      <c r="S1321" s="81" t="str">
        <f>IF(AND($O1321=$Q$7,$B1321&lt;'111'!$L$11),"x","")</f>
        <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row>
    <row r="1322" spans="1:30" ht="15.75" customHeight="1">
      <c r="A1322" s="998" t="str">
        <f>IF(B1322&lt;&gt;"",IF(AND(B1322='IN-TC'!$S$4,OR(TH!N1322="1111",TH!O1322="1111")),TH!D1322,""),"")</f>
        <v/>
      </c>
      <c r="B1322" s="831" t="str">
        <f t="shared" si="337"/>
        <v/>
      </c>
      <c r="C1322" s="63"/>
      <c r="D1322" s="63"/>
      <c r="E1322" s="63"/>
      <c r="F1322" s="71"/>
      <c r="G1322" s="816"/>
      <c r="H1322" s="311"/>
      <c r="I1322" s="405"/>
      <c r="J1322" s="405"/>
      <c r="K1322" s="398"/>
      <c r="L1322" s="405"/>
      <c r="M1322" s="64"/>
      <c r="N1322" s="65"/>
      <c r="O1322" s="65"/>
      <c r="P1322" s="81" t="str">
        <f>IF(AND('331-CT'!$E$7=TH!H1322,OR(N1322="331",O1322="331")),"x","")</f>
        <v/>
      </c>
      <c r="Q1322" s="81" t="str">
        <f>IF(AND(B1322='111'!$L$11,OR($N1322=$Q$7,$O1322=$Q$7)),"x","")</f>
        <v/>
      </c>
      <c r="R1322" s="81" t="str">
        <f>IF(AND($N1322=$Q$7,$B1322&lt;'111'!$L$11),"x","")</f>
        <v/>
      </c>
      <c r="S1322" s="81" t="str">
        <f>IF(AND($O1322=$Q$7,$B1322&lt;'111'!$L$11),"x","")</f>
        <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row>
    <row r="1323" spans="1:30" ht="15.75" customHeight="1">
      <c r="A1323" s="998" t="str">
        <f>IF(B1323&lt;&gt;"",IF(AND(B1323='IN-TC'!$S$4,OR(TH!N1323="1111",TH!O1323="1111")),TH!D1323,""),"")</f>
        <v/>
      </c>
      <c r="B1323" s="831" t="str">
        <f t="shared" si="337"/>
        <v/>
      </c>
      <c r="C1323" s="63"/>
      <c r="D1323" s="63"/>
      <c r="E1323" s="63"/>
      <c r="F1323" s="71"/>
      <c r="G1323" s="816"/>
      <c r="H1323" s="311"/>
      <c r="I1323" s="405"/>
      <c r="J1323" s="405"/>
      <c r="K1323" s="398"/>
      <c r="L1323" s="405"/>
      <c r="M1323" s="64"/>
      <c r="N1323" s="65"/>
      <c r="O1323" s="65"/>
      <c r="P1323" s="81" t="str">
        <f>IF(AND('331-CT'!$E$7=TH!H1323,OR(N1323="331",O1323="331")),"x","")</f>
        <v/>
      </c>
      <c r="Q1323" s="81" t="str">
        <f>IF(AND(B1323='111'!$L$11,OR($N1323=$Q$7,$O1323=$Q$7)),"x","")</f>
        <v/>
      </c>
      <c r="R1323" s="81" t="str">
        <f>IF(AND($N1323=$Q$7,$B1323&lt;'111'!$L$11),"x","")</f>
        <v/>
      </c>
      <c r="S1323" s="81" t="str">
        <f>IF(AND($O1323=$Q$7,$B1323&lt;'111'!$L$11),"x","")</f>
        <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row>
    <row r="1324" spans="1:30" ht="18" customHeight="1">
      <c r="A1324" s="998" t="str">
        <f>IF(B1324&lt;&gt;"",IF(AND(B1324='IN-TC'!$S$4,OR(TH!N1324="1111",TH!O1324="1111")),TH!D1324,""),"")</f>
        <v/>
      </c>
      <c r="B1324" s="831" t="str">
        <f t="shared" si="337"/>
        <v/>
      </c>
      <c r="C1324" s="63"/>
      <c r="D1324" s="63"/>
      <c r="E1324" s="63"/>
      <c r="F1324" s="71"/>
      <c r="G1324" s="816"/>
      <c r="H1324" s="311"/>
      <c r="I1324" s="405"/>
      <c r="J1324" s="405"/>
      <c r="K1324" s="398"/>
      <c r="L1324" s="405"/>
      <c r="M1324" s="64"/>
      <c r="N1324" s="65"/>
      <c r="O1324" s="65"/>
      <c r="P1324" s="81" t="str">
        <f>IF(AND('331-CT'!$E$7=TH!H1324,OR(N1324="331",O1324="331")),"x","")</f>
        <v/>
      </c>
      <c r="Q1324" s="81" t="str">
        <f>IF(AND(B1324='111'!$L$11,OR($N1324=$Q$7,$O1324=$Q$7)),"x","")</f>
        <v/>
      </c>
      <c r="R1324" s="81" t="str">
        <f>IF(AND($N1324=$Q$7,$B1324&lt;'111'!$L$11),"x","")</f>
        <v/>
      </c>
      <c r="S1324" s="81" t="str">
        <f>IF(AND($O1324=$Q$7,$B1324&lt;'111'!$L$11),"x","")</f>
        <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row>
    <row r="1325" spans="1:30" ht="15.75" customHeight="1">
      <c r="A1325" s="998" t="str">
        <f>IF(B1325&lt;&gt;"",IF(AND(B1325='IN-TC'!$S$4,OR(TH!N1325="1111",TH!O1325="1111")),TH!D1325,""),"")</f>
        <v/>
      </c>
      <c r="B1325" s="831" t="str">
        <f t="shared" si="337"/>
        <v/>
      </c>
      <c r="C1325" s="63"/>
      <c r="D1325" s="63"/>
      <c r="E1325" s="63"/>
      <c r="F1325" s="71"/>
      <c r="G1325" s="816"/>
      <c r="H1325" s="311"/>
      <c r="I1325" s="405"/>
      <c r="J1325" s="405"/>
      <c r="K1325" s="398"/>
      <c r="L1325" s="405"/>
      <c r="M1325" s="64"/>
      <c r="N1325" s="65"/>
      <c r="O1325" s="65"/>
      <c r="P1325" s="81" t="str">
        <f>IF(AND('331-CT'!$E$7=TH!H1325,OR(N1325="331",O1325="331")),"x","")</f>
        <v/>
      </c>
      <c r="Q1325" s="81" t="str">
        <f>IF(AND(B1325='111'!$L$11,OR($N1325=$Q$7,$O1325=$Q$7)),"x","")</f>
        <v/>
      </c>
      <c r="R1325" s="81" t="str">
        <f>IF(AND($N1325=$Q$7,$B1325&lt;'111'!$L$11),"x","")</f>
        <v/>
      </c>
      <c r="S1325" s="81" t="str">
        <f>IF(AND($O1325=$Q$7,$B1325&lt;'111'!$L$11),"x","")</f>
        <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
      </c>
      <c r="AC1325" s="81" t="str">
        <f>IF(AND(OR(LEFT(TH!N1325,2)="15",LEFT(TH!O1325,2)="15"),TK!$E$7=TH!F1325),"x","")</f>
        <v/>
      </c>
      <c r="AD1325" s="81" t="str">
        <f>IF(AND(N1325="1521",MONTH(C1325)='BK-NL'!$M$11),"x","")</f>
        <v/>
      </c>
    </row>
    <row r="1326" spans="1:30" ht="15.75" customHeight="1">
      <c r="A1326" s="998" t="str">
        <f>IF(B1326&lt;&gt;"",IF(AND(B1326='IN-TC'!$S$4,OR(TH!N1326="1111",TH!O1326="1111")),TH!D1326,""),"")</f>
        <v/>
      </c>
      <c r="B1326" s="831" t="str">
        <f t="shared" ref="B1326:B1329" si="339">IF(C1326&lt;&gt;"",MONTH(C1326),"")</f>
        <v/>
      </c>
      <c r="C1326" s="63"/>
      <c r="D1326" s="63"/>
      <c r="E1326" s="63"/>
      <c r="F1326" s="71"/>
      <c r="G1326" s="816"/>
      <c r="H1326" s="311"/>
      <c r="I1326" s="405"/>
      <c r="J1326" s="405"/>
      <c r="K1326" s="398"/>
      <c r="L1326" s="405"/>
      <c r="M1326" s="64"/>
      <c r="N1326" s="65"/>
      <c r="O1326" s="65"/>
      <c r="P1326" s="81" t="str">
        <f>IF(AND('331-CT'!$E$7=TH!H1326,OR(N1326="331",O1326="331")),"x","")</f>
        <v/>
      </c>
      <c r="Q1326" s="81" t="str">
        <f>IF(AND(B1326='111'!$L$11,OR($N1326=$Q$7,$O1326=$Q$7)),"x","")</f>
        <v/>
      </c>
      <c r="R1326" s="81" t="str">
        <f>IF(AND($N1326=$Q$7,$B1326&lt;'111'!$L$11),"x","")</f>
        <v/>
      </c>
      <c r="S1326" s="81" t="str">
        <f>IF(AND($O1326=$Q$7,$B1326&lt;'111'!$L$11),"x","")</f>
        <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
      </c>
      <c r="AC1326" s="81" t="str">
        <f>IF(AND(OR(LEFT(TH!N1326,2)="15",LEFT(TH!O1326,2)="15"),TK!$E$7=TH!F1326),"x","")</f>
        <v/>
      </c>
      <c r="AD1326" s="81" t="str">
        <f>IF(AND(N1326="1521",MONTH(C1326)='BK-NL'!$M$11),"x","")</f>
        <v/>
      </c>
    </row>
    <row r="1327" spans="1:30" ht="15.75" customHeight="1">
      <c r="A1327" s="998" t="str">
        <f>IF(B1327&lt;&gt;"",IF(AND(B1327='IN-TC'!$S$4,OR(TH!N1327="1111",TH!O1327="1111")),TH!D1327,""),"")</f>
        <v/>
      </c>
      <c r="B1327" s="831" t="str">
        <f t="shared" si="339"/>
        <v/>
      </c>
      <c r="C1327" s="63"/>
      <c r="D1327" s="63"/>
      <c r="E1327" s="63"/>
      <c r="F1327" s="71"/>
      <c r="G1327" s="816"/>
      <c r="H1327" s="311"/>
      <c r="I1327" s="405"/>
      <c r="J1327" s="405"/>
      <c r="K1327" s="398"/>
      <c r="L1327" s="405"/>
      <c r="M1327" s="64"/>
      <c r="N1327" s="65"/>
      <c r="O1327" s="65"/>
      <c r="P1327" s="81" t="str">
        <f>IF(AND('331-CT'!$E$7=TH!H1327,OR(N1327="331",O1327="331")),"x","")</f>
        <v/>
      </c>
      <c r="Q1327" s="81" t="str">
        <f>IF(AND(B1327='111'!$L$11,OR($N1327=$Q$7,$O1327=$Q$7)),"x","")</f>
        <v/>
      </c>
      <c r="R1327" s="81" t="str">
        <f>IF(AND($N1327=$Q$7,$B1327&lt;'111'!$L$11),"x","")</f>
        <v/>
      </c>
      <c r="S1327" s="81" t="str">
        <f>IF(AND($O1327=$Q$7,$B1327&lt;'111'!$L$11),"x","")</f>
        <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
      </c>
      <c r="AC1327" s="81" t="str">
        <f>IF(AND(OR(LEFT(TH!N1327,2)="15",LEFT(TH!O1327,2)="15"),TK!$E$7=TH!F1327),"x","")</f>
        <v/>
      </c>
      <c r="AD1327" s="81" t="str">
        <f>IF(AND(N1327="1521",MONTH(C1327)='BK-NL'!$M$11),"x","")</f>
        <v/>
      </c>
    </row>
    <row r="1328" spans="1:30" ht="18" customHeight="1">
      <c r="A1328" s="998" t="str">
        <f>IF(B1328&lt;&gt;"",IF(AND(B1328='IN-TC'!$S$4,OR(TH!N1328="1111",TH!O1328="1111")),TH!D1328,""),"")</f>
        <v/>
      </c>
      <c r="B1328" s="831" t="str">
        <f t="shared" si="339"/>
        <v/>
      </c>
      <c r="C1328" s="63"/>
      <c r="D1328" s="63"/>
      <c r="E1328" s="63"/>
      <c r="F1328" s="71"/>
      <c r="G1328" s="816"/>
      <c r="H1328" s="311"/>
      <c r="I1328" s="405"/>
      <c r="J1328" s="405"/>
      <c r="K1328" s="398"/>
      <c r="L1328" s="405"/>
      <c r="M1328" s="64"/>
      <c r="N1328" s="65"/>
      <c r="O1328" s="65"/>
      <c r="P1328" s="81" t="str">
        <f>IF(AND('331-CT'!$E$7=TH!H1328,OR(N1328="331",O1328="331")),"x","")</f>
        <v/>
      </c>
      <c r="Q1328" s="81" t="str">
        <f>IF(AND(B1328='111'!$L$11,OR($N1328=$Q$7,$O1328=$Q$7)),"x","")</f>
        <v/>
      </c>
      <c r="R1328" s="81" t="str">
        <f>IF(AND($N1328=$Q$7,$B1328&lt;'111'!$L$11),"x","")</f>
        <v/>
      </c>
      <c r="S1328" s="81" t="str">
        <f>IF(AND($O1328=$Q$7,$B1328&lt;'111'!$L$11),"x","")</f>
        <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
      </c>
      <c r="AC1328" s="81" t="str">
        <f>IF(AND(OR(LEFT(TH!N1328,2)="15",LEFT(TH!O1328,2)="15"),TK!$E$7=TH!F1328),"x","")</f>
        <v/>
      </c>
      <c r="AD1328" s="81" t="str">
        <f>IF(AND(N1328="1521",MONTH(C1328)='BK-NL'!$M$11),"x","")</f>
        <v/>
      </c>
    </row>
    <row r="1329" spans="1:30" ht="15.75" customHeight="1">
      <c r="A1329" s="998" t="str">
        <f>IF(B1329&lt;&gt;"",IF(AND(B1329='IN-TC'!$S$4,OR(TH!N1329="1111",TH!O1329="1111")),TH!D1329,""),"")</f>
        <v/>
      </c>
      <c r="B1329" s="831" t="str">
        <f t="shared" si="339"/>
        <v/>
      </c>
      <c r="C1329" s="63"/>
      <c r="D1329" s="63"/>
      <c r="E1329" s="63"/>
      <c r="F1329" s="71"/>
      <c r="G1329" s="816"/>
      <c r="H1329" s="311"/>
      <c r="I1329" s="405"/>
      <c r="J1329" s="405"/>
      <c r="K1329" s="398"/>
      <c r="L1329" s="405"/>
      <c r="M1329" s="64"/>
      <c r="N1329" s="65"/>
      <c r="O1329" s="65"/>
      <c r="P1329" s="81" t="str">
        <f>IF(AND('331-CT'!$E$7=TH!H1329,OR(N1329="331",O1329="331")),"x","")</f>
        <v/>
      </c>
      <c r="Q1329" s="81" t="str">
        <f>IF(AND(B1329='111'!$L$11,OR($N1329=$Q$7,$O1329=$Q$7)),"x","")</f>
        <v/>
      </c>
      <c r="R1329" s="81" t="str">
        <f>IF(AND($N1329=$Q$7,$B1329&lt;'111'!$L$11),"x","")</f>
        <v/>
      </c>
      <c r="S1329" s="81" t="str">
        <f>IF(AND($O1329=$Q$7,$B1329&lt;'111'!$L$11),"x","")</f>
        <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
      </c>
      <c r="AC1329" s="81" t="str">
        <f>IF(AND(OR(LEFT(TH!N1329,2)="15",LEFT(TH!O1329,2)="15"),TK!$E$7=TH!F1329),"x","")</f>
        <v/>
      </c>
      <c r="AD1329" s="81" t="str">
        <f>IF(AND(N1329="1521",MONTH(C1329)='BK-NL'!$M$11),"x","")</f>
        <v/>
      </c>
    </row>
    <row r="1330" spans="1:30" ht="15.75" customHeight="1">
      <c r="A1330" s="998" t="str">
        <f>IF(B1330&lt;&gt;"",IF(AND(B1330='IN-TC'!$S$4,OR(TH!N1330="1111",TH!O1330="1111")),TH!D1330,""),"")</f>
        <v/>
      </c>
      <c r="B1330" s="831" t="str">
        <f t="shared" ref="B1330:B1337" si="340">IF(C1330&lt;&gt;"",MONTH(C1330),"")</f>
        <v/>
      </c>
      <c r="C1330" s="63"/>
      <c r="D1330" s="63"/>
      <c r="E1330" s="63"/>
      <c r="F1330" s="71"/>
      <c r="G1330" s="816"/>
      <c r="H1330" s="311"/>
      <c r="I1330" s="405"/>
      <c r="J1330" s="405"/>
      <c r="K1330" s="398"/>
      <c r="L1330" s="405"/>
      <c r="M1330" s="64"/>
      <c r="N1330" s="65"/>
      <c r="O1330" s="65"/>
      <c r="P1330" s="81" t="str">
        <f>IF(AND('331-CT'!$E$7=TH!H1330,OR(N1330="331",O1330="331")),"x","")</f>
        <v/>
      </c>
      <c r="Q1330" s="81" t="str">
        <f>IF(AND(B1330='111'!$L$11,OR($N1330=$Q$7,$O1330=$Q$7)),"x","")</f>
        <v/>
      </c>
      <c r="R1330" s="81" t="str">
        <f>IF(AND($N1330=$Q$7,$B1330&lt;'111'!$L$11),"x","")</f>
        <v/>
      </c>
      <c r="S1330" s="81" t="str">
        <f>IF(AND($O1330=$Q$7,$B1330&lt;'111'!$L$11),"x","")</f>
        <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
      </c>
      <c r="AC1330" s="81" t="str">
        <f>IF(AND(OR(LEFT(TH!N1330,2)="15",LEFT(TH!O1330,2)="15"),TK!$E$7=TH!F1330),"x","")</f>
        <v/>
      </c>
      <c r="AD1330" s="81" t="str">
        <f>IF(AND(N1330="1521",MONTH(C1330)='BK-NL'!$M$11),"x","")</f>
        <v/>
      </c>
    </row>
    <row r="1331" spans="1:30" ht="15.75" customHeight="1">
      <c r="A1331" s="998" t="str">
        <f>IF(B1331&lt;&gt;"",IF(AND(B1331='IN-TC'!$S$4,OR(TH!N1331="1111",TH!O1331="1111")),TH!D1331,""),"")</f>
        <v/>
      </c>
      <c r="B1331" s="831" t="str">
        <f t="shared" si="340"/>
        <v/>
      </c>
      <c r="C1331" s="63"/>
      <c r="D1331" s="63"/>
      <c r="E1331" s="63"/>
      <c r="F1331" s="71"/>
      <c r="G1331" s="816"/>
      <c r="H1331" s="311"/>
      <c r="I1331" s="405"/>
      <c r="J1331" s="405"/>
      <c r="K1331" s="398"/>
      <c r="L1331" s="405"/>
      <c r="M1331" s="64"/>
      <c r="N1331" s="65"/>
      <c r="O1331" s="65"/>
      <c r="P1331" s="81" t="str">
        <f>IF(AND('331-CT'!$E$7=TH!H1331,OR(N1331="331",O1331="331")),"x","")</f>
        <v/>
      </c>
      <c r="Q1331" s="81" t="str">
        <f>IF(AND(B1331='111'!$L$11,OR($N1331=$Q$7,$O1331=$Q$7)),"x","")</f>
        <v/>
      </c>
      <c r="R1331" s="81" t="str">
        <f>IF(AND($N1331=$Q$7,$B1331&lt;'111'!$L$11),"x","")</f>
        <v/>
      </c>
      <c r="S1331" s="81" t="str">
        <f>IF(AND($O1331=$Q$7,$B1331&lt;'111'!$L$11),"x","")</f>
        <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
      </c>
      <c r="AC1331" s="81" t="str">
        <f>IF(AND(OR(LEFT(TH!N1331,2)="15",LEFT(TH!O1331,2)="15"),TK!$E$7=TH!F1331),"x","")</f>
        <v/>
      </c>
      <c r="AD1331" s="81" t="str">
        <f>IF(AND(N1331="1521",MONTH(C1331)='BK-NL'!$M$11),"x","")</f>
        <v/>
      </c>
    </row>
    <row r="1332" spans="1:30" ht="18" customHeight="1">
      <c r="A1332" s="998" t="str">
        <f>IF(B1332&lt;&gt;"",IF(AND(B1332='IN-TC'!$S$4,OR(TH!N1332="1111",TH!O1332="1111")),TH!D1332,""),"")</f>
        <v/>
      </c>
      <c r="B1332" s="831" t="str">
        <f t="shared" si="340"/>
        <v/>
      </c>
      <c r="C1332" s="63"/>
      <c r="D1332" s="63"/>
      <c r="E1332" s="63"/>
      <c r="F1332" s="71"/>
      <c r="G1332" s="816"/>
      <c r="H1332" s="311"/>
      <c r="I1332" s="405"/>
      <c r="J1332" s="405"/>
      <c r="K1332" s="398"/>
      <c r="L1332" s="405"/>
      <c r="M1332" s="64"/>
      <c r="N1332" s="65"/>
      <c r="O1332" s="65"/>
      <c r="P1332" s="81" t="str">
        <f>IF(AND('331-CT'!$E$7=TH!H1332,OR(N1332="331",O1332="331")),"x","")</f>
        <v/>
      </c>
      <c r="Q1332" s="81" t="str">
        <f>IF(AND(B1332='111'!$L$11,OR($N1332=$Q$7,$O1332=$Q$7)),"x","")</f>
        <v/>
      </c>
      <c r="R1332" s="81" t="str">
        <f>IF(AND($N1332=$Q$7,$B1332&lt;'111'!$L$11),"x","")</f>
        <v/>
      </c>
      <c r="S1332" s="81" t="str">
        <f>IF(AND($O1332=$Q$7,$B1332&lt;'111'!$L$11),"x","")</f>
        <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row>
    <row r="1333" spans="1:30" ht="15.75" customHeight="1">
      <c r="A1333" s="998" t="str">
        <f>IF(B1333&lt;&gt;"",IF(AND(B1333='IN-TC'!$S$4,OR(TH!N1333="1111",TH!O1333="1111")),TH!D1333,""),"")</f>
        <v/>
      </c>
      <c r="B1333" s="831" t="str">
        <f t="shared" si="340"/>
        <v/>
      </c>
      <c r="C1333" s="63"/>
      <c r="D1333" s="63"/>
      <c r="E1333" s="63"/>
      <c r="F1333" s="71"/>
      <c r="G1333" s="816"/>
      <c r="H1333" s="311"/>
      <c r="I1333" s="405"/>
      <c r="J1333" s="405"/>
      <c r="K1333" s="398"/>
      <c r="L1333" s="405"/>
      <c r="M1333" s="64"/>
      <c r="N1333" s="65"/>
      <c r="O1333" s="65"/>
      <c r="P1333" s="81" t="str">
        <f>IF(AND('331-CT'!$E$7=TH!H1333,OR(N1333="331",O1333="331")),"x","")</f>
        <v/>
      </c>
      <c r="Q1333" s="81" t="str">
        <f>IF(AND(B1333='111'!$L$11,OR($N1333=$Q$7,$O1333=$Q$7)),"x","")</f>
        <v/>
      </c>
      <c r="R1333" s="81" t="str">
        <f>IF(AND($N1333=$Q$7,$B1333&lt;'111'!$L$11),"x","")</f>
        <v/>
      </c>
      <c r="S1333" s="81" t="str">
        <f>IF(AND($O1333=$Q$7,$B1333&lt;'111'!$L$11),"x","")</f>
        <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row>
    <row r="1334" spans="1:30" ht="15.75" customHeight="1">
      <c r="A1334" s="998" t="str">
        <f>IF(B1334&lt;&gt;"",IF(AND(B1334='IN-TC'!$S$4,OR(TH!N1334="1111",TH!O1334="1111")),TH!D1334,""),"")</f>
        <v/>
      </c>
      <c r="B1334" s="831" t="str">
        <f t="shared" si="340"/>
        <v/>
      </c>
      <c r="C1334" s="63"/>
      <c r="D1334" s="63"/>
      <c r="E1334" s="63"/>
      <c r="F1334" s="71"/>
      <c r="G1334" s="816"/>
      <c r="H1334" s="311"/>
      <c r="I1334" s="405"/>
      <c r="J1334" s="405"/>
      <c r="K1334" s="398"/>
      <c r="L1334" s="405"/>
      <c r="M1334" s="64"/>
      <c r="N1334" s="65"/>
      <c r="O1334" s="65"/>
      <c r="P1334" s="81" t="str">
        <f>IF(AND('331-CT'!$E$7=TH!H1334,OR(N1334="331",O1334="331")),"x","")</f>
        <v/>
      </c>
      <c r="Q1334" s="81" t="str">
        <f>IF(AND(B1334='111'!$L$11,OR($N1334=$Q$7,$O1334=$Q$7)),"x","")</f>
        <v/>
      </c>
      <c r="R1334" s="81" t="str">
        <f>IF(AND($N1334=$Q$7,$B1334&lt;'111'!$L$11),"x","")</f>
        <v/>
      </c>
      <c r="S1334" s="81" t="str">
        <f>IF(AND($O1334=$Q$7,$B1334&lt;'111'!$L$11),"x","")</f>
        <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
      </c>
      <c r="AD1334" s="81" t="str">
        <f>IF(AND(N1334="1521",MONTH(C1334)='BK-NL'!$M$11),"x","")</f>
        <v/>
      </c>
    </row>
    <row r="1335" spans="1:30" ht="15.75" customHeight="1">
      <c r="A1335" s="998" t="str">
        <f>IF(B1335&lt;&gt;"",IF(AND(B1335='IN-TC'!$S$4,OR(TH!N1335="1111",TH!O1335="1111")),TH!D1335,""),"")</f>
        <v/>
      </c>
      <c r="B1335" s="831" t="str">
        <f t="shared" si="340"/>
        <v/>
      </c>
      <c r="C1335" s="63"/>
      <c r="D1335" s="63"/>
      <c r="E1335" s="63"/>
      <c r="F1335" s="71"/>
      <c r="G1335" s="816"/>
      <c r="H1335" s="311"/>
      <c r="I1335" s="405"/>
      <c r="J1335" s="405"/>
      <c r="K1335" s="398"/>
      <c r="L1335" s="405"/>
      <c r="M1335" s="64"/>
      <c r="N1335" s="65"/>
      <c r="O1335" s="65"/>
      <c r="P1335" s="81" t="str">
        <f>IF(AND('331-CT'!$E$7=TH!H1335,OR(N1335="331",O1335="331")),"x","")</f>
        <v/>
      </c>
      <c r="Q1335" s="81" t="str">
        <f>IF(AND(B1335='111'!$L$11,OR($N1335=$Q$7,$O1335=$Q$7)),"x","")</f>
        <v/>
      </c>
      <c r="R1335" s="81" t="str">
        <f>IF(AND($N1335=$Q$7,$B1335&lt;'111'!$L$11),"x","")</f>
        <v/>
      </c>
      <c r="S1335" s="81" t="str">
        <f>IF(AND($O1335=$Q$7,$B1335&lt;'111'!$L$11),"x","")</f>
        <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0" ht="18" customHeight="1">
      <c r="A1336" s="998" t="str">
        <f>IF(B1336&lt;&gt;"",IF(AND(B1336='IN-TC'!$S$4,OR(TH!N1336="1111",TH!O1336="1111")),TH!D1336,""),"")</f>
        <v/>
      </c>
      <c r="B1336" s="831" t="str">
        <f t="shared" si="340"/>
        <v/>
      </c>
      <c r="C1336" s="63"/>
      <c r="D1336" s="63"/>
      <c r="E1336" s="63"/>
      <c r="F1336" s="71"/>
      <c r="G1336" s="816"/>
      <c r="H1336" s="311"/>
      <c r="I1336" s="405"/>
      <c r="J1336" s="405"/>
      <c r="K1336" s="398"/>
      <c r="L1336" s="405"/>
      <c r="M1336" s="64"/>
      <c r="N1336" s="65"/>
      <c r="O1336" s="65"/>
      <c r="P1336" s="81" t="str">
        <f>IF(AND('331-CT'!$E$7=TH!H1336,OR(N1336="331",O1336="331")),"x","")</f>
        <v/>
      </c>
      <c r="Q1336" s="81" t="str">
        <f>IF(AND(B1336='111'!$L$11,OR($N1336=$Q$7,$O1336=$Q$7)),"x","")</f>
        <v/>
      </c>
      <c r="R1336" s="81" t="str">
        <f>IF(AND($N1336=$Q$7,$B1336&lt;'111'!$L$11),"x","")</f>
        <v/>
      </c>
      <c r="S1336" s="81" t="str">
        <f>IF(AND($O1336=$Q$7,$B1336&lt;'111'!$L$11),"x","")</f>
        <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0" ht="15.75" customHeight="1">
      <c r="A1337" s="998" t="str">
        <f>IF(B1337&lt;&gt;"",IF(AND(B1337='IN-TC'!$S$4,OR(TH!N1337="1111",TH!O1337="1111")),TH!D1337,""),"")</f>
        <v/>
      </c>
      <c r="B1337" s="831" t="str">
        <f t="shared" si="340"/>
        <v/>
      </c>
      <c r="C1337" s="63"/>
      <c r="D1337" s="63"/>
      <c r="E1337" s="63"/>
      <c r="F1337" s="71"/>
      <c r="G1337" s="816"/>
      <c r="H1337" s="311"/>
      <c r="I1337" s="405"/>
      <c r="J1337" s="405"/>
      <c r="K1337" s="398"/>
      <c r="L1337" s="405"/>
      <c r="M1337" s="64"/>
      <c r="N1337" s="65"/>
      <c r="O1337" s="65"/>
      <c r="P1337" s="81" t="str">
        <f>IF(AND('331-CT'!$E$7=TH!H1337,OR(N1337="331",O1337="331")),"x","")</f>
        <v/>
      </c>
      <c r="Q1337" s="81" t="str">
        <f>IF(AND(B1337='111'!$L$11,OR($N1337=$Q$7,$O1337=$Q$7)),"x","")</f>
        <v/>
      </c>
      <c r="R1337" s="81" t="str">
        <f>IF(AND($N1337=$Q$7,$B1337&lt;'111'!$L$11),"x","")</f>
        <v/>
      </c>
      <c r="S1337" s="81" t="str">
        <f>IF(AND($O1337=$Q$7,$B1337&lt;'111'!$L$11),"x","")</f>
        <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row>
    <row r="1338" spans="1:30" ht="15.75" customHeight="1">
      <c r="A1338" s="998" t="str">
        <f>IF(B1338&lt;&gt;"",IF(AND(B1338='IN-TC'!$S$4,OR(TH!N1338="1111",TH!O1338="1111")),TH!D1338,""),"")</f>
        <v/>
      </c>
      <c r="B1338" s="831" t="str">
        <f t="shared" ref="B1338:B1345" si="341">IF(C1338&lt;&gt;"",MONTH(C1338),"")</f>
        <v/>
      </c>
      <c r="C1338" s="63"/>
      <c r="D1338" s="63"/>
      <c r="E1338" s="63"/>
      <c r="F1338" s="71"/>
      <c r="G1338" s="816"/>
      <c r="H1338" s="311"/>
      <c r="I1338" s="405"/>
      <c r="J1338" s="405"/>
      <c r="K1338" s="398"/>
      <c r="L1338" s="405"/>
      <c r="M1338" s="64"/>
      <c r="N1338" s="65"/>
      <c r="O1338" s="65"/>
      <c r="P1338" s="81" t="str">
        <f>IF(AND('331-CT'!$E$7=TH!H1338,OR(N1338="331",O1338="331")),"x","")</f>
        <v/>
      </c>
      <c r="Q1338" s="81" t="str">
        <f>IF(AND(B1338='111'!$L$11,OR($N1338=$Q$7,$O1338=$Q$7)),"x","")</f>
        <v/>
      </c>
      <c r="R1338" s="81" t="str">
        <f>IF(AND($N1338=$Q$7,$B1338&lt;'111'!$L$11),"x","")</f>
        <v/>
      </c>
      <c r="S1338" s="81" t="str">
        <f>IF(AND($O1338=$Q$7,$B1338&lt;'111'!$L$11),"x","")</f>
        <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row>
    <row r="1339" spans="1:30" ht="15.75" customHeight="1">
      <c r="A1339" s="998" t="str">
        <f>IF(B1339&lt;&gt;"",IF(AND(B1339='IN-TC'!$S$4,OR(TH!N1339="1111",TH!O1339="1111")),TH!D1339,""),"")</f>
        <v/>
      </c>
      <c r="B1339" s="831" t="str">
        <f t="shared" si="341"/>
        <v/>
      </c>
      <c r="C1339" s="63"/>
      <c r="D1339" s="63"/>
      <c r="E1339" s="63"/>
      <c r="F1339" s="71"/>
      <c r="G1339" s="816"/>
      <c r="H1339" s="311"/>
      <c r="I1339" s="405"/>
      <c r="J1339" s="405"/>
      <c r="K1339" s="398"/>
      <c r="L1339" s="405"/>
      <c r="M1339" s="64"/>
      <c r="N1339" s="65"/>
      <c r="O1339" s="65"/>
      <c r="P1339" s="81" t="str">
        <f>IF(AND('331-CT'!$E$7=TH!H1339,OR(N1339="331",O1339="331")),"x","")</f>
        <v/>
      </c>
      <c r="Q1339" s="81" t="str">
        <f>IF(AND(B1339='111'!$L$11,OR($N1339=$Q$7,$O1339=$Q$7)),"x","")</f>
        <v/>
      </c>
      <c r="R1339" s="81" t="str">
        <f>IF(AND($N1339=$Q$7,$B1339&lt;'111'!$L$11),"x","")</f>
        <v/>
      </c>
      <c r="S1339" s="81" t="str">
        <f>IF(AND($O1339=$Q$7,$B1339&lt;'111'!$L$11),"x","")</f>
        <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row>
    <row r="1340" spans="1:30" ht="18" customHeight="1">
      <c r="A1340" s="998" t="str">
        <f>IF(B1340&lt;&gt;"",IF(AND(B1340='IN-TC'!$S$4,OR(TH!N1340="1111",TH!O1340="1111")),TH!D1340,""),"")</f>
        <v/>
      </c>
      <c r="B1340" s="831" t="str">
        <f t="shared" si="341"/>
        <v/>
      </c>
      <c r="C1340" s="63"/>
      <c r="D1340" s="63"/>
      <c r="E1340" s="63"/>
      <c r="F1340" s="71"/>
      <c r="G1340" s="816"/>
      <c r="H1340" s="311"/>
      <c r="I1340" s="405"/>
      <c r="J1340" s="405"/>
      <c r="K1340" s="398"/>
      <c r="L1340" s="405"/>
      <c r="M1340" s="64"/>
      <c r="N1340" s="65"/>
      <c r="O1340" s="65"/>
      <c r="P1340" s="81" t="str">
        <f>IF(AND('331-CT'!$E$7=TH!H1340,OR(N1340="331",O1340="331")),"x","")</f>
        <v/>
      </c>
      <c r="Q1340" s="81" t="str">
        <f>IF(AND(B1340='111'!$L$11,OR($N1340=$Q$7,$O1340=$Q$7)),"x","")</f>
        <v/>
      </c>
      <c r="R1340" s="81" t="str">
        <f>IF(AND($N1340=$Q$7,$B1340&lt;'111'!$L$11),"x","")</f>
        <v/>
      </c>
      <c r="S1340" s="81" t="str">
        <f>IF(AND($O1340=$Q$7,$B1340&lt;'111'!$L$11),"x","")</f>
        <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row>
    <row r="1341" spans="1:30" ht="15.75" customHeight="1">
      <c r="A1341" s="998" t="str">
        <f>IF(B1341&lt;&gt;"",IF(AND(B1341='IN-TC'!$S$4,OR(TH!N1341="1111",TH!O1341="1111")),TH!D1341,""),"")</f>
        <v/>
      </c>
      <c r="B1341" s="831" t="str">
        <f t="shared" si="341"/>
        <v/>
      </c>
      <c r="C1341" s="63"/>
      <c r="D1341" s="63"/>
      <c r="E1341" s="63"/>
      <c r="F1341" s="71"/>
      <c r="G1341" s="816"/>
      <c r="H1341" s="311"/>
      <c r="I1341" s="405"/>
      <c r="J1341" s="405"/>
      <c r="K1341" s="398"/>
      <c r="L1341" s="405"/>
      <c r="M1341" s="64"/>
      <c r="N1341" s="65"/>
      <c r="O1341" s="65"/>
      <c r="P1341" s="81" t="str">
        <f>IF(AND('331-CT'!$E$7=TH!H1341,OR(N1341="331",O1341="331")),"x","")</f>
        <v/>
      </c>
      <c r="Q1341" s="81" t="str">
        <f>IF(AND(B1341='111'!$L$11,OR($N1341=$Q$7,$O1341=$Q$7)),"x","")</f>
        <v/>
      </c>
      <c r="R1341" s="81" t="str">
        <f>IF(AND($N1341=$Q$7,$B1341&lt;'111'!$L$11),"x","")</f>
        <v/>
      </c>
      <c r="S1341" s="81" t="str">
        <f>IF(AND($O1341=$Q$7,$B1341&lt;'111'!$L$11),"x","")</f>
        <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row>
    <row r="1342" spans="1:30" ht="15.75" customHeight="1">
      <c r="A1342" s="998" t="str">
        <f>IF(B1342&lt;&gt;"",IF(AND(B1342='IN-TC'!$S$4,OR(TH!N1342="1111",TH!O1342="1111")),TH!D1342,""),"")</f>
        <v/>
      </c>
      <c r="B1342" s="831" t="str">
        <f t="shared" si="341"/>
        <v/>
      </c>
      <c r="C1342" s="63"/>
      <c r="D1342" s="63"/>
      <c r="E1342" s="63"/>
      <c r="F1342" s="71"/>
      <c r="G1342" s="816"/>
      <c r="H1342" s="311"/>
      <c r="I1342" s="405"/>
      <c r="J1342" s="405"/>
      <c r="K1342" s="398"/>
      <c r="L1342" s="405"/>
      <c r="M1342" s="64"/>
      <c r="N1342" s="65"/>
      <c r="O1342" s="65"/>
      <c r="P1342" s="81" t="str">
        <f>IF(AND('331-CT'!$E$7=TH!H1342,OR(N1342="331",O1342="331")),"x","")</f>
        <v/>
      </c>
      <c r="Q1342" s="81" t="str">
        <f>IF(AND(B1342='111'!$L$11,OR($N1342=$Q$7,$O1342=$Q$7)),"x","")</f>
        <v/>
      </c>
      <c r="R1342" s="81" t="str">
        <f>IF(AND($N1342=$Q$7,$B1342&lt;'111'!$L$11),"x","")</f>
        <v/>
      </c>
      <c r="S1342" s="81" t="str">
        <f>IF(AND($O1342=$Q$7,$B1342&lt;'111'!$L$11),"x","")</f>
        <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row>
    <row r="1343" spans="1:30" ht="15.75" customHeight="1">
      <c r="A1343" s="998" t="str">
        <f>IF(B1343&lt;&gt;"",IF(AND(B1343='IN-TC'!$S$4,OR(TH!N1343="1111",TH!O1343="1111")),TH!D1343,""),"")</f>
        <v/>
      </c>
      <c r="B1343" s="831" t="str">
        <f t="shared" si="341"/>
        <v/>
      </c>
      <c r="C1343" s="63"/>
      <c r="D1343" s="63"/>
      <c r="E1343" s="63"/>
      <c r="F1343" s="71"/>
      <c r="G1343" s="816"/>
      <c r="H1343" s="311"/>
      <c r="I1343" s="405"/>
      <c r="J1343" s="405"/>
      <c r="K1343" s="398"/>
      <c r="L1343" s="405"/>
      <c r="M1343" s="64"/>
      <c r="N1343" s="65"/>
      <c r="O1343" s="65"/>
      <c r="P1343" s="81" t="str">
        <f>IF(AND('331-CT'!$E$7=TH!H1343,OR(N1343="331",O1343="331")),"x","")</f>
        <v/>
      </c>
      <c r="Q1343" s="81" t="str">
        <f>IF(AND(B1343='111'!$L$11,OR($N1343=$Q$7,$O1343=$Q$7)),"x","")</f>
        <v/>
      </c>
      <c r="R1343" s="81" t="str">
        <f>IF(AND($N1343=$Q$7,$B1343&lt;'111'!$L$11),"x","")</f>
        <v/>
      </c>
      <c r="S1343" s="81" t="str">
        <f>IF(AND($O1343=$Q$7,$B1343&lt;'111'!$L$11),"x","")</f>
        <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row>
    <row r="1344" spans="1:30" ht="18" customHeight="1">
      <c r="A1344" s="998" t="str">
        <f>IF(B1344&lt;&gt;"",IF(AND(B1344='IN-TC'!$S$4,OR(TH!N1344="1111",TH!O1344="1111")),TH!D1344,""),"")</f>
        <v/>
      </c>
      <c r="B1344" s="831" t="str">
        <f t="shared" si="341"/>
        <v/>
      </c>
      <c r="C1344" s="63"/>
      <c r="D1344" s="63"/>
      <c r="E1344" s="63"/>
      <c r="F1344" s="71"/>
      <c r="G1344" s="816"/>
      <c r="H1344" s="311"/>
      <c r="I1344" s="405"/>
      <c r="J1344" s="405"/>
      <c r="K1344" s="398"/>
      <c r="L1344" s="405"/>
      <c r="M1344" s="64"/>
      <c r="N1344" s="65"/>
      <c r="O1344" s="65"/>
      <c r="P1344" s="81" t="str">
        <f>IF(AND('331-CT'!$E$7=TH!H1344,OR(N1344="331",O1344="331")),"x","")</f>
        <v/>
      </c>
      <c r="Q1344" s="81" t="str">
        <f>IF(AND(B1344='111'!$L$11,OR($N1344=$Q$7,$O1344=$Q$7)),"x","")</f>
        <v/>
      </c>
      <c r="R1344" s="81" t="str">
        <f>IF(AND($N1344=$Q$7,$B1344&lt;'111'!$L$11),"x","")</f>
        <v/>
      </c>
      <c r="S1344" s="81" t="str">
        <f>IF(AND($O1344=$Q$7,$B1344&lt;'111'!$L$11),"x","")</f>
        <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row>
    <row r="1345" spans="1:30" ht="15.75" customHeight="1">
      <c r="A1345" s="998" t="str">
        <f>IF(B1345&lt;&gt;"",IF(AND(B1345='IN-TC'!$S$4,OR(TH!N1345="1111",TH!O1345="1111")),TH!D1345,""),"")</f>
        <v/>
      </c>
      <c r="B1345" s="831" t="str">
        <f t="shared" si="341"/>
        <v/>
      </c>
      <c r="C1345" s="63"/>
      <c r="D1345" s="63"/>
      <c r="E1345" s="63"/>
      <c r="F1345" s="71"/>
      <c r="G1345" s="816"/>
      <c r="H1345" s="311"/>
      <c r="I1345" s="405"/>
      <c r="J1345" s="405"/>
      <c r="K1345" s="398"/>
      <c r="L1345" s="405"/>
      <c r="M1345" s="64"/>
      <c r="N1345" s="65"/>
      <c r="O1345" s="65"/>
      <c r="P1345" s="81" t="str">
        <f>IF(AND('331-CT'!$E$7=TH!H1345,OR(N1345="331",O1345="331")),"x","")</f>
        <v/>
      </c>
      <c r="Q1345" s="81" t="str">
        <f>IF(AND(B1345='111'!$L$11,OR($N1345=$Q$7,$O1345=$Q$7)),"x","")</f>
        <v/>
      </c>
      <c r="R1345" s="81" t="str">
        <f>IF(AND($N1345=$Q$7,$B1345&lt;'111'!$L$11),"x","")</f>
        <v/>
      </c>
      <c r="S1345" s="81" t="str">
        <f>IF(AND($O1345=$Q$7,$B1345&lt;'111'!$L$11),"x","")</f>
        <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row>
    <row r="1346" spans="1:30" ht="15.75" customHeight="1">
      <c r="A1346" s="998" t="str">
        <f>IF(B1346&lt;&gt;"",IF(AND(B1346='IN-TC'!$S$4,OR(TH!N1346="1111",TH!O1346="1111")),TH!D1346,""),"")</f>
        <v/>
      </c>
      <c r="B1346" s="831" t="str">
        <f t="shared" ref="B1346:B1347" si="342">IF(C1346&lt;&gt;"",MONTH(C1346),"")</f>
        <v/>
      </c>
      <c r="C1346" s="63"/>
      <c r="D1346" s="63"/>
      <c r="E1346" s="63"/>
      <c r="F1346" s="71"/>
      <c r="G1346" s="816"/>
      <c r="H1346" s="311"/>
      <c r="I1346" s="405"/>
      <c r="J1346" s="405"/>
      <c r="K1346" s="398"/>
      <c r="L1346" s="405"/>
      <c r="M1346" s="64"/>
      <c r="N1346" s="65"/>
      <c r="O1346" s="65"/>
      <c r="P1346" s="81" t="str">
        <f>IF(AND('331-CT'!$E$7=TH!H1346,OR(N1346="331",O1346="331")),"x","")</f>
        <v/>
      </c>
      <c r="Q1346" s="81" t="str">
        <f>IF(AND(B1346='111'!$L$11,OR($N1346=$Q$7,$O1346=$Q$7)),"x","")</f>
        <v/>
      </c>
      <c r="R1346" s="81" t="str">
        <f>IF(AND($N1346=$Q$7,$B1346&lt;'111'!$L$11),"x","")</f>
        <v/>
      </c>
      <c r="S1346" s="81" t="str">
        <f>IF(AND($O1346=$Q$7,$B1346&lt;'111'!$L$11),"x","")</f>
        <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row>
    <row r="1347" spans="1:30" ht="15.75" customHeight="1">
      <c r="A1347" s="998" t="str">
        <f>IF(B1347&lt;&gt;"",IF(AND(B1347='IN-TC'!$S$4,OR(TH!N1347="1111",TH!O1347="1111")),TH!D1347,""),"")</f>
        <v/>
      </c>
      <c r="B1347" s="831" t="str">
        <f t="shared" si="342"/>
        <v/>
      </c>
      <c r="C1347" s="63"/>
      <c r="D1347" s="63"/>
      <c r="E1347" s="63"/>
      <c r="F1347" s="71"/>
      <c r="G1347" s="816"/>
      <c r="H1347" s="311"/>
      <c r="I1347" s="405"/>
      <c r="J1347" s="405"/>
      <c r="K1347" s="398"/>
      <c r="L1347" s="405"/>
      <c r="M1347" s="64"/>
      <c r="N1347" s="65"/>
      <c r="O1347" s="65"/>
      <c r="P1347" s="81" t="str">
        <f>IF(AND('331-CT'!$E$7=TH!H1347,OR(N1347="331",O1347="331")),"x","")</f>
        <v/>
      </c>
      <c r="Q1347" s="81" t="str">
        <f>IF(AND(B1347='111'!$L$11,OR($N1347=$Q$7,$O1347=$Q$7)),"x","")</f>
        <v/>
      </c>
      <c r="R1347" s="81" t="str">
        <f>IF(AND($N1347=$Q$7,$B1347&lt;'111'!$L$11),"x","")</f>
        <v/>
      </c>
      <c r="S1347" s="81" t="str">
        <f>IF(AND($O1347=$Q$7,$B1347&lt;'111'!$L$11),"x","")</f>
        <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
      </c>
      <c r="AC1347" s="81" t="str">
        <f>IF(AND(OR(LEFT(TH!N1347,2)="15",LEFT(TH!O1347,2)="15"),TK!$E$7=TH!F1347),"x","")</f>
        <v/>
      </c>
      <c r="AD1347" s="81" t="str">
        <f>IF(AND(N1347="1521",MONTH(C1347)='BK-NL'!$M$11),"x","")</f>
        <v/>
      </c>
    </row>
    <row r="1348" spans="1:30" ht="15.75" customHeight="1">
      <c r="A1348" s="998" t="str">
        <f>IF(B1348&lt;&gt;"",IF(AND(B1348='IN-TC'!$S$4,OR(TH!N1348="1111",TH!O1348="1111")),TH!D1348,""),"")</f>
        <v/>
      </c>
      <c r="B1348" s="831" t="str">
        <f t="shared" ref="B1348:B1349" si="343">IF(C1348&lt;&gt;"",MONTH(C1348),"")</f>
        <v/>
      </c>
      <c r="C1348" s="63"/>
      <c r="D1348" s="63"/>
      <c r="E1348" s="63"/>
      <c r="F1348" s="71"/>
      <c r="G1348" s="816"/>
      <c r="H1348" s="311"/>
      <c r="I1348" s="405"/>
      <c r="J1348" s="405"/>
      <c r="K1348" s="398"/>
      <c r="L1348" s="405"/>
      <c r="M1348" s="64"/>
      <c r="N1348" s="65"/>
      <c r="O1348" s="65"/>
      <c r="P1348" s="81" t="str">
        <f>IF(AND('331-CT'!$E$7=TH!H1348,OR(N1348="331",O1348="331")),"x","")</f>
        <v/>
      </c>
      <c r="Q1348" s="81" t="str">
        <f>IF(AND(B1348='111'!$L$11,OR($N1348=$Q$7,$O1348=$Q$7)),"x","")</f>
        <v/>
      </c>
      <c r="R1348" s="81" t="str">
        <f>IF(AND($N1348=$Q$7,$B1348&lt;'111'!$L$11),"x","")</f>
        <v/>
      </c>
      <c r="S1348" s="81" t="str">
        <f>IF(AND($O1348=$Q$7,$B1348&lt;'111'!$L$11),"x","")</f>
        <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row>
    <row r="1349" spans="1:30" ht="15.75" customHeight="1">
      <c r="A1349" s="998" t="str">
        <f>IF(B1349&lt;&gt;"",IF(AND(B1349='IN-TC'!$S$4,OR(TH!N1349="1111",TH!O1349="1111")),TH!D1349,""),"")</f>
        <v/>
      </c>
      <c r="B1349" s="831" t="str">
        <f t="shared" si="343"/>
        <v/>
      </c>
      <c r="C1349" s="63"/>
      <c r="D1349" s="63"/>
      <c r="E1349" s="63"/>
      <c r="F1349" s="71"/>
      <c r="G1349" s="816"/>
      <c r="H1349" s="311"/>
      <c r="I1349" s="405"/>
      <c r="J1349" s="405"/>
      <c r="K1349" s="398"/>
      <c r="L1349" s="405"/>
      <c r="M1349" s="64"/>
      <c r="N1349" s="65"/>
      <c r="O1349" s="65"/>
      <c r="P1349" s="81" t="str">
        <f>IF(AND('331-CT'!$E$7=TH!H1349,OR(N1349="331",O1349="331")),"x","")</f>
        <v/>
      </c>
      <c r="Q1349" s="81" t="str">
        <f>IF(AND(B1349='111'!$L$11,OR($N1349=$Q$7,$O1349=$Q$7)),"x","")</f>
        <v/>
      </c>
      <c r="R1349" s="81" t="str">
        <f>IF(AND($N1349=$Q$7,$B1349&lt;'111'!$L$11),"x","")</f>
        <v/>
      </c>
      <c r="S1349" s="81" t="str">
        <f>IF(AND($O1349=$Q$7,$B1349&lt;'111'!$L$11),"x","")</f>
        <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row>
    <row r="1350" spans="1:30" ht="15.75" customHeight="1">
      <c r="A1350" s="998" t="str">
        <f>IF(B1350&lt;&gt;"",IF(AND(B1350='IN-TC'!$S$4,OR(TH!N1350="1111",TH!O1350="1111")),TH!D1350,""),"")</f>
        <v/>
      </c>
      <c r="B1350" s="831" t="str">
        <f t="shared" si="330"/>
        <v/>
      </c>
      <c r="C1350" s="63"/>
      <c r="D1350" s="63"/>
      <c r="E1350" s="63"/>
      <c r="F1350" s="71"/>
      <c r="G1350" s="816"/>
      <c r="H1350" s="311"/>
      <c r="I1350" s="405"/>
      <c r="J1350" s="405"/>
      <c r="K1350" s="398"/>
      <c r="L1350" s="405"/>
      <c r="M1350" s="64"/>
      <c r="N1350" s="65"/>
      <c r="O1350" s="65"/>
      <c r="P1350" s="81" t="str">
        <f>IF(AND('331-CT'!$E$7=TH!H1350,OR(N1350="331",O1350="331")),"x","")</f>
        <v/>
      </c>
      <c r="Q1350" s="81" t="str">
        <f>IF(AND(B1350='111'!$L$11,OR($N1350=$Q$7,$O1350=$Q$7)),"x","")</f>
        <v/>
      </c>
      <c r="R1350" s="81" t="str">
        <f>IF(AND($N1350=$Q$7,$B1350&lt;'111'!$L$11),"x","")</f>
        <v/>
      </c>
      <c r="S1350" s="81" t="str">
        <f>IF(AND($O1350=$Q$7,$B1350&lt;'111'!$L$11),"x","")</f>
        <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row>
    <row r="1351" spans="1:30" ht="15.75" customHeight="1">
      <c r="A1351" s="998" t="str">
        <f>IF(B1351&lt;&gt;"",IF(AND(B1351='IN-TC'!$S$4,OR(TH!N1351="1111",TH!O1351="1111")),TH!D1351,""),"")</f>
        <v/>
      </c>
      <c r="B1351" s="831" t="str">
        <f t="shared" si="330"/>
        <v/>
      </c>
      <c r="C1351" s="63"/>
      <c r="D1351" s="63"/>
      <c r="E1351" s="63"/>
      <c r="F1351" s="71"/>
      <c r="G1351" s="816"/>
      <c r="H1351" s="311"/>
      <c r="I1351" s="405"/>
      <c r="J1351" s="405"/>
      <c r="K1351" s="398"/>
      <c r="L1351" s="405"/>
      <c r="M1351" s="64"/>
      <c r="N1351" s="65"/>
      <c r="O1351" s="65"/>
      <c r="P1351" s="81" t="str">
        <f>IF(AND('331-CT'!$E$7=TH!H1351,OR(N1351="331",O1351="331")),"x","")</f>
        <v/>
      </c>
      <c r="Q1351" s="81" t="str">
        <f>IF(AND(B1351='111'!$L$11,OR($N1351=$Q$7,$O1351=$Q$7)),"x","")</f>
        <v/>
      </c>
      <c r="R1351" s="81" t="str">
        <f>IF(AND($N1351=$Q$7,$B1351&lt;'111'!$L$11),"x","")</f>
        <v/>
      </c>
      <c r="S1351" s="81" t="str">
        <f>IF(AND($O1351=$Q$7,$B1351&lt;'111'!$L$11),"x","")</f>
        <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row>
    <row r="1352" spans="1:30" ht="15.75" customHeight="1">
      <c r="A1352" s="998" t="str">
        <f>IF(B1352&lt;&gt;"",IF(AND(B1352='IN-TC'!$S$4,OR(TH!N1352="1111",TH!O1352="1111")),TH!D1352,""),"")</f>
        <v/>
      </c>
      <c r="B1352" s="831" t="str">
        <f t="shared" si="330"/>
        <v/>
      </c>
      <c r="C1352" s="63"/>
      <c r="D1352" s="63"/>
      <c r="E1352" s="63"/>
      <c r="F1352" s="71"/>
      <c r="G1352" s="816"/>
      <c r="H1352" s="311"/>
      <c r="I1352" s="405"/>
      <c r="J1352" s="405"/>
      <c r="K1352" s="398"/>
      <c r="L1352" s="405"/>
      <c r="M1352" s="64"/>
      <c r="N1352" s="65"/>
      <c r="O1352" s="65"/>
      <c r="P1352" s="81" t="str">
        <f>IF(AND('331-CT'!$E$7=TH!H1352,OR(N1352="331",O1352="331")),"x","")</f>
        <v/>
      </c>
      <c r="Q1352" s="81" t="str">
        <f>IF(AND(B1352='111'!$L$11,OR($N1352=$Q$7,$O1352=$Q$7)),"x","")</f>
        <v/>
      </c>
      <c r="R1352" s="81" t="str">
        <f>IF(AND($N1352=$Q$7,$B1352&lt;'111'!$L$11),"x","")</f>
        <v/>
      </c>
      <c r="S1352" s="81" t="str">
        <f>IF(AND($O1352=$Q$7,$B1352&lt;'111'!$L$11),"x","")</f>
        <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row>
    <row r="1353" spans="1:30" ht="15.75" customHeight="1">
      <c r="A1353" s="998" t="str">
        <f>IF(B1353&lt;&gt;"",IF(AND(B1353='IN-TC'!$S$4,OR(TH!N1353="1111",TH!O1353="1111")),TH!D1353,""),"")</f>
        <v/>
      </c>
      <c r="B1353" s="831" t="str">
        <f t="shared" ref="B1353:B1354" si="344">IF(C1353&lt;&gt;"",MONTH(C1353),"")</f>
        <v/>
      </c>
      <c r="C1353" s="63"/>
      <c r="D1353" s="63"/>
      <c r="E1353" s="63"/>
      <c r="F1353" s="71"/>
      <c r="G1353" s="816"/>
      <c r="H1353" s="311"/>
      <c r="I1353" s="405"/>
      <c r="J1353" s="405"/>
      <c r="K1353" s="398"/>
      <c r="L1353" s="405"/>
      <c r="M1353" s="64"/>
      <c r="N1353" s="65"/>
      <c r="O1353" s="65"/>
      <c r="P1353" s="81" t="str">
        <f>IF(AND('331-CT'!$E$7=TH!H1353,OR(N1353="331",O1353="331")),"x","")</f>
        <v/>
      </c>
      <c r="Q1353" s="81" t="str">
        <f>IF(AND(B1353='111'!$L$11,OR($N1353=$Q$7,$O1353=$Q$7)),"x","")</f>
        <v/>
      </c>
      <c r="R1353" s="81" t="str">
        <f>IF(AND($N1353=$Q$7,$B1353&lt;'111'!$L$11),"x","")</f>
        <v/>
      </c>
      <c r="S1353" s="81" t="str">
        <f>IF(AND($O1353=$Q$7,$B1353&lt;'111'!$L$11),"x","")</f>
        <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row>
    <row r="1354" spans="1:30" ht="15.75" customHeight="1">
      <c r="A1354" s="998" t="str">
        <f>IF(B1354&lt;&gt;"",IF(AND(B1354='IN-TC'!$S$4,OR(TH!N1354="1111",TH!O1354="1111")),TH!D1354,""),"")</f>
        <v/>
      </c>
      <c r="B1354" s="831" t="str">
        <f t="shared" si="344"/>
        <v/>
      </c>
      <c r="C1354" s="63"/>
      <c r="D1354" s="63"/>
      <c r="E1354" s="63"/>
      <c r="F1354" s="71"/>
      <c r="G1354" s="816"/>
      <c r="H1354" s="311"/>
      <c r="I1354" s="405"/>
      <c r="J1354" s="405"/>
      <c r="K1354" s="398"/>
      <c r="L1354" s="405"/>
      <c r="M1354" s="64"/>
      <c r="N1354" s="65"/>
      <c r="O1354" s="65"/>
      <c r="P1354" s="81" t="str">
        <f>IF(AND('331-CT'!$E$7=TH!H1354,OR(N1354="331",O1354="331")),"x","")</f>
        <v/>
      </c>
      <c r="Q1354" s="81" t="str">
        <f>IF(AND(B1354='111'!$L$11,OR($N1354=$Q$7,$O1354=$Q$7)),"x","")</f>
        <v/>
      </c>
      <c r="R1354" s="81" t="str">
        <f>IF(AND($N1354=$Q$7,$B1354&lt;'111'!$L$11),"x","")</f>
        <v/>
      </c>
      <c r="S1354" s="81" t="str">
        <f>IF(AND($O1354=$Q$7,$B1354&lt;'111'!$L$11),"x","")</f>
        <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row>
    <row r="1355" spans="1:30" ht="15.75" customHeight="1">
      <c r="A1355" s="998" t="str">
        <f>IF(B1355&lt;&gt;"",IF(AND(B1355='IN-TC'!$S$4,OR(TH!N1355="1111",TH!O1355="1111")),TH!D1355,""),"")</f>
        <v/>
      </c>
      <c r="B1355" s="831" t="str">
        <f t="shared" ref="B1355:B1356" si="345">IF(C1355&lt;&gt;"",MONTH(C1355),"")</f>
        <v/>
      </c>
      <c r="C1355" s="63"/>
      <c r="D1355" s="63"/>
      <c r="E1355" s="63"/>
      <c r="F1355" s="71"/>
      <c r="G1355" s="816"/>
      <c r="H1355" s="311"/>
      <c r="I1355" s="405"/>
      <c r="J1355" s="405"/>
      <c r="K1355" s="398"/>
      <c r="L1355" s="405"/>
      <c r="M1355" s="64"/>
      <c r="N1355" s="65"/>
      <c r="O1355" s="65"/>
      <c r="P1355" s="81" t="str">
        <f>IF(AND('331-CT'!$E$7=TH!H1355,OR(N1355="331",O1355="331")),"x","")</f>
        <v/>
      </c>
      <c r="Q1355" s="81" t="str">
        <f>IF(AND(B1355='111'!$L$11,OR($N1355=$Q$7,$O1355=$Q$7)),"x","")</f>
        <v/>
      </c>
      <c r="R1355" s="81" t="str">
        <f>IF(AND($N1355=$Q$7,$B1355&lt;'111'!$L$11),"x","")</f>
        <v/>
      </c>
      <c r="S1355" s="81" t="str">
        <f>IF(AND($O1355=$Q$7,$B1355&lt;'111'!$L$11),"x","")</f>
        <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0" ht="15.75" customHeight="1">
      <c r="A1356" s="998" t="str">
        <f>IF(B1356&lt;&gt;"",IF(AND(B1356='IN-TC'!$S$4,OR(TH!N1356="1111",TH!O1356="1111")),TH!D1356,""),"")</f>
        <v/>
      </c>
      <c r="B1356" s="831" t="str">
        <f t="shared" si="345"/>
        <v/>
      </c>
      <c r="C1356" s="63"/>
      <c r="D1356" s="63"/>
      <c r="E1356" s="63"/>
      <c r="F1356" s="71"/>
      <c r="G1356" s="816"/>
      <c r="H1356" s="311"/>
      <c r="I1356" s="405"/>
      <c r="J1356" s="405"/>
      <c r="K1356" s="398"/>
      <c r="L1356" s="405"/>
      <c r="M1356" s="64"/>
      <c r="N1356" s="65"/>
      <c r="O1356" s="65"/>
      <c r="P1356" s="81" t="str">
        <f>IF(AND('331-CT'!$E$7=TH!H1356,OR(N1356="331",O1356="331")),"x","")</f>
        <v/>
      </c>
      <c r="Q1356" s="81" t="str">
        <f>IF(AND(B1356='111'!$L$11,OR($N1356=$Q$7,$O1356=$Q$7)),"x","")</f>
        <v/>
      </c>
      <c r="R1356" s="81" t="str">
        <f>IF(AND($N1356=$Q$7,$B1356&lt;'111'!$L$11),"x","")</f>
        <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0" ht="15.75" customHeight="1">
      <c r="A1357" s="999" t="str">
        <f>IF(B1357&lt;&gt;"",IF(AND(B1357='IN-TC'!$S$4,OR(TH!N1357="1111",TH!O1357="1111")),TH!D1357,""),"")</f>
        <v/>
      </c>
      <c r="B1357" s="1019" t="str">
        <f>IF(C1357&lt;&gt;"",MONTH(C1357),"")</f>
        <v/>
      </c>
      <c r="C1357" s="63"/>
      <c r="D1357" s="63"/>
      <c r="E1357" s="63"/>
      <c r="F1357" s="71"/>
      <c r="G1357" s="816"/>
      <c r="H1357" s="71"/>
      <c r="I1357" s="405"/>
      <c r="J1357" s="405"/>
      <c r="K1357" s="398"/>
      <c r="L1357" s="405"/>
      <c r="M1357" s="64"/>
      <c r="N1357" s="65"/>
      <c r="O1357" s="65"/>
      <c r="P1357" s="81" t="str">
        <f>IF(AND('331-CT'!$E$7=TH!H1357,OR(N1357="331",O1357="331")),"x","")</f>
        <v/>
      </c>
      <c r="Q1357" s="81" t="str">
        <f>IF(AND(B1357='111'!$L$11,OR($N1357=$Q$7,$O1357=$Q$7)),"x","")</f>
        <v/>
      </c>
      <c r="R1357" s="81" t="str">
        <f>IF(AND($N1357=$Q$7,$B1357&lt;'111'!$L$11),"x","")</f>
        <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0" ht="15.75" customHeight="1">
      <c r="A1358" s="999" t="str">
        <f>IF(B1358&lt;&gt;"",IF(AND(B1358='IN-TC'!$S$4,OR(TH!N1358="1111",TH!O1358="1111")),TH!D1358,""),"")</f>
        <v/>
      </c>
      <c r="B1358" s="1019" t="str">
        <f t="shared" ref="B1358" si="346">IF(C1358&lt;&gt;"",MONTH(C1358),"")</f>
        <v/>
      </c>
      <c r="C1358" s="63"/>
      <c r="D1358" s="63"/>
      <c r="E1358" s="63"/>
      <c r="F1358" s="71"/>
      <c r="G1358" s="816"/>
      <c r="H1358" s="71"/>
      <c r="I1358" s="405"/>
      <c r="J1358" s="405"/>
      <c r="K1358" s="398"/>
      <c r="L1358" s="405"/>
      <c r="M1358" s="64"/>
      <c r="N1358" s="65"/>
      <c r="O1358" s="65"/>
      <c r="P1358" s="81" t="str">
        <f>IF(AND('331-CT'!$E$7=TH!H1358,OR(N1358="331",O1358="331")),"x","")</f>
        <v/>
      </c>
      <c r="Q1358" s="81" t="str">
        <f>IF(AND(B1358='111'!$L$11,OR($N1358=$Q$7,$O1358=$Q$7)),"x","")</f>
        <v/>
      </c>
      <c r="R1358" s="81" t="str">
        <f>IF(AND($N1358=$Q$7,$B1358&lt;'111'!$L$11),"x","")</f>
        <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0" ht="15.75" customHeight="1">
      <c r="A1359" s="999" t="str">
        <f>IF(B1359&lt;&gt;"",IF(AND(B1359='IN-TC'!$S$4,OR(TH!N1359="1111",TH!O1359="1111")),TH!D1359,""),"")</f>
        <v/>
      </c>
      <c r="B1359" s="1019" t="str">
        <f>IF(C1359&lt;&gt;"",MONTH(C1359),"")</f>
        <v/>
      </c>
      <c r="C1359" s="63"/>
      <c r="D1359" s="63"/>
      <c r="E1359" s="63"/>
      <c r="F1359" s="71"/>
      <c r="G1359" s="816"/>
      <c r="H1359" s="71"/>
      <c r="I1359" s="405"/>
      <c r="J1359" s="405"/>
      <c r="K1359" s="398"/>
      <c r="L1359" s="405"/>
      <c r="M1359" s="64"/>
      <c r="N1359" s="65"/>
      <c r="O1359" s="65"/>
      <c r="P1359" s="81" t="str">
        <f>IF(AND('331-CT'!$E$7=TH!H1359,OR(N1359="331",O1359="331")),"x","")</f>
        <v/>
      </c>
      <c r="Q1359" s="81" t="str">
        <f>IF(AND(B1359='111'!$L$11,OR($N1359=$Q$7,$O1359=$Q$7)),"x","")</f>
        <v/>
      </c>
      <c r="R1359" s="81" t="str">
        <f>IF(AND($N1359=$Q$7,$B1359&lt;'111'!$L$11),"x","")</f>
        <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0" ht="15.75" customHeight="1">
      <c r="A1360" s="327" t="str">
        <f>IF(B1360&lt;&gt;"",IF(AND(B1360='IN-TC'!$S$4,OR(TH!N1360="1111",TH!O1360="1111")),TH!D1360,""),"")</f>
        <v/>
      </c>
      <c r="B1360" s="62" t="str">
        <f t="shared" ref="B1360:B1387" si="347">IF(C1360&lt;&gt;"",MONTH(C1360),"")</f>
        <v/>
      </c>
      <c r="C1360" s="1003"/>
      <c r="D1360" s="63"/>
      <c r="E1360" s="63"/>
      <c r="F1360" s="1001"/>
      <c r="G1360" s="66"/>
      <c r="H1360" s="71"/>
      <c r="I1360" s="1002"/>
      <c r="J1360" s="1002"/>
      <c r="K1360" s="400"/>
      <c r="L1360" s="407"/>
      <c r="M1360" s="64"/>
      <c r="N1360" s="65"/>
      <c r="O1360" s="65"/>
      <c r="P1360" s="81" t="str">
        <f>IF(AND('331-CT'!$E$7=TH!H1360,OR(N1360="331",O1360="331")),"x","")</f>
        <v/>
      </c>
      <c r="Q1360" s="81" t="str">
        <f>IF(AND(B1360='111'!$L$11,OR($N1360=$Q$7,$O1360=$Q$7)),"x","")</f>
        <v/>
      </c>
      <c r="R1360" s="81" t="str">
        <f>IF(AND($N1360=$Q$7,$B1360&lt;'111'!$L$11),"x","")</f>
        <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0" ht="15.75" customHeight="1">
      <c r="A1361" s="327" t="str">
        <f>IF(B1361&lt;&gt;"",IF(AND(B1361='IN-TC'!$S$4,OR(TH!N1361="1111",TH!O1361="1111")),TH!D1361,""),"")</f>
        <v/>
      </c>
      <c r="B1361" s="62" t="str">
        <f t="shared" si="347"/>
        <v/>
      </c>
      <c r="C1361" s="1003"/>
      <c r="D1361" s="63"/>
      <c r="E1361" s="63"/>
      <c r="F1361" s="991"/>
      <c r="G1361" s="66"/>
      <c r="H1361" s="71"/>
      <c r="I1361" s="1002"/>
      <c r="J1361" s="1002"/>
      <c r="K1361" s="400"/>
      <c r="L1361" s="407"/>
      <c r="M1361" s="64"/>
      <c r="N1361" s="65"/>
      <c r="O1361" s="65"/>
      <c r="P1361" s="81" t="str">
        <f>IF(AND('331-CT'!$E$7=TH!H1361,OR(N1361="331",O1361="331")),"x","")</f>
        <v/>
      </c>
      <c r="Q1361" s="81" t="str">
        <f>IF(AND(B1361='111'!$L$11,OR($N1361=$Q$7,$O1361=$Q$7)),"x","")</f>
        <v/>
      </c>
      <c r="R1361" s="81" t="str">
        <f>IF(AND($N1361=$Q$7,$B1361&lt;'111'!$L$11),"x","")</f>
        <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0" ht="15.75" customHeight="1">
      <c r="A1362" s="327" t="str">
        <f>IF(B1362&lt;&gt;"",IF(AND(B1362='IN-TC'!$S$4,OR(TH!N1362="1111",TH!O1362="1111")),TH!D1362,""),"")</f>
        <v/>
      </c>
      <c r="B1362" s="62" t="str">
        <f t="shared" si="347"/>
        <v/>
      </c>
      <c r="C1362" s="1003"/>
      <c r="D1362" s="63"/>
      <c r="E1362" s="63"/>
      <c r="F1362" s="991"/>
      <c r="G1362" s="66"/>
      <c r="H1362" s="71"/>
      <c r="I1362" s="1002"/>
      <c r="J1362" s="1002"/>
      <c r="K1362" s="400"/>
      <c r="L1362" s="407"/>
      <c r="M1362" s="64"/>
      <c r="N1362" s="65"/>
      <c r="O1362" s="65"/>
      <c r="P1362" s="81" t="str">
        <f>IF(AND('331-CT'!$E$7=TH!H1362,OR(N1362="331",O1362="331")),"x","")</f>
        <v/>
      </c>
      <c r="Q1362" s="81" t="str">
        <f>IF(AND(B1362='111'!$L$11,OR($N1362=$Q$7,$O1362=$Q$7)),"x","")</f>
        <v/>
      </c>
      <c r="R1362" s="81" t="str">
        <f>IF(AND($N1362=$Q$7,$B1362&lt;'111'!$L$11),"x","")</f>
        <v/>
      </c>
      <c r="S1362" s="81" t="str">
        <f>IF(AND($O1362=$Q$7,$B1362&lt;'111'!$L$11),"x","")</f>
        <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0" ht="15.75" customHeight="1">
      <c r="A1363" s="327" t="str">
        <f>IF(B1363&lt;&gt;"",IF(AND(B1363='IN-TC'!$S$4,OR(TH!N1363="1111",TH!O1363="1111")),TH!D1363,""),"")</f>
        <v/>
      </c>
      <c r="B1363" s="62" t="str">
        <f t="shared" si="347"/>
        <v/>
      </c>
      <c r="C1363" s="1003"/>
      <c r="D1363" s="63"/>
      <c r="E1363" s="63"/>
      <c r="F1363" s="991"/>
      <c r="G1363" s="66"/>
      <c r="H1363" s="71"/>
      <c r="I1363" s="1002"/>
      <c r="J1363" s="1002"/>
      <c r="K1363" s="400"/>
      <c r="L1363" s="407"/>
      <c r="M1363" s="64"/>
      <c r="N1363" s="65"/>
      <c r="O1363" s="65"/>
      <c r="P1363" s="81" t="str">
        <f>IF(AND('331-CT'!$E$7=TH!H1363,OR(N1363="331",O1363="331")),"x","")</f>
        <v/>
      </c>
      <c r="Q1363" s="81" t="str">
        <f>IF(AND(B1363='111'!$L$11,OR($N1363=$Q$7,$O1363=$Q$7)),"x","")</f>
        <v/>
      </c>
      <c r="R1363" s="81" t="str">
        <f>IF(AND($N1363=$Q$7,$B1363&lt;'111'!$L$11),"x","")</f>
        <v/>
      </c>
      <c r="S1363" s="81" t="str">
        <f>IF(AND($O1363=$Q$7,$B1363&lt;'111'!$L$11),"x","")</f>
        <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row>
    <row r="1364" spans="1:30" ht="15.75" customHeight="1">
      <c r="A1364" s="327" t="str">
        <f>IF(B1364&lt;&gt;"",IF(AND(B1364='IN-TC'!$S$4,OR(TH!N1364="1111",TH!O1364="1111")),TH!D1364,""),"")</f>
        <v/>
      </c>
      <c r="B1364" s="62" t="str">
        <f t="shared" si="347"/>
        <v/>
      </c>
      <c r="C1364" s="1003"/>
      <c r="D1364" s="63"/>
      <c r="E1364" s="63"/>
      <c r="F1364" s="991"/>
      <c r="G1364" s="66"/>
      <c r="H1364" s="71"/>
      <c r="I1364" s="1002"/>
      <c r="J1364" s="1002"/>
      <c r="K1364" s="400"/>
      <c r="L1364" s="407"/>
      <c r="M1364" s="64"/>
      <c r="N1364" s="65"/>
      <c r="O1364" s="65"/>
      <c r="P1364" s="81" t="str">
        <f>IF(AND('331-CT'!$E$7=TH!H1364,OR(N1364="331",O1364="331")),"x","")</f>
        <v/>
      </c>
      <c r="Q1364" s="81" t="str">
        <f>IF(AND(B1364='111'!$L$11,OR($N1364=$Q$7,$O1364=$Q$7)),"x","")</f>
        <v/>
      </c>
      <c r="R1364" s="81" t="str">
        <f>IF(AND($N1364=$Q$7,$B1364&lt;'111'!$L$11),"x","")</f>
        <v/>
      </c>
      <c r="S1364" s="81" t="str">
        <f>IF(AND($O1364=$Q$7,$B1364&lt;'111'!$L$11),"x","")</f>
        <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row>
    <row r="1365" spans="1:30" ht="15.75" customHeight="1">
      <c r="A1365" s="327" t="str">
        <f>IF(B1365&lt;&gt;"",IF(AND(B1365='IN-TC'!$S$4,OR(TH!N1365="1111",TH!O1365="1111")),TH!D1365,""),"")</f>
        <v/>
      </c>
      <c r="B1365" s="62" t="str">
        <f t="shared" si="347"/>
        <v/>
      </c>
      <c r="C1365" s="1003"/>
      <c r="D1365" s="63"/>
      <c r="E1365" s="63"/>
      <c r="F1365" s="991"/>
      <c r="G1365" s="66"/>
      <c r="H1365" s="71"/>
      <c r="I1365" s="1002"/>
      <c r="J1365" s="1006"/>
      <c r="K1365" s="400"/>
      <c r="L1365" s="407"/>
      <c r="M1365" s="64"/>
      <c r="N1365" s="65"/>
      <c r="O1365" s="65"/>
      <c r="P1365" s="81" t="str">
        <f>IF(AND('331-CT'!$E$7=TH!H1365,OR(N1365="331",O1365="331")),"x","")</f>
        <v/>
      </c>
      <c r="Q1365" s="81" t="str">
        <f>IF(AND(B1365='111'!$L$11,OR($N1365=$Q$7,$O1365=$Q$7)),"x","")</f>
        <v/>
      </c>
      <c r="R1365" s="81" t="str">
        <f>IF(AND($N1365=$Q$7,$B1365&lt;'111'!$L$11),"x","")</f>
        <v/>
      </c>
      <c r="S1365" s="81" t="str">
        <f>IF(AND($O1365=$Q$7,$B1365&lt;'111'!$L$11),"x","")</f>
        <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row>
    <row r="1366" spans="1:30" ht="15.75" customHeight="1">
      <c r="A1366" s="327" t="str">
        <f>IF(B1366&lt;&gt;"",IF(AND(B1366='IN-TC'!$S$4,OR(TH!N1366="1111",TH!O1366="1111")),TH!D1366,""),"")</f>
        <v/>
      </c>
      <c r="B1366" s="62" t="str">
        <f t="shared" si="347"/>
        <v/>
      </c>
      <c r="C1366" s="1003"/>
      <c r="D1366" s="63"/>
      <c r="E1366" s="63"/>
      <c r="F1366" s="991"/>
      <c r="G1366" s="66"/>
      <c r="H1366" s="71"/>
      <c r="I1366" s="1002"/>
      <c r="J1366" s="1002"/>
      <c r="K1366" s="400"/>
      <c r="L1366" s="407"/>
      <c r="M1366" s="64"/>
      <c r="N1366" s="65"/>
      <c r="O1366" s="65"/>
      <c r="P1366" s="81" t="str">
        <f>IF(AND('331-CT'!$E$7=TH!H1366,OR(N1366="331",O1366="331")),"x","")</f>
        <v/>
      </c>
      <c r="Q1366" s="81" t="str">
        <f>IF(AND(B1366='111'!$L$11,OR($N1366=$Q$7,$O1366=$Q$7)),"x","")</f>
        <v/>
      </c>
      <c r="R1366" s="81" t="str">
        <f>IF(AND($N1366=$Q$7,$B1366&lt;'111'!$L$11),"x","")</f>
        <v/>
      </c>
      <c r="S1366" s="81" t="str">
        <f>IF(AND($O1366=$Q$7,$B1366&lt;'111'!$L$11),"x","")</f>
        <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row>
    <row r="1367" spans="1:30" ht="15.75" customHeight="1">
      <c r="A1367" s="327" t="str">
        <f>IF(B1367&lt;&gt;"",IF(AND(B1367='IN-TC'!$S$4,OR(TH!N1367="1111",TH!O1367="1111")),TH!D1367,""),"")</f>
        <v/>
      </c>
      <c r="B1367" s="62" t="str">
        <f t="shared" si="347"/>
        <v/>
      </c>
      <c r="C1367" s="1003"/>
      <c r="D1367" s="63"/>
      <c r="E1367" s="63"/>
      <c r="F1367" s="1008"/>
      <c r="G1367" s="66"/>
      <c r="H1367" s="71"/>
      <c r="I1367" s="1009"/>
      <c r="J1367" s="1009"/>
      <c r="K1367" s="400"/>
      <c r="L1367" s="407"/>
      <c r="M1367" s="64"/>
      <c r="N1367" s="65"/>
      <c r="O1367" s="65"/>
      <c r="P1367" s="81" t="str">
        <f>IF(AND('331-CT'!$E$7=TH!H1367,OR(N1367="331",O1367="331")),"x","")</f>
        <v/>
      </c>
      <c r="Q1367" s="81" t="str">
        <f>IF(AND(B1367='111'!$L$11,OR($N1367=$Q$7,$O1367=$Q$7)),"x","")</f>
        <v/>
      </c>
      <c r="R1367" s="81" t="str">
        <f>IF(AND($N1367=$Q$7,$B1367&lt;'111'!$L$11),"x","")</f>
        <v/>
      </c>
      <c r="S1367" s="81" t="str">
        <f>IF(AND($O1367=$Q$7,$B1367&lt;'111'!$L$11),"x","")</f>
        <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row>
    <row r="1368" spans="1:30" ht="15.75" customHeight="1">
      <c r="A1368" s="327" t="str">
        <f>IF(B1368&lt;&gt;"",IF(AND(B1368='IN-TC'!$S$4,OR(TH!N1368="1111",TH!O1368="1111")),TH!D1368,""),"")</f>
        <v/>
      </c>
      <c r="B1368" s="62" t="str">
        <f t="shared" ref="B1368:B1377" si="348">IF(C1368&lt;&gt;"",MONTH(C1368),"")</f>
        <v/>
      </c>
      <c r="C1368" s="1003"/>
      <c r="D1368" s="63"/>
      <c r="E1368" s="63"/>
      <c r="F1368" s="991"/>
      <c r="G1368" s="66"/>
      <c r="H1368" s="71"/>
      <c r="I1368" s="1010"/>
      <c r="J1368" s="1010"/>
      <c r="K1368" s="400"/>
      <c r="L1368" s="407"/>
      <c r="M1368" s="64"/>
      <c r="N1368" s="65"/>
      <c r="O1368" s="65"/>
      <c r="P1368" s="81" t="str">
        <f>IF(AND('331-CT'!$E$7=TH!H1368,OR(N1368="331",O1368="331")),"x","")</f>
        <v/>
      </c>
      <c r="Q1368" s="81" t="str">
        <f>IF(AND(B1368='111'!$L$11,OR($N1368=$Q$7,$O1368=$Q$7)),"x","")</f>
        <v/>
      </c>
      <c r="R1368" s="81" t="str">
        <f>IF(AND($N1368=$Q$7,$B1368&lt;'111'!$L$11),"x","")</f>
        <v/>
      </c>
      <c r="S1368" s="81" t="str">
        <f>IF(AND($O1368=$Q$7,$B1368&lt;'111'!$L$11),"x","")</f>
        <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row>
    <row r="1369" spans="1:30" ht="15.75" customHeight="1">
      <c r="A1369" s="327" t="str">
        <f>IF(B1369&lt;&gt;"",IF(AND(B1369='IN-TC'!$S$4,OR(TH!N1369="1111",TH!O1369="1111")),TH!D1369,""),"")</f>
        <v/>
      </c>
      <c r="B1369" s="62" t="str">
        <f t="shared" si="348"/>
        <v/>
      </c>
      <c r="C1369" s="1003"/>
      <c r="D1369" s="63"/>
      <c r="E1369" s="63"/>
      <c r="F1369" s="991"/>
      <c r="G1369" s="66"/>
      <c r="H1369" s="71"/>
      <c r="I1369" s="1010"/>
      <c r="J1369" s="1010"/>
      <c r="K1369" s="400"/>
      <c r="L1369" s="407"/>
      <c r="M1369" s="64"/>
      <c r="N1369" s="65"/>
      <c r="O1369" s="65"/>
      <c r="P1369" s="81" t="str">
        <f>IF(AND('331-CT'!$E$7=TH!H1369,OR(N1369="331",O1369="331")),"x","")</f>
        <v/>
      </c>
      <c r="Q1369" s="81" t="str">
        <f>IF(AND(B1369='111'!$L$11,OR($N1369=$Q$7,$O1369=$Q$7)),"x","")</f>
        <v/>
      </c>
      <c r="R1369" s="81" t="str">
        <f>IF(AND($N1369=$Q$7,$B1369&lt;'111'!$L$11),"x","")</f>
        <v/>
      </c>
      <c r="S1369" s="81" t="str">
        <f>IF(AND($O1369=$Q$7,$B1369&lt;'111'!$L$11),"x","")</f>
        <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row>
    <row r="1370" spans="1:30" ht="15.75" customHeight="1">
      <c r="A1370" s="327" t="str">
        <f>IF(B1370&lt;&gt;"",IF(AND(B1370='IN-TC'!$S$4,OR(TH!N1370="1111",TH!O1370="1111")),TH!D1370,""),"")</f>
        <v/>
      </c>
      <c r="B1370" s="62" t="str">
        <f t="shared" si="348"/>
        <v/>
      </c>
      <c r="C1370" s="1003"/>
      <c r="D1370" s="63"/>
      <c r="E1370" s="63"/>
      <c r="F1370" s="991"/>
      <c r="G1370" s="66"/>
      <c r="H1370" s="71"/>
      <c r="I1370" s="1010"/>
      <c r="J1370" s="1010"/>
      <c r="K1370" s="400"/>
      <c r="L1370" s="407"/>
      <c r="M1370" s="64"/>
      <c r="N1370" s="65"/>
      <c r="O1370" s="65"/>
      <c r="P1370" s="81" t="str">
        <f>IF(AND('331-CT'!$E$7=TH!H1370,OR(N1370="331",O1370="331")),"x","")</f>
        <v/>
      </c>
      <c r="Q1370" s="81" t="str">
        <f>IF(AND(B1370='111'!$L$11,OR($N1370=$Q$7,$O1370=$Q$7)),"x","")</f>
        <v/>
      </c>
      <c r="R1370" s="81" t="str">
        <f>IF(AND($N1370=$Q$7,$B1370&lt;'111'!$L$11),"x","")</f>
        <v/>
      </c>
      <c r="S1370" s="81" t="str">
        <f>IF(AND($O1370=$Q$7,$B1370&lt;'111'!$L$11),"x","")</f>
        <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row>
    <row r="1371" spans="1:30" ht="15.75" customHeight="1">
      <c r="A1371" s="327" t="str">
        <f>IF(B1371&lt;&gt;"",IF(AND(B1371='IN-TC'!$S$4,OR(TH!N1371="1111",TH!O1371="1111")),TH!D1371,""),"")</f>
        <v/>
      </c>
      <c r="B1371" s="62" t="str">
        <f t="shared" si="348"/>
        <v/>
      </c>
      <c r="C1371" s="1003"/>
      <c r="D1371" s="63"/>
      <c r="E1371" s="63"/>
      <c r="F1371" s="991"/>
      <c r="G1371" s="66"/>
      <c r="H1371" s="71"/>
      <c r="I1371" s="1010"/>
      <c r="J1371" s="1010"/>
      <c r="K1371" s="400"/>
      <c r="L1371" s="407"/>
      <c r="M1371" s="64"/>
      <c r="N1371" s="65"/>
      <c r="O1371" s="65"/>
      <c r="P1371" s="81" t="str">
        <f>IF(AND('331-CT'!$E$7=TH!H1371,OR(N1371="331",O1371="331")),"x","")</f>
        <v/>
      </c>
      <c r="Q1371" s="81" t="str">
        <f>IF(AND(B1371='111'!$L$11,OR($N1371=$Q$7,$O1371=$Q$7)),"x","")</f>
        <v/>
      </c>
      <c r="R1371" s="81" t="str">
        <f>IF(AND($N1371=$Q$7,$B1371&lt;'111'!$L$11),"x","")</f>
        <v/>
      </c>
      <c r="S1371" s="81" t="str">
        <f>IF(AND($O1371=$Q$7,$B1371&lt;'111'!$L$11),"x","")</f>
        <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row>
    <row r="1372" spans="1:30" ht="15.75" customHeight="1">
      <c r="A1372" s="327" t="str">
        <f>IF(B1372&lt;&gt;"",IF(AND(B1372='IN-TC'!$S$4,OR(TH!N1372="1111",TH!O1372="1111")),TH!D1372,""),"")</f>
        <v/>
      </c>
      <c r="B1372" s="62" t="str">
        <f t="shared" si="348"/>
        <v/>
      </c>
      <c r="C1372" s="1003"/>
      <c r="D1372" s="63"/>
      <c r="E1372" s="63"/>
      <c r="F1372" s="991"/>
      <c r="G1372" s="66"/>
      <c r="H1372" s="71"/>
      <c r="I1372" s="1010"/>
      <c r="J1372" s="1010"/>
      <c r="K1372" s="400"/>
      <c r="L1372" s="407"/>
      <c r="M1372" s="64"/>
      <c r="N1372" s="65"/>
      <c r="O1372" s="65"/>
      <c r="P1372" s="81" t="str">
        <f>IF(AND('331-CT'!$E$7=TH!H1372,OR(N1372="331",O1372="331")),"x","")</f>
        <v/>
      </c>
      <c r="Q1372" s="81" t="str">
        <f>IF(AND(B1372='111'!$L$11,OR($N1372=$Q$7,$O1372=$Q$7)),"x","")</f>
        <v/>
      </c>
      <c r="R1372" s="81" t="str">
        <f>IF(AND($N1372=$Q$7,$B1372&lt;'111'!$L$11),"x","")</f>
        <v/>
      </c>
      <c r="S1372" s="81" t="str">
        <f>IF(AND($O1372=$Q$7,$B1372&lt;'111'!$L$11),"x","")</f>
        <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row>
    <row r="1373" spans="1:30" ht="15.75" customHeight="1">
      <c r="A1373" s="327" t="str">
        <f>IF(B1373&lt;&gt;"",IF(AND(B1373='IN-TC'!$S$4,OR(TH!N1373="1111",TH!O1373="1111")),TH!D1373,""),"")</f>
        <v/>
      </c>
      <c r="B1373" s="62" t="str">
        <f t="shared" si="348"/>
        <v/>
      </c>
      <c r="C1373" s="1003"/>
      <c r="D1373" s="63"/>
      <c r="E1373" s="63"/>
      <c r="F1373" s="1005"/>
      <c r="G1373" s="66"/>
      <c r="H1373" s="71"/>
      <c r="I1373" s="1010"/>
      <c r="J1373" s="1010"/>
      <c r="K1373" s="400"/>
      <c r="L1373" s="407"/>
      <c r="M1373" s="64"/>
      <c r="N1373" s="65"/>
      <c r="O1373" s="65"/>
      <c r="P1373" s="81" t="str">
        <f>IF(AND('331-CT'!$E$7=TH!H1373,OR(N1373="331",O1373="331")),"x","")</f>
        <v/>
      </c>
      <c r="Q1373" s="81" t="str">
        <f>IF(AND(B1373='111'!$L$11,OR($N1373=$Q$7,$O1373=$Q$7)),"x","")</f>
        <v/>
      </c>
      <c r="R1373" s="81" t="str">
        <f>IF(AND($N1373=$Q$7,$B1373&lt;'111'!$L$11),"x","")</f>
        <v/>
      </c>
      <c r="S1373" s="81" t="str">
        <f>IF(AND($O1373=$Q$7,$B1373&lt;'111'!$L$11),"x","")</f>
        <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row>
    <row r="1374" spans="1:30" ht="15.75" customHeight="1">
      <c r="A1374" s="327" t="str">
        <f>IF(B1374&lt;&gt;"",IF(AND(B1374='IN-TC'!$S$4,OR(TH!N1374="1111",TH!O1374="1111")),TH!D1374,""),"")</f>
        <v/>
      </c>
      <c r="B1374" s="62" t="str">
        <f t="shared" si="348"/>
        <v/>
      </c>
      <c r="C1374" s="1003"/>
      <c r="D1374" s="63"/>
      <c r="E1374" s="63"/>
      <c r="F1374" s="991"/>
      <c r="G1374" s="66"/>
      <c r="H1374" s="71"/>
      <c r="I1374" s="1010"/>
      <c r="J1374" s="1010"/>
      <c r="K1374" s="400"/>
      <c r="L1374" s="407"/>
      <c r="M1374" s="64"/>
      <c r="N1374" s="65"/>
      <c r="O1374" s="65"/>
      <c r="P1374" s="81" t="str">
        <f>IF(AND('331-CT'!$E$7=TH!H1374,OR(N1374="331",O1374="331")),"x","")</f>
        <v/>
      </c>
      <c r="Q1374" s="81" t="str">
        <f>IF(AND(B1374='111'!$L$11,OR($N1374=$Q$7,$O1374=$Q$7)),"x","")</f>
        <v/>
      </c>
      <c r="R1374" s="81" t="str">
        <f>IF(AND($N1374=$Q$7,$B1374&lt;'111'!$L$11),"x","")</f>
        <v/>
      </c>
      <c r="S1374" s="81" t="str">
        <f>IF(AND($O1374=$Q$7,$B1374&lt;'111'!$L$11),"x","")</f>
        <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row>
    <row r="1375" spans="1:30" ht="15.75" customHeight="1">
      <c r="A1375" s="327" t="str">
        <f>IF(B1375&lt;&gt;"",IF(AND(B1375='IN-TC'!$S$4,OR(TH!N1375="1111",TH!O1375="1111")),TH!D1375,""),"")</f>
        <v/>
      </c>
      <c r="B1375" s="62" t="str">
        <f t="shared" si="348"/>
        <v/>
      </c>
      <c r="C1375" s="1003"/>
      <c r="D1375" s="63"/>
      <c r="E1375" s="63"/>
      <c r="F1375" s="1005"/>
      <c r="G1375" s="66"/>
      <c r="H1375" s="71"/>
      <c r="I1375" s="1010"/>
      <c r="J1375" s="1010"/>
      <c r="K1375" s="400"/>
      <c r="L1375" s="407"/>
      <c r="M1375" s="64"/>
      <c r="N1375" s="65"/>
      <c r="O1375" s="65"/>
      <c r="P1375" s="81" t="str">
        <f>IF(AND('331-CT'!$E$7=TH!H1375,OR(N1375="331",O1375="331")),"x","")</f>
        <v/>
      </c>
      <c r="Q1375" s="81" t="str">
        <f>IF(AND(B1375='111'!$L$11,OR($N1375=$Q$7,$O1375=$Q$7)),"x","")</f>
        <v/>
      </c>
      <c r="R1375" s="81" t="str">
        <f>IF(AND($N1375=$Q$7,$B1375&lt;'111'!$L$11),"x","")</f>
        <v/>
      </c>
      <c r="S1375" s="81" t="str">
        <f>IF(AND($O1375=$Q$7,$B1375&lt;'111'!$L$11),"x","")</f>
        <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row>
    <row r="1376" spans="1:30" ht="15.75" customHeight="1">
      <c r="A1376" s="327" t="str">
        <f>IF(B1376&lt;&gt;"",IF(AND(B1376='IN-TC'!$S$4,OR(TH!N1376="1111",TH!O1376="1111")),TH!D1376,""),"")</f>
        <v/>
      </c>
      <c r="B1376" s="62" t="str">
        <f t="shared" si="348"/>
        <v/>
      </c>
      <c r="C1376" s="1003"/>
      <c r="D1376" s="63"/>
      <c r="E1376" s="63"/>
      <c r="F1376" s="1008"/>
      <c r="G1376" s="66"/>
      <c r="H1376" s="71"/>
      <c r="I1376" s="1010"/>
      <c r="J1376" s="1010"/>
      <c r="K1376" s="400"/>
      <c r="L1376" s="407"/>
      <c r="M1376" s="64"/>
      <c r="N1376" s="65"/>
      <c r="O1376" s="65"/>
      <c r="P1376" s="81" t="str">
        <f>IF(AND('331-CT'!$E$7=TH!H1376,OR(N1376="331",O1376="331")),"x","")</f>
        <v/>
      </c>
      <c r="Q1376" s="81" t="str">
        <f>IF(AND(B1376='111'!$L$11,OR($N1376=$Q$7,$O1376=$Q$7)),"x","")</f>
        <v/>
      </c>
      <c r="R1376" s="81" t="str">
        <f>IF(AND($N1376=$Q$7,$B1376&lt;'111'!$L$11),"x","")</f>
        <v/>
      </c>
      <c r="S1376" s="81" t="str">
        <f>IF(AND($O1376=$Q$7,$B1376&lt;'111'!$L$11),"x","")</f>
        <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row>
    <row r="1377" spans="1:30" ht="15.75" customHeight="1">
      <c r="A1377" s="327" t="str">
        <f>IF(B1377&lt;&gt;"",IF(AND(B1377='IN-TC'!$S$4,OR(TH!N1377="1111",TH!O1377="1111")),TH!D1377,""),"")</f>
        <v/>
      </c>
      <c r="B1377" s="62" t="str">
        <f t="shared" si="348"/>
        <v/>
      </c>
      <c r="C1377" s="1003"/>
      <c r="D1377" s="63"/>
      <c r="E1377" s="63"/>
      <c r="F1377" s="1005"/>
      <c r="G1377" s="66"/>
      <c r="H1377" s="71"/>
      <c r="I1377" s="1010"/>
      <c r="J1377" s="1010"/>
      <c r="K1377" s="400"/>
      <c r="L1377" s="407"/>
      <c r="M1377" s="64"/>
      <c r="N1377" s="65"/>
      <c r="O1377" s="65"/>
      <c r="P1377" s="81" t="str">
        <f>IF(AND('331-CT'!$E$7=TH!H1377,OR(N1377="331",O1377="331")),"x","")</f>
        <v/>
      </c>
      <c r="Q1377" s="81" t="str">
        <f>IF(AND(B1377='111'!$L$11,OR($N1377=$Q$7,$O1377=$Q$7)),"x","")</f>
        <v/>
      </c>
      <c r="R1377" s="81" t="str">
        <f>IF(AND($N1377=$Q$7,$B1377&lt;'111'!$L$11),"x","")</f>
        <v/>
      </c>
      <c r="S1377" s="81" t="str">
        <f>IF(AND($O1377=$Q$7,$B1377&lt;'111'!$L$11),"x","")</f>
        <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row>
    <row r="1378" spans="1:30" ht="15.75" customHeight="1">
      <c r="A1378" s="327" t="str">
        <f>IF(B1378&lt;&gt;"",IF(AND(B1378='IN-TC'!$S$4,OR(TH!N1378="1111",TH!O1378="1111")),TH!D1378,""),"")</f>
        <v/>
      </c>
      <c r="B1378" s="62" t="str">
        <f t="shared" si="347"/>
        <v/>
      </c>
      <c r="C1378" s="1003"/>
      <c r="D1378" s="63"/>
      <c r="E1378" s="63"/>
      <c r="F1378" s="991"/>
      <c r="G1378" s="66"/>
      <c r="H1378" s="71"/>
      <c r="I1378" s="1010"/>
      <c r="J1378" s="1010"/>
      <c r="K1378" s="400"/>
      <c r="L1378" s="407"/>
      <c r="M1378" s="64"/>
      <c r="N1378" s="65"/>
      <c r="O1378" s="65"/>
      <c r="P1378" s="81" t="str">
        <f>IF(AND('331-CT'!$E$7=TH!H1378,OR(N1378="331",O1378="331")),"x","")</f>
        <v/>
      </c>
      <c r="Q1378" s="81" t="str">
        <f>IF(AND(B1378='111'!$L$11,OR($N1378=$Q$7,$O1378=$Q$7)),"x","")</f>
        <v/>
      </c>
      <c r="R1378" s="81" t="str">
        <f>IF(AND($N1378=$Q$7,$B1378&lt;'111'!$L$11),"x","")</f>
        <v/>
      </c>
      <c r="S1378" s="81" t="str">
        <f>IF(AND($O1378=$Q$7,$B1378&lt;'111'!$L$11),"x","")</f>
        <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row>
    <row r="1379" spans="1:30" ht="15.75" customHeight="1">
      <c r="A1379" s="327" t="str">
        <f>IF(B1379&lt;&gt;"",IF(AND(B1379='IN-TC'!$S$4,OR(TH!N1379="1111",TH!O1379="1111")),TH!D1379,""),"")</f>
        <v/>
      </c>
      <c r="B1379" s="62" t="str">
        <f t="shared" si="347"/>
        <v/>
      </c>
      <c r="C1379" s="1003"/>
      <c r="D1379" s="63"/>
      <c r="E1379" s="63"/>
      <c r="F1379" s="991"/>
      <c r="G1379" s="66"/>
      <c r="H1379" s="71"/>
      <c r="I1379" s="1010"/>
      <c r="J1379" s="1010"/>
      <c r="K1379" s="400"/>
      <c r="L1379" s="407"/>
      <c r="M1379" s="64"/>
      <c r="N1379" s="65"/>
      <c r="O1379" s="65"/>
      <c r="P1379" s="81" t="str">
        <f>IF(AND('331-CT'!$E$7=TH!H1379,OR(N1379="331",O1379="331")),"x","")</f>
        <v/>
      </c>
      <c r="Q1379" s="81" t="str">
        <f>IF(AND(B1379='111'!$L$11,OR($N1379=$Q$7,$O1379=$Q$7)),"x","")</f>
        <v/>
      </c>
      <c r="R1379" s="81" t="str">
        <f>IF(AND($N1379=$Q$7,$B1379&lt;'111'!$L$11),"x","")</f>
        <v/>
      </c>
      <c r="S1379" s="81" t="str">
        <f>IF(AND($O1379=$Q$7,$B1379&lt;'111'!$L$11),"x","")</f>
        <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row>
    <row r="1380" spans="1:30" ht="15.75" customHeight="1">
      <c r="A1380" s="327" t="str">
        <f>IF(B1380&lt;&gt;"",IF(AND(B1380='IN-TC'!$S$4,OR(TH!N1380="1111",TH!O1380="1111")),TH!D1380,""),"")</f>
        <v/>
      </c>
      <c r="B1380" s="62" t="str">
        <f t="shared" si="347"/>
        <v/>
      </c>
      <c r="C1380" s="1003"/>
      <c r="D1380" s="63"/>
      <c r="E1380" s="63"/>
      <c r="F1380" s="991"/>
      <c r="G1380" s="66"/>
      <c r="H1380" s="71"/>
      <c r="I1380" s="1010"/>
      <c r="J1380" s="1010"/>
      <c r="K1380" s="400"/>
      <c r="L1380" s="407"/>
      <c r="M1380" s="64"/>
      <c r="N1380" s="65"/>
      <c r="O1380" s="65"/>
      <c r="P1380" s="81" t="str">
        <f>IF(AND('331-CT'!$E$7=TH!H1380,OR(N1380="331",O1380="331")),"x","")</f>
        <v/>
      </c>
      <c r="Q1380" s="81" t="str">
        <f>IF(AND(B1380='111'!$L$11,OR($N1380=$Q$7,$O1380=$Q$7)),"x","")</f>
        <v/>
      </c>
      <c r="R1380" s="81" t="str">
        <f>IF(AND($N1380=$Q$7,$B1380&lt;'111'!$L$11),"x","")</f>
        <v/>
      </c>
      <c r="S1380" s="81" t="str">
        <f>IF(AND($O1380=$Q$7,$B1380&lt;'111'!$L$11),"x","")</f>
        <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0" ht="15.75" customHeight="1">
      <c r="A1381" s="327" t="str">
        <f>IF(B1381&lt;&gt;"",IF(AND(B1381='IN-TC'!$S$4,OR(TH!N1381="1111",TH!O1381="1111")),TH!D1381,""),"")</f>
        <v/>
      </c>
      <c r="B1381" s="62" t="str">
        <f t="shared" si="347"/>
        <v/>
      </c>
      <c r="C1381" s="1003"/>
      <c r="D1381" s="63"/>
      <c r="E1381" s="63"/>
      <c r="F1381" s="991"/>
      <c r="G1381" s="66"/>
      <c r="H1381" s="71"/>
      <c r="I1381" s="1010"/>
      <c r="J1381" s="1010"/>
      <c r="K1381" s="400"/>
      <c r="L1381" s="407"/>
      <c r="M1381" s="64"/>
      <c r="N1381" s="65"/>
      <c r="O1381" s="65"/>
      <c r="P1381" s="81" t="str">
        <f>IF(AND('331-CT'!$E$7=TH!H1381,OR(N1381="331",O1381="331")),"x","")</f>
        <v/>
      </c>
      <c r="Q1381" s="81" t="str">
        <f>IF(AND(B1381='111'!$L$11,OR($N1381=$Q$7,$O1381=$Q$7)),"x","")</f>
        <v/>
      </c>
      <c r="R1381" s="81" t="str">
        <f>IF(AND($N1381=$Q$7,$B1381&lt;'111'!$L$11),"x","")</f>
        <v/>
      </c>
      <c r="S1381" s="81" t="str">
        <f>IF(AND($O1381=$Q$7,$B1381&lt;'111'!$L$11),"x","")</f>
        <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row>
    <row r="1382" spans="1:30" ht="15.75" customHeight="1">
      <c r="A1382" s="327" t="str">
        <f>IF(B1382&lt;&gt;"",IF(AND(B1382='IN-TC'!$S$4,OR(TH!N1382="1111",TH!O1382="1111")),TH!D1382,""),"")</f>
        <v/>
      </c>
      <c r="B1382" s="62" t="str">
        <f t="shared" si="347"/>
        <v/>
      </c>
      <c r="C1382" s="1003"/>
      <c r="D1382" s="63"/>
      <c r="E1382" s="63"/>
      <c r="F1382" s="991"/>
      <c r="G1382" s="66"/>
      <c r="H1382" s="71"/>
      <c r="I1382" s="1010"/>
      <c r="J1382" s="1010"/>
      <c r="K1382" s="400"/>
      <c r="L1382" s="407"/>
      <c r="M1382" s="64"/>
      <c r="N1382" s="65"/>
      <c r="O1382" s="65"/>
      <c r="P1382" s="81" t="str">
        <f>IF(AND('331-CT'!$E$7=TH!H1382,OR(N1382="331",O1382="331")),"x","")</f>
        <v/>
      </c>
      <c r="Q1382" s="81" t="str">
        <f>IF(AND(B1382='111'!$L$11,OR($N1382=$Q$7,$O1382=$Q$7)),"x","")</f>
        <v/>
      </c>
      <c r="R1382" s="81" t="str">
        <f>IF(AND($N1382=$Q$7,$B1382&lt;'111'!$L$11),"x","")</f>
        <v/>
      </c>
      <c r="S1382" s="81" t="str">
        <f>IF(AND($O1382=$Q$7,$B1382&lt;'111'!$L$11),"x","")</f>
        <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row>
    <row r="1383" spans="1:30" ht="15.75" customHeight="1">
      <c r="A1383" s="327" t="str">
        <f>IF(B1383&lt;&gt;"",IF(AND(B1383='IN-TC'!$S$4,OR(TH!N1383="1111",TH!O1383="1111")),TH!D1383,""),"")</f>
        <v/>
      </c>
      <c r="B1383" s="62" t="str">
        <f t="shared" si="347"/>
        <v/>
      </c>
      <c r="C1383" s="1003"/>
      <c r="D1383" s="63"/>
      <c r="E1383" s="63"/>
      <c r="F1383" s="1005"/>
      <c r="G1383" s="66"/>
      <c r="H1383" s="71"/>
      <c r="I1383" s="1010"/>
      <c r="J1383" s="1010"/>
      <c r="K1383" s="400"/>
      <c r="L1383" s="407"/>
      <c r="M1383" s="64"/>
      <c r="N1383" s="65"/>
      <c r="O1383" s="65"/>
      <c r="P1383" s="81" t="str">
        <f>IF(AND('331-CT'!$E$7=TH!H1383,OR(N1383="331",O1383="331")),"x","")</f>
        <v/>
      </c>
      <c r="Q1383" s="81" t="str">
        <f>IF(AND(B1383='111'!$L$11,OR($N1383=$Q$7,$O1383=$Q$7)),"x","")</f>
        <v/>
      </c>
      <c r="R1383" s="81" t="str">
        <f>IF(AND($N1383=$Q$7,$B1383&lt;'111'!$L$11),"x","")</f>
        <v/>
      </c>
      <c r="S1383" s="81" t="str">
        <f>IF(AND($O1383=$Q$7,$B1383&lt;'111'!$L$11),"x","")</f>
        <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row>
    <row r="1384" spans="1:30" ht="15.75" customHeight="1">
      <c r="A1384" s="327" t="str">
        <f>IF(B1384&lt;&gt;"",IF(AND(B1384='IN-TC'!$S$4,OR(TH!N1384="1111",TH!O1384="1111")),TH!D1384,""),"")</f>
        <v/>
      </c>
      <c r="B1384" s="62" t="str">
        <f t="shared" si="347"/>
        <v/>
      </c>
      <c r="C1384" s="1003"/>
      <c r="D1384" s="63"/>
      <c r="E1384" s="63"/>
      <c r="F1384" s="991"/>
      <c r="G1384" s="66"/>
      <c r="H1384" s="71"/>
      <c r="I1384" s="1010"/>
      <c r="J1384" s="1010"/>
      <c r="K1384" s="400"/>
      <c r="L1384" s="407"/>
      <c r="M1384" s="64"/>
      <c r="N1384" s="65"/>
      <c r="O1384" s="65"/>
      <c r="P1384" s="81" t="str">
        <f>IF(AND('331-CT'!$E$7=TH!H1384,OR(N1384="331",O1384="331")),"x","")</f>
        <v/>
      </c>
      <c r="Q1384" s="81" t="str">
        <f>IF(AND(B1384='111'!$L$11,OR($N1384=$Q$7,$O1384=$Q$7)),"x","")</f>
        <v/>
      </c>
      <c r="R1384" s="81" t="str">
        <f>IF(AND($N1384=$Q$7,$B1384&lt;'111'!$L$11),"x","")</f>
        <v/>
      </c>
      <c r="S1384" s="81" t="str">
        <f>IF(AND($O1384=$Q$7,$B1384&lt;'111'!$L$11),"x","")</f>
        <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row>
    <row r="1385" spans="1:30" ht="15.75" customHeight="1">
      <c r="A1385" s="327" t="str">
        <f>IF(B1385&lt;&gt;"",IF(AND(B1385='IN-TC'!$S$4,OR(TH!N1385="1111",TH!O1385="1111")),TH!D1385,""),"")</f>
        <v/>
      </c>
      <c r="B1385" s="62" t="str">
        <f t="shared" si="347"/>
        <v/>
      </c>
      <c r="C1385" s="1003"/>
      <c r="D1385" s="63"/>
      <c r="E1385" s="63"/>
      <c r="F1385" s="1005"/>
      <c r="G1385" s="66"/>
      <c r="H1385" s="71"/>
      <c r="I1385" s="1010"/>
      <c r="J1385" s="1010"/>
      <c r="K1385" s="400"/>
      <c r="L1385" s="407"/>
      <c r="M1385" s="64"/>
      <c r="N1385" s="65"/>
      <c r="O1385" s="65"/>
      <c r="P1385" s="81" t="str">
        <f>IF(AND('331-CT'!$E$7=TH!H1385,OR(N1385="331",O1385="331")),"x","")</f>
        <v/>
      </c>
      <c r="Q1385" s="81" t="str">
        <f>IF(AND(B1385='111'!$L$11,OR($N1385=$Q$7,$O1385=$Q$7)),"x","")</f>
        <v/>
      </c>
      <c r="R1385" s="81" t="str">
        <f>IF(AND($N1385=$Q$7,$B1385&lt;'111'!$L$11),"x","")</f>
        <v/>
      </c>
      <c r="S1385" s="81" t="str">
        <f>IF(AND($O1385=$Q$7,$B1385&lt;'111'!$L$11),"x","")</f>
        <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row>
    <row r="1386" spans="1:30" ht="15.75" customHeight="1">
      <c r="A1386" s="327" t="str">
        <f>IF(B1386&lt;&gt;"",IF(AND(B1386='IN-TC'!$S$4,OR(TH!N1386="1111",TH!O1386="1111")),TH!D1386,""),"")</f>
        <v/>
      </c>
      <c r="B1386" s="62" t="str">
        <f t="shared" si="347"/>
        <v/>
      </c>
      <c r="C1386" s="1003"/>
      <c r="D1386" s="63"/>
      <c r="E1386" s="63"/>
      <c r="F1386" s="1008"/>
      <c r="G1386" s="66"/>
      <c r="H1386" s="71"/>
      <c r="I1386" s="1010"/>
      <c r="J1386" s="1010"/>
      <c r="K1386" s="400"/>
      <c r="L1386" s="407"/>
      <c r="M1386" s="64"/>
      <c r="N1386" s="65"/>
      <c r="O1386" s="65"/>
      <c r="P1386" s="81" t="str">
        <f>IF(AND('331-CT'!$E$7=TH!H1386,OR(N1386="331",O1386="331")),"x","")</f>
        <v/>
      </c>
      <c r="Q1386" s="81" t="str">
        <f>IF(AND(B1386='111'!$L$11,OR($N1386=$Q$7,$O1386=$Q$7)),"x","")</f>
        <v/>
      </c>
      <c r="R1386" s="81" t="str">
        <f>IF(AND($N1386=$Q$7,$B1386&lt;'111'!$L$11),"x","")</f>
        <v/>
      </c>
      <c r="S1386" s="81" t="str">
        <f>IF(AND($O1386=$Q$7,$B1386&lt;'111'!$L$11),"x","")</f>
        <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row>
    <row r="1387" spans="1:30" ht="15.75" customHeight="1">
      <c r="A1387" s="327" t="str">
        <f>IF(B1387&lt;&gt;"",IF(AND(B1387='IN-TC'!$S$4,OR(TH!N1387="1111",TH!O1387="1111")),TH!D1387,""),"")</f>
        <v/>
      </c>
      <c r="B1387" s="62" t="str">
        <f t="shared" si="347"/>
        <v/>
      </c>
      <c r="C1387" s="1003"/>
      <c r="D1387" s="63"/>
      <c r="E1387" s="63"/>
      <c r="F1387" s="1005"/>
      <c r="G1387" s="66"/>
      <c r="H1387" s="71"/>
      <c r="I1387" s="1010"/>
      <c r="J1387" s="1010"/>
      <c r="K1387" s="400"/>
      <c r="L1387" s="407"/>
      <c r="M1387" s="64"/>
      <c r="N1387" s="65"/>
      <c r="O1387" s="65"/>
      <c r="P1387" s="81" t="str">
        <f>IF(AND('331-CT'!$E$7=TH!H1387,OR(N1387="331",O1387="331")),"x","")</f>
        <v/>
      </c>
      <c r="Q1387" s="81" t="str">
        <f>IF(AND(B1387='111'!$L$11,OR($N1387=$Q$7,$O1387=$Q$7)),"x","")</f>
        <v/>
      </c>
      <c r="R1387" s="81" t="str">
        <f>IF(AND($N1387=$Q$7,$B1387&lt;'111'!$L$11),"x","")</f>
        <v/>
      </c>
      <c r="S1387" s="81" t="str">
        <f>IF(AND($O1387=$Q$7,$B1387&lt;'111'!$L$11),"x","")</f>
        <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row>
    <row r="1388" spans="1:30" ht="15.75" customHeight="1">
      <c r="A1388" s="327" t="str">
        <f>IF(B1388&lt;&gt;"",IF(AND(B1388='IN-TC'!$S$4,OR(TH!N1388="1111",TH!O1388="1111")),TH!D1388,""),"")</f>
        <v/>
      </c>
      <c r="B1388" s="62" t="str">
        <f t="shared" ref="B1388:B1451" si="349">IF(C1388&lt;&gt;"",MONTH(C1388),"")</f>
        <v/>
      </c>
      <c r="C1388" s="63"/>
      <c r="D1388" s="63"/>
      <c r="E1388" s="63"/>
      <c r="F1388" s="66"/>
      <c r="G1388" s="66"/>
      <c r="H1388" s="72"/>
      <c r="I1388" s="408"/>
      <c r="J1388" s="408"/>
      <c r="K1388" s="401"/>
      <c r="L1388" s="408"/>
      <c r="M1388" s="64"/>
      <c r="N1388" s="65"/>
      <c r="O1388" s="65"/>
      <c r="P1388" s="81" t="str">
        <f>IF(AND('331-CT'!$E$7=TH!H1388,OR(N1388="331",O1388="331")),"x","")</f>
        <v/>
      </c>
      <c r="Q1388" s="81" t="str">
        <f>IF(AND(B1388='111'!$L$11,OR($N1388=$Q$7,$O1388=$Q$7)),"x","")</f>
        <v/>
      </c>
      <c r="R1388" s="81" t="str">
        <f>IF(AND($N1388=$Q$7,$B1388&lt;'111'!$L$11),"x","")</f>
        <v/>
      </c>
      <c r="S1388" s="81" t="str">
        <f>IF(AND($O1388=$Q$7,$B1388&lt;'111'!$L$11),"x","")</f>
        <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row>
    <row r="1389" spans="1:30" ht="15.75" customHeight="1">
      <c r="A1389" s="327" t="str">
        <f>IF(B1389&lt;&gt;"",IF(AND(B1389='IN-TC'!$S$4,OR(TH!N1389="1111",TH!O1389="1111")),TH!D1389,""),"")</f>
        <v/>
      </c>
      <c r="B1389" s="62" t="str">
        <f t="shared" si="349"/>
        <v/>
      </c>
      <c r="C1389" s="63"/>
      <c r="D1389" s="63"/>
      <c r="E1389" s="63"/>
      <c r="F1389" s="66"/>
      <c r="G1389" s="66"/>
      <c r="H1389" s="71"/>
      <c r="I1389" s="405"/>
      <c r="J1389" s="408"/>
      <c r="K1389" s="398"/>
      <c r="L1389" s="405"/>
      <c r="M1389" s="64"/>
      <c r="N1389" s="65"/>
      <c r="O1389" s="65"/>
      <c r="P1389" s="81" t="str">
        <f>IF(AND('331-CT'!$E$7=TH!H1389,OR(N1389="331",O1389="331")),"x","")</f>
        <v/>
      </c>
      <c r="Q1389" s="81" t="str">
        <f>IF(AND(B1389='111'!$L$11,OR($N1389=$Q$7,$O1389=$Q$7)),"x","")</f>
        <v/>
      </c>
      <c r="R1389" s="81" t="str">
        <f>IF(AND($N1389=$Q$7,$B1389&lt;'111'!$L$11),"x","")</f>
        <v/>
      </c>
      <c r="S1389" s="81" t="str">
        <f>IF(AND($O1389=$Q$7,$B1389&lt;'111'!$L$11),"x","")</f>
        <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row>
    <row r="1390" spans="1:30" ht="15.75" customHeight="1">
      <c r="A1390" s="327" t="str">
        <f>IF(B1390&lt;&gt;"",IF(AND(B1390='IN-TC'!$S$4,OR(TH!N1390="1111",TH!O1390="1111")),TH!D1390,""),"")</f>
        <v/>
      </c>
      <c r="B1390" s="62" t="str">
        <f t="shared" si="349"/>
        <v/>
      </c>
      <c r="C1390" s="63"/>
      <c r="D1390" s="63"/>
      <c r="E1390" s="63"/>
      <c r="F1390" s="66"/>
      <c r="G1390" s="66"/>
      <c r="H1390" s="71"/>
      <c r="I1390" s="405"/>
      <c r="J1390" s="408"/>
      <c r="K1390" s="398"/>
      <c r="L1390" s="405"/>
      <c r="M1390" s="64"/>
      <c r="N1390" s="65"/>
      <c r="O1390" s="65"/>
      <c r="P1390" s="81" t="str">
        <f>IF(AND('331-CT'!$E$7=TH!H1390,OR(N1390="331",O1390="331")),"x","")</f>
        <v/>
      </c>
      <c r="Q1390" s="81" t="str">
        <f>IF(AND(B1390='111'!$L$11,OR($N1390=$Q$7,$O1390=$Q$7)),"x","")</f>
        <v/>
      </c>
      <c r="R1390" s="81" t="str">
        <f>IF(AND($N1390=$Q$7,$B1390&lt;'111'!$L$11),"x","")</f>
        <v/>
      </c>
      <c r="S1390" s="81" t="str">
        <f>IF(AND($O1390=$Q$7,$B1390&lt;'111'!$L$11),"x","")</f>
        <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row>
    <row r="1391" spans="1:30" ht="15.75" customHeight="1">
      <c r="A1391" s="327" t="str">
        <f>IF(B1391&lt;&gt;"",IF(AND(B1391='IN-TC'!$S$4,OR(TH!N1391="1111",TH!O1391="1111")),TH!D1391,""),"")</f>
        <v/>
      </c>
      <c r="B1391" s="62" t="str">
        <f t="shared" si="349"/>
        <v/>
      </c>
      <c r="C1391" s="63"/>
      <c r="D1391" s="63"/>
      <c r="E1391" s="63"/>
      <c r="F1391" s="66"/>
      <c r="G1391" s="66"/>
      <c r="H1391" s="71"/>
      <c r="I1391" s="405"/>
      <c r="J1391" s="408"/>
      <c r="K1391" s="398"/>
      <c r="L1391" s="405"/>
      <c r="M1391" s="64"/>
      <c r="N1391" s="65"/>
      <c r="O1391" s="65"/>
      <c r="P1391" s="81" t="str">
        <f>IF(AND('331-CT'!$E$7=TH!H1391,OR(N1391="331",O1391="331")),"x","")</f>
        <v/>
      </c>
      <c r="Q1391" s="81" t="str">
        <f>IF(AND(B1391='111'!$L$11,OR($N1391=$Q$7,$O1391=$Q$7)),"x","")</f>
        <v/>
      </c>
      <c r="R1391" s="81" t="str">
        <f>IF(AND($N1391=$Q$7,$B1391&lt;'111'!$L$11),"x","")</f>
        <v/>
      </c>
      <c r="S1391" s="81" t="str">
        <f>IF(AND($O1391=$Q$7,$B1391&lt;'111'!$L$11),"x","")</f>
        <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0" ht="15.75" customHeight="1">
      <c r="A1392" s="327" t="str">
        <f>IF(B1392&lt;&gt;"",IF(AND(B1392='IN-TC'!$S$4,OR(TH!N1392="1111",TH!O1392="1111")),TH!D1392,""),"")</f>
        <v/>
      </c>
      <c r="B1392" s="62" t="str">
        <f t="shared" si="349"/>
        <v/>
      </c>
      <c r="C1392" s="63"/>
      <c r="D1392" s="63"/>
      <c r="E1392" s="63"/>
      <c r="F1392" s="66"/>
      <c r="G1392" s="66"/>
      <c r="H1392" s="71"/>
      <c r="I1392" s="405"/>
      <c r="J1392" s="408"/>
      <c r="K1392" s="398"/>
      <c r="L1392" s="405"/>
      <c r="M1392" s="64"/>
      <c r="N1392" s="65"/>
      <c r="O1392" s="65"/>
      <c r="P1392" s="81" t="str">
        <f>IF(AND('331-CT'!$E$7=TH!H1392,OR(N1392="331",O1392="331")),"x","")</f>
        <v/>
      </c>
      <c r="Q1392" s="81" t="str">
        <f>IF(AND(B1392='111'!$L$11,OR($N1392=$Q$7,$O1392=$Q$7)),"x","")</f>
        <v/>
      </c>
      <c r="R1392" s="81" t="str">
        <f>IF(AND($N1392=$Q$7,$B1392&lt;'111'!$L$11),"x","")</f>
        <v/>
      </c>
      <c r="S1392" s="81" t="str">
        <f>IF(AND($O1392=$Q$7,$B1392&lt;'111'!$L$11),"x","")</f>
        <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row>
    <row r="1393" spans="1:30" ht="15.75" customHeight="1">
      <c r="A1393" s="327" t="str">
        <f>IF(B1393&lt;&gt;"",IF(AND(B1393='IN-TC'!$S$4,OR(TH!N1393="1111",TH!O1393="1111")),TH!D1393,""),"")</f>
        <v/>
      </c>
      <c r="B1393" s="62" t="str">
        <f t="shared" si="349"/>
        <v/>
      </c>
      <c r="C1393" s="63"/>
      <c r="D1393" s="63"/>
      <c r="E1393" s="63"/>
      <c r="F1393" s="66"/>
      <c r="G1393" s="66"/>
      <c r="H1393" s="71"/>
      <c r="I1393" s="405"/>
      <c r="J1393" s="408"/>
      <c r="K1393" s="398"/>
      <c r="L1393" s="405"/>
      <c r="M1393" s="64"/>
      <c r="N1393" s="65"/>
      <c r="O1393" s="65"/>
      <c r="P1393" s="81" t="str">
        <f>IF(AND('331-CT'!$E$7=TH!H1393,OR(N1393="331",O1393="331")),"x","")</f>
        <v/>
      </c>
      <c r="Q1393" s="81" t="str">
        <f>IF(AND(B1393='111'!$L$11,OR($N1393=$Q$7,$O1393=$Q$7)),"x","")</f>
        <v/>
      </c>
      <c r="R1393" s="81" t="str">
        <f>IF(AND($N1393=$Q$7,$B1393&lt;'111'!$L$11),"x","")</f>
        <v/>
      </c>
      <c r="S1393" s="81" t="str">
        <f>IF(AND($O1393=$Q$7,$B1393&lt;'111'!$L$11),"x","")</f>
        <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row>
    <row r="1394" spans="1:30" ht="15.75" customHeight="1">
      <c r="A1394" s="327" t="str">
        <f>IF(B1394&lt;&gt;"",IF(AND(B1394='IN-TC'!$S$4,OR(TH!N1394="1111",TH!O1394="1111")),TH!D1394,""),"")</f>
        <v/>
      </c>
      <c r="B1394" s="62" t="str">
        <f t="shared" si="349"/>
        <v/>
      </c>
      <c r="C1394" s="63"/>
      <c r="D1394" s="63"/>
      <c r="E1394" s="63"/>
      <c r="F1394" s="66"/>
      <c r="G1394" s="66"/>
      <c r="H1394" s="71"/>
      <c r="I1394" s="405"/>
      <c r="J1394" s="408"/>
      <c r="K1394" s="398"/>
      <c r="L1394" s="405"/>
      <c r="M1394" s="64"/>
      <c r="N1394" s="65"/>
      <c r="O1394" s="65"/>
      <c r="P1394" s="81" t="str">
        <f>IF(AND('331-CT'!$E$7=TH!H1394,OR(N1394="331",O1394="331")),"x","")</f>
        <v/>
      </c>
      <c r="Q1394" s="81" t="str">
        <f>IF(AND(B1394='111'!$L$11,OR($N1394=$Q$7,$O1394=$Q$7)),"x","")</f>
        <v/>
      </c>
      <c r="R1394" s="81" t="str">
        <f>IF(AND($N1394=$Q$7,$B1394&lt;'111'!$L$11),"x","")</f>
        <v/>
      </c>
      <c r="S1394" s="81" t="str">
        <f>IF(AND($O1394=$Q$7,$B1394&lt;'111'!$L$11),"x","")</f>
        <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row>
    <row r="1395" spans="1:30" ht="15.75" customHeight="1">
      <c r="A1395" s="327" t="str">
        <f>IF(B1395&lt;&gt;"",IF(AND(B1395='IN-TC'!$S$4,OR(TH!N1395="1111",TH!O1395="1111")),TH!D1395,""),"")</f>
        <v/>
      </c>
      <c r="B1395" s="62" t="str">
        <f t="shared" si="349"/>
        <v/>
      </c>
      <c r="C1395" s="63"/>
      <c r="D1395" s="63"/>
      <c r="E1395" s="63"/>
      <c r="F1395" s="66"/>
      <c r="G1395" s="66"/>
      <c r="H1395" s="71"/>
      <c r="I1395" s="405"/>
      <c r="J1395" s="408"/>
      <c r="K1395" s="398"/>
      <c r="L1395" s="405"/>
      <c r="M1395" s="64"/>
      <c r="N1395" s="65"/>
      <c r="O1395" s="65"/>
      <c r="P1395" s="81" t="str">
        <f>IF(AND('331-CT'!$E$7=TH!H1395,OR(N1395="331",O1395="331")),"x","")</f>
        <v/>
      </c>
      <c r="Q1395" s="81" t="str">
        <f>IF(AND(B1395='111'!$L$11,OR($N1395=$Q$7,$O1395=$Q$7)),"x","")</f>
        <v/>
      </c>
      <c r="R1395" s="81" t="str">
        <f>IF(AND($N1395=$Q$7,$B1395&lt;'111'!$L$11),"x","")</f>
        <v/>
      </c>
      <c r="S1395" s="81" t="str">
        <f>IF(AND($O1395=$Q$7,$B1395&lt;'111'!$L$11),"x","")</f>
        <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row>
    <row r="1396" spans="1:30" ht="15.75" customHeight="1">
      <c r="A1396" s="327" t="str">
        <f>IF(B1396&lt;&gt;"",IF(AND(B1396='IN-TC'!$S$4,OR(TH!N1396="1111",TH!O1396="1111")),TH!D1396,""),"")</f>
        <v/>
      </c>
      <c r="B1396" s="62" t="str">
        <f t="shared" si="349"/>
        <v/>
      </c>
      <c r="C1396" s="63"/>
      <c r="D1396" s="63"/>
      <c r="E1396" s="63"/>
      <c r="F1396" s="66"/>
      <c r="G1396" s="66"/>
      <c r="H1396" s="71"/>
      <c r="I1396" s="405"/>
      <c r="J1396" s="408"/>
      <c r="K1396" s="398"/>
      <c r="L1396" s="405"/>
      <c r="M1396" s="64"/>
      <c r="N1396" s="65"/>
      <c r="O1396" s="65"/>
      <c r="P1396" s="81" t="str">
        <f>IF(AND('331-CT'!$E$7=TH!H1396,OR(N1396="331",O1396="331")),"x","")</f>
        <v/>
      </c>
      <c r="Q1396" s="81" t="str">
        <f>IF(AND(B1396='111'!$L$11,OR($N1396=$Q$7,$O1396=$Q$7)),"x","")</f>
        <v/>
      </c>
      <c r="R1396" s="81" t="str">
        <f>IF(AND($N1396=$Q$7,$B1396&lt;'111'!$L$11),"x","")</f>
        <v/>
      </c>
      <c r="S1396" s="81" t="str">
        <f>IF(AND($O1396=$Q$7,$B1396&lt;'111'!$L$11),"x","")</f>
        <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row>
    <row r="1397" spans="1:30" ht="15.75" customHeight="1">
      <c r="A1397" s="327" t="str">
        <f>IF(B1397&lt;&gt;"",IF(AND(B1397='IN-TC'!$S$4,OR(TH!N1397="1111",TH!O1397="1111")),TH!D1397,""),"")</f>
        <v/>
      </c>
      <c r="B1397" s="62" t="str">
        <f t="shared" si="349"/>
        <v/>
      </c>
      <c r="C1397" s="63"/>
      <c r="D1397" s="63"/>
      <c r="E1397" s="63"/>
      <c r="F1397" s="66"/>
      <c r="G1397" s="66"/>
      <c r="H1397" s="71"/>
      <c r="I1397" s="405"/>
      <c r="J1397" s="408"/>
      <c r="K1397" s="398"/>
      <c r="L1397" s="405"/>
      <c r="M1397" s="64"/>
      <c r="N1397" s="65"/>
      <c r="O1397" s="65"/>
      <c r="P1397" s="81" t="str">
        <f>IF(AND('331-CT'!$E$7=TH!H1397,OR(N1397="331",O1397="331")),"x","")</f>
        <v/>
      </c>
      <c r="Q1397" s="81" t="str">
        <f>IF(AND(B1397='111'!$L$11,OR($N1397=$Q$7,$O1397=$Q$7)),"x","")</f>
        <v/>
      </c>
      <c r="R1397" s="81" t="str">
        <f>IF(AND($N1397=$Q$7,$B1397&lt;'111'!$L$11),"x","")</f>
        <v/>
      </c>
      <c r="S1397" s="81" t="str">
        <f>IF(AND($O1397=$Q$7,$B1397&lt;'111'!$L$11),"x","")</f>
        <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0" ht="15.75" customHeight="1">
      <c r="A1398" s="327" t="str">
        <f>IF(B1398&lt;&gt;"",IF(AND(B1398='IN-TC'!$S$4,OR(TH!N1398="1111",TH!O1398="1111")),TH!D1398,""),"")</f>
        <v/>
      </c>
      <c r="B1398" s="62" t="str">
        <f t="shared" si="349"/>
        <v/>
      </c>
      <c r="C1398" s="63"/>
      <c r="D1398" s="63"/>
      <c r="E1398" s="63"/>
      <c r="F1398" s="66"/>
      <c r="G1398" s="66"/>
      <c r="H1398" s="71"/>
      <c r="I1398" s="405"/>
      <c r="J1398" s="408"/>
      <c r="K1398" s="398"/>
      <c r="L1398" s="405"/>
      <c r="M1398" s="64"/>
      <c r="N1398" s="65"/>
      <c r="O1398" s="65"/>
      <c r="P1398" s="81" t="str">
        <f>IF(AND('331-CT'!$E$7=TH!H1398,OR(N1398="331",O1398="331")),"x","")</f>
        <v/>
      </c>
      <c r="Q1398" s="81" t="str">
        <f>IF(AND(B1398='111'!$L$11,OR($N1398=$Q$7,$O1398=$Q$7)),"x","")</f>
        <v/>
      </c>
      <c r="R1398" s="81" t="str">
        <f>IF(AND($N1398=$Q$7,$B1398&lt;'111'!$L$11),"x","")</f>
        <v/>
      </c>
      <c r="S1398" s="81" t="str">
        <f>IF(AND($O1398=$Q$7,$B1398&lt;'111'!$L$11),"x","")</f>
        <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0" ht="15.75" customHeight="1">
      <c r="A1399" s="327" t="str">
        <f>IF(B1399&lt;&gt;"",IF(AND(B1399='IN-TC'!$S$4,OR(TH!N1399="1111",TH!O1399="1111")),TH!D1399,""),"")</f>
        <v/>
      </c>
      <c r="B1399" s="62" t="str">
        <f t="shared" si="349"/>
        <v/>
      </c>
      <c r="C1399" s="63"/>
      <c r="D1399" s="63"/>
      <c r="E1399" s="63"/>
      <c r="F1399" s="66"/>
      <c r="G1399" s="66"/>
      <c r="H1399" s="71"/>
      <c r="I1399" s="405"/>
      <c r="J1399" s="408"/>
      <c r="K1399" s="398"/>
      <c r="L1399" s="405"/>
      <c r="M1399" s="64"/>
      <c r="N1399" s="65"/>
      <c r="O1399" s="65"/>
      <c r="P1399" s="81" t="str">
        <f>IF(AND('331-CT'!$E$7=TH!H1399,OR(N1399="331",O1399="331")),"x","")</f>
        <v/>
      </c>
      <c r="Q1399" s="81" t="str">
        <f>IF(AND(B1399='111'!$L$11,OR($N1399=$Q$7,$O1399=$Q$7)),"x","")</f>
        <v/>
      </c>
      <c r="R1399" s="81" t="str">
        <f>IF(AND($N1399=$Q$7,$B1399&lt;'111'!$L$11),"x","")</f>
        <v/>
      </c>
      <c r="S1399" s="81" t="str">
        <f>IF(AND($O1399=$Q$7,$B1399&lt;'111'!$L$11),"x","")</f>
        <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row>
    <row r="1400" spans="1:30" ht="15.75" customHeight="1">
      <c r="A1400" s="327" t="str">
        <f>IF(B1400&lt;&gt;"",IF(AND(B1400='IN-TC'!$S$4,OR(TH!N1400="1111",TH!O1400="1111")),TH!D1400,""),"")</f>
        <v/>
      </c>
      <c r="B1400" s="62" t="str">
        <f t="shared" si="349"/>
        <v/>
      </c>
      <c r="C1400" s="63"/>
      <c r="D1400" s="63"/>
      <c r="E1400" s="63"/>
      <c r="F1400" s="66"/>
      <c r="G1400" s="66"/>
      <c r="H1400" s="71"/>
      <c r="I1400" s="405"/>
      <c r="J1400" s="408"/>
      <c r="K1400" s="398"/>
      <c r="L1400" s="405"/>
      <c r="M1400" s="64"/>
      <c r="N1400" s="65"/>
      <c r="O1400" s="65"/>
      <c r="P1400" s="81" t="str">
        <f>IF(AND('331-CT'!$E$7=TH!H1400,OR(N1400="331",O1400="331")),"x","")</f>
        <v/>
      </c>
      <c r="Q1400" s="81" t="str">
        <f>IF(AND(B1400='111'!$L$11,OR($N1400=$Q$7,$O1400=$Q$7)),"x","")</f>
        <v/>
      </c>
      <c r="R1400" s="81" t="str">
        <f>IF(AND($N1400=$Q$7,$B1400&lt;'111'!$L$11),"x","")</f>
        <v/>
      </c>
      <c r="S1400" s="81" t="str">
        <f>IF(AND($O1400=$Q$7,$B1400&lt;'111'!$L$11),"x","")</f>
        <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row>
    <row r="1401" spans="1:30" ht="15.75" customHeight="1">
      <c r="A1401" s="327" t="str">
        <f>IF(B1401&lt;&gt;"",IF(AND(B1401='IN-TC'!$S$4,OR(TH!N1401="1111",TH!O1401="1111")),TH!D1401,""),"")</f>
        <v/>
      </c>
      <c r="B1401" s="62" t="str">
        <f t="shared" si="349"/>
        <v/>
      </c>
      <c r="C1401" s="63"/>
      <c r="D1401" s="63"/>
      <c r="E1401" s="63"/>
      <c r="F1401" s="66"/>
      <c r="G1401" s="66"/>
      <c r="H1401" s="71"/>
      <c r="I1401" s="405"/>
      <c r="J1401" s="408"/>
      <c r="K1401" s="398"/>
      <c r="L1401" s="405"/>
      <c r="M1401" s="64"/>
      <c r="N1401" s="65"/>
      <c r="O1401" s="65"/>
      <c r="P1401" s="81" t="str">
        <f>IF(AND('331-CT'!$E$7=TH!H1401,OR(N1401="331",O1401="331")),"x","")</f>
        <v/>
      </c>
      <c r="Q1401" s="81" t="str">
        <f>IF(AND(B1401='111'!$L$11,OR($N1401=$Q$7,$O1401=$Q$7)),"x","")</f>
        <v/>
      </c>
      <c r="R1401" s="81" t="str">
        <f>IF(AND($N1401=$Q$7,$B1401&lt;'111'!$L$11),"x","")</f>
        <v/>
      </c>
      <c r="S1401" s="81" t="str">
        <f>IF(AND($O1401=$Q$7,$B1401&lt;'111'!$L$11),"x","")</f>
        <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row>
    <row r="1402" spans="1:30" ht="15.75" customHeight="1">
      <c r="A1402" s="327" t="str">
        <f>IF(B1402&lt;&gt;"",IF(AND(B1402='IN-TC'!$S$4,OR(TH!N1402="1111",TH!O1402="1111")),TH!D1402,""),"")</f>
        <v/>
      </c>
      <c r="B1402" s="62" t="str">
        <f t="shared" si="349"/>
        <v/>
      </c>
      <c r="C1402" s="63"/>
      <c r="D1402" s="63"/>
      <c r="E1402" s="63"/>
      <c r="F1402" s="66"/>
      <c r="G1402" s="66"/>
      <c r="H1402" s="71"/>
      <c r="I1402" s="407"/>
      <c r="J1402" s="408"/>
      <c r="K1402" s="400"/>
      <c r="L1402" s="407"/>
      <c r="M1402" s="64"/>
      <c r="N1402" s="65"/>
      <c r="O1402" s="65"/>
      <c r="P1402" s="81" t="str">
        <f>IF(AND('331-CT'!$E$7=TH!H1402,OR(N1402="331",O1402="331")),"x","")</f>
        <v/>
      </c>
      <c r="Q1402" s="81" t="str">
        <f>IF(AND(B1402='111'!$L$11,OR($N1402=$Q$7,$O1402=$Q$7)),"x","")</f>
        <v/>
      </c>
      <c r="R1402" s="81" t="str">
        <f>IF(AND($N1402=$Q$7,$B1402&lt;'111'!$L$11),"x","")</f>
        <v/>
      </c>
      <c r="S1402" s="81" t="str">
        <f>IF(AND($O1402=$Q$7,$B1402&lt;'111'!$L$11),"x","")</f>
        <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row>
    <row r="1403" spans="1:30" ht="15.75" customHeight="1">
      <c r="A1403" s="327" t="str">
        <f>IF(B1403&lt;&gt;"",IF(AND(B1403='IN-TC'!$S$4,OR(TH!N1403="1111",TH!O1403="1111")),TH!D1403,""),"")</f>
        <v/>
      </c>
      <c r="B1403" s="62" t="str">
        <f t="shared" si="349"/>
        <v/>
      </c>
      <c r="C1403" s="63"/>
      <c r="D1403" s="63"/>
      <c r="E1403" s="63"/>
      <c r="F1403" s="66"/>
      <c r="G1403" s="66"/>
      <c r="H1403" s="71"/>
      <c r="I1403" s="405"/>
      <c r="J1403" s="408"/>
      <c r="K1403" s="398"/>
      <c r="L1403" s="405"/>
      <c r="M1403" s="64"/>
      <c r="N1403" s="65"/>
      <c r="O1403" s="65"/>
      <c r="P1403" s="81" t="str">
        <f>IF(AND('331-CT'!$E$7=TH!H1403,OR(N1403="331",O1403="331")),"x","")</f>
        <v/>
      </c>
      <c r="Q1403" s="81" t="str">
        <f>IF(AND(B1403='111'!$L$11,OR($N1403=$Q$7,$O1403=$Q$7)),"x","")</f>
        <v/>
      </c>
      <c r="R1403" s="81" t="str">
        <f>IF(AND($N1403=$Q$7,$B1403&lt;'111'!$L$11),"x","")</f>
        <v/>
      </c>
      <c r="S1403" s="81" t="str">
        <f>IF(AND($O1403=$Q$7,$B1403&lt;'111'!$L$11),"x","")</f>
        <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row>
    <row r="1404" spans="1:30" ht="15.75" customHeight="1">
      <c r="A1404" s="327" t="str">
        <f>IF(B1404&lt;&gt;"",IF(AND(B1404='IN-TC'!$S$4,OR(TH!N1404="1111",TH!O1404="1111")),TH!D1404,""),"")</f>
        <v/>
      </c>
      <c r="B1404" s="62" t="str">
        <f t="shared" si="349"/>
        <v/>
      </c>
      <c r="C1404" s="63"/>
      <c r="D1404" s="63"/>
      <c r="E1404" s="63"/>
      <c r="F1404" s="66"/>
      <c r="G1404" s="66"/>
      <c r="H1404" s="71"/>
      <c r="I1404" s="407"/>
      <c r="J1404" s="407"/>
      <c r="K1404" s="400"/>
      <c r="L1404" s="407"/>
      <c r="M1404" s="64"/>
      <c r="N1404" s="65"/>
      <c r="O1404" s="65"/>
      <c r="P1404" s="81" t="str">
        <f>IF(AND('331-CT'!$E$7=TH!H1404,OR(N1404="331",O1404="331")),"x","")</f>
        <v/>
      </c>
      <c r="Q1404" s="81" t="str">
        <f>IF(AND(B1404='111'!$L$11,OR($N1404=$Q$7,$O1404=$Q$7)),"x","")</f>
        <v/>
      </c>
      <c r="R1404" s="81" t="str">
        <f>IF(AND($N1404=$Q$7,$B1404&lt;'111'!$L$11),"x","")</f>
        <v/>
      </c>
      <c r="S1404" s="81" t="str">
        <f>IF(AND($O1404=$Q$7,$B1404&lt;'111'!$L$11),"x","")</f>
        <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row>
    <row r="1405" spans="1:30" ht="15.75" customHeight="1">
      <c r="A1405" s="327" t="str">
        <f>IF(B1405&lt;&gt;"",IF(AND(B1405='IN-TC'!$S$4,OR(TH!N1405="1111",TH!O1405="1111")),TH!D1405,""),"")</f>
        <v/>
      </c>
      <c r="B1405" s="62" t="str">
        <f t="shared" si="349"/>
        <v/>
      </c>
      <c r="C1405" s="63"/>
      <c r="D1405" s="63"/>
      <c r="E1405" s="63"/>
      <c r="F1405" s="66"/>
      <c r="G1405" s="66"/>
      <c r="H1405" s="71"/>
      <c r="I1405" s="407"/>
      <c r="J1405" s="407"/>
      <c r="K1405" s="400"/>
      <c r="L1405" s="407"/>
      <c r="M1405" s="64"/>
      <c r="N1405" s="65"/>
      <c r="O1405" s="65"/>
      <c r="P1405" s="81" t="str">
        <f>IF(AND('331-CT'!$E$7=TH!H1405,OR(N1405="331",O1405="331")),"x","")</f>
        <v/>
      </c>
      <c r="Q1405" s="81" t="str">
        <f>IF(AND(B1405='111'!$L$11,OR($N1405=$Q$7,$O1405=$Q$7)),"x","")</f>
        <v/>
      </c>
      <c r="R1405" s="81" t="str">
        <f>IF(AND($N1405=$Q$7,$B1405&lt;'111'!$L$11),"x","")</f>
        <v/>
      </c>
      <c r="S1405" s="81" t="str">
        <f>IF(AND($O1405=$Q$7,$B1405&lt;'111'!$L$11),"x","")</f>
        <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row>
    <row r="1406" spans="1:30" ht="15.75" customHeight="1">
      <c r="A1406" s="327" t="str">
        <f>IF(B1406&lt;&gt;"",IF(AND(B1406='IN-TC'!$S$4,OR(TH!N1406="1111",TH!O1406="1111")),TH!D1406,""),"")</f>
        <v/>
      </c>
      <c r="B1406" s="62" t="str">
        <f t="shared" si="349"/>
        <v/>
      </c>
      <c r="C1406" s="63"/>
      <c r="D1406" s="63"/>
      <c r="E1406" s="63"/>
      <c r="F1406" s="66"/>
      <c r="G1406" s="66"/>
      <c r="H1406" s="71"/>
      <c r="I1406" s="407"/>
      <c r="J1406" s="407"/>
      <c r="K1406" s="400"/>
      <c r="L1406" s="407"/>
      <c r="M1406" s="64"/>
      <c r="N1406" s="65"/>
      <c r="O1406" s="65"/>
      <c r="P1406" s="81" t="str">
        <f>IF(AND('331-CT'!$E$7=TH!H1406,OR(N1406="331",O1406="331")),"x","")</f>
        <v/>
      </c>
      <c r="Q1406" s="81" t="str">
        <f>IF(AND(B1406='111'!$L$11,OR($N1406=$Q$7,$O1406=$Q$7)),"x","")</f>
        <v/>
      </c>
      <c r="R1406" s="81" t="str">
        <f>IF(AND($N1406=$Q$7,$B1406&lt;'111'!$L$11),"x","")</f>
        <v/>
      </c>
      <c r="S1406" s="81" t="str">
        <f>IF(AND($O1406=$Q$7,$B1406&lt;'111'!$L$11),"x","")</f>
        <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row>
    <row r="1407" spans="1:30" ht="15.75" customHeight="1">
      <c r="A1407" s="327" t="str">
        <f>IF(B1407&lt;&gt;"",IF(AND(B1407='IN-TC'!$S$4,OR(TH!N1407="1111",TH!O1407="1111")),TH!D1407,""),"")</f>
        <v/>
      </c>
      <c r="B1407" s="62" t="str">
        <f t="shared" si="349"/>
        <v/>
      </c>
      <c r="C1407" s="63"/>
      <c r="D1407" s="63"/>
      <c r="E1407" s="63"/>
      <c r="F1407" s="66"/>
      <c r="G1407" s="816"/>
      <c r="H1407" s="71"/>
      <c r="I1407" s="407"/>
      <c r="J1407" s="407"/>
      <c r="K1407" s="400"/>
      <c r="L1407" s="407"/>
      <c r="M1407" s="64"/>
      <c r="N1407" s="65"/>
      <c r="O1407" s="65"/>
      <c r="P1407" s="81" t="str">
        <f>IF(AND('331-CT'!$E$7=TH!H1407,OR(N1407="331",O1407="331")),"x","")</f>
        <v/>
      </c>
      <c r="Q1407" s="81" t="str">
        <f>IF(AND(B1407='111'!$L$11,OR($N1407=$Q$7,$O1407=$Q$7)),"x","")</f>
        <v/>
      </c>
      <c r="R1407" s="81" t="str">
        <f>IF(AND($N1407=$Q$7,$B1407&lt;'111'!$L$11),"x","")</f>
        <v/>
      </c>
      <c r="S1407" s="81" t="str">
        <f>IF(AND($O1407=$Q$7,$B1407&lt;'111'!$L$11),"x","")</f>
        <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row>
    <row r="1408" spans="1:30" ht="15.75" customHeight="1">
      <c r="A1408" s="327" t="str">
        <f>IF(B1408&lt;&gt;"",IF(AND(B1408='IN-TC'!$S$4,OR(TH!N1408="1111",TH!O1408="1111")),TH!D1408,""),"")</f>
        <v/>
      </c>
      <c r="B1408" s="62" t="str">
        <f t="shared" si="349"/>
        <v/>
      </c>
      <c r="C1408" s="63"/>
      <c r="D1408" s="63"/>
      <c r="E1408" s="63"/>
      <c r="F1408" s="66"/>
      <c r="G1408" s="66"/>
      <c r="H1408" s="71"/>
      <c r="I1408" s="405"/>
      <c r="J1408" s="405"/>
      <c r="K1408" s="398"/>
      <c r="L1408" s="405"/>
      <c r="M1408" s="64"/>
      <c r="N1408" s="65"/>
      <c r="O1408" s="65"/>
      <c r="P1408" s="81" t="str">
        <f>IF(AND('331-CT'!$E$7=TH!H1408,OR(N1408="331",O1408="331")),"x","")</f>
        <v/>
      </c>
      <c r="Q1408" s="81" t="str">
        <f>IF(AND(B1408='111'!$L$11,OR($N1408=$Q$7,$O1408=$Q$7)),"x","")</f>
        <v/>
      </c>
      <c r="R1408" s="81" t="str">
        <f>IF(AND($N1408=$Q$7,$B1408&lt;'111'!$L$11),"x","")</f>
        <v/>
      </c>
      <c r="S1408" s="81" t="str">
        <f>IF(AND($O1408=$Q$7,$B1408&lt;'111'!$L$11),"x","")</f>
        <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row>
    <row r="1409" spans="1:30" ht="15.75" customHeight="1">
      <c r="A1409" s="327" t="str">
        <f>IF(B1409&lt;&gt;"",IF(AND(B1409='IN-TC'!$S$4,OR(TH!N1409="1111",TH!O1409="1111")),TH!D1409,""),"")</f>
        <v/>
      </c>
      <c r="B1409" s="62" t="str">
        <f t="shared" si="349"/>
        <v/>
      </c>
      <c r="C1409" s="63"/>
      <c r="D1409" s="63"/>
      <c r="E1409" s="63"/>
      <c r="F1409" s="66"/>
      <c r="G1409" s="66"/>
      <c r="H1409" s="71"/>
      <c r="I1409" s="405"/>
      <c r="J1409" s="405"/>
      <c r="K1409" s="398"/>
      <c r="L1409" s="405"/>
      <c r="M1409" s="64"/>
      <c r="N1409" s="65"/>
      <c r="O1409" s="65"/>
      <c r="P1409" s="81" t="str">
        <f>IF(AND('331-CT'!$E$7=TH!H1409,OR(N1409="331",O1409="331")),"x","")</f>
        <v/>
      </c>
      <c r="Q1409" s="81" t="str">
        <f>IF(AND(B1409='111'!$L$11,OR($N1409=$Q$7,$O1409=$Q$7)),"x","")</f>
        <v/>
      </c>
      <c r="R1409" s="81" t="str">
        <f>IF(AND($N1409=$Q$7,$B1409&lt;'111'!$L$11),"x","")</f>
        <v/>
      </c>
      <c r="S1409" s="81" t="str">
        <f>IF(AND($O1409=$Q$7,$B1409&lt;'111'!$L$11),"x","")</f>
        <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row>
    <row r="1410" spans="1:30" ht="15.75" customHeight="1">
      <c r="A1410" s="327" t="str">
        <f>IF(B1410&lt;&gt;"",IF(AND(B1410='IN-TC'!$S$4,OR(TH!N1410="1111",TH!O1410="1111")),TH!D1410,""),"")</f>
        <v/>
      </c>
      <c r="B1410" s="62" t="str">
        <f t="shared" si="349"/>
        <v/>
      </c>
      <c r="C1410" s="63"/>
      <c r="D1410" s="63"/>
      <c r="E1410" s="63"/>
      <c r="F1410" s="66"/>
      <c r="G1410" s="66"/>
      <c r="H1410" s="72"/>
      <c r="I1410" s="408"/>
      <c r="J1410" s="408"/>
      <c r="K1410" s="401"/>
      <c r="L1410" s="408"/>
      <c r="M1410" s="64"/>
      <c r="N1410" s="65"/>
      <c r="O1410" s="65"/>
      <c r="P1410" s="81" t="str">
        <f>IF(AND('331-CT'!$E$7=TH!H1410,OR(N1410="331",O1410="331")),"x","")</f>
        <v/>
      </c>
      <c r="Q1410" s="81" t="str">
        <f>IF(AND(B1410='111'!$L$11,OR($N1410=$Q$7,$O1410=$Q$7)),"x","")</f>
        <v/>
      </c>
      <c r="R1410" s="81" t="str">
        <f>IF(AND($N1410=$Q$7,$B1410&lt;'111'!$L$11),"x","")</f>
        <v/>
      </c>
      <c r="S1410" s="81" t="str">
        <f>IF(AND($O1410=$Q$7,$B1410&lt;'111'!$L$11),"x","")</f>
        <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row>
    <row r="1411" spans="1:30" ht="15.75" customHeight="1">
      <c r="A1411" s="327" t="str">
        <f>IF(B1411&lt;&gt;"",IF(AND(B1411='IN-TC'!$S$4,OR(TH!N1411="1111",TH!O1411="1111")),TH!D1411,""),"")</f>
        <v/>
      </c>
      <c r="B1411" s="62" t="str">
        <f t="shared" si="349"/>
        <v/>
      </c>
      <c r="C1411" s="63"/>
      <c r="D1411" s="63"/>
      <c r="E1411" s="63"/>
      <c r="F1411" s="66"/>
      <c r="G1411" s="66"/>
      <c r="H1411" s="71"/>
      <c r="I1411" s="405"/>
      <c r="J1411" s="408"/>
      <c r="K1411" s="398"/>
      <c r="L1411" s="405"/>
      <c r="M1411" s="64"/>
      <c r="N1411" s="65"/>
      <c r="O1411" s="65"/>
      <c r="P1411" s="81" t="str">
        <f>IF(AND('331-CT'!$E$7=TH!H1411,OR(N1411="331",O1411="331")),"x","")</f>
        <v/>
      </c>
      <c r="Q1411" s="81" t="str">
        <f>IF(AND(B1411='111'!$L$11,OR($N1411=$Q$7,$O1411=$Q$7)),"x","")</f>
        <v/>
      </c>
      <c r="R1411" s="81" t="str">
        <f>IF(AND($N1411=$Q$7,$B1411&lt;'111'!$L$11),"x","")</f>
        <v/>
      </c>
      <c r="S1411" s="81" t="str">
        <f>IF(AND($O1411=$Q$7,$B1411&lt;'111'!$L$11),"x","")</f>
        <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row>
    <row r="1412" spans="1:30" ht="15.75" customHeight="1">
      <c r="A1412" s="327" t="str">
        <f>IF(B1412&lt;&gt;"",IF(AND(B1412='IN-TC'!$S$4,OR(TH!N1412="1111",TH!O1412="1111")),TH!D1412,""),"")</f>
        <v/>
      </c>
      <c r="B1412" s="62" t="str">
        <f t="shared" si="349"/>
        <v/>
      </c>
      <c r="C1412" s="63"/>
      <c r="D1412" s="63"/>
      <c r="E1412" s="63"/>
      <c r="F1412" s="66"/>
      <c r="G1412" s="66"/>
      <c r="H1412" s="71"/>
      <c r="I1412" s="405"/>
      <c r="J1412" s="408"/>
      <c r="K1412" s="398"/>
      <c r="L1412" s="405"/>
      <c r="M1412" s="64"/>
      <c r="N1412" s="65"/>
      <c r="O1412" s="65"/>
      <c r="P1412" s="81" t="str">
        <f>IF(AND('331-CT'!$E$7=TH!H1412,OR(N1412="331",O1412="331")),"x","")</f>
        <v/>
      </c>
      <c r="Q1412" s="81" t="str">
        <f>IF(AND(B1412='111'!$L$11,OR($N1412=$Q$7,$O1412=$Q$7)),"x","")</f>
        <v/>
      </c>
      <c r="R1412" s="81" t="str">
        <f>IF(AND($N1412=$Q$7,$B1412&lt;'111'!$L$11),"x","")</f>
        <v/>
      </c>
      <c r="S1412" s="81" t="str">
        <f>IF(AND($O1412=$Q$7,$B1412&lt;'111'!$L$11),"x","")</f>
        <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row>
    <row r="1413" spans="1:30" ht="15.75" customHeight="1">
      <c r="A1413" s="327" t="str">
        <f>IF(B1413&lt;&gt;"",IF(AND(B1413='IN-TC'!$S$4,OR(TH!N1413="1111",TH!O1413="1111")),TH!D1413,""),"")</f>
        <v/>
      </c>
      <c r="B1413" s="62" t="str">
        <f t="shared" si="349"/>
        <v/>
      </c>
      <c r="C1413" s="63"/>
      <c r="D1413" s="63"/>
      <c r="E1413" s="63"/>
      <c r="F1413" s="66"/>
      <c r="G1413" s="66"/>
      <c r="H1413" s="71"/>
      <c r="I1413" s="405"/>
      <c r="J1413" s="408"/>
      <c r="K1413" s="398"/>
      <c r="L1413" s="405"/>
      <c r="M1413" s="64"/>
      <c r="N1413" s="65"/>
      <c r="O1413" s="65"/>
      <c r="P1413" s="81" t="str">
        <f>IF(AND('331-CT'!$E$7=TH!H1413,OR(N1413="331",O1413="331")),"x","")</f>
        <v/>
      </c>
      <c r="Q1413" s="81" t="str">
        <f>IF(AND(B1413='111'!$L$11,OR($N1413=$Q$7,$O1413=$Q$7)),"x","")</f>
        <v/>
      </c>
      <c r="R1413" s="81" t="str">
        <f>IF(AND($N1413=$Q$7,$B1413&lt;'111'!$L$11),"x","")</f>
        <v/>
      </c>
      <c r="S1413" s="81" t="str">
        <f>IF(AND($O1413=$Q$7,$B1413&lt;'111'!$L$11),"x","")</f>
        <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row>
    <row r="1414" spans="1:30" ht="15.75" customHeight="1">
      <c r="A1414" s="327" t="str">
        <f>IF(B1414&lt;&gt;"",IF(AND(B1414='IN-TC'!$S$4,OR(TH!N1414="1111",TH!O1414="1111")),TH!D1414,""),"")</f>
        <v/>
      </c>
      <c r="B1414" s="62" t="str">
        <f t="shared" si="349"/>
        <v/>
      </c>
      <c r="C1414" s="63"/>
      <c r="D1414" s="63"/>
      <c r="E1414" s="63"/>
      <c r="F1414" s="66"/>
      <c r="G1414" s="66"/>
      <c r="H1414" s="71"/>
      <c r="I1414" s="405"/>
      <c r="J1414" s="408"/>
      <c r="K1414" s="398"/>
      <c r="L1414" s="405"/>
      <c r="M1414" s="64"/>
      <c r="N1414" s="65"/>
      <c r="O1414" s="65"/>
      <c r="P1414" s="81" t="str">
        <f>IF(AND('331-CT'!$E$7=TH!H1414,OR(N1414="331",O1414="331")),"x","")</f>
        <v/>
      </c>
      <c r="Q1414" s="81" t="str">
        <f>IF(AND(B1414='111'!$L$11,OR($N1414=$Q$7,$O1414=$Q$7)),"x","")</f>
        <v/>
      </c>
      <c r="R1414" s="81" t="str">
        <f>IF(AND($N1414=$Q$7,$B1414&lt;'111'!$L$11),"x","")</f>
        <v/>
      </c>
      <c r="S1414" s="81" t="str">
        <f>IF(AND($O1414=$Q$7,$B1414&lt;'111'!$L$11),"x","")</f>
        <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row>
    <row r="1415" spans="1:30" ht="15.75" customHeight="1">
      <c r="A1415" s="327" t="str">
        <f>IF(B1415&lt;&gt;"",IF(AND(B1415='IN-TC'!$S$4,OR(TH!N1415="1111",TH!O1415="1111")),TH!D1415,""),"")</f>
        <v/>
      </c>
      <c r="B1415" s="62" t="str">
        <f t="shared" si="349"/>
        <v/>
      </c>
      <c r="C1415" s="63"/>
      <c r="D1415" s="63"/>
      <c r="E1415" s="63"/>
      <c r="F1415" s="66"/>
      <c r="G1415" s="66"/>
      <c r="H1415" s="71"/>
      <c r="I1415" s="405"/>
      <c r="J1415" s="408"/>
      <c r="K1415" s="398"/>
      <c r="L1415" s="405"/>
      <c r="M1415" s="64"/>
      <c r="N1415" s="65"/>
      <c r="O1415" s="65"/>
      <c r="P1415" s="81" t="str">
        <f>IF(AND('331-CT'!$E$7=TH!H1415,OR(N1415="331",O1415="331")),"x","")</f>
        <v/>
      </c>
      <c r="Q1415" s="81" t="str">
        <f>IF(AND(B1415='111'!$L$11,OR($N1415=$Q$7,$O1415=$Q$7)),"x","")</f>
        <v/>
      </c>
      <c r="R1415" s="81" t="str">
        <f>IF(AND($N1415=$Q$7,$B1415&lt;'111'!$L$11),"x","")</f>
        <v/>
      </c>
      <c r="S1415" s="81" t="str">
        <f>IF(AND($O1415=$Q$7,$B1415&lt;'111'!$L$11),"x","")</f>
        <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row>
    <row r="1416" spans="1:30" ht="15.75" customHeight="1">
      <c r="A1416" s="327" t="str">
        <f>IF(B1416&lt;&gt;"",IF(AND(B1416='IN-TC'!$S$4,OR(TH!N1416="1111",TH!O1416="1111")),TH!D1416,""),"")</f>
        <v/>
      </c>
      <c r="B1416" s="62" t="str">
        <f t="shared" si="349"/>
        <v/>
      </c>
      <c r="C1416" s="63"/>
      <c r="D1416" s="63"/>
      <c r="E1416" s="63"/>
      <c r="F1416" s="66"/>
      <c r="G1416" s="66"/>
      <c r="H1416" s="71"/>
      <c r="I1416" s="405"/>
      <c r="J1416" s="408"/>
      <c r="K1416" s="398"/>
      <c r="L1416" s="405"/>
      <c r="M1416" s="64"/>
      <c r="N1416" s="65"/>
      <c r="O1416" s="65"/>
      <c r="P1416" s="81" t="str">
        <f>IF(AND('331-CT'!$E$7=TH!H1416,OR(N1416="331",O1416="331")),"x","")</f>
        <v/>
      </c>
      <c r="Q1416" s="81" t="str">
        <f>IF(AND(B1416='111'!$L$11,OR($N1416=$Q$7,$O1416=$Q$7)),"x","")</f>
        <v/>
      </c>
      <c r="R1416" s="81" t="str">
        <f>IF(AND($N1416=$Q$7,$B1416&lt;'111'!$L$11),"x","")</f>
        <v/>
      </c>
      <c r="S1416" s="81" t="str">
        <f>IF(AND($O1416=$Q$7,$B1416&lt;'111'!$L$11),"x","")</f>
        <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row>
    <row r="1417" spans="1:30" ht="15.75" customHeight="1">
      <c r="A1417" s="327" t="str">
        <f>IF(B1417&lt;&gt;"",IF(AND(B1417='IN-TC'!$S$4,OR(TH!N1417="1111",TH!O1417="1111")),TH!D1417,""),"")</f>
        <v/>
      </c>
      <c r="B1417" s="62" t="str">
        <f t="shared" si="349"/>
        <v/>
      </c>
      <c r="C1417" s="63"/>
      <c r="D1417" s="63"/>
      <c r="E1417" s="63"/>
      <c r="F1417" s="66"/>
      <c r="G1417" s="66"/>
      <c r="H1417" s="71"/>
      <c r="I1417" s="405"/>
      <c r="J1417" s="408"/>
      <c r="K1417" s="398"/>
      <c r="L1417" s="405"/>
      <c r="M1417" s="64"/>
      <c r="N1417" s="65"/>
      <c r="O1417" s="65"/>
      <c r="P1417" s="81" t="str">
        <f>IF(AND('331-CT'!$E$7=TH!H1417,OR(N1417="331",O1417="331")),"x","")</f>
        <v/>
      </c>
      <c r="Q1417" s="81" t="str">
        <f>IF(AND(B1417='111'!$L$11,OR($N1417=$Q$7,$O1417=$Q$7)),"x","")</f>
        <v/>
      </c>
      <c r="R1417" s="81" t="str">
        <f>IF(AND($N1417=$Q$7,$B1417&lt;'111'!$L$11),"x","")</f>
        <v/>
      </c>
      <c r="S1417" s="81" t="str">
        <f>IF(AND($O1417=$Q$7,$B1417&lt;'111'!$L$11),"x","")</f>
        <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row>
    <row r="1418" spans="1:30" ht="15.75" customHeight="1">
      <c r="A1418" s="327" t="str">
        <f>IF(B1418&lt;&gt;"",IF(AND(B1418='IN-TC'!$S$4,OR(TH!N1418="1111",TH!O1418="1111")),TH!D1418,""),"")</f>
        <v/>
      </c>
      <c r="B1418" s="62" t="str">
        <f t="shared" si="349"/>
        <v/>
      </c>
      <c r="C1418" s="63"/>
      <c r="D1418" s="63"/>
      <c r="E1418" s="63"/>
      <c r="F1418" s="66"/>
      <c r="G1418" s="66"/>
      <c r="H1418" s="71"/>
      <c r="I1418" s="405"/>
      <c r="J1418" s="408"/>
      <c r="K1418" s="398"/>
      <c r="L1418" s="405"/>
      <c r="M1418" s="64"/>
      <c r="N1418" s="65"/>
      <c r="O1418" s="65"/>
      <c r="P1418" s="81" t="str">
        <f>IF(AND('331-CT'!$E$7=TH!H1418,OR(N1418="331",O1418="331")),"x","")</f>
        <v/>
      </c>
      <c r="Q1418" s="81" t="str">
        <f>IF(AND(B1418='111'!$L$11,OR($N1418=$Q$7,$O1418=$Q$7)),"x","")</f>
        <v/>
      </c>
      <c r="R1418" s="81" t="str">
        <f>IF(AND($N1418=$Q$7,$B1418&lt;'111'!$L$11),"x","")</f>
        <v/>
      </c>
      <c r="S1418" s="81" t="str">
        <f>IF(AND($O1418=$Q$7,$B1418&lt;'111'!$L$11),"x","")</f>
        <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row>
    <row r="1419" spans="1:30" ht="15.75" customHeight="1">
      <c r="A1419" s="327" t="str">
        <f>IF(B1419&lt;&gt;"",IF(AND(B1419='IN-TC'!$S$4,OR(TH!N1419="1111",TH!O1419="1111")),TH!D1419,""),"")</f>
        <v/>
      </c>
      <c r="B1419" s="62" t="str">
        <f t="shared" si="349"/>
        <v/>
      </c>
      <c r="C1419" s="63"/>
      <c r="D1419" s="63"/>
      <c r="E1419" s="63"/>
      <c r="F1419" s="66"/>
      <c r="G1419" s="66"/>
      <c r="H1419" s="71"/>
      <c r="I1419" s="405"/>
      <c r="J1419" s="408"/>
      <c r="K1419" s="398"/>
      <c r="L1419" s="405"/>
      <c r="M1419" s="64"/>
      <c r="N1419" s="65"/>
      <c r="O1419" s="65"/>
      <c r="P1419" s="81" t="str">
        <f>IF(AND('331-CT'!$E$7=TH!H1419,OR(N1419="331",O1419="331")),"x","")</f>
        <v/>
      </c>
      <c r="Q1419" s="81" t="str">
        <f>IF(AND(B1419='111'!$L$11,OR($N1419=$Q$7,$O1419=$Q$7)),"x","")</f>
        <v/>
      </c>
      <c r="R1419" s="81" t="str">
        <f>IF(AND($N1419=$Q$7,$B1419&lt;'111'!$L$11),"x","")</f>
        <v/>
      </c>
      <c r="S1419" s="81" t="str">
        <f>IF(AND($O1419=$Q$7,$B1419&lt;'111'!$L$11),"x","")</f>
        <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row>
    <row r="1420" spans="1:30" ht="15.75" customHeight="1">
      <c r="A1420" s="327" t="str">
        <f>IF(B1420&lt;&gt;"",IF(AND(B1420='IN-TC'!$S$4,OR(TH!N1420="1111",TH!O1420="1111")),TH!D1420,""),"")</f>
        <v/>
      </c>
      <c r="B1420" s="62" t="str">
        <f t="shared" si="349"/>
        <v/>
      </c>
      <c r="C1420" s="63"/>
      <c r="D1420" s="63"/>
      <c r="E1420" s="63"/>
      <c r="F1420" s="66"/>
      <c r="G1420" s="66"/>
      <c r="H1420" s="71"/>
      <c r="I1420" s="405"/>
      <c r="J1420" s="408"/>
      <c r="K1420" s="398"/>
      <c r="L1420" s="405"/>
      <c r="M1420" s="64"/>
      <c r="N1420" s="65"/>
      <c r="O1420" s="65"/>
      <c r="P1420" s="81" t="str">
        <f>IF(AND('331-CT'!$E$7=TH!H1420,OR(N1420="331",O1420="331")),"x","")</f>
        <v/>
      </c>
      <c r="Q1420" s="81" t="str">
        <f>IF(AND(B1420='111'!$L$11,OR($N1420=$Q$7,$O1420=$Q$7)),"x","")</f>
        <v/>
      </c>
      <c r="R1420" s="81" t="str">
        <f>IF(AND($N1420=$Q$7,$B1420&lt;'111'!$L$11),"x","")</f>
        <v/>
      </c>
      <c r="S1420" s="81" t="str">
        <f>IF(AND($O1420=$Q$7,$B1420&lt;'111'!$L$11),"x","")</f>
        <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row>
    <row r="1421" spans="1:30" ht="15.75" customHeight="1">
      <c r="A1421" s="327" t="str">
        <f>IF(B1421&lt;&gt;"",IF(AND(B1421='IN-TC'!$S$4,OR(TH!N1421="1111",TH!O1421="1111")),TH!D1421,""),"")</f>
        <v/>
      </c>
      <c r="B1421" s="62" t="str">
        <f t="shared" si="349"/>
        <v/>
      </c>
      <c r="C1421" s="63"/>
      <c r="D1421" s="63"/>
      <c r="E1421" s="63"/>
      <c r="F1421" s="66"/>
      <c r="G1421" s="66"/>
      <c r="H1421" s="71"/>
      <c r="I1421" s="405"/>
      <c r="J1421" s="408"/>
      <c r="K1421" s="398"/>
      <c r="L1421" s="405"/>
      <c r="M1421" s="64"/>
      <c r="N1421" s="65"/>
      <c r="O1421" s="65"/>
      <c r="P1421" s="81" t="str">
        <f>IF(AND('331-CT'!$E$7=TH!H1421,OR(N1421="331",O1421="331")),"x","")</f>
        <v/>
      </c>
      <c r="Q1421" s="81" t="str">
        <f>IF(AND(B1421='111'!$L$11,OR($N1421=$Q$7,$O1421=$Q$7)),"x","")</f>
        <v/>
      </c>
      <c r="R1421" s="81" t="str">
        <f>IF(AND($N1421=$Q$7,$B1421&lt;'111'!$L$11),"x","")</f>
        <v/>
      </c>
      <c r="S1421" s="81" t="str">
        <f>IF(AND($O1421=$Q$7,$B1421&lt;'111'!$L$11),"x","")</f>
        <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row>
    <row r="1422" spans="1:30" ht="15.75" customHeight="1">
      <c r="A1422" s="327" t="str">
        <f>IF(B1422&lt;&gt;"",IF(AND(B1422='IN-TC'!$S$4,OR(TH!N1422="1111",TH!O1422="1111")),TH!D1422,""),"")</f>
        <v/>
      </c>
      <c r="B1422" s="62" t="str">
        <f t="shared" si="349"/>
        <v/>
      </c>
      <c r="C1422" s="63"/>
      <c r="D1422" s="63"/>
      <c r="E1422" s="63"/>
      <c r="F1422" s="66"/>
      <c r="G1422" s="66"/>
      <c r="H1422" s="71"/>
      <c r="I1422" s="407"/>
      <c r="J1422" s="408"/>
      <c r="K1422" s="400"/>
      <c r="L1422" s="407"/>
      <c r="M1422" s="64"/>
      <c r="N1422" s="65"/>
      <c r="O1422" s="65"/>
      <c r="P1422" s="81" t="str">
        <f>IF(AND('331-CT'!$E$7=TH!H1422,OR(N1422="331",O1422="331")),"x","")</f>
        <v/>
      </c>
      <c r="Q1422" s="81" t="str">
        <f>IF(AND(B1422='111'!$L$11,OR($N1422=$Q$7,$O1422=$Q$7)),"x","")</f>
        <v/>
      </c>
      <c r="R1422" s="81" t="str">
        <f>IF(AND($N1422=$Q$7,$B1422&lt;'111'!$L$11),"x","")</f>
        <v/>
      </c>
      <c r="S1422" s="81" t="str">
        <f>IF(AND($O1422=$Q$7,$B1422&lt;'111'!$L$11),"x","")</f>
        <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row>
    <row r="1423" spans="1:30" ht="15.75" customHeight="1">
      <c r="A1423" s="327" t="str">
        <f>IF(B1423&lt;&gt;"",IF(AND(B1423='IN-TC'!$S$4,OR(TH!N1423="1111",TH!O1423="1111")),TH!D1423,""),"")</f>
        <v/>
      </c>
      <c r="B1423" s="62" t="str">
        <f t="shared" si="349"/>
        <v/>
      </c>
      <c r="C1423" s="63"/>
      <c r="D1423" s="63"/>
      <c r="E1423" s="63"/>
      <c r="F1423" s="66"/>
      <c r="G1423" s="816"/>
      <c r="H1423" s="71"/>
      <c r="I1423" s="407"/>
      <c r="J1423" s="408"/>
      <c r="K1423" s="400"/>
      <c r="L1423" s="407"/>
      <c r="M1423" s="64"/>
      <c r="N1423" s="65"/>
      <c r="O1423" s="65"/>
      <c r="P1423" s="81" t="str">
        <f>IF(AND('331-CT'!$E$7=TH!H1423,OR(N1423="331",O1423="331")),"x","")</f>
        <v/>
      </c>
      <c r="Q1423" s="81" t="str">
        <f>IF(AND(B1423='111'!$L$11,OR($N1423=$Q$7,$O1423=$Q$7)),"x","")</f>
        <v/>
      </c>
      <c r="R1423" s="81" t="str">
        <f>IF(AND($N1423=$Q$7,$B1423&lt;'111'!$L$11),"x","")</f>
        <v/>
      </c>
      <c r="S1423" s="81" t="str">
        <f>IF(AND($O1423=$Q$7,$B1423&lt;'111'!$L$11),"x","")</f>
        <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row>
    <row r="1424" spans="1:30" ht="15.75" customHeight="1">
      <c r="A1424" s="327" t="str">
        <f>IF(B1424&lt;&gt;"",IF(AND(B1424='IN-TC'!$S$4,OR(TH!N1424="1111",TH!O1424="1111")),TH!D1424,""),"")</f>
        <v/>
      </c>
      <c r="B1424" s="62" t="str">
        <f t="shared" si="349"/>
        <v/>
      </c>
      <c r="C1424" s="63"/>
      <c r="D1424" s="63"/>
      <c r="E1424" s="63"/>
      <c r="F1424" s="66"/>
      <c r="G1424" s="66"/>
      <c r="H1424" s="71"/>
      <c r="I1424" s="405"/>
      <c r="J1424" s="408"/>
      <c r="K1424" s="398"/>
      <c r="L1424" s="405"/>
      <c r="M1424" s="64"/>
      <c r="N1424" s="65"/>
      <c r="O1424" s="65"/>
      <c r="P1424" s="81" t="str">
        <f>IF(AND('331-CT'!$E$7=TH!H1424,OR(N1424="331",O1424="331")),"x","")</f>
        <v/>
      </c>
      <c r="Q1424" s="81" t="str">
        <f>IF(AND(B1424='111'!$L$11,OR($N1424=$Q$7,$O1424=$Q$7)),"x","")</f>
        <v/>
      </c>
      <c r="R1424" s="81" t="str">
        <f>IF(AND($N1424=$Q$7,$B1424&lt;'111'!$L$11),"x","")</f>
        <v/>
      </c>
      <c r="S1424" s="81" t="str">
        <f>IF(AND($O1424=$Q$7,$B1424&lt;'111'!$L$11),"x","")</f>
        <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row>
    <row r="1425" spans="1:30" ht="15.75" customHeight="1">
      <c r="A1425" s="327" t="str">
        <f>IF(B1425&lt;&gt;"",IF(AND(B1425='IN-TC'!$S$4,OR(TH!N1425="1111",TH!O1425="1111")),TH!D1425,""),"")</f>
        <v/>
      </c>
      <c r="B1425" s="62" t="str">
        <f t="shared" si="349"/>
        <v/>
      </c>
      <c r="C1425" s="63"/>
      <c r="D1425" s="63"/>
      <c r="E1425" s="63"/>
      <c r="F1425" s="66"/>
      <c r="G1425" s="66"/>
      <c r="H1425" s="71"/>
      <c r="I1425" s="405"/>
      <c r="J1425" s="408"/>
      <c r="K1425" s="398"/>
      <c r="L1425" s="405"/>
      <c r="M1425" s="64"/>
      <c r="N1425" s="65"/>
      <c r="O1425" s="65"/>
      <c r="P1425" s="81" t="str">
        <f>IF(AND('331-CT'!$E$7=TH!H1425,OR(N1425="331",O1425="331")),"x","")</f>
        <v/>
      </c>
      <c r="Q1425" s="81" t="str">
        <f>IF(AND(B1425='111'!$L$11,OR($N1425=$Q$7,$O1425=$Q$7)),"x","")</f>
        <v/>
      </c>
      <c r="R1425" s="81" t="str">
        <f>IF(AND($N1425=$Q$7,$B1425&lt;'111'!$L$11),"x","")</f>
        <v/>
      </c>
      <c r="S1425" s="81" t="str">
        <f>IF(AND($O1425=$Q$7,$B1425&lt;'111'!$L$11),"x","")</f>
        <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row>
    <row r="1426" spans="1:30" ht="15.75" customHeight="1">
      <c r="A1426" s="327" t="str">
        <f>IF(B1426&lt;&gt;"",IF(AND(B1426='IN-TC'!$S$4,OR(TH!N1426="1111",TH!O1426="1111")),TH!D1426,""),"")</f>
        <v/>
      </c>
      <c r="B1426" s="62" t="str">
        <f t="shared" si="349"/>
        <v/>
      </c>
      <c r="C1426" s="63"/>
      <c r="D1426" s="63"/>
      <c r="E1426" s="63"/>
      <c r="F1426" s="66"/>
      <c r="G1426" s="66"/>
      <c r="H1426" s="72"/>
      <c r="I1426" s="408"/>
      <c r="J1426" s="408"/>
      <c r="K1426" s="401"/>
      <c r="L1426" s="408"/>
      <c r="M1426" s="64"/>
      <c r="N1426" s="65"/>
      <c r="O1426" s="65"/>
      <c r="P1426" s="81" t="str">
        <f>IF(AND('331-CT'!$E$7=TH!H1426,OR(N1426="331",O1426="331")),"x","")</f>
        <v/>
      </c>
      <c r="Q1426" s="81" t="str">
        <f>IF(AND(B1426='111'!$L$11,OR($N1426=$Q$7,$O1426=$Q$7)),"x","")</f>
        <v/>
      </c>
      <c r="R1426" s="81" t="str">
        <f>IF(AND($N1426=$Q$7,$B1426&lt;'111'!$L$11),"x","")</f>
        <v/>
      </c>
      <c r="S1426" s="81" t="str">
        <f>IF(AND($O1426=$Q$7,$B1426&lt;'111'!$L$11),"x","")</f>
        <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row>
    <row r="1427" spans="1:30" ht="15.75" customHeight="1">
      <c r="A1427" s="327" t="str">
        <f>IF(B1427&lt;&gt;"",IF(AND(B1427='IN-TC'!$S$4,OR(TH!N1427="1111",TH!O1427="1111")),TH!D1427,""),"")</f>
        <v/>
      </c>
      <c r="B1427" s="62" t="str">
        <f t="shared" si="349"/>
        <v/>
      </c>
      <c r="C1427" s="63"/>
      <c r="D1427" s="63"/>
      <c r="E1427" s="63"/>
      <c r="F1427" s="66"/>
      <c r="G1427" s="66"/>
      <c r="H1427" s="71"/>
      <c r="I1427" s="405"/>
      <c r="J1427" s="408"/>
      <c r="K1427" s="398"/>
      <c r="L1427" s="405"/>
      <c r="M1427" s="64"/>
      <c r="N1427" s="65"/>
      <c r="O1427" s="65"/>
      <c r="P1427" s="81" t="str">
        <f>IF(AND('331-CT'!$E$7=TH!H1427,OR(N1427="331",O1427="331")),"x","")</f>
        <v/>
      </c>
      <c r="Q1427" s="81" t="str">
        <f>IF(AND(B1427='111'!$L$11,OR($N1427=$Q$7,$O1427=$Q$7)),"x","")</f>
        <v/>
      </c>
      <c r="R1427" s="81" t="str">
        <f>IF(AND($N1427=$Q$7,$B1427&lt;'111'!$L$11),"x","")</f>
        <v/>
      </c>
      <c r="S1427" s="81" t="str">
        <f>IF(AND($O1427=$Q$7,$B1427&lt;'111'!$L$11),"x","")</f>
        <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row>
    <row r="1428" spans="1:30" ht="15.75" customHeight="1">
      <c r="A1428" s="327" t="str">
        <f>IF(B1428&lt;&gt;"",IF(AND(B1428='IN-TC'!$S$4,OR(TH!N1428="1111",TH!O1428="1111")),TH!D1428,""),"")</f>
        <v/>
      </c>
      <c r="B1428" s="62" t="str">
        <f t="shared" si="349"/>
        <v/>
      </c>
      <c r="C1428" s="63"/>
      <c r="D1428" s="63"/>
      <c r="E1428" s="63"/>
      <c r="F1428" s="66"/>
      <c r="G1428" s="66"/>
      <c r="H1428" s="71"/>
      <c r="I1428" s="405"/>
      <c r="J1428" s="408"/>
      <c r="K1428" s="398"/>
      <c r="L1428" s="405"/>
      <c r="M1428" s="64"/>
      <c r="N1428" s="65"/>
      <c r="O1428" s="65"/>
      <c r="P1428" s="81" t="str">
        <f>IF(AND('331-CT'!$E$7=TH!H1428,OR(N1428="331",O1428="331")),"x","")</f>
        <v/>
      </c>
      <c r="Q1428" s="81" t="str">
        <f>IF(AND(B1428='111'!$L$11,OR($N1428=$Q$7,$O1428=$Q$7)),"x","")</f>
        <v/>
      </c>
      <c r="R1428" s="81" t="str">
        <f>IF(AND($N1428=$Q$7,$B1428&lt;'111'!$L$11),"x","")</f>
        <v/>
      </c>
      <c r="S1428" s="81" t="str">
        <f>IF(AND($O1428=$Q$7,$B1428&lt;'111'!$L$11),"x","")</f>
        <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row>
    <row r="1429" spans="1:30" ht="15.75" customHeight="1">
      <c r="A1429" s="327" t="str">
        <f>IF(B1429&lt;&gt;"",IF(AND(B1429='IN-TC'!$S$4,OR(TH!N1429="1111",TH!O1429="1111")),TH!D1429,""),"")</f>
        <v/>
      </c>
      <c r="B1429" s="62" t="str">
        <f t="shared" si="349"/>
        <v/>
      </c>
      <c r="C1429" s="63"/>
      <c r="D1429" s="63"/>
      <c r="E1429" s="63"/>
      <c r="F1429" s="66"/>
      <c r="G1429" s="66"/>
      <c r="H1429" s="71"/>
      <c r="I1429" s="405"/>
      <c r="J1429" s="408"/>
      <c r="K1429" s="398"/>
      <c r="L1429" s="405"/>
      <c r="M1429" s="64"/>
      <c r="N1429" s="65"/>
      <c r="O1429" s="65"/>
      <c r="P1429" s="81" t="str">
        <f>IF(AND('331-CT'!$E$7=TH!H1429,OR(N1429="331",O1429="331")),"x","")</f>
        <v/>
      </c>
      <c r="Q1429" s="81" t="str">
        <f>IF(AND(B1429='111'!$L$11,OR($N1429=$Q$7,$O1429=$Q$7)),"x","")</f>
        <v/>
      </c>
      <c r="R1429" s="81" t="str">
        <f>IF(AND($N1429=$Q$7,$B1429&lt;'111'!$L$11),"x","")</f>
        <v/>
      </c>
      <c r="S1429" s="81" t="str">
        <f>IF(AND($O1429=$Q$7,$B1429&lt;'111'!$L$11),"x","")</f>
        <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row>
    <row r="1430" spans="1:30" ht="15.75" customHeight="1">
      <c r="A1430" s="327" t="str">
        <f>IF(B1430&lt;&gt;"",IF(AND(B1430='IN-TC'!$S$4,OR(TH!N1430="1111",TH!O1430="1111")),TH!D1430,""),"")</f>
        <v/>
      </c>
      <c r="B1430" s="62" t="str">
        <f t="shared" si="349"/>
        <v/>
      </c>
      <c r="C1430" s="63"/>
      <c r="D1430" s="63"/>
      <c r="E1430" s="63"/>
      <c r="F1430" s="66"/>
      <c r="G1430" s="66"/>
      <c r="H1430" s="71"/>
      <c r="I1430" s="405"/>
      <c r="J1430" s="408"/>
      <c r="K1430" s="398"/>
      <c r="L1430" s="405"/>
      <c r="M1430" s="64"/>
      <c r="N1430" s="65"/>
      <c r="O1430" s="65"/>
      <c r="P1430" s="81" t="str">
        <f>IF(AND('331-CT'!$E$7=TH!H1430,OR(N1430="331",O1430="331")),"x","")</f>
        <v/>
      </c>
      <c r="Q1430" s="81" t="str">
        <f>IF(AND(B1430='111'!$L$11,OR($N1430=$Q$7,$O1430=$Q$7)),"x","")</f>
        <v/>
      </c>
      <c r="R1430" s="81" t="str">
        <f>IF(AND($N1430=$Q$7,$B1430&lt;'111'!$L$11),"x","")</f>
        <v/>
      </c>
      <c r="S1430" s="81" t="str">
        <f>IF(AND($O1430=$Q$7,$B1430&lt;'111'!$L$11),"x","")</f>
        <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row>
    <row r="1431" spans="1:30" ht="15.75" customHeight="1">
      <c r="A1431" s="327" t="str">
        <f>IF(B1431&lt;&gt;"",IF(AND(B1431='IN-TC'!$S$4,OR(TH!N1431="1111",TH!O1431="1111")),TH!D1431,""),"")</f>
        <v/>
      </c>
      <c r="B1431" s="62" t="str">
        <f t="shared" si="349"/>
        <v/>
      </c>
      <c r="C1431" s="63"/>
      <c r="D1431" s="63"/>
      <c r="E1431" s="63"/>
      <c r="F1431" s="66"/>
      <c r="G1431" s="66"/>
      <c r="H1431" s="71"/>
      <c r="I1431" s="405"/>
      <c r="J1431" s="408"/>
      <c r="K1431" s="398"/>
      <c r="L1431" s="405"/>
      <c r="M1431" s="64"/>
      <c r="N1431" s="65"/>
      <c r="O1431" s="65"/>
      <c r="P1431" s="81" t="str">
        <f>IF(AND('331-CT'!$E$7=TH!H1431,OR(N1431="331",O1431="331")),"x","")</f>
        <v/>
      </c>
      <c r="Q1431" s="81" t="str">
        <f>IF(AND(B1431='111'!$L$11,OR($N1431=$Q$7,$O1431=$Q$7)),"x","")</f>
        <v/>
      </c>
      <c r="R1431" s="81" t="str">
        <f>IF(AND($N1431=$Q$7,$B1431&lt;'111'!$L$11),"x","")</f>
        <v/>
      </c>
      <c r="S1431" s="81" t="str">
        <f>IF(AND($O1431=$Q$7,$B1431&lt;'111'!$L$11),"x","")</f>
        <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row>
    <row r="1432" spans="1:30" ht="15.75" customHeight="1">
      <c r="A1432" s="327" t="str">
        <f>IF(B1432&lt;&gt;"",IF(AND(B1432='IN-TC'!$S$4,OR(TH!N1432="1111",TH!O1432="1111")),TH!D1432,""),"")</f>
        <v/>
      </c>
      <c r="B1432" s="62" t="str">
        <f t="shared" si="349"/>
        <v/>
      </c>
      <c r="C1432" s="63"/>
      <c r="D1432" s="63"/>
      <c r="E1432" s="63"/>
      <c r="F1432" s="66"/>
      <c r="G1432" s="66"/>
      <c r="H1432" s="71"/>
      <c r="I1432" s="408"/>
      <c r="J1432" s="408"/>
      <c r="K1432" s="401"/>
      <c r="L1432" s="408"/>
      <c r="M1432" s="64"/>
      <c r="N1432" s="65"/>
      <c r="O1432" s="65"/>
      <c r="P1432" s="81" t="str">
        <f>IF(AND('331-CT'!$E$7=TH!H1432,OR(N1432="331",O1432="331")),"x","")</f>
        <v/>
      </c>
      <c r="Q1432" s="81" t="str">
        <f>IF(AND(B1432='111'!$L$11,OR($N1432=$Q$7,$O1432=$Q$7)),"x","")</f>
        <v/>
      </c>
      <c r="R1432" s="81" t="str">
        <f>IF(AND($N1432=$Q$7,$B1432&lt;'111'!$L$11),"x","")</f>
        <v/>
      </c>
      <c r="S1432" s="81" t="str">
        <f>IF(AND($O1432=$Q$7,$B1432&lt;'111'!$L$11),"x","")</f>
        <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row>
    <row r="1433" spans="1:30" ht="15.75" customHeight="1">
      <c r="A1433" s="327" t="str">
        <f>IF(B1433&lt;&gt;"",IF(AND(B1433='IN-TC'!$S$4,OR(TH!N1433="1111",TH!O1433="1111")),TH!D1433,""),"")</f>
        <v/>
      </c>
      <c r="B1433" s="62" t="str">
        <f t="shared" si="349"/>
        <v/>
      </c>
      <c r="C1433" s="63"/>
      <c r="D1433" s="63"/>
      <c r="E1433" s="63"/>
      <c r="F1433" s="66"/>
      <c r="G1433" s="66"/>
      <c r="H1433" s="71"/>
      <c r="I1433" s="405"/>
      <c r="J1433" s="408"/>
      <c r="K1433" s="398"/>
      <c r="L1433" s="405"/>
      <c r="M1433" s="64"/>
      <c r="N1433" s="65"/>
      <c r="O1433" s="65"/>
      <c r="P1433" s="81" t="str">
        <f>IF(AND('331-CT'!$E$7=TH!H1433,OR(N1433="331",O1433="331")),"x","")</f>
        <v/>
      </c>
      <c r="Q1433" s="81" t="str">
        <f>IF(AND(B1433='111'!$L$11,OR($N1433=$Q$7,$O1433=$Q$7)),"x","")</f>
        <v/>
      </c>
      <c r="R1433" s="81" t="str">
        <f>IF(AND($N1433=$Q$7,$B1433&lt;'111'!$L$11),"x","")</f>
        <v/>
      </c>
      <c r="S1433" s="81" t="str">
        <f>IF(AND($O1433=$Q$7,$B1433&lt;'111'!$L$11),"x","")</f>
        <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row>
    <row r="1434" spans="1:30" ht="15.75" customHeight="1">
      <c r="A1434" s="327" t="str">
        <f>IF(B1434&lt;&gt;"",IF(AND(B1434='IN-TC'!$S$4,OR(TH!N1434="1111",TH!O1434="1111")),TH!D1434,""),"")</f>
        <v/>
      </c>
      <c r="B1434" s="62" t="str">
        <f t="shared" si="349"/>
        <v/>
      </c>
      <c r="C1434" s="63"/>
      <c r="D1434" s="63"/>
      <c r="E1434" s="63"/>
      <c r="F1434" s="66"/>
      <c r="G1434" s="66"/>
      <c r="H1434" s="71"/>
      <c r="I1434" s="405"/>
      <c r="J1434" s="408"/>
      <c r="K1434" s="398"/>
      <c r="L1434" s="405"/>
      <c r="M1434" s="64"/>
      <c r="N1434" s="65"/>
      <c r="O1434" s="65"/>
      <c r="P1434" s="81" t="str">
        <f>IF(AND('331-CT'!$E$7=TH!H1434,OR(N1434="331",O1434="331")),"x","")</f>
        <v/>
      </c>
      <c r="Q1434" s="81" t="str">
        <f>IF(AND(B1434='111'!$L$11,OR($N1434=$Q$7,$O1434=$Q$7)),"x","")</f>
        <v/>
      </c>
      <c r="R1434" s="81" t="str">
        <f>IF(AND($N1434=$Q$7,$B1434&lt;'111'!$L$11),"x","")</f>
        <v/>
      </c>
      <c r="S1434" s="81" t="str">
        <f>IF(AND($O1434=$Q$7,$B1434&lt;'111'!$L$11),"x","")</f>
        <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row>
    <row r="1435" spans="1:30" ht="15.75" customHeight="1">
      <c r="A1435" s="327" t="str">
        <f>IF(B1435&lt;&gt;"",IF(AND(B1435='IN-TC'!$S$4,OR(TH!N1435="1111",TH!O1435="1111")),TH!D1435,""),"")</f>
        <v/>
      </c>
      <c r="B1435" s="62" t="str">
        <f t="shared" si="349"/>
        <v/>
      </c>
      <c r="C1435" s="63"/>
      <c r="D1435" s="63"/>
      <c r="E1435" s="63"/>
      <c r="F1435" s="66"/>
      <c r="G1435" s="66"/>
      <c r="H1435" s="71"/>
      <c r="I1435" s="405"/>
      <c r="J1435" s="408"/>
      <c r="K1435" s="398"/>
      <c r="L1435" s="405"/>
      <c r="M1435" s="64"/>
      <c r="N1435" s="65"/>
      <c r="O1435" s="65"/>
      <c r="P1435" s="81" t="str">
        <f>IF(AND('331-CT'!$E$7=TH!H1435,OR(N1435="331",O1435="331")),"x","")</f>
        <v/>
      </c>
      <c r="Q1435" s="81" t="str">
        <f>IF(AND(B1435='111'!$L$11,OR($N1435=$Q$7,$O1435=$Q$7)),"x","")</f>
        <v/>
      </c>
      <c r="R1435" s="81" t="str">
        <f>IF(AND($N1435=$Q$7,$B1435&lt;'111'!$L$11),"x","")</f>
        <v/>
      </c>
      <c r="S1435" s="81" t="str">
        <f>IF(AND($O1435=$Q$7,$B1435&lt;'111'!$L$11),"x","")</f>
        <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row>
    <row r="1436" spans="1:30" ht="15.75" customHeight="1">
      <c r="A1436" s="327" t="str">
        <f>IF(B1436&lt;&gt;"",IF(AND(B1436='IN-TC'!$S$4,OR(TH!N1436="1111",TH!O1436="1111")),TH!D1436,""),"")</f>
        <v/>
      </c>
      <c r="B1436" s="62" t="str">
        <f t="shared" si="349"/>
        <v/>
      </c>
      <c r="C1436" s="63"/>
      <c r="D1436" s="63"/>
      <c r="E1436" s="63"/>
      <c r="F1436" s="66"/>
      <c r="G1436" s="66"/>
      <c r="H1436" s="72"/>
      <c r="I1436" s="405"/>
      <c r="J1436" s="408"/>
      <c r="K1436" s="398"/>
      <c r="L1436" s="405"/>
      <c r="M1436" s="64"/>
      <c r="N1436" s="65"/>
      <c r="O1436" s="65"/>
      <c r="P1436" s="81" t="str">
        <f>IF(AND('331-CT'!$E$7=TH!H1436,OR(N1436="331",O1436="331")),"x","")</f>
        <v/>
      </c>
      <c r="Q1436" s="81" t="str">
        <f>IF(AND(B1436='111'!$L$11,OR($N1436=$Q$7,$O1436=$Q$7)),"x","")</f>
        <v/>
      </c>
      <c r="R1436" s="81" t="str">
        <f>IF(AND($N1436=$Q$7,$B1436&lt;'111'!$L$11),"x","")</f>
        <v/>
      </c>
      <c r="S1436" s="81" t="str">
        <f>IF(AND($O1436=$Q$7,$B1436&lt;'111'!$L$11),"x","")</f>
        <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row>
    <row r="1437" spans="1:30" ht="15.75" customHeight="1">
      <c r="A1437" s="327" t="str">
        <f>IF(B1437&lt;&gt;"",IF(AND(B1437='IN-TC'!$S$4,OR(TH!N1437="1111",TH!O1437="1111")),TH!D1437,""),"")</f>
        <v/>
      </c>
      <c r="B1437" s="62" t="str">
        <f t="shared" si="349"/>
        <v/>
      </c>
      <c r="C1437" s="63"/>
      <c r="D1437" s="63"/>
      <c r="E1437" s="63"/>
      <c r="F1437" s="66"/>
      <c r="G1437" s="66"/>
      <c r="H1437" s="71"/>
      <c r="I1437" s="407"/>
      <c r="J1437" s="408"/>
      <c r="K1437" s="400"/>
      <c r="L1437" s="407"/>
      <c r="M1437" s="64"/>
      <c r="N1437" s="65"/>
      <c r="O1437" s="65"/>
      <c r="P1437" s="81" t="str">
        <f>IF(AND('331-CT'!$E$7=TH!H1437,OR(N1437="331",O1437="331")),"x","")</f>
        <v/>
      </c>
      <c r="Q1437" s="81" t="str">
        <f>IF(AND(B1437='111'!$L$11,OR($N1437=$Q$7,$O1437=$Q$7)),"x","")</f>
        <v/>
      </c>
      <c r="R1437" s="81" t="str">
        <f>IF(AND($N1437=$Q$7,$B1437&lt;'111'!$L$11),"x","")</f>
        <v/>
      </c>
      <c r="S1437" s="81" t="str">
        <f>IF(AND($O1437=$Q$7,$B1437&lt;'111'!$L$11),"x","")</f>
        <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row>
    <row r="1438" spans="1:30" ht="15.75" customHeight="1">
      <c r="A1438" s="327" t="str">
        <f>IF(B1438&lt;&gt;"",IF(AND(B1438='IN-TC'!$S$4,OR(TH!N1438="1111",TH!O1438="1111")),TH!D1438,""),"")</f>
        <v/>
      </c>
      <c r="B1438" s="62" t="str">
        <f t="shared" si="349"/>
        <v/>
      </c>
      <c r="C1438" s="63"/>
      <c r="D1438" s="63"/>
      <c r="E1438" s="63"/>
      <c r="F1438" s="66"/>
      <c r="G1438" s="66"/>
      <c r="H1438" s="71"/>
      <c r="I1438" s="405"/>
      <c r="J1438" s="408"/>
      <c r="K1438" s="398"/>
      <c r="L1438" s="405"/>
      <c r="M1438" s="64"/>
      <c r="N1438" s="65"/>
      <c r="O1438" s="65"/>
      <c r="P1438" s="81" t="str">
        <f>IF(AND('331-CT'!$E$7=TH!H1438,OR(N1438="331",O1438="331")),"x","")</f>
        <v/>
      </c>
      <c r="Q1438" s="81" t="str">
        <f>IF(AND(B1438='111'!$L$11,OR($N1438=$Q$7,$O1438=$Q$7)),"x","")</f>
        <v/>
      </c>
      <c r="R1438" s="81" t="str">
        <f>IF(AND($N1438=$Q$7,$B1438&lt;'111'!$L$11),"x","")</f>
        <v/>
      </c>
      <c r="S1438" s="81" t="str">
        <f>IF(AND($O1438=$Q$7,$B1438&lt;'111'!$L$11),"x","")</f>
        <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row>
    <row r="1439" spans="1:30" ht="15.75" customHeight="1">
      <c r="A1439" s="327" t="str">
        <f>IF(B1439&lt;&gt;"",IF(AND(B1439='IN-TC'!$S$4,OR(TH!N1439="1111",TH!O1439="1111")),TH!D1439,""),"")</f>
        <v/>
      </c>
      <c r="B1439" s="62" t="str">
        <f t="shared" si="349"/>
        <v/>
      </c>
      <c r="C1439" s="63"/>
      <c r="D1439" s="63"/>
      <c r="E1439" s="63"/>
      <c r="F1439" s="66"/>
      <c r="G1439" s="66"/>
      <c r="H1439" s="71"/>
      <c r="I1439" s="407"/>
      <c r="J1439" s="408"/>
      <c r="K1439" s="400"/>
      <c r="L1439" s="407"/>
      <c r="M1439" s="64"/>
      <c r="N1439" s="65"/>
      <c r="O1439" s="65"/>
      <c r="P1439" s="81" t="str">
        <f>IF(AND('331-CT'!$E$7=TH!H1439,OR(N1439="331",O1439="331")),"x","")</f>
        <v/>
      </c>
      <c r="Q1439" s="81" t="str">
        <f>IF(AND(B1439='111'!$L$11,OR($N1439=$Q$7,$O1439=$Q$7)),"x","")</f>
        <v/>
      </c>
      <c r="R1439" s="81" t="str">
        <f>IF(AND($N1439=$Q$7,$B1439&lt;'111'!$L$11),"x","")</f>
        <v/>
      </c>
      <c r="S1439" s="81" t="str">
        <f>IF(AND($O1439=$Q$7,$B1439&lt;'111'!$L$11),"x","")</f>
        <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row>
    <row r="1440" spans="1:30" ht="15.75" customHeight="1">
      <c r="A1440" s="327" t="str">
        <f>IF(B1440&lt;&gt;"",IF(AND(B1440='IN-TC'!$S$4,OR(TH!N1440="1111",TH!O1440="1111")),TH!D1440,""),"")</f>
        <v/>
      </c>
      <c r="B1440" s="62" t="str">
        <f t="shared" si="349"/>
        <v/>
      </c>
      <c r="C1440" s="63"/>
      <c r="D1440" s="63"/>
      <c r="E1440" s="63"/>
      <c r="F1440" s="66"/>
      <c r="G1440" s="66"/>
      <c r="H1440" s="71"/>
      <c r="I1440" s="405"/>
      <c r="J1440" s="408"/>
      <c r="K1440" s="398"/>
      <c r="L1440" s="405"/>
      <c r="M1440" s="64"/>
      <c r="N1440" s="65"/>
      <c r="O1440" s="65"/>
      <c r="P1440" s="81" t="str">
        <f>IF(AND('331-CT'!$E$7=TH!H1440,OR(N1440="331",O1440="331")),"x","")</f>
        <v/>
      </c>
      <c r="Q1440" s="81" t="str">
        <f>IF(AND(B1440='111'!$L$11,OR($N1440=$Q$7,$O1440=$Q$7)),"x","")</f>
        <v/>
      </c>
      <c r="R1440" s="81" t="str">
        <f>IF(AND($N1440=$Q$7,$B1440&lt;'111'!$L$11),"x","")</f>
        <v/>
      </c>
      <c r="S1440" s="81" t="str">
        <f>IF(AND($O1440=$Q$7,$B1440&lt;'111'!$L$11),"x","")</f>
        <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row>
    <row r="1441" spans="1:30" ht="15.75" customHeight="1">
      <c r="A1441" s="327" t="str">
        <f>IF(B1441&lt;&gt;"",IF(AND(B1441='IN-TC'!$S$4,OR(TH!N1441="1111",TH!O1441="1111")),TH!D1441,""),"")</f>
        <v/>
      </c>
      <c r="B1441" s="62" t="str">
        <f t="shared" si="349"/>
        <v/>
      </c>
      <c r="C1441" s="63"/>
      <c r="D1441" s="63"/>
      <c r="E1441" s="63"/>
      <c r="F1441" s="66"/>
      <c r="G1441" s="66"/>
      <c r="H1441" s="72"/>
      <c r="I1441" s="408"/>
      <c r="J1441" s="408"/>
      <c r="K1441" s="401"/>
      <c r="L1441" s="408"/>
      <c r="M1441" s="64"/>
      <c r="N1441" s="65"/>
      <c r="O1441" s="65"/>
      <c r="P1441" s="81" t="str">
        <f>IF(AND('331-CT'!$E$7=TH!H1441,OR(N1441="331",O1441="331")),"x","")</f>
        <v/>
      </c>
      <c r="Q1441" s="81" t="str">
        <f>IF(AND(B1441='111'!$L$11,OR($N1441=$Q$7,$O1441=$Q$7)),"x","")</f>
        <v/>
      </c>
      <c r="R1441" s="81" t="str">
        <f>IF(AND($N1441=$Q$7,$B1441&lt;'111'!$L$11),"x","")</f>
        <v/>
      </c>
      <c r="S1441" s="81" t="str">
        <f>IF(AND($O1441=$Q$7,$B1441&lt;'111'!$L$11),"x","")</f>
        <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row>
    <row r="1442" spans="1:30" ht="15.75" customHeight="1">
      <c r="A1442" s="327" t="str">
        <f>IF(B1442&lt;&gt;"",IF(AND(B1442='IN-TC'!$S$4,OR(TH!N1442="1111",TH!O1442="1111")),TH!D1442,""),"")</f>
        <v/>
      </c>
      <c r="B1442" s="62" t="str">
        <f t="shared" si="349"/>
        <v/>
      </c>
      <c r="C1442" s="63"/>
      <c r="D1442" s="63"/>
      <c r="E1442" s="63"/>
      <c r="F1442" s="66"/>
      <c r="G1442" s="66"/>
      <c r="H1442" s="71"/>
      <c r="I1442" s="405"/>
      <c r="J1442" s="408"/>
      <c r="K1442" s="398"/>
      <c r="L1442" s="405"/>
      <c r="M1442" s="64"/>
      <c r="N1442" s="65"/>
      <c r="O1442" s="65"/>
      <c r="P1442" s="81" t="str">
        <f>IF(AND('331-CT'!$E$7=TH!H1442,OR(N1442="331",O1442="331")),"x","")</f>
        <v/>
      </c>
      <c r="Q1442" s="81" t="str">
        <f>IF(AND(B1442='111'!$L$11,OR($N1442=$Q$7,$O1442=$Q$7)),"x","")</f>
        <v/>
      </c>
      <c r="R1442" s="81" t="str">
        <f>IF(AND($N1442=$Q$7,$B1442&lt;'111'!$L$11),"x","")</f>
        <v/>
      </c>
      <c r="S1442" s="81" t="str">
        <f>IF(AND($O1442=$Q$7,$B1442&lt;'111'!$L$11),"x","")</f>
        <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row>
    <row r="1443" spans="1:30" ht="15.75" customHeight="1">
      <c r="A1443" s="327" t="str">
        <f>IF(B1443&lt;&gt;"",IF(AND(B1443='IN-TC'!$S$4,OR(TH!N1443="1111",TH!O1443="1111")),TH!D1443,""),"")</f>
        <v/>
      </c>
      <c r="B1443" s="62" t="str">
        <f t="shared" si="349"/>
        <v/>
      </c>
      <c r="C1443" s="63"/>
      <c r="D1443" s="63"/>
      <c r="E1443" s="63"/>
      <c r="F1443" s="66"/>
      <c r="G1443" s="66"/>
      <c r="H1443" s="71"/>
      <c r="I1443" s="405"/>
      <c r="J1443" s="408"/>
      <c r="K1443" s="398"/>
      <c r="L1443" s="405"/>
      <c r="M1443" s="64"/>
      <c r="N1443" s="65"/>
      <c r="O1443" s="65"/>
      <c r="P1443" s="81" t="str">
        <f>IF(AND('331-CT'!$E$7=TH!H1443,OR(N1443="331",O1443="331")),"x","")</f>
        <v/>
      </c>
      <c r="Q1443" s="81" t="str">
        <f>IF(AND(B1443='111'!$L$11,OR($N1443=$Q$7,$O1443=$Q$7)),"x","")</f>
        <v/>
      </c>
      <c r="R1443" s="81" t="str">
        <f>IF(AND($N1443=$Q$7,$B1443&lt;'111'!$L$11),"x","")</f>
        <v/>
      </c>
      <c r="S1443" s="81" t="str">
        <f>IF(AND($O1443=$Q$7,$B1443&lt;'111'!$L$11),"x","")</f>
        <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row>
    <row r="1444" spans="1:30" ht="15.75" customHeight="1">
      <c r="A1444" s="327" t="str">
        <f>IF(B1444&lt;&gt;"",IF(AND(B1444='IN-TC'!$S$4,OR(TH!N1444="1111",TH!O1444="1111")),TH!D1444,""),"")</f>
        <v/>
      </c>
      <c r="B1444" s="62" t="str">
        <f t="shared" si="349"/>
        <v/>
      </c>
      <c r="C1444" s="63"/>
      <c r="D1444" s="63"/>
      <c r="E1444" s="63"/>
      <c r="F1444" s="66"/>
      <c r="G1444" s="66"/>
      <c r="H1444" s="71"/>
      <c r="I1444" s="405"/>
      <c r="J1444" s="408"/>
      <c r="K1444" s="398"/>
      <c r="L1444" s="405"/>
      <c r="M1444" s="64"/>
      <c r="N1444" s="65"/>
      <c r="O1444" s="65"/>
      <c r="P1444" s="81" t="str">
        <f>IF(AND('331-CT'!$E$7=TH!H1444,OR(N1444="331",O1444="331")),"x","")</f>
        <v/>
      </c>
      <c r="Q1444" s="81" t="str">
        <f>IF(AND(B1444='111'!$L$11,OR($N1444=$Q$7,$O1444=$Q$7)),"x","")</f>
        <v/>
      </c>
      <c r="R1444" s="81" t="str">
        <f>IF(AND($N1444=$Q$7,$B1444&lt;'111'!$L$11),"x","")</f>
        <v/>
      </c>
      <c r="S1444" s="81" t="str">
        <f>IF(AND($O1444=$Q$7,$B1444&lt;'111'!$L$11),"x","")</f>
        <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row>
    <row r="1445" spans="1:30" ht="15.75" customHeight="1">
      <c r="A1445" s="327" t="str">
        <f>IF(B1445&lt;&gt;"",IF(AND(B1445='IN-TC'!$S$4,OR(TH!N1445="1111",TH!O1445="1111")),TH!D1445,""),"")</f>
        <v/>
      </c>
      <c r="B1445" s="62" t="str">
        <f t="shared" si="349"/>
        <v/>
      </c>
      <c r="C1445" s="63"/>
      <c r="D1445" s="63"/>
      <c r="E1445" s="63"/>
      <c r="F1445" s="66"/>
      <c r="G1445" s="66"/>
      <c r="H1445" s="71"/>
      <c r="I1445" s="405"/>
      <c r="J1445" s="408"/>
      <c r="K1445" s="398"/>
      <c r="L1445" s="405"/>
      <c r="M1445" s="64"/>
      <c r="N1445" s="65"/>
      <c r="O1445" s="65"/>
      <c r="P1445" s="81" t="str">
        <f>IF(AND('331-CT'!$E$7=TH!H1445,OR(N1445="331",O1445="331")),"x","")</f>
        <v/>
      </c>
      <c r="Q1445" s="81" t="str">
        <f>IF(AND(B1445='111'!$L$11,OR($N1445=$Q$7,$O1445=$Q$7)),"x","")</f>
        <v/>
      </c>
      <c r="R1445" s="81" t="str">
        <f>IF(AND($N1445=$Q$7,$B1445&lt;'111'!$L$11),"x","")</f>
        <v/>
      </c>
      <c r="S1445" s="81" t="str">
        <f>IF(AND($O1445=$Q$7,$B1445&lt;'111'!$L$11),"x","")</f>
        <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row>
    <row r="1446" spans="1:30" ht="15.75" customHeight="1">
      <c r="A1446" s="327" t="str">
        <f>IF(B1446&lt;&gt;"",IF(AND(B1446='IN-TC'!$S$4,OR(TH!N1446="1111",TH!O1446="1111")),TH!D1446,""),"")</f>
        <v/>
      </c>
      <c r="B1446" s="62" t="str">
        <f t="shared" si="349"/>
        <v/>
      </c>
      <c r="C1446" s="63"/>
      <c r="D1446" s="63"/>
      <c r="E1446" s="63"/>
      <c r="F1446" s="66"/>
      <c r="G1446" s="66"/>
      <c r="H1446" s="71"/>
      <c r="I1446" s="405"/>
      <c r="J1446" s="408"/>
      <c r="K1446" s="398"/>
      <c r="L1446" s="405"/>
      <c r="M1446" s="64"/>
      <c r="N1446" s="65"/>
      <c r="O1446" s="65"/>
      <c r="P1446" s="81" t="str">
        <f>IF(AND('331-CT'!$E$7=TH!H1446,OR(N1446="331",O1446="331")),"x","")</f>
        <v/>
      </c>
      <c r="Q1446" s="81" t="str">
        <f>IF(AND(B1446='111'!$L$11,OR($N1446=$Q$7,$O1446=$Q$7)),"x","")</f>
        <v/>
      </c>
      <c r="R1446" s="81" t="str">
        <f>IF(AND($N1446=$Q$7,$B1446&lt;'111'!$L$11),"x","")</f>
        <v/>
      </c>
      <c r="S1446" s="81" t="str">
        <f>IF(AND($O1446=$Q$7,$B1446&lt;'111'!$L$11),"x","")</f>
        <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row>
    <row r="1447" spans="1:30" ht="15.75" customHeight="1">
      <c r="A1447" s="327" t="str">
        <f>IF(B1447&lt;&gt;"",IF(AND(B1447='IN-TC'!$S$4,OR(TH!N1447="1111",TH!O1447="1111")),TH!D1447,""),"")</f>
        <v/>
      </c>
      <c r="B1447" s="62" t="str">
        <f t="shared" si="349"/>
        <v/>
      </c>
      <c r="C1447" s="63"/>
      <c r="D1447" s="63"/>
      <c r="E1447" s="63"/>
      <c r="F1447" s="66"/>
      <c r="G1447" s="66"/>
      <c r="H1447" s="71"/>
      <c r="I1447" s="405"/>
      <c r="J1447" s="408"/>
      <c r="K1447" s="398"/>
      <c r="L1447" s="405"/>
      <c r="M1447" s="64"/>
      <c r="N1447" s="65"/>
      <c r="O1447" s="65"/>
      <c r="P1447" s="81" t="str">
        <f>IF(AND('331-CT'!$E$7=TH!H1447,OR(N1447="331",O1447="331")),"x","")</f>
        <v/>
      </c>
      <c r="Q1447" s="81" t="str">
        <f>IF(AND(B1447='111'!$L$11,OR($N1447=$Q$7,$O1447=$Q$7)),"x","")</f>
        <v/>
      </c>
      <c r="R1447" s="81" t="str">
        <f>IF(AND($N1447=$Q$7,$B1447&lt;'111'!$L$11),"x","")</f>
        <v/>
      </c>
      <c r="S1447" s="81" t="str">
        <f>IF(AND($O1447=$Q$7,$B1447&lt;'111'!$L$11),"x","")</f>
        <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row>
    <row r="1448" spans="1:30" ht="15.75" customHeight="1">
      <c r="A1448" s="327" t="str">
        <f>IF(B1448&lt;&gt;"",IF(AND(B1448='IN-TC'!$S$4,OR(TH!N1448="1111",TH!O1448="1111")),TH!D1448,""),"")</f>
        <v/>
      </c>
      <c r="B1448" s="62" t="str">
        <f t="shared" si="349"/>
        <v/>
      </c>
      <c r="C1448" s="63"/>
      <c r="D1448" s="63"/>
      <c r="E1448" s="63"/>
      <c r="F1448" s="66"/>
      <c r="G1448" s="816"/>
      <c r="H1448" s="71"/>
      <c r="I1448" s="405"/>
      <c r="J1448" s="408"/>
      <c r="K1448" s="398"/>
      <c r="L1448" s="405"/>
      <c r="M1448" s="64"/>
      <c r="N1448" s="65"/>
      <c r="O1448" s="65"/>
      <c r="P1448" s="81" t="str">
        <f>IF(AND('331-CT'!$E$7=TH!H1448,OR(N1448="331",O1448="331")),"x","")</f>
        <v/>
      </c>
      <c r="Q1448" s="81" t="str">
        <f>IF(AND(B1448='111'!$L$11,OR($N1448=$Q$7,$O1448=$Q$7)),"x","")</f>
        <v/>
      </c>
      <c r="R1448" s="81" t="str">
        <f>IF(AND($N1448=$Q$7,$B1448&lt;'111'!$L$11),"x","")</f>
        <v/>
      </c>
      <c r="S1448" s="81" t="str">
        <f>IF(AND($O1448=$Q$7,$B1448&lt;'111'!$L$11),"x","")</f>
        <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row>
    <row r="1449" spans="1:30" ht="15.75" customHeight="1">
      <c r="A1449" s="327" t="str">
        <f>IF(B1449&lt;&gt;"",IF(AND(B1449='IN-TC'!$S$4,OR(TH!N1449="1111",TH!O1449="1111")),TH!D1449,""),"")</f>
        <v/>
      </c>
      <c r="B1449" s="62" t="str">
        <f t="shared" si="349"/>
        <v/>
      </c>
      <c r="C1449" s="63"/>
      <c r="D1449" s="63"/>
      <c r="E1449" s="63"/>
      <c r="F1449" s="66"/>
      <c r="G1449" s="816"/>
      <c r="H1449" s="71"/>
      <c r="I1449" s="405"/>
      <c r="J1449" s="408"/>
      <c r="K1449" s="398"/>
      <c r="L1449" s="405"/>
      <c r="M1449" s="64"/>
      <c r="N1449" s="65"/>
      <c r="O1449" s="65"/>
      <c r="P1449" s="81" t="str">
        <f>IF(AND('331-CT'!$E$7=TH!H1449,OR(N1449="331",O1449="331")),"x","")</f>
        <v/>
      </c>
      <c r="Q1449" s="81" t="str">
        <f>IF(AND(B1449='111'!$L$11,OR($N1449=$Q$7,$O1449=$Q$7)),"x","")</f>
        <v/>
      </c>
      <c r="R1449" s="81" t="str">
        <f>IF(AND($N1449=$Q$7,$B1449&lt;'111'!$L$11),"x","")</f>
        <v/>
      </c>
      <c r="S1449" s="81" t="str">
        <f>IF(AND($O1449=$Q$7,$B1449&lt;'111'!$L$11),"x","")</f>
        <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row>
    <row r="1450" spans="1:30" ht="15.75" customHeight="1">
      <c r="A1450" s="327" t="str">
        <f>IF(B1450&lt;&gt;"",IF(AND(B1450='IN-TC'!$S$4,OR(TH!N1450="1111",TH!O1450="1111")),TH!D1450,""),"")</f>
        <v/>
      </c>
      <c r="B1450" s="62" t="str">
        <f t="shared" si="349"/>
        <v/>
      </c>
      <c r="C1450" s="63"/>
      <c r="D1450" s="63"/>
      <c r="E1450" s="63"/>
      <c r="F1450" s="66"/>
      <c r="G1450" s="66"/>
      <c r="H1450" s="71"/>
      <c r="I1450" s="407"/>
      <c r="J1450" s="408"/>
      <c r="K1450" s="400"/>
      <c r="L1450" s="407"/>
      <c r="M1450" s="64"/>
      <c r="N1450" s="65"/>
      <c r="O1450" s="65"/>
      <c r="P1450" s="81" t="str">
        <f>IF(AND('331-CT'!$E$7=TH!H1450,OR(N1450="331",O1450="331")),"x","")</f>
        <v/>
      </c>
      <c r="Q1450" s="81" t="str">
        <f>IF(AND(B1450='111'!$L$11,OR($N1450=$Q$7,$O1450=$Q$7)),"x","")</f>
        <v/>
      </c>
      <c r="R1450" s="81" t="str">
        <f>IF(AND($N1450=$Q$7,$B1450&lt;'111'!$L$11),"x","")</f>
        <v/>
      </c>
      <c r="S1450" s="81" t="str">
        <f>IF(AND($O1450=$Q$7,$B1450&lt;'111'!$L$11),"x","")</f>
        <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row>
    <row r="1451" spans="1:30" ht="15.75" customHeight="1">
      <c r="A1451" s="327" t="str">
        <f>IF(B1451&lt;&gt;"",IF(AND(B1451='IN-TC'!$S$4,OR(TH!N1451="1111",TH!O1451="1111")),TH!D1451,""),"")</f>
        <v/>
      </c>
      <c r="B1451" s="62" t="str">
        <f t="shared" si="349"/>
        <v/>
      </c>
      <c r="C1451" s="63"/>
      <c r="D1451" s="63"/>
      <c r="E1451" s="63"/>
      <c r="F1451" s="66"/>
      <c r="G1451" s="816"/>
      <c r="H1451" s="71"/>
      <c r="I1451" s="407"/>
      <c r="J1451" s="408"/>
      <c r="K1451" s="400"/>
      <c r="L1451" s="407"/>
      <c r="M1451" s="64"/>
      <c r="N1451" s="65"/>
      <c r="O1451" s="65"/>
      <c r="P1451" s="81" t="str">
        <f>IF(AND('331-CT'!$E$7=TH!H1451,OR(N1451="331",O1451="331")),"x","")</f>
        <v/>
      </c>
      <c r="Q1451" s="81" t="str">
        <f>IF(AND(B1451='111'!$L$11,OR($N1451=$Q$7,$O1451=$Q$7)),"x","")</f>
        <v/>
      </c>
      <c r="R1451" s="81" t="str">
        <f>IF(AND($N1451=$Q$7,$B1451&lt;'111'!$L$11),"x","")</f>
        <v/>
      </c>
      <c r="S1451" s="81" t="str">
        <f>IF(AND($O1451=$Q$7,$B1451&lt;'111'!$L$11),"x","")</f>
        <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row>
    <row r="1452" spans="1:30" ht="15.75" customHeight="1">
      <c r="A1452" s="327" t="str">
        <f>IF(B1452&lt;&gt;"",IF(AND(B1452='IN-TC'!$S$4,OR(TH!N1452="1111",TH!O1452="1111")),TH!D1452,""),"")</f>
        <v/>
      </c>
      <c r="B1452" s="62" t="str">
        <f t="shared" ref="B1452:B1515" si="350">IF(C1452&lt;&gt;"",MONTH(C1452),"")</f>
        <v/>
      </c>
      <c r="C1452" s="63"/>
      <c r="D1452" s="63"/>
      <c r="E1452" s="63"/>
      <c r="F1452" s="66"/>
      <c r="G1452" s="66"/>
      <c r="H1452" s="71"/>
      <c r="I1452" s="405"/>
      <c r="J1452" s="408"/>
      <c r="K1452" s="398"/>
      <c r="L1452" s="405"/>
      <c r="M1452" s="64"/>
      <c r="N1452" s="65"/>
      <c r="O1452" s="65"/>
      <c r="P1452" s="81" t="str">
        <f>IF(AND('331-CT'!$E$7=TH!H1452,OR(N1452="331",O1452="331")),"x","")</f>
        <v/>
      </c>
      <c r="Q1452" s="81" t="str">
        <f>IF(AND(B1452='111'!$L$11,OR($N1452=$Q$7,$O1452=$Q$7)),"x","")</f>
        <v/>
      </c>
      <c r="R1452" s="81" t="str">
        <f>IF(AND($N1452=$Q$7,$B1452&lt;'111'!$L$11),"x","")</f>
        <v/>
      </c>
      <c r="S1452" s="81" t="str">
        <f>IF(AND($O1452=$Q$7,$B1452&lt;'111'!$L$11),"x","")</f>
        <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row>
    <row r="1453" spans="1:30" ht="15.75" customHeight="1">
      <c r="A1453" s="327" t="str">
        <f>IF(B1453&lt;&gt;"",IF(AND(B1453='IN-TC'!$S$4,OR(TH!N1453="1111",TH!O1453="1111")),TH!D1453,""),"")</f>
        <v/>
      </c>
      <c r="B1453" s="62" t="str">
        <f t="shared" si="350"/>
        <v/>
      </c>
      <c r="C1453" s="63"/>
      <c r="D1453" s="63"/>
      <c r="E1453" s="63"/>
      <c r="F1453" s="66"/>
      <c r="G1453" s="66"/>
      <c r="H1453" s="72"/>
      <c r="I1453" s="408"/>
      <c r="J1453" s="408"/>
      <c r="K1453" s="401"/>
      <c r="L1453" s="408"/>
      <c r="M1453" s="64"/>
      <c r="N1453" s="65"/>
      <c r="O1453" s="65"/>
      <c r="P1453" s="81" t="str">
        <f>IF(AND('331-CT'!$E$7=TH!H1453,OR(N1453="331",O1453="331")),"x","")</f>
        <v/>
      </c>
      <c r="Q1453" s="81" t="str">
        <f>IF(AND(B1453='111'!$L$11,OR($N1453=$Q$7,$O1453=$Q$7)),"x","")</f>
        <v/>
      </c>
      <c r="R1453" s="81" t="str">
        <f>IF(AND($N1453=$Q$7,$B1453&lt;'111'!$L$11),"x","")</f>
        <v/>
      </c>
      <c r="S1453" s="81" t="str">
        <f>IF(AND($O1453=$Q$7,$B1453&lt;'111'!$L$11),"x","")</f>
        <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row>
    <row r="1454" spans="1:30" ht="15.75" customHeight="1">
      <c r="A1454" s="327" t="str">
        <f>IF(B1454&lt;&gt;"",IF(AND(B1454='IN-TC'!$S$4,OR(TH!N1454="1111",TH!O1454="1111")),TH!D1454,""),"")</f>
        <v/>
      </c>
      <c r="B1454" s="62" t="str">
        <f t="shared" si="350"/>
        <v/>
      </c>
      <c r="C1454" s="63"/>
      <c r="D1454" s="63"/>
      <c r="E1454" s="63"/>
      <c r="F1454" s="66"/>
      <c r="G1454" s="66"/>
      <c r="H1454" s="71"/>
      <c r="I1454" s="405"/>
      <c r="J1454" s="408"/>
      <c r="K1454" s="398"/>
      <c r="L1454" s="405"/>
      <c r="M1454" s="64"/>
      <c r="N1454" s="65"/>
      <c r="O1454" s="65"/>
      <c r="P1454" s="81" t="str">
        <f>IF(AND('331-CT'!$E$7=TH!H1454,OR(N1454="331",O1454="331")),"x","")</f>
        <v/>
      </c>
      <c r="Q1454" s="81" t="str">
        <f>IF(AND(B1454='111'!$L$11,OR($N1454=$Q$7,$O1454=$Q$7)),"x","")</f>
        <v/>
      </c>
      <c r="R1454" s="81" t="str">
        <f>IF(AND($N1454=$Q$7,$B1454&lt;'111'!$L$11),"x","")</f>
        <v/>
      </c>
      <c r="S1454" s="81" t="str">
        <f>IF(AND($O1454=$Q$7,$B1454&lt;'111'!$L$11),"x","")</f>
        <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row>
    <row r="1455" spans="1:30" ht="15.75" customHeight="1">
      <c r="A1455" s="327" t="str">
        <f>IF(B1455&lt;&gt;"",IF(AND(B1455='IN-TC'!$S$4,OR(TH!N1455="1111",TH!O1455="1111")),TH!D1455,""),"")</f>
        <v/>
      </c>
      <c r="B1455" s="62" t="str">
        <f t="shared" si="350"/>
        <v/>
      </c>
      <c r="C1455" s="63"/>
      <c r="D1455" s="63"/>
      <c r="E1455" s="63"/>
      <c r="F1455" s="66"/>
      <c r="G1455" s="66"/>
      <c r="H1455" s="71"/>
      <c r="I1455" s="405"/>
      <c r="J1455" s="408"/>
      <c r="K1455" s="398"/>
      <c r="L1455" s="405"/>
      <c r="M1455" s="64"/>
      <c r="N1455" s="65"/>
      <c r="O1455" s="65"/>
      <c r="P1455" s="81" t="str">
        <f>IF(AND('331-CT'!$E$7=TH!H1455,OR(N1455="331",O1455="331")),"x","")</f>
        <v/>
      </c>
      <c r="Q1455" s="81" t="str">
        <f>IF(AND(B1455='111'!$L$11,OR($N1455=$Q$7,$O1455=$Q$7)),"x","")</f>
        <v/>
      </c>
      <c r="R1455" s="81" t="str">
        <f>IF(AND($N1455=$Q$7,$B1455&lt;'111'!$L$11),"x","")</f>
        <v/>
      </c>
      <c r="S1455" s="81" t="str">
        <f>IF(AND($O1455=$Q$7,$B1455&lt;'111'!$L$11),"x","")</f>
        <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row>
    <row r="1456" spans="1:30" ht="15.75" customHeight="1">
      <c r="A1456" s="327" t="str">
        <f>IF(B1456&lt;&gt;"",IF(AND(B1456='IN-TC'!$S$4,OR(TH!N1456="1111",TH!O1456="1111")),TH!D1456,""),"")</f>
        <v/>
      </c>
      <c r="B1456" s="62" t="str">
        <f t="shared" si="350"/>
        <v/>
      </c>
      <c r="C1456" s="63"/>
      <c r="D1456" s="63"/>
      <c r="E1456" s="63"/>
      <c r="F1456" s="66"/>
      <c r="G1456" s="66"/>
      <c r="H1456" s="71"/>
      <c r="I1456" s="405"/>
      <c r="J1456" s="408"/>
      <c r="K1456" s="398"/>
      <c r="L1456" s="405"/>
      <c r="M1456" s="64"/>
      <c r="N1456" s="65"/>
      <c r="O1456" s="65"/>
      <c r="P1456" s="81" t="str">
        <f>IF(AND('331-CT'!$E$7=TH!H1456,OR(N1456="331",O1456="331")),"x","")</f>
        <v/>
      </c>
      <c r="Q1456" s="81" t="str">
        <f>IF(AND(B1456='111'!$L$11,OR($N1456=$Q$7,$O1456=$Q$7)),"x","")</f>
        <v/>
      </c>
      <c r="R1456" s="81" t="str">
        <f>IF(AND($N1456=$Q$7,$B1456&lt;'111'!$L$11),"x","")</f>
        <v/>
      </c>
      <c r="S1456" s="81" t="str">
        <f>IF(AND($O1456=$Q$7,$B1456&lt;'111'!$L$11),"x","")</f>
        <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row>
    <row r="1457" spans="1:30" ht="15.75" customHeight="1">
      <c r="A1457" s="327" t="str">
        <f>IF(B1457&lt;&gt;"",IF(AND(B1457='IN-TC'!$S$4,OR(TH!N1457="1111",TH!O1457="1111")),TH!D1457,""),"")</f>
        <v/>
      </c>
      <c r="B1457" s="62" t="str">
        <f t="shared" si="350"/>
        <v/>
      </c>
      <c r="C1457" s="63"/>
      <c r="D1457" s="63"/>
      <c r="E1457" s="63"/>
      <c r="F1457" s="66"/>
      <c r="G1457" s="66"/>
      <c r="H1457" s="71"/>
      <c r="I1457" s="405"/>
      <c r="J1457" s="408"/>
      <c r="K1457" s="398"/>
      <c r="L1457" s="405"/>
      <c r="M1457" s="64"/>
      <c r="N1457" s="65"/>
      <c r="O1457" s="65"/>
      <c r="P1457" s="81" t="str">
        <f>IF(AND('331-CT'!$E$7=TH!H1457,OR(N1457="331",O1457="331")),"x","")</f>
        <v/>
      </c>
      <c r="Q1457" s="81" t="str">
        <f>IF(AND(B1457='111'!$L$11,OR($N1457=$Q$7,$O1457=$Q$7)),"x","")</f>
        <v/>
      </c>
      <c r="R1457" s="81" t="str">
        <f>IF(AND($N1457=$Q$7,$B1457&lt;'111'!$L$11),"x","")</f>
        <v/>
      </c>
      <c r="S1457" s="81" t="str">
        <f>IF(AND($O1457=$Q$7,$B1457&lt;'111'!$L$11),"x","")</f>
        <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row>
    <row r="1458" spans="1:30" ht="15.75" customHeight="1">
      <c r="A1458" s="327" t="str">
        <f>IF(B1458&lt;&gt;"",IF(AND(B1458='IN-TC'!$S$4,OR(TH!N1458="1111",TH!O1458="1111")),TH!D1458,""),"")</f>
        <v/>
      </c>
      <c r="B1458" s="62" t="str">
        <f t="shared" si="350"/>
        <v/>
      </c>
      <c r="C1458" s="63"/>
      <c r="D1458" s="63"/>
      <c r="E1458" s="63"/>
      <c r="F1458" s="66"/>
      <c r="G1458" s="66"/>
      <c r="H1458" s="71"/>
      <c r="I1458" s="405"/>
      <c r="J1458" s="408"/>
      <c r="K1458" s="398"/>
      <c r="L1458" s="405"/>
      <c r="M1458" s="64"/>
      <c r="N1458" s="65"/>
      <c r="O1458" s="65"/>
      <c r="P1458" s="81" t="str">
        <f>IF(AND('331-CT'!$E$7=TH!H1458,OR(N1458="331",O1458="331")),"x","")</f>
        <v/>
      </c>
      <c r="Q1458" s="81" t="str">
        <f>IF(AND(B1458='111'!$L$11,OR($N1458=$Q$7,$O1458=$Q$7)),"x","")</f>
        <v/>
      </c>
      <c r="R1458" s="81" t="str">
        <f>IF(AND($N1458=$Q$7,$B1458&lt;'111'!$L$11),"x","")</f>
        <v/>
      </c>
      <c r="S1458" s="81" t="str">
        <f>IF(AND($O1458=$Q$7,$B1458&lt;'111'!$L$11),"x","")</f>
        <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row>
    <row r="1459" spans="1:30" ht="15.75" customHeight="1">
      <c r="A1459" s="327" t="str">
        <f>IF(B1459&lt;&gt;"",IF(AND(B1459='IN-TC'!$S$4,OR(TH!N1459="1111",TH!O1459="1111")),TH!D1459,""),"")</f>
        <v/>
      </c>
      <c r="B1459" s="62" t="str">
        <f t="shared" si="350"/>
        <v/>
      </c>
      <c r="C1459" s="63"/>
      <c r="D1459" s="63"/>
      <c r="E1459" s="63"/>
      <c r="F1459" s="66"/>
      <c r="G1459" s="66"/>
      <c r="H1459" s="71"/>
      <c r="I1459" s="405"/>
      <c r="J1459" s="408"/>
      <c r="K1459" s="398"/>
      <c r="L1459" s="405"/>
      <c r="M1459" s="64"/>
      <c r="N1459" s="65"/>
      <c r="O1459" s="65"/>
      <c r="P1459" s="81" t="str">
        <f>IF(AND('331-CT'!$E$7=TH!H1459,OR(N1459="331",O1459="331")),"x","")</f>
        <v/>
      </c>
      <c r="Q1459" s="81" t="str">
        <f>IF(AND(B1459='111'!$L$11,OR($N1459=$Q$7,$O1459=$Q$7)),"x","")</f>
        <v/>
      </c>
      <c r="R1459" s="81" t="str">
        <f>IF(AND($N1459=$Q$7,$B1459&lt;'111'!$L$11),"x","")</f>
        <v/>
      </c>
      <c r="S1459" s="81" t="str">
        <f>IF(AND($O1459=$Q$7,$B1459&lt;'111'!$L$11),"x","")</f>
        <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row>
    <row r="1460" spans="1:30" ht="15.75" customHeight="1">
      <c r="A1460" s="327" t="str">
        <f>IF(B1460&lt;&gt;"",IF(AND(B1460='IN-TC'!$S$4,OR(TH!N1460="1111",TH!O1460="1111")),TH!D1460,""),"")</f>
        <v/>
      </c>
      <c r="B1460" s="62" t="str">
        <f t="shared" si="350"/>
        <v/>
      </c>
      <c r="C1460" s="63"/>
      <c r="D1460" s="63"/>
      <c r="E1460" s="63"/>
      <c r="F1460" s="66"/>
      <c r="G1460" s="66"/>
      <c r="H1460" s="71"/>
      <c r="I1460" s="407"/>
      <c r="J1460" s="408"/>
      <c r="K1460" s="400"/>
      <c r="L1460" s="407"/>
      <c r="M1460" s="64"/>
      <c r="N1460" s="65"/>
      <c r="O1460" s="65"/>
      <c r="P1460" s="81" t="str">
        <f>IF(AND('331-CT'!$E$7=TH!H1460,OR(N1460="331",O1460="331")),"x","")</f>
        <v/>
      </c>
      <c r="Q1460" s="81" t="str">
        <f>IF(AND(B1460='111'!$L$11,OR($N1460=$Q$7,$O1460=$Q$7)),"x","")</f>
        <v/>
      </c>
      <c r="R1460" s="81" t="str">
        <f>IF(AND($N1460=$Q$7,$B1460&lt;'111'!$L$11),"x","")</f>
        <v/>
      </c>
      <c r="S1460" s="81" t="str">
        <f>IF(AND($O1460=$Q$7,$B1460&lt;'111'!$L$11),"x","")</f>
        <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row>
    <row r="1461" spans="1:30" ht="15.75" customHeight="1">
      <c r="A1461" s="327" t="str">
        <f>IF(B1461&lt;&gt;"",IF(AND(B1461='IN-TC'!$S$4,OR(TH!N1461="1111",TH!O1461="1111")),TH!D1461,""),"")</f>
        <v/>
      </c>
      <c r="B1461" s="62" t="str">
        <f t="shared" si="350"/>
        <v/>
      </c>
      <c r="C1461" s="63"/>
      <c r="D1461" s="63"/>
      <c r="E1461" s="63"/>
      <c r="F1461" s="66"/>
      <c r="G1461" s="66"/>
      <c r="H1461" s="71"/>
      <c r="I1461" s="405"/>
      <c r="J1461" s="408"/>
      <c r="K1461" s="398"/>
      <c r="L1461" s="405"/>
      <c r="M1461" s="64"/>
      <c r="N1461" s="65"/>
      <c r="O1461" s="65"/>
      <c r="P1461" s="81" t="str">
        <f>IF(AND('331-CT'!$E$7=TH!H1461,OR(N1461="331",O1461="331")),"x","")</f>
        <v/>
      </c>
      <c r="Q1461" s="81" t="str">
        <f>IF(AND(B1461='111'!$L$11,OR($N1461=$Q$7,$O1461=$Q$7)),"x","")</f>
        <v/>
      </c>
      <c r="R1461" s="81" t="str">
        <f>IF(AND($N1461=$Q$7,$B1461&lt;'111'!$L$11),"x","")</f>
        <v/>
      </c>
      <c r="S1461" s="81" t="str">
        <f>IF(AND($O1461=$Q$7,$B1461&lt;'111'!$L$11),"x","")</f>
        <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row>
    <row r="1462" spans="1:30" ht="15.75" customHeight="1">
      <c r="A1462" s="327" t="str">
        <f>IF(B1462&lt;&gt;"",IF(AND(B1462='IN-TC'!$S$4,OR(TH!N1462="1111",TH!O1462="1111")),TH!D1462,""),"")</f>
        <v/>
      </c>
      <c r="B1462" s="62" t="str">
        <f t="shared" si="350"/>
        <v/>
      </c>
      <c r="C1462" s="63"/>
      <c r="D1462" s="63"/>
      <c r="E1462" s="63"/>
      <c r="F1462" s="66"/>
      <c r="G1462" s="66"/>
      <c r="H1462" s="71"/>
      <c r="I1462" s="405"/>
      <c r="J1462" s="408"/>
      <c r="K1462" s="398"/>
      <c r="L1462" s="405"/>
      <c r="M1462" s="64"/>
      <c r="N1462" s="65"/>
      <c r="O1462" s="65"/>
      <c r="P1462" s="81" t="str">
        <f>IF(AND('331-CT'!$E$7=TH!H1462,OR(N1462="331",O1462="331")),"x","")</f>
        <v/>
      </c>
      <c r="Q1462" s="81" t="str">
        <f>IF(AND(B1462='111'!$L$11,OR($N1462=$Q$7,$O1462=$Q$7)),"x","")</f>
        <v/>
      </c>
      <c r="R1462" s="81" t="str">
        <f>IF(AND($N1462=$Q$7,$B1462&lt;'111'!$L$11),"x","")</f>
        <v/>
      </c>
      <c r="S1462" s="81" t="str">
        <f>IF(AND($O1462=$Q$7,$B1462&lt;'111'!$L$11),"x","")</f>
        <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row>
    <row r="1463" spans="1:30" ht="15.75" customHeight="1">
      <c r="A1463" s="327" t="str">
        <f>IF(B1463&lt;&gt;"",IF(AND(B1463='IN-TC'!$S$4,OR(TH!N1463="1111",TH!O1463="1111")),TH!D1463,""),"")</f>
        <v/>
      </c>
      <c r="B1463" s="62" t="str">
        <f t="shared" si="350"/>
        <v/>
      </c>
      <c r="C1463" s="63"/>
      <c r="D1463" s="63"/>
      <c r="E1463" s="63"/>
      <c r="F1463" s="66"/>
      <c r="G1463" s="66"/>
      <c r="H1463" s="72"/>
      <c r="I1463" s="408"/>
      <c r="J1463" s="408"/>
      <c r="K1463" s="401"/>
      <c r="L1463" s="408"/>
      <c r="M1463" s="64"/>
      <c r="N1463" s="65"/>
      <c r="O1463" s="65"/>
      <c r="P1463" s="81" t="str">
        <f>IF(AND('331-CT'!$E$7=TH!H1463,OR(N1463="331",O1463="331")),"x","")</f>
        <v/>
      </c>
      <c r="Q1463" s="81" t="str">
        <f>IF(AND(B1463='111'!$L$11,OR($N1463=$Q$7,$O1463=$Q$7)),"x","")</f>
        <v/>
      </c>
      <c r="R1463" s="81" t="str">
        <f>IF(AND($N1463=$Q$7,$B1463&lt;'111'!$L$11),"x","")</f>
        <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row>
    <row r="1464" spans="1:30" ht="15.75" customHeight="1">
      <c r="A1464" s="327" t="str">
        <f>IF(B1464&lt;&gt;"",IF(AND(B1464='IN-TC'!$S$4,OR(TH!N1464="1111",TH!O1464="1111")),TH!D1464,""),"")</f>
        <v/>
      </c>
      <c r="B1464" s="62" t="str">
        <f t="shared" si="350"/>
        <v/>
      </c>
      <c r="C1464" s="63"/>
      <c r="D1464" s="63"/>
      <c r="E1464" s="63"/>
      <c r="F1464" s="66"/>
      <c r="G1464" s="66"/>
      <c r="H1464" s="71"/>
      <c r="I1464" s="405"/>
      <c r="J1464" s="408"/>
      <c r="K1464" s="398"/>
      <c r="L1464" s="405"/>
      <c r="M1464" s="64"/>
      <c r="N1464" s="65"/>
      <c r="O1464" s="65"/>
      <c r="P1464" s="81" t="str">
        <f>IF(AND('331-CT'!$E$7=TH!H1464,OR(N1464="331",O1464="331")),"x","")</f>
        <v/>
      </c>
      <c r="Q1464" s="81" t="str">
        <f>IF(AND(B1464='111'!$L$11,OR($N1464=$Q$7,$O1464=$Q$7)),"x","")</f>
        <v/>
      </c>
      <c r="R1464" s="81" t="str">
        <f>IF(AND($N1464=$Q$7,$B1464&lt;'111'!$L$11),"x","")</f>
        <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row>
    <row r="1465" spans="1:30" ht="15.75" customHeight="1">
      <c r="A1465" s="327" t="str">
        <f>IF(B1465&lt;&gt;"",IF(AND(B1465='IN-TC'!$S$4,OR(TH!N1465="1111",TH!O1465="1111")),TH!D1465,""),"")</f>
        <v/>
      </c>
      <c r="B1465" s="62" t="str">
        <f t="shared" si="350"/>
        <v/>
      </c>
      <c r="C1465" s="63"/>
      <c r="D1465" s="63"/>
      <c r="E1465" s="63"/>
      <c r="F1465" s="66"/>
      <c r="G1465" s="66"/>
      <c r="H1465" s="71"/>
      <c r="I1465" s="405"/>
      <c r="J1465" s="408"/>
      <c r="K1465" s="398"/>
      <c r="L1465" s="405"/>
      <c r="M1465" s="64"/>
      <c r="N1465" s="65"/>
      <c r="O1465" s="65"/>
      <c r="P1465" s="81" t="str">
        <f>IF(AND('331-CT'!$E$7=TH!H1465,OR(N1465="331",O1465="331")),"x","")</f>
        <v/>
      </c>
      <c r="Q1465" s="81" t="str">
        <f>IF(AND(B1465='111'!$L$11,OR($N1465=$Q$7,$O1465=$Q$7)),"x","")</f>
        <v/>
      </c>
      <c r="R1465" s="81" t="str">
        <f>IF(AND($N1465=$Q$7,$B1465&lt;'111'!$L$11),"x","")</f>
        <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row>
    <row r="1466" spans="1:30" ht="15.75" customHeight="1">
      <c r="A1466" s="327" t="str">
        <f>IF(B1466&lt;&gt;"",IF(AND(B1466='IN-TC'!$S$4,OR(TH!N1466="1111",TH!O1466="1111")),TH!D1466,""),"")</f>
        <v/>
      </c>
      <c r="B1466" s="62" t="str">
        <f t="shared" si="350"/>
        <v/>
      </c>
      <c r="C1466" s="63"/>
      <c r="D1466" s="63"/>
      <c r="E1466" s="63"/>
      <c r="F1466" s="66"/>
      <c r="G1466" s="66"/>
      <c r="H1466" s="71"/>
      <c r="I1466" s="405"/>
      <c r="J1466" s="408"/>
      <c r="K1466" s="398"/>
      <c r="L1466" s="405"/>
      <c r="M1466" s="64"/>
      <c r="N1466" s="65"/>
      <c r="O1466" s="65"/>
      <c r="P1466" s="81" t="str">
        <f>IF(AND('331-CT'!$E$7=TH!H1466,OR(N1466="331",O1466="331")),"x","")</f>
        <v/>
      </c>
      <c r="Q1466" s="81" t="str">
        <f>IF(AND(B1466='111'!$L$11,OR($N1466=$Q$7,$O1466=$Q$7)),"x","")</f>
        <v/>
      </c>
      <c r="R1466" s="81" t="str">
        <f>IF(AND($N1466=$Q$7,$B1466&lt;'111'!$L$11),"x","")</f>
        <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row>
    <row r="1467" spans="1:30" ht="15.75" customHeight="1">
      <c r="A1467" s="327" t="str">
        <f>IF(B1467&lt;&gt;"",IF(AND(B1467='IN-TC'!$S$4,OR(TH!N1467="1111",TH!O1467="1111")),TH!D1467,""),"")</f>
        <v/>
      </c>
      <c r="B1467" s="62" t="str">
        <f t="shared" si="350"/>
        <v/>
      </c>
      <c r="C1467" s="63"/>
      <c r="D1467" s="63"/>
      <c r="E1467" s="63"/>
      <c r="F1467" s="66"/>
      <c r="G1467" s="66"/>
      <c r="H1467" s="71"/>
      <c r="I1467" s="405"/>
      <c r="J1467" s="408"/>
      <c r="K1467" s="398"/>
      <c r="L1467" s="405"/>
      <c r="M1467" s="64"/>
      <c r="N1467" s="65"/>
      <c r="O1467" s="65"/>
      <c r="P1467" s="81" t="str">
        <f>IF(AND('331-CT'!$E$7=TH!H1467,OR(N1467="331",O1467="331")),"x","")</f>
        <v/>
      </c>
      <c r="Q1467" s="81" t="str">
        <f>IF(AND(B1467='111'!$L$11,OR($N1467=$Q$7,$O1467=$Q$7)),"x","")</f>
        <v/>
      </c>
      <c r="R1467" s="81" t="str">
        <f>IF(AND($N1467=$Q$7,$B1467&lt;'111'!$L$11),"x","")</f>
        <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row>
    <row r="1468" spans="1:30" ht="15.75" customHeight="1">
      <c r="A1468" s="327" t="str">
        <f>IF(B1468&lt;&gt;"",IF(AND(B1468='IN-TC'!$S$4,OR(TH!N1468="1111",TH!O1468="1111")),TH!D1468,""),"")</f>
        <v/>
      </c>
      <c r="B1468" s="62" t="str">
        <f t="shared" si="350"/>
        <v/>
      </c>
      <c r="C1468" s="63"/>
      <c r="D1468" s="63"/>
      <c r="E1468" s="63"/>
      <c r="F1468" s="66"/>
      <c r="G1468" s="66"/>
      <c r="H1468" s="71"/>
      <c r="I1468" s="405"/>
      <c r="J1468" s="408"/>
      <c r="K1468" s="398"/>
      <c r="L1468" s="405"/>
      <c r="M1468" s="64"/>
      <c r="N1468" s="65"/>
      <c r="O1468" s="65"/>
      <c r="P1468" s="81" t="str">
        <f>IF(AND('331-CT'!$E$7=TH!H1468,OR(N1468="331",O1468="331")),"x","")</f>
        <v/>
      </c>
      <c r="Q1468" s="81" t="str">
        <f>IF(AND(B1468='111'!$L$11,OR($N1468=$Q$7,$O1468=$Q$7)),"x","")</f>
        <v/>
      </c>
      <c r="R1468" s="81" t="str">
        <f>IF(AND($N1468=$Q$7,$B1468&lt;'111'!$L$11),"x","")</f>
        <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row>
    <row r="1469" spans="1:30" ht="15.75" customHeight="1">
      <c r="A1469" s="327" t="str">
        <f>IF(B1469&lt;&gt;"",IF(AND(B1469='IN-TC'!$S$4,OR(TH!N1469="1111",TH!O1469="1111")),TH!D1469,""),"")</f>
        <v/>
      </c>
      <c r="B1469" s="62" t="str">
        <f t="shared" si="350"/>
        <v/>
      </c>
      <c r="C1469" s="63"/>
      <c r="D1469" s="63"/>
      <c r="E1469" s="63"/>
      <c r="F1469" s="66"/>
      <c r="G1469" s="66"/>
      <c r="H1469" s="71"/>
      <c r="I1469" s="408"/>
      <c r="J1469" s="408"/>
      <c r="K1469" s="401"/>
      <c r="L1469" s="408"/>
      <c r="M1469" s="64"/>
      <c r="N1469" s="65"/>
      <c r="O1469" s="65"/>
      <c r="P1469" s="81" t="str">
        <f>IF(AND('331-CT'!$E$7=TH!H1469,OR(N1469="331",O1469="331")),"x","")</f>
        <v/>
      </c>
      <c r="Q1469" s="81" t="str">
        <f>IF(AND(B1469='111'!$L$11,OR($N1469=$Q$7,$O1469=$Q$7)),"x","")</f>
        <v/>
      </c>
      <c r="R1469" s="81" t="str">
        <f>IF(AND($N1469=$Q$7,$B1469&lt;'111'!$L$11),"x","")</f>
        <v/>
      </c>
      <c r="S1469" s="81" t="str">
        <f>IF(AND($O1469=$Q$7,$B1469&lt;'111'!$L$11),"x","")</f>
        <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row>
    <row r="1470" spans="1:30" ht="15.75" customHeight="1">
      <c r="A1470" s="327" t="str">
        <f>IF(B1470&lt;&gt;"",IF(AND(B1470='IN-TC'!$S$4,OR(TH!N1470="1111",TH!O1470="1111")),TH!D1470,""),"")</f>
        <v/>
      </c>
      <c r="B1470" s="62" t="str">
        <f t="shared" si="350"/>
        <v/>
      </c>
      <c r="C1470" s="63"/>
      <c r="D1470" s="63"/>
      <c r="E1470" s="63"/>
      <c r="F1470" s="66"/>
      <c r="G1470" s="66"/>
      <c r="H1470" s="71"/>
      <c r="I1470" s="405"/>
      <c r="J1470" s="408"/>
      <c r="K1470" s="398"/>
      <c r="L1470" s="405"/>
      <c r="M1470" s="64"/>
      <c r="N1470" s="65"/>
      <c r="O1470" s="65"/>
      <c r="P1470" s="81" t="str">
        <f>IF(AND('331-CT'!$E$7=TH!H1470,OR(N1470="331",O1470="331")),"x","")</f>
        <v/>
      </c>
      <c r="Q1470" s="81" t="str">
        <f>IF(AND(B1470='111'!$L$11,OR($N1470=$Q$7,$O1470=$Q$7)),"x","")</f>
        <v/>
      </c>
      <c r="R1470" s="81" t="str">
        <f>IF(AND($N1470=$Q$7,$B1470&lt;'111'!$L$11),"x","")</f>
        <v/>
      </c>
      <c r="S1470" s="81" t="str">
        <f>IF(AND($O1470=$Q$7,$B1470&lt;'111'!$L$11),"x","")</f>
        <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row>
    <row r="1471" spans="1:30" ht="15.75" customHeight="1">
      <c r="A1471" s="327" t="str">
        <f>IF(B1471&lt;&gt;"",IF(AND(B1471='IN-TC'!$S$4,OR(TH!N1471="1111",TH!O1471="1111")),TH!D1471,""),"")</f>
        <v/>
      </c>
      <c r="B1471" s="62" t="str">
        <f t="shared" si="350"/>
        <v/>
      </c>
      <c r="C1471" s="63"/>
      <c r="D1471" s="63"/>
      <c r="E1471" s="63"/>
      <c r="F1471" s="66"/>
      <c r="G1471" s="66"/>
      <c r="H1471" s="71"/>
      <c r="I1471" s="405"/>
      <c r="J1471" s="408"/>
      <c r="K1471" s="398"/>
      <c r="L1471" s="405"/>
      <c r="M1471" s="64"/>
      <c r="N1471" s="65"/>
      <c r="O1471" s="65"/>
      <c r="P1471" s="81" t="str">
        <f>IF(AND('331-CT'!$E$7=TH!H1471,OR(N1471="331",O1471="331")),"x","")</f>
        <v/>
      </c>
      <c r="Q1471" s="81" t="str">
        <f>IF(AND(B1471='111'!$L$11,OR($N1471=$Q$7,$O1471=$Q$7)),"x","")</f>
        <v/>
      </c>
      <c r="R1471" s="81" t="str">
        <f>IF(AND($N1471=$Q$7,$B1471&lt;'111'!$L$11),"x","")</f>
        <v/>
      </c>
      <c r="S1471" s="81" t="str">
        <f>IF(AND($O1471=$Q$7,$B1471&lt;'111'!$L$11),"x","")</f>
        <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row>
    <row r="1472" spans="1:30" ht="15.75" customHeight="1">
      <c r="A1472" s="327" t="str">
        <f>IF(B1472&lt;&gt;"",IF(AND(B1472='IN-TC'!$S$4,OR(TH!N1472="1111",TH!O1472="1111")),TH!D1472,""),"")</f>
        <v/>
      </c>
      <c r="B1472" s="62" t="str">
        <f t="shared" si="350"/>
        <v/>
      </c>
      <c r="C1472" s="63"/>
      <c r="D1472" s="63"/>
      <c r="E1472" s="63"/>
      <c r="F1472" s="66"/>
      <c r="G1472" s="66"/>
      <c r="H1472" s="71"/>
      <c r="I1472" s="405"/>
      <c r="J1472" s="408"/>
      <c r="K1472" s="398"/>
      <c r="L1472" s="405"/>
      <c r="M1472" s="64"/>
      <c r="N1472" s="65"/>
      <c r="O1472" s="65"/>
      <c r="P1472" s="81" t="str">
        <f>IF(AND('331-CT'!$E$7=TH!H1472,OR(N1472="331",O1472="331")),"x","")</f>
        <v/>
      </c>
      <c r="Q1472" s="81" t="str">
        <f>IF(AND(B1472='111'!$L$11,OR($N1472=$Q$7,$O1472=$Q$7)),"x","")</f>
        <v/>
      </c>
      <c r="R1472" s="81" t="str">
        <f>IF(AND($N1472=$Q$7,$B1472&lt;'111'!$L$11),"x","")</f>
        <v/>
      </c>
      <c r="S1472" s="81" t="str">
        <f>IF(AND($O1472=$Q$7,$B1472&lt;'111'!$L$11),"x","")</f>
        <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row>
    <row r="1473" spans="1:30" ht="15.75" customHeight="1">
      <c r="A1473" s="327" t="str">
        <f>IF(B1473&lt;&gt;"",IF(AND(B1473='IN-TC'!$S$4,OR(TH!N1473="1111",TH!O1473="1111")),TH!D1473,""),"")</f>
        <v/>
      </c>
      <c r="B1473" s="62" t="str">
        <f t="shared" si="350"/>
        <v/>
      </c>
      <c r="C1473" s="63"/>
      <c r="D1473" s="63"/>
      <c r="E1473" s="63"/>
      <c r="F1473" s="66"/>
      <c r="G1473" s="66"/>
      <c r="H1473" s="72"/>
      <c r="I1473" s="405"/>
      <c r="J1473" s="408"/>
      <c r="K1473" s="398"/>
      <c r="L1473" s="405"/>
      <c r="M1473" s="64"/>
      <c r="N1473" s="65"/>
      <c r="O1473" s="65"/>
      <c r="P1473" s="81" t="str">
        <f>IF(AND('331-CT'!$E$7=TH!H1473,OR(N1473="331",O1473="331")),"x","")</f>
        <v/>
      </c>
      <c r="Q1473" s="81" t="str">
        <f>IF(AND(B1473='111'!$L$11,OR($N1473=$Q$7,$O1473=$Q$7)),"x","")</f>
        <v/>
      </c>
      <c r="R1473" s="81" t="str">
        <f>IF(AND($N1473=$Q$7,$B1473&lt;'111'!$L$11),"x","")</f>
        <v/>
      </c>
      <c r="S1473" s="81" t="str">
        <f>IF(AND($O1473=$Q$7,$B1473&lt;'111'!$L$11),"x","")</f>
        <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row>
    <row r="1474" spans="1:30" ht="15.75" customHeight="1">
      <c r="A1474" s="327" t="str">
        <f>IF(B1474&lt;&gt;"",IF(AND(B1474='IN-TC'!$S$4,OR(TH!N1474="1111",TH!O1474="1111")),TH!D1474,""),"")</f>
        <v/>
      </c>
      <c r="B1474" s="62" t="str">
        <f t="shared" si="350"/>
        <v/>
      </c>
      <c r="C1474" s="63"/>
      <c r="D1474" s="63"/>
      <c r="E1474" s="63"/>
      <c r="F1474" s="66"/>
      <c r="G1474" s="66"/>
      <c r="H1474" s="71"/>
      <c r="I1474" s="407"/>
      <c r="J1474" s="408"/>
      <c r="K1474" s="400"/>
      <c r="L1474" s="407"/>
      <c r="M1474" s="64"/>
      <c r="N1474" s="65"/>
      <c r="O1474" s="65"/>
      <c r="P1474" s="81" t="str">
        <f>IF(AND('331-CT'!$E$7=TH!H1474,OR(N1474="331",O1474="331")),"x","")</f>
        <v/>
      </c>
      <c r="Q1474" s="81" t="str">
        <f>IF(AND(B1474='111'!$L$11,OR($N1474=$Q$7,$O1474=$Q$7)),"x","")</f>
        <v/>
      </c>
      <c r="R1474" s="81" t="str">
        <f>IF(AND($N1474=$Q$7,$B1474&lt;'111'!$L$11),"x","")</f>
        <v/>
      </c>
      <c r="S1474" s="81" t="str">
        <f>IF(AND($O1474=$Q$7,$B1474&lt;'111'!$L$11),"x","")</f>
        <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row>
    <row r="1475" spans="1:30" ht="15.75" customHeight="1">
      <c r="A1475" s="327" t="str">
        <f>IF(B1475&lt;&gt;"",IF(AND(B1475='IN-TC'!$S$4,OR(TH!N1475="1111",TH!O1475="1111")),TH!D1475,""),"")</f>
        <v/>
      </c>
      <c r="B1475" s="62" t="str">
        <f t="shared" si="350"/>
        <v/>
      </c>
      <c r="C1475" s="63"/>
      <c r="D1475" s="63"/>
      <c r="E1475" s="63"/>
      <c r="F1475" s="66"/>
      <c r="G1475" s="66"/>
      <c r="H1475" s="71"/>
      <c r="I1475" s="405"/>
      <c r="J1475" s="408"/>
      <c r="K1475" s="398"/>
      <c r="L1475" s="405"/>
      <c r="M1475" s="64"/>
      <c r="N1475" s="65"/>
      <c r="O1475" s="65"/>
      <c r="P1475" s="81" t="str">
        <f>IF(AND('331-CT'!$E$7=TH!H1475,OR(N1475="331",O1475="331")),"x","")</f>
        <v/>
      </c>
      <c r="Q1475" s="81" t="str">
        <f>IF(AND(B1475='111'!$L$11,OR($N1475=$Q$7,$O1475=$Q$7)),"x","")</f>
        <v/>
      </c>
      <c r="R1475" s="81" t="str">
        <f>IF(AND($N1475=$Q$7,$B1475&lt;'111'!$L$11),"x","")</f>
        <v/>
      </c>
      <c r="S1475" s="81" t="str">
        <f>IF(AND($O1475=$Q$7,$B1475&lt;'111'!$L$11),"x","")</f>
        <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row>
    <row r="1476" spans="1:30" ht="15.75" customHeight="1">
      <c r="A1476" s="327" t="str">
        <f>IF(B1476&lt;&gt;"",IF(AND(B1476='IN-TC'!$S$4,OR(TH!N1476="1111",TH!O1476="1111")),TH!D1476,""),"")</f>
        <v/>
      </c>
      <c r="B1476" s="62" t="str">
        <f t="shared" si="350"/>
        <v/>
      </c>
      <c r="C1476" s="63"/>
      <c r="D1476" s="63"/>
      <c r="E1476" s="63"/>
      <c r="F1476" s="66"/>
      <c r="G1476" s="66"/>
      <c r="H1476" s="71"/>
      <c r="I1476" s="407"/>
      <c r="J1476" s="408"/>
      <c r="K1476" s="400"/>
      <c r="L1476" s="407"/>
      <c r="M1476" s="64"/>
      <c r="N1476" s="65"/>
      <c r="O1476" s="65"/>
      <c r="P1476" s="81" t="str">
        <f>IF(AND('331-CT'!$E$7=TH!H1476,OR(N1476="331",O1476="331")),"x","")</f>
        <v/>
      </c>
      <c r="Q1476" s="81" t="str">
        <f>IF(AND(B1476='111'!$L$11,OR($N1476=$Q$7,$O1476=$Q$7)),"x","")</f>
        <v/>
      </c>
      <c r="R1476" s="81" t="str">
        <f>IF(AND($N1476=$Q$7,$B1476&lt;'111'!$L$11),"x","")</f>
        <v/>
      </c>
      <c r="S1476" s="81" t="str">
        <f>IF(AND($O1476=$Q$7,$B1476&lt;'111'!$L$11),"x","")</f>
        <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row>
    <row r="1477" spans="1:30" ht="15.75" customHeight="1">
      <c r="A1477" s="327" t="str">
        <f>IF(B1477&lt;&gt;"",IF(AND(B1477='IN-TC'!$S$4,OR(TH!N1477="1111",TH!O1477="1111")),TH!D1477,""),"")</f>
        <v/>
      </c>
      <c r="B1477" s="62" t="str">
        <f t="shared" si="350"/>
        <v/>
      </c>
      <c r="C1477" s="63"/>
      <c r="D1477" s="63"/>
      <c r="E1477" s="63"/>
      <c r="F1477" s="66"/>
      <c r="G1477" s="66"/>
      <c r="H1477" s="71"/>
      <c r="I1477" s="405"/>
      <c r="J1477" s="408"/>
      <c r="K1477" s="398"/>
      <c r="L1477" s="405"/>
      <c r="M1477" s="64"/>
      <c r="N1477" s="65"/>
      <c r="O1477" s="65"/>
      <c r="P1477" s="81" t="str">
        <f>IF(AND('331-CT'!$E$7=TH!H1477,OR(N1477="331",O1477="331")),"x","")</f>
        <v/>
      </c>
      <c r="Q1477" s="81" t="str">
        <f>IF(AND(B1477='111'!$L$11,OR($N1477=$Q$7,$O1477=$Q$7)),"x","")</f>
        <v/>
      </c>
      <c r="R1477" s="81" t="str">
        <f>IF(AND($N1477=$Q$7,$B1477&lt;'111'!$L$11),"x","")</f>
        <v/>
      </c>
      <c r="S1477" s="81" t="str">
        <f>IF(AND($O1477=$Q$7,$B1477&lt;'111'!$L$11),"x","")</f>
        <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row>
    <row r="1478" spans="1:30" ht="15.75" customHeight="1">
      <c r="A1478" s="327" t="str">
        <f>IF(B1478&lt;&gt;"",IF(AND(B1478='IN-TC'!$S$4,OR(TH!N1478="1111",TH!O1478="1111")),TH!D1478,""),"")</f>
        <v/>
      </c>
      <c r="B1478" s="62" t="str">
        <f t="shared" si="350"/>
        <v/>
      </c>
      <c r="C1478" s="63"/>
      <c r="D1478" s="63"/>
      <c r="E1478" s="63"/>
      <c r="F1478" s="66"/>
      <c r="G1478" s="66"/>
      <c r="H1478" s="71"/>
      <c r="I1478" s="405"/>
      <c r="J1478" s="408"/>
      <c r="K1478" s="398"/>
      <c r="L1478" s="405"/>
      <c r="M1478" s="64"/>
      <c r="N1478" s="65"/>
      <c r="O1478" s="65"/>
      <c r="P1478" s="81" t="str">
        <f>IF(AND('331-CT'!$E$7=TH!H1478,OR(N1478="331",O1478="331")),"x","")</f>
        <v/>
      </c>
      <c r="Q1478" s="81" t="str">
        <f>IF(AND(B1478='111'!$L$11,OR($N1478=$Q$7,$O1478=$Q$7)),"x","")</f>
        <v/>
      </c>
      <c r="R1478" s="81" t="str">
        <f>IF(AND($N1478=$Q$7,$B1478&lt;'111'!$L$11),"x","")</f>
        <v/>
      </c>
      <c r="S1478" s="81" t="str">
        <f>IF(AND($O1478=$Q$7,$B1478&lt;'111'!$L$11),"x","")</f>
        <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row>
    <row r="1479" spans="1:30" ht="15.75" customHeight="1">
      <c r="A1479" s="327" t="str">
        <f>IF(B1479&lt;&gt;"",IF(AND(B1479='IN-TC'!$S$4,OR(TH!N1479="1111",TH!O1479="1111")),TH!D1479,""),"")</f>
        <v/>
      </c>
      <c r="B1479" s="62" t="str">
        <f t="shared" si="350"/>
        <v/>
      </c>
      <c r="C1479" s="63"/>
      <c r="D1479" s="63"/>
      <c r="E1479" s="63"/>
      <c r="F1479" s="66"/>
      <c r="G1479" s="66"/>
      <c r="H1479" s="72"/>
      <c r="I1479" s="408"/>
      <c r="J1479" s="408"/>
      <c r="K1479" s="401"/>
      <c r="L1479" s="408"/>
      <c r="M1479" s="64"/>
      <c r="N1479" s="65"/>
      <c r="O1479" s="65"/>
      <c r="P1479" s="81" t="str">
        <f>IF(AND('331-CT'!$E$7=TH!H1479,OR(N1479="331",O1479="331")),"x","")</f>
        <v/>
      </c>
      <c r="Q1479" s="81" t="str">
        <f>IF(AND(B1479='111'!$L$11,OR($N1479=$Q$7,$O1479=$Q$7)),"x","")</f>
        <v/>
      </c>
      <c r="R1479" s="81" t="str">
        <f>IF(AND($N1479=$Q$7,$B1479&lt;'111'!$L$11),"x","")</f>
        <v/>
      </c>
      <c r="S1479" s="81" t="str">
        <f>IF(AND($O1479=$Q$7,$B1479&lt;'111'!$L$11),"x","")</f>
        <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row>
    <row r="1480" spans="1:30" ht="15.75" customHeight="1">
      <c r="A1480" s="327" t="str">
        <f>IF(B1480&lt;&gt;"",IF(AND(B1480='IN-TC'!$S$4,OR(TH!N1480="1111",TH!O1480="1111")),TH!D1480,""),"")</f>
        <v/>
      </c>
      <c r="B1480" s="62" t="str">
        <f t="shared" si="350"/>
        <v/>
      </c>
      <c r="C1480" s="63"/>
      <c r="D1480" s="63"/>
      <c r="E1480" s="63"/>
      <c r="F1480" s="66"/>
      <c r="G1480" s="66"/>
      <c r="H1480" s="71"/>
      <c r="I1480" s="405"/>
      <c r="J1480" s="408"/>
      <c r="K1480" s="398"/>
      <c r="L1480" s="405"/>
      <c r="M1480" s="64"/>
      <c r="N1480" s="65"/>
      <c r="O1480" s="65"/>
      <c r="P1480" s="81" t="str">
        <f>IF(AND('331-CT'!$E$7=TH!H1480,OR(N1480="331",O1480="331")),"x","")</f>
        <v/>
      </c>
      <c r="Q1480" s="81" t="str">
        <f>IF(AND(B1480='111'!$L$11,OR($N1480=$Q$7,$O1480=$Q$7)),"x","")</f>
        <v/>
      </c>
      <c r="R1480" s="81" t="str">
        <f>IF(AND($N1480=$Q$7,$B1480&lt;'111'!$L$11),"x","")</f>
        <v/>
      </c>
      <c r="S1480" s="81" t="str">
        <f>IF(AND($O1480=$Q$7,$B1480&lt;'111'!$L$11),"x","")</f>
        <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row>
    <row r="1481" spans="1:30" ht="15.75" customHeight="1">
      <c r="A1481" s="327" t="str">
        <f>IF(B1481&lt;&gt;"",IF(AND(B1481='IN-TC'!$S$4,OR(TH!N1481="1111",TH!O1481="1111")),TH!D1481,""),"")</f>
        <v/>
      </c>
      <c r="B1481" s="62" t="str">
        <f t="shared" si="350"/>
        <v/>
      </c>
      <c r="C1481" s="63"/>
      <c r="D1481" s="63"/>
      <c r="E1481" s="63"/>
      <c r="F1481" s="66"/>
      <c r="G1481" s="66"/>
      <c r="H1481" s="71"/>
      <c r="I1481" s="405"/>
      <c r="J1481" s="408"/>
      <c r="K1481" s="398"/>
      <c r="L1481" s="405"/>
      <c r="M1481" s="64"/>
      <c r="N1481" s="65"/>
      <c r="O1481" s="65"/>
      <c r="P1481" s="81" t="str">
        <f>IF(AND('331-CT'!$E$7=TH!H1481,OR(N1481="331",O1481="331")),"x","")</f>
        <v/>
      </c>
      <c r="Q1481" s="81" t="str">
        <f>IF(AND(B1481='111'!$L$11,OR($N1481=$Q$7,$O1481=$Q$7)),"x","")</f>
        <v/>
      </c>
      <c r="R1481" s="81" t="str">
        <f>IF(AND($N1481=$Q$7,$B1481&lt;'111'!$L$11),"x","")</f>
        <v/>
      </c>
      <c r="S1481" s="81" t="str">
        <f>IF(AND($O1481=$Q$7,$B1481&lt;'111'!$L$11),"x","")</f>
        <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row>
    <row r="1482" spans="1:30" ht="15.75" customHeight="1">
      <c r="A1482" s="327" t="str">
        <f>IF(B1482&lt;&gt;"",IF(AND(B1482='IN-TC'!$S$4,OR(TH!N1482="1111",TH!O1482="1111")),TH!D1482,""),"")</f>
        <v/>
      </c>
      <c r="B1482" s="62" t="str">
        <f t="shared" si="350"/>
        <v/>
      </c>
      <c r="C1482" s="63"/>
      <c r="D1482" s="63"/>
      <c r="E1482" s="63"/>
      <c r="F1482" s="66"/>
      <c r="G1482" s="66"/>
      <c r="H1482" s="71"/>
      <c r="I1482" s="405"/>
      <c r="J1482" s="408"/>
      <c r="K1482" s="398"/>
      <c r="L1482" s="405"/>
      <c r="M1482" s="64"/>
      <c r="N1482" s="65"/>
      <c r="O1482" s="65"/>
      <c r="P1482" s="81" t="str">
        <f>IF(AND('331-CT'!$E$7=TH!H1482,OR(N1482="331",O1482="331")),"x","")</f>
        <v/>
      </c>
      <c r="Q1482" s="81" t="str">
        <f>IF(AND(B1482='111'!$L$11,OR($N1482=$Q$7,$O1482=$Q$7)),"x","")</f>
        <v/>
      </c>
      <c r="R1482" s="81" t="str">
        <f>IF(AND($N1482=$Q$7,$B1482&lt;'111'!$L$11),"x","")</f>
        <v/>
      </c>
      <c r="S1482" s="81" t="str">
        <f>IF(AND($O1482=$Q$7,$B1482&lt;'111'!$L$11),"x","")</f>
        <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row>
    <row r="1483" spans="1:30" ht="15.75" customHeight="1">
      <c r="A1483" s="327" t="str">
        <f>IF(B1483&lt;&gt;"",IF(AND(B1483='IN-TC'!$S$4,OR(TH!N1483="1111",TH!O1483="1111")),TH!D1483,""),"")</f>
        <v/>
      </c>
      <c r="B1483" s="62" t="str">
        <f t="shared" si="350"/>
        <v/>
      </c>
      <c r="C1483" s="63"/>
      <c r="D1483" s="63"/>
      <c r="E1483" s="63"/>
      <c r="F1483" s="66"/>
      <c r="G1483" s="66"/>
      <c r="H1483" s="71"/>
      <c r="I1483" s="405"/>
      <c r="J1483" s="408"/>
      <c r="K1483" s="398"/>
      <c r="L1483" s="405"/>
      <c r="M1483" s="64"/>
      <c r="N1483" s="65"/>
      <c r="O1483" s="65"/>
      <c r="P1483" s="81" t="str">
        <f>IF(AND('331-CT'!$E$7=TH!H1483,OR(N1483="331",O1483="331")),"x","")</f>
        <v/>
      </c>
      <c r="Q1483" s="81" t="str">
        <f>IF(AND(B1483='111'!$L$11,OR($N1483=$Q$7,$O1483=$Q$7)),"x","")</f>
        <v/>
      </c>
      <c r="R1483" s="81" t="str">
        <f>IF(AND($N1483=$Q$7,$B1483&lt;'111'!$L$11),"x","")</f>
        <v/>
      </c>
      <c r="S1483" s="81" t="str">
        <f>IF(AND($O1483=$Q$7,$B1483&lt;'111'!$L$11),"x","")</f>
        <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row>
    <row r="1484" spans="1:30" ht="15.75" customHeight="1">
      <c r="A1484" s="327" t="str">
        <f>IF(B1484&lt;&gt;"",IF(AND(B1484='IN-TC'!$S$4,OR(TH!N1484="1111",TH!O1484="1111")),TH!D1484,""),"")</f>
        <v/>
      </c>
      <c r="B1484" s="62" t="str">
        <f t="shared" si="350"/>
        <v/>
      </c>
      <c r="C1484" s="63"/>
      <c r="D1484" s="63"/>
      <c r="E1484" s="63"/>
      <c r="F1484" s="66"/>
      <c r="G1484" s="66"/>
      <c r="H1484" s="71"/>
      <c r="I1484" s="405"/>
      <c r="J1484" s="408"/>
      <c r="K1484" s="398"/>
      <c r="L1484" s="405"/>
      <c r="M1484" s="64"/>
      <c r="N1484" s="65"/>
      <c r="O1484" s="65"/>
      <c r="P1484" s="81" t="str">
        <f>IF(AND('331-CT'!$E$7=TH!H1484,OR(N1484="331",O1484="331")),"x","")</f>
        <v/>
      </c>
      <c r="Q1484" s="81" t="str">
        <f>IF(AND(B1484='111'!$L$11,OR($N1484=$Q$7,$O1484=$Q$7)),"x","")</f>
        <v/>
      </c>
      <c r="R1484" s="81" t="str">
        <f>IF(AND($N1484=$Q$7,$B1484&lt;'111'!$L$11),"x","")</f>
        <v/>
      </c>
      <c r="S1484" s="81" t="str">
        <f>IF(AND($O1484=$Q$7,$B1484&lt;'111'!$L$11),"x","")</f>
        <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row>
    <row r="1485" spans="1:30" ht="15.75" customHeight="1">
      <c r="A1485" s="327" t="str">
        <f>IF(B1485&lt;&gt;"",IF(AND(B1485='IN-TC'!$S$4,OR(TH!N1485="1111",TH!O1485="1111")),TH!D1485,""),"")</f>
        <v/>
      </c>
      <c r="B1485" s="62" t="str">
        <f t="shared" si="350"/>
        <v/>
      </c>
      <c r="C1485" s="63"/>
      <c r="D1485" s="63"/>
      <c r="E1485" s="63"/>
      <c r="F1485" s="66"/>
      <c r="G1485" s="66"/>
      <c r="H1485" s="71"/>
      <c r="I1485" s="407"/>
      <c r="J1485" s="408"/>
      <c r="K1485" s="400"/>
      <c r="L1485" s="407"/>
      <c r="M1485" s="64"/>
      <c r="N1485" s="65"/>
      <c r="O1485" s="65"/>
      <c r="P1485" s="81" t="str">
        <f>IF(AND('331-CT'!$E$7=TH!H1485,OR(N1485="331",O1485="331")),"x","")</f>
        <v/>
      </c>
      <c r="Q1485" s="81" t="str">
        <f>IF(AND(B1485='111'!$L$11,OR($N1485=$Q$7,$O1485=$Q$7)),"x","")</f>
        <v/>
      </c>
      <c r="R1485" s="81" t="str">
        <f>IF(AND($N1485=$Q$7,$B1485&lt;'111'!$L$11),"x","")</f>
        <v/>
      </c>
      <c r="S1485" s="81" t="str">
        <f>IF(AND($O1485=$Q$7,$B1485&lt;'111'!$L$11),"x","")</f>
        <v/>
      </c>
      <c r="T1485" s="81" t="str">
        <f>IF(ISERROR(FIND('112'!$M$9,G1485,1)),"",IF((AND(FIND('112'!$M$9,G1485,1)&gt;=1,B1485='112'!$K$9,OR($N1485='112'!$I$6,$O1485='112'!$I$6))),"x",""))</f>
        <v/>
      </c>
      <c r="U1485" s="81" t="str">
        <f>IF(ISERROR(FIND('112'!$M$9,G1485,1)),"",IF((AND(LEFT(G1485,2)=LEFT('112'!$M$9,2),B1485&lt;'112'!$K$9,$N1485='112'!$I$6)),"x",""))</f>
        <v/>
      </c>
      <c r="V1485" s="81" t="str">
        <f>IF(ISERROR(FIND('112'!$M$9,G1485,1)),"",IF((AND(RIGHT(G1485,2)=RIGHT('112'!$M$9,2),B1485&lt;'112'!$K$9,$O1485='112'!$I$6)),"x",""))</f>
        <v/>
      </c>
      <c r="W1485" s="81" t="str">
        <f>IF(AND('341-CT'!$H$9=H1485,OR(LEFT(N1485,3)=$W$7,LEFT(O1485,3)=$W$7)),"x","")</f>
        <v/>
      </c>
      <c r="X1485" s="81" t="str">
        <f>IF(OR(TH!N1485=TH!$X$7,O1485=TH!$X$7),"x","")</f>
        <v/>
      </c>
      <c r="Y1485" s="81" t="str">
        <f>IF(AND(OR(N1485="131",O1485="131"),H1485='131-CT'!$H$9),"x","")</f>
        <v/>
      </c>
      <c r="Z1485" s="81"/>
      <c r="AA1485" s="81" t="str">
        <f>IF(AND(MONTH(E1485)='IN-NX'!$J$5,'IN-NX'!$D$7=D1485),"x","")</f>
        <v/>
      </c>
      <c r="AB1485" s="81" t="str">
        <f>IF(AND(OR(LEFT(TH!N1485,2)="15",LEFT(TH!O1485,2)="15"),LEFT(TH!O1485,3)&lt;&gt;"111",'152-CT'!$J$8=TH!F1485),"x","")</f>
        <v/>
      </c>
      <c r="AC1485" s="81" t="str">
        <f>IF(AND(OR(LEFT(TH!N1485,2)="15",LEFT(TH!O1485,2)="15"),TK!$E$7=TH!F1485),"x","")</f>
        <v/>
      </c>
      <c r="AD1485" s="81" t="str">
        <f>IF(AND(N1485="1521",MONTH(C1485)='BK-NL'!$M$11),"x","")</f>
        <v/>
      </c>
    </row>
    <row r="1486" spans="1:30" ht="15.75" customHeight="1">
      <c r="A1486" s="327" t="str">
        <f>IF(B1486&lt;&gt;"",IF(AND(B1486='IN-TC'!$S$4,OR(TH!N1486="1111",TH!O1486="1111")),TH!D1486,""),"")</f>
        <v/>
      </c>
      <c r="B1486" s="62" t="str">
        <f t="shared" si="350"/>
        <v/>
      </c>
      <c r="C1486" s="63"/>
      <c r="D1486" s="63"/>
      <c r="E1486" s="63"/>
      <c r="F1486" s="66"/>
      <c r="G1486" s="66"/>
      <c r="H1486" s="71"/>
      <c r="I1486" s="405"/>
      <c r="J1486" s="408"/>
      <c r="K1486" s="398"/>
      <c r="L1486" s="405"/>
      <c r="M1486" s="64"/>
      <c r="N1486" s="65"/>
      <c r="O1486" s="65"/>
      <c r="P1486" s="81" t="str">
        <f>IF(AND('331-CT'!$E$7=TH!H1486,OR(N1486="331",O1486="331")),"x","")</f>
        <v/>
      </c>
      <c r="Q1486" s="81" t="str">
        <f>IF(AND(B1486='111'!$L$11,OR($N1486=$Q$7,$O1486=$Q$7)),"x","")</f>
        <v/>
      </c>
      <c r="R1486" s="81" t="str">
        <f>IF(AND($N1486=$Q$7,$B1486&lt;'111'!$L$11),"x","")</f>
        <v/>
      </c>
      <c r="S1486" s="81" t="str">
        <f>IF(AND($O1486=$Q$7,$B1486&lt;'111'!$L$11),"x","")</f>
        <v/>
      </c>
      <c r="T1486" s="81" t="str">
        <f>IF(ISERROR(FIND('112'!$M$9,G1486,1)),"",IF((AND(FIND('112'!$M$9,G1486,1)&gt;=1,B1486='112'!$K$9,OR($N1486='112'!$I$6,$O1486='112'!$I$6))),"x",""))</f>
        <v/>
      </c>
      <c r="U1486" s="81" t="str">
        <f>IF(ISERROR(FIND('112'!$M$9,G1486,1)),"",IF((AND(LEFT(G1486,2)=LEFT('112'!$M$9,2),B1486&lt;'112'!$K$9,$N1486='112'!$I$6)),"x",""))</f>
        <v/>
      </c>
      <c r="V1486" s="81" t="str">
        <f>IF(ISERROR(FIND('112'!$M$9,G1486,1)),"",IF((AND(RIGHT(G1486,2)=RIGHT('112'!$M$9,2),B1486&lt;'112'!$K$9,$O1486='112'!$I$6)),"x",""))</f>
        <v/>
      </c>
      <c r="W1486" s="81" t="str">
        <f>IF(AND('341-CT'!$H$9=H1486,OR(LEFT(N1486,3)=$W$7,LEFT(O1486,3)=$W$7)),"x","")</f>
        <v/>
      </c>
      <c r="X1486" s="81" t="str">
        <f>IF(OR(TH!N1486=TH!$X$7,O1486=TH!$X$7),"x","")</f>
        <v/>
      </c>
      <c r="Y1486" s="81" t="str">
        <f>IF(AND(OR(N1486="131",O1486="131"),H1486='131-CT'!$H$9),"x","")</f>
        <v/>
      </c>
      <c r="Z1486" s="81"/>
      <c r="AA1486" s="81" t="str">
        <f>IF(AND(MONTH(E1486)='IN-NX'!$J$5,'IN-NX'!$D$7=D1486),"x","")</f>
        <v/>
      </c>
      <c r="AB1486" s="81" t="str">
        <f>IF(AND(OR(LEFT(TH!N1486,2)="15",LEFT(TH!O1486,2)="15"),LEFT(TH!O1486,3)&lt;&gt;"111",'152-CT'!$J$8=TH!F1486),"x","")</f>
        <v/>
      </c>
      <c r="AC1486" s="81" t="str">
        <f>IF(AND(OR(LEFT(TH!N1486,2)="15",LEFT(TH!O1486,2)="15"),TK!$E$7=TH!F1486),"x","")</f>
        <v/>
      </c>
      <c r="AD1486" s="81" t="str">
        <f>IF(AND(N1486="1521",MONTH(C1486)='BK-NL'!$M$11),"x","")</f>
        <v/>
      </c>
    </row>
    <row r="1487" spans="1:30" ht="15.75" customHeight="1">
      <c r="A1487" s="327" t="str">
        <f>IF(B1487&lt;&gt;"",IF(AND(B1487='IN-TC'!$S$4,OR(TH!N1487="1111",TH!O1487="1111")),TH!D1487,""),"")</f>
        <v/>
      </c>
      <c r="B1487" s="62" t="str">
        <f t="shared" si="350"/>
        <v/>
      </c>
      <c r="C1487" s="63"/>
      <c r="D1487" s="63"/>
      <c r="E1487" s="63"/>
      <c r="F1487" s="66"/>
      <c r="G1487" s="66"/>
      <c r="H1487" s="71"/>
      <c r="I1487" s="405"/>
      <c r="J1487" s="408"/>
      <c r="K1487" s="398"/>
      <c r="L1487" s="405"/>
      <c r="M1487" s="64"/>
      <c r="N1487" s="65"/>
      <c r="O1487" s="65"/>
      <c r="P1487" s="81" t="str">
        <f>IF(AND('331-CT'!$E$7=TH!H1487,OR(N1487="331",O1487="331")),"x","")</f>
        <v/>
      </c>
      <c r="Q1487" s="81" t="str">
        <f>IF(AND(B1487='111'!$L$11,OR($N1487=$Q$7,$O1487=$Q$7)),"x","")</f>
        <v/>
      </c>
      <c r="R1487" s="81" t="str">
        <f>IF(AND($N1487=$Q$7,$B1487&lt;'111'!$L$11),"x","")</f>
        <v/>
      </c>
      <c r="S1487" s="81" t="str">
        <f>IF(AND($O1487=$Q$7,$B1487&lt;'111'!$L$11),"x","")</f>
        <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row>
    <row r="1488" spans="1:30" ht="15.75" customHeight="1">
      <c r="A1488" s="327" t="str">
        <f>IF(B1488&lt;&gt;"",IF(AND(B1488='IN-TC'!$S$4,OR(TH!N1488="1111",TH!O1488="1111")),TH!D1488,""),"")</f>
        <v/>
      </c>
      <c r="B1488" s="62" t="str">
        <f t="shared" si="350"/>
        <v/>
      </c>
      <c r="C1488" s="63"/>
      <c r="D1488" s="63"/>
      <c r="E1488" s="63"/>
      <c r="F1488" s="66"/>
      <c r="G1488" s="66"/>
      <c r="H1488" s="71"/>
      <c r="I1488" s="405"/>
      <c r="J1488" s="408"/>
      <c r="K1488" s="398"/>
      <c r="L1488" s="405"/>
      <c r="M1488" s="64"/>
      <c r="N1488" s="65"/>
      <c r="O1488" s="65"/>
      <c r="P1488" s="81" t="str">
        <f>IF(AND('331-CT'!$E$7=TH!H1488,OR(N1488="331",O1488="331")),"x","")</f>
        <v/>
      </c>
      <c r="Q1488" s="81" t="str">
        <f>IF(AND(B1488='111'!$L$11,OR($N1488=$Q$7,$O1488=$Q$7)),"x","")</f>
        <v/>
      </c>
      <c r="R1488" s="81" t="str">
        <f>IF(AND($N1488=$Q$7,$B1488&lt;'111'!$L$11),"x","")</f>
        <v/>
      </c>
      <c r="S1488" s="81" t="str">
        <f>IF(AND($O1488=$Q$7,$B1488&lt;'111'!$L$11),"x","")</f>
        <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row>
    <row r="1489" spans="1:30" ht="15.75" customHeight="1">
      <c r="A1489" s="327" t="str">
        <f>IF(B1489&lt;&gt;"",IF(AND(B1489='IN-TC'!$S$4,OR(TH!N1489="1111",TH!O1489="1111")),TH!D1489,""),"")</f>
        <v/>
      </c>
      <c r="B1489" s="62" t="str">
        <f t="shared" si="350"/>
        <v/>
      </c>
      <c r="C1489" s="63"/>
      <c r="D1489" s="63"/>
      <c r="E1489" s="63"/>
      <c r="F1489" s="66"/>
      <c r="G1489" s="66"/>
      <c r="H1489" s="71"/>
      <c r="I1489" s="405"/>
      <c r="J1489" s="408"/>
      <c r="K1489" s="398"/>
      <c r="L1489" s="405"/>
      <c r="M1489" s="64"/>
      <c r="N1489" s="65"/>
      <c r="O1489" s="65"/>
      <c r="P1489" s="81" t="str">
        <f>IF(AND('331-CT'!$E$7=TH!H1489,OR(N1489="331",O1489="331")),"x","")</f>
        <v/>
      </c>
      <c r="Q1489" s="81" t="str">
        <f>IF(AND(B1489='111'!$L$11,OR($N1489=$Q$7,$O1489=$Q$7)),"x","")</f>
        <v/>
      </c>
      <c r="R1489" s="81" t="str">
        <f>IF(AND($N1489=$Q$7,$B1489&lt;'111'!$L$11),"x","")</f>
        <v/>
      </c>
      <c r="S1489" s="81" t="str">
        <f>IF(AND($O1489=$Q$7,$B1489&lt;'111'!$L$11),"x","")</f>
        <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row>
    <row r="1490" spans="1:30" ht="15.75" customHeight="1">
      <c r="A1490" s="327" t="str">
        <f>IF(B1490&lt;&gt;"",IF(AND(B1490='IN-TC'!$S$4,OR(TH!N1490="1111",TH!O1490="1111")),TH!D1490,""),"")</f>
        <v/>
      </c>
      <c r="B1490" s="62" t="str">
        <f t="shared" si="350"/>
        <v/>
      </c>
      <c r="C1490" s="63"/>
      <c r="D1490" s="63"/>
      <c r="E1490" s="63"/>
      <c r="F1490" s="66"/>
      <c r="G1490" s="66"/>
      <c r="H1490" s="71"/>
      <c r="I1490" s="405"/>
      <c r="J1490" s="408"/>
      <c r="K1490" s="398"/>
      <c r="L1490" s="405"/>
      <c r="M1490" s="64"/>
      <c r="N1490" s="65"/>
      <c r="O1490" s="65"/>
      <c r="P1490" s="81" t="str">
        <f>IF(AND('331-CT'!$E$7=TH!H1490,OR(N1490="331",O1490="331")),"x","")</f>
        <v/>
      </c>
      <c r="Q1490" s="81" t="str">
        <f>IF(AND(B1490='111'!$L$11,OR($N1490=$Q$7,$O1490=$Q$7)),"x","")</f>
        <v/>
      </c>
      <c r="R1490" s="81" t="str">
        <f>IF(AND($N1490=$Q$7,$B1490&lt;'111'!$L$11),"x","")</f>
        <v/>
      </c>
      <c r="S1490" s="81" t="str">
        <f>IF(AND($O1490=$Q$7,$B1490&lt;'111'!$L$11),"x","")</f>
        <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row>
    <row r="1491" spans="1:30" ht="15.75" customHeight="1">
      <c r="A1491" s="327" t="str">
        <f>IF(B1491&lt;&gt;"",IF(AND(B1491='IN-TC'!$S$4,OR(TH!N1491="1111",TH!O1491="1111")),TH!D1491,""),"")</f>
        <v/>
      </c>
      <c r="B1491" s="62" t="str">
        <f t="shared" si="350"/>
        <v/>
      </c>
      <c r="C1491" s="63"/>
      <c r="D1491" s="63"/>
      <c r="E1491" s="63"/>
      <c r="F1491" s="66"/>
      <c r="G1491" s="66"/>
      <c r="H1491" s="71"/>
      <c r="I1491" s="405"/>
      <c r="J1491" s="408"/>
      <c r="K1491" s="398"/>
      <c r="L1491" s="405"/>
      <c r="M1491" s="64"/>
      <c r="N1491" s="65"/>
      <c r="O1491" s="65"/>
      <c r="P1491" s="81" t="str">
        <f>IF(AND('331-CT'!$E$7=TH!H1491,OR(N1491="331",O1491="331")),"x","")</f>
        <v/>
      </c>
      <c r="Q1491" s="81" t="str">
        <f>IF(AND(B1491='111'!$L$11,OR($N1491=$Q$7,$O1491=$Q$7)),"x","")</f>
        <v/>
      </c>
      <c r="R1491" s="81" t="str">
        <f>IF(AND($N1491=$Q$7,$B1491&lt;'111'!$L$11),"x","")</f>
        <v/>
      </c>
      <c r="S1491" s="81" t="str">
        <f>IF(AND($O1491=$Q$7,$B1491&lt;'111'!$L$11),"x","")</f>
        <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row>
    <row r="1492" spans="1:30" ht="15.75" customHeight="1">
      <c r="A1492" s="327" t="str">
        <f>IF(B1492&lt;&gt;"",IF(AND(B1492='IN-TC'!$S$4,OR(TH!N1492="1111",TH!O1492="1111")),TH!D1492,""),"")</f>
        <v/>
      </c>
      <c r="B1492" s="62" t="str">
        <f t="shared" si="350"/>
        <v/>
      </c>
      <c r="C1492" s="63"/>
      <c r="D1492" s="63"/>
      <c r="E1492" s="63"/>
      <c r="F1492" s="66"/>
      <c r="G1492" s="66"/>
      <c r="H1492" s="71"/>
      <c r="I1492" s="405"/>
      <c r="J1492" s="408"/>
      <c r="K1492" s="398"/>
      <c r="L1492" s="405"/>
      <c r="M1492" s="64"/>
      <c r="N1492" s="65"/>
      <c r="O1492" s="65"/>
      <c r="P1492" s="81" t="str">
        <f>IF(AND('331-CT'!$E$7=TH!H1492,OR(N1492="331",O1492="331")),"x","")</f>
        <v/>
      </c>
      <c r="Q1492" s="81" t="str">
        <f>IF(AND(B1492='111'!$L$11,OR($N1492=$Q$7,$O1492=$Q$7)),"x","")</f>
        <v/>
      </c>
      <c r="R1492" s="81" t="str">
        <f>IF(AND($N1492=$Q$7,$B1492&lt;'111'!$L$11),"x","")</f>
        <v/>
      </c>
      <c r="S1492" s="81" t="str">
        <f>IF(AND($O1492=$Q$7,$B1492&lt;'111'!$L$11),"x","")</f>
        <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row>
    <row r="1493" spans="1:30" ht="15.75" customHeight="1">
      <c r="A1493" s="327" t="str">
        <f>IF(B1493&lt;&gt;"",IF(AND(B1493='IN-TC'!$S$4,OR(TH!N1493="1111",TH!O1493="1111")),TH!D1493,""),"")</f>
        <v/>
      </c>
      <c r="B1493" s="62" t="str">
        <f t="shared" si="350"/>
        <v/>
      </c>
      <c r="C1493" s="63"/>
      <c r="D1493" s="63"/>
      <c r="E1493" s="63"/>
      <c r="F1493" s="66"/>
      <c r="G1493" s="66"/>
      <c r="H1493" s="71"/>
      <c r="I1493" s="405"/>
      <c r="J1493" s="408"/>
      <c r="K1493" s="398"/>
      <c r="L1493" s="405"/>
      <c r="M1493" s="64"/>
      <c r="N1493" s="65"/>
      <c r="O1493" s="65"/>
      <c r="P1493" s="81" t="str">
        <f>IF(AND('331-CT'!$E$7=TH!H1493,OR(N1493="331",O1493="331")),"x","")</f>
        <v/>
      </c>
      <c r="Q1493" s="81" t="str">
        <f>IF(AND(B1493='111'!$L$11,OR($N1493=$Q$7,$O1493=$Q$7)),"x","")</f>
        <v/>
      </c>
      <c r="R1493" s="81" t="str">
        <f>IF(AND($N1493=$Q$7,$B1493&lt;'111'!$L$11),"x","")</f>
        <v/>
      </c>
      <c r="S1493" s="81" t="str">
        <f>IF(AND($O1493=$Q$7,$B1493&lt;'111'!$L$11),"x","")</f>
        <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row>
    <row r="1494" spans="1:30" ht="15.75" customHeight="1">
      <c r="A1494" s="327" t="str">
        <f>IF(B1494&lt;&gt;"",IF(AND(B1494='IN-TC'!$S$4,OR(TH!N1494="1111",TH!O1494="1111")),TH!D1494,""),"")</f>
        <v/>
      </c>
      <c r="B1494" s="62" t="str">
        <f t="shared" si="350"/>
        <v/>
      </c>
      <c r="C1494" s="63"/>
      <c r="D1494" s="63"/>
      <c r="E1494" s="63"/>
      <c r="F1494" s="66"/>
      <c r="G1494" s="66"/>
      <c r="H1494" s="71"/>
      <c r="I1494" s="407"/>
      <c r="J1494" s="408"/>
      <c r="K1494" s="400"/>
      <c r="L1494" s="407"/>
      <c r="M1494" s="64"/>
      <c r="N1494" s="65"/>
      <c r="O1494" s="65"/>
      <c r="P1494" s="81" t="str">
        <f>IF(AND('331-CT'!$E$7=TH!H1494,OR(N1494="331",O1494="331")),"x","")</f>
        <v/>
      </c>
      <c r="Q1494" s="81" t="str">
        <f>IF(AND(B1494='111'!$L$11,OR($N1494=$Q$7,$O1494=$Q$7)),"x","")</f>
        <v/>
      </c>
      <c r="R1494" s="81" t="str">
        <f>IF(AND($N1494=$Q$7,$B1494&lt;'111'!$L$11),"x","")</f>
        <v/>
      </c>
      <c r="S1494" s="81" t="str">
        <f>IF(AND($O1494=$Q$7,$B1494&lt;'111'!$L$11),"x","")</f>
        <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row>
    <row r="1495" spans="1:30" ht="15.75" customHeight="1">
      <c r="A1495" s="327" t="str">
        <f>IF(B1495&lt;&gt;"",IF(AND(B1495='IN-TC'!$S$4,OR(TH!N1495="1111",TH!O1495="1111")),TH!D1495,""),"")</f>
        <v/>
      </c>
      <c r="B1495" s="62" t="str">
        <f t="shared" si="350"/>
        <v/>
      </c>
      <c r="C1495" s="63"/>
      <c r="D1495" s="63"/>
      <c r="E1495" s="63"/>
      <c r="F1495" s="66"/>
      <c r="G1495" s="816"/>
      <c r="H1495" s="71"/>
      <c r="I1495" s="407"/>
      <c r="J1495" s="408"/>
      <c r="K1495" s="400"/>
      <c r="L1495" s="407"/>
      <c r="M1495" s="64"/>
      <c r="N1495" s="65"/>
      <c r="O1495" s="65"/>
      <c r="P1495" s="81" t="str">
        <f>IF(AND('331-CT'!$E$7=TH!H1495,OR(N1495="331",O1495="331")),"x","")</f>
        <v/>
      </c>
      <c r="Q1495" s="81" t="str">
        <f>IF(AND(B1495='111'!$L$11,OR($N1495=$Q$7,$O1495=$Q$7)),"x","")</f>
        <v/>
      </c>
      <c r="R1495" s="81" t="str">
        <f>IF(AND($N1495=$Q$7,$B1495&lt;'111'!$L$11),"x","")</f>
        <v/>
      </c>
      <c r="S1495" s="81" t="str">
        <f>IF(AND($O1495=$Q$7,$B1495&lt;'111'!$L$11),"x","")</f>
        <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row>
    <row r="1496" spans="1:30" ht="15.75" customHeight="1">
      <c r="A1496" s="327" t="str">
        <f>IF(B1496&lt;&gt;"",IF(AND(B1496='IN-TC'!$S$4,OR(TH!N1496="1111",TH!O1496="1111")),TH!D1496,""),"")</f>
        <v/>
      </c>
      <c r="B1496" s="62" t="str">
        <f t="shared" si="350"/>
        <v/>
      </c>
      <c r="C1496" s="63"/>
      <c r="D1496" s="63"/>
      <c r="E1496" s="63"/>
      <c r="F1496" s="66"/>
      <c r="G1496" s="66"/>
      <c r="H1496" s="71"/>
      <c r="I1496" s="405"/>
      <c r="J1496" s="408"/>
      <c r="K1496" s="398"/>
      <c r="L1496" s="405"/>
      <c r="M1496" s="64"/>
      <c r="N1496" s="65"/>
      <c r="O1496" s="65"/>
      <c r="P1496" s="81" t="str">
        <f>IF(AND('331-CT'!$E$7=TH!H1496,OR(N1496="331",O1496="331")),"x","")</f>
        <v/>
      </c>
      <c r="Q1496" s="81" t="str">
        <f>IF(AND(B1496='111'!$L$11,OR($N1496=$Q$7,$O1496=$Q$7)),"x","")</f>
        <v/>
      </c>
      <c r="R1496" s="81" t="str">
        <f>IF(AND($N1496=$Q$7,$B1496&lt;'111'!$L$11),"x","")</f>
        <v/>
      </c>
      <c r="S1496" s="81" t="str">
        <f>IF(AND($O1496=$Q$7,$B1496&lt;'111'!$L$11),"x","")</f>
        <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row>
    <row r="1497" spans="1:30" ht="15.75" customHeight="1">
      <c r="A1497" s="327" t="str">
        <f>IF(B1497&lt;&gt;"",IF(AND(B1497='IN-TC'!$S$4,OR(TH!N1497="1111",TH!O1497="1111")),TH!D1497,""),"")</f>
        <v/>
      </c>
      <c r="B1497" s="62" t="str">
        <f t="shared" si="350"/>
        <v/>
      </c>
      <c r="C1497" s="63"/>
      <c r="D1497" s="63"/>
      <c r="E1497" s="63"/>
      <c r="F1497" s="66"/>
      <c r="G1497" s="66"/>
      <c r="H1497" s="71"/>
      <c r="I1497" s="408"/>
      <c r="J1497" s="408"/>
      <c r="K1497" s="401"/>
      <c r="L1497" s="408"/>
      <c r="M1497" s="64"/>
      <c r="N1497" s="65"/>
      <c r="O1497" s="65"/>
      <c r="P1497" s="81" t="str">
        <f>IF(AND('331-CT'!$E$7=TH!H1497,OR(N1497="331",O1497="331")),"x","")</f>
        <v/>
      </c>
      <c r="Q1497" s="81" t="str">
        <f>IF(AND(B1497='111'!$L$11,OR($N1497=$Q$7,$O1497=$Q$7)),"x","")</f>
        <v/>
      </c>
      <c r="R1497" s="81" t="str">
        <f>IF(AND($N1497=$Q$7,$B1497&lt;'111'!$L$11),"x","")</f>
        <v/>
      </c>
      <c r="S1497" s="81" t="str">
        <f>IF(AND($O1497=$Q$7,$B1497&lt;'111'!$L$11),"x","")</f>
        <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row>
    <row r="1498" spans="1:30" ht="15.75" customHeight="1">
      <c r="A1498" s="327" t="str">
        <f>IF(B1498&lt;&gt;"",IF(AND(B1498='IN-TC'!$S$4,OR(TH!N1498="1111",TH!O1498="1111")),TH!D1498,""),"")</f>
        <v/>
      </c>
      <c r="B1498" s="62" t="str">
        <f t="shared" si="350"/>
        <v/>
      </c>
      <c r="C1498" s="63"/>
      <c r="D1498" s="63"/>
      <c r="E1498" s="63"/>
      <c r="F1498" s="66"/>
      <c r="G1498" s="66"/>
      <c r="H1498" s="71"/>
      <c r="I1498" s="407"/>
      <c r="J1498" s="408"/>
      <c r="K1498" s="400"/>
      <c r="L1498" s="407"/>
      <c r="M1498" s="64"/>
      <c r="N1498" s="65"/>
      <c r="O1498" s="65"/>
      <c r="P1498" s="81" t="str">
        <f>IF(AND('331-CT'!$E$7=TH!H1498,OR(N1498="331",O1498="331")),"x","")</f>
        <v/>
      </c>
      <c r="Q1498" s="81" t="str">
        <f>IF(AND(B1498='111'!$L$11,OR($N1498=$Q$7,$O1498=$Q$7)),"x","")</f>
        <v/>
      </c>
      <c r="R1498" s="81" t="str">
        <f>IF(AND($N1498=$Q$7,$B1498&lt;'111'!$L$11),"x","")</f>
        <v/>
      </c>
      <c r="S1498" s="81" t="str">
        <f>IF(AND($O1498=$Q$7,$B1498&lt;'111'!$L$11),"x","")</f>
        <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row>
    <row r="1499" spans="1:30" ht="15.75" customHeight="1">
      <c r="A1499" s="327" t="str">
        <f>IF(B1499&lt;&gt;"",IF(AND(B1499='IN-TC'!$S$4,OR(TH!N1499="1111",TH!O1499="1111")),TH!D1499,""),"")</f>
        <v/>
      </c>
      <c r="B1499" s="62" t="str">
        <f t="shared" si="350"/>
        <v/>
      </c>
      <c r="C1499" s="63"/>
      <c r="D1499" s="63"/>
      <c r="E1499" s="63"/>
      <c r="F1499" s="66"/>
      <c r="G1499" s="66"/>
      <c r="H1499" s="71"/>
      <c r="I1499" s="407"/>
      <c r="J1499" s="408"/>
      <c r="K1499" s="400"/>
      <c r="L1499" s="407"/>
      <c r="M1499" s="64"/>
      <c r="N1499" s="65"/>
      <c r="O1499" s="65"/>
      <c r="P1499" s="81" t="str">
        <f>IF(AND('331-CT'!$E$7=TH!H1499,OR(N1499="331",O1499="331")),"x","")</f>
        <v/>
      </c>
      <c r="Q1499" s="81" t="str">
        <f>IF(AND(B1499='111'!$L$11,OR($N1499=$Q$7,$O1499=$Q$7)),"x","")</f>
        <v/>
      </c>
      <c r="R1499" s="81" t="str">
        <f>IF(AND($N1499=$Q$7,$B1499&lt;'111'!$L$11),"x","")</f>
        <v/>
      </c>
      <c r="S1499" s="81" t="str">
        <f>IF(AND($O1499=$Q$7,$B1499&lt;'111'!$L$11),"x","")</f>
        <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row>
    <row r="1500" spans="1:30" ht="15.75" customHeight="1">
      <c r="A1500" s="327" t="str">
        <f>IF(B1500&lt;&gt;"",IF(AND(B1500='IN-TC'!$S$4,OR(TH!N1500="1111",TH!O1500="1111")),TH!D1500,""),"")</f>
        <v/>
      </c>
      <c r="B1500" s="62" t="str">
        <f t="shared" si="350"/>
        <v/>
      </c>
      <c r="C1500" s="63"/>
      <c r="D1500" s="63"/>
      <c r="E1500" s="63"/>
      <c r="F1500" s="66"/>
      <c r="G1500" s="66"/>
      <c r="H1500" s="71"/>
      <c r="I1500" s="405"/>
      <c r="J1500" s="408"/>
      <c r="K1500" s="398"/>
      <c r="L1500" s="405"/>
      <c r="M1500" s="64"/>
      <c r="N1500" s="65"/>
      <c r="O1500" s="65"/>
      <c r="P1500" s="81" t="str">
        <f>IF(AND('331-CT'!$E$7=TH!H1500,OR(N1500="331",O1500="331")),"x","")</f>
        <v/>
      </c>
      <c r="Q1500" s="81" t="str">
        <f>IF(AND(B1500='111'!$L$11,OR($N1500=$Q$7,$O1500=$Q$7)),"x","")</f>
        <v/>
      </c>
      <c r="R1500" s="81" t="str">
        <f>IF(AND($N1500=$Q$7,$B1500&lt;'111'!$L$11),"x","")</f>
        <v/>
      </c>
      <c r="S1500" s="81" t="str">
        <f>IF(AND($O1500=$Q$7,$B1500&lt;'111'!$L$11),"x","")</f>
        <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row>
    <row r="1501" spans="1:30" ht="15.75" customHeight="1">
      <c r="A1501" s="327" t="str">
        <f>IF(B1501&lt;&gt;"",IF(AND(B1501='IN-TC'!$S$4,OR(TH!N1501="1111",TH!O1501="1111")),TH!D1501,""),"")</f>
        <v/>
      </c>
      <c r="B1501" s="62" t="str">
        <f t="shared" si="350"/>
        <v/>
      </c>
      <c r="C1501" s="63"/>
      <c r="D1501" s="63"/>
      <c r="E1501" s="63"/>
      <c r="F1501" s="66"/>
      <c r="G1501" s="66"/>
      <c r="H1501" s="72"/>
      <c r="I1501" s="408"/>
      <c r="J1501" s="408"/>
      <c r="K1501" s="401"/>
      <c r="L1501" s="408"/>
      <c r="M1501" s="64"/>
      <c r="N1501" s="65"/>
      <c r="O1501" s="65"/>
      <c r="P1501" s="81" t="str">
        <f>IF(AND('331-CT'!$E$7=TH!H1501,OR(N1501="331",O1501="331")),"x","")</f>
        <v/>
      </c>
      <c r="Q1501" s="81" t="str">
        <f>IF(AND(B1501='111'!$L$11,OR($N1501=$Q$7,$O1501=$Q$7)),"x","")</f>
        <v/>
      </c>
      <c r="R1501" s="81" t="str">
        <f>IF(AND($N1501=$Q$7,$B1501&lt;'111'!$L$11),"x","")</f>
        <v/>
      </c>
      <c r="S1501" s="81" t="str">
        <f>IF(AND($O1501=$Q$7,$B1501&lt;'111'!$L$11),"x","")</f>
        <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row>
    <row r="1502" spans="1:30" ht="15.75" customHeight="1">
      <c r="A1502" s="327" t="str">
        <f>IF(B1502&lt;&gt;"",IF(AND(B1502='IN-TC'!$S$4,OR(TH!N1502="1111",TH!O1502="1111")),TH!D1502,""),"")</f>
        <v/>
      </c>
      <c r="B1502" s="62" t="str">
        <f t="shared" si="350"/>
        <v/>
      </c>
      <c r="C1502" s="63"/>
      <c r="D1502" s="63"/>
      <c r="E1502" s="63"/>
      <c r="F1502" s="66"/>
      <c r="G1502" s="66"/>
      <c r="H1502" s="71"/>
      <c r="I1502" s="405"/>
      <c r="J1502" s="408"/>
      <c r="K1502" s="398"/>
      <c r="L1502" s="405"/>
      <c r="M1502" s="64"/>
      <c r="N1502" s="65"/>
      <c r="O1502" s="65"/>
      <c r="P1502" s="81" t="str">
        <f>IF(AND('331-CT'!$E$7=TH!H1502,OR(N1502="331",O1502="331")),"x","")</f>
        <v/>
      </c>
      <c r="Q1502" s="81" t="str">
        <f>IF(AND(B1502='111'!$L$11,OR($N1502=$Q$7,$O1502=$Q$7)),"x","")</f>
        <v/>
      </c>
      <c r="R1502" s="81" t="str">
        <f>IF(AND($N1502=$Q$7,$B1502&lt;'111'!$L$11),"x","")</f>
        <v/>
      </c>
      <c r="S1502" s="81" t="str">
        <f>IF(AND($O1502=$Q$7,$B1502&lt;'111'!$L$11),"x","")</f>
        <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row>
    <row r="1503" spans="1:30" ht="15.75" customHeight="1">
      <c r="A1503" s="327" t="str">
        <f>IF(B1503&lt;&gt;"",IF(AND(B1503='IN-TC'!$S$4,OR(TH!N1503="1111",TH!O1503="1111")),TH!D1503,""),"")</f>
        <v/>
      </c>
      <c r="B1503" s="62" t="str">
        <f t="shared" si="350"/>
        <v/>
      </c>
      <c r="C1503" s="63"/>
      <c r="D1503" s="63"/>
      <c r="E1503" s="63"/>
      <c r="F1503" s="66"/>
      <c r="G1503" s="66"/>
      <c r="H1503" s="71"/>
      <c r="I1503" s="405"/>
      <c r="J1503" s="408"/>
      <c r="K1503" s="398"/>
      <c r="L1503" s="405"/>
      <c r="M1503" s="64"/>
      <c r="N1503" s="65"/>
      <c r="O1503" s="65"/>
      <c r="P1503" s="81" t="str">
        <f>IF(AND('331-CT'!$E$7=TH!H1503,OR(N1503="331",O1503="331")),"x","")</f>
        <v/>
      </c>
      <c r="Q1503" s="81" t="str">
        <f>IF(AND(B1503='111'!$L$11,OR($N1503=$Q$7,$O1503=$Q$7)),"x","")</f>
        <v/>
      </c>
      <c r="R1503" s="81" t="str">
        <f>IF(AND($N1503=$Q$7,$B1503&lt;'111'!$L$11),"x","")</f>
        <v/>
      </c>
      <c r="S1503" s="81" t="str">
        <f>IF(AND($O1503=$Q$7,$B1503&lt;'111'!$L$11),"x","")</f>
        <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row>
    <row r="1504" spans="1:30" ht="15.75" customHeight="1">
      <c r="A1504" s="327" t="str">
        <f>IF(B1504&lt;&gt;"",IF(AND(B1504='IN-TC'!$S$4,OR(TH!N1504="1111",TH!O1504="1111")),TH!D1504,""),"")</f>
        <v/>
      </c>
      <c r="B1504" s="62" t="str">
        <f t="shared" si="350"/>
        <v/>
      </c>
      <c r="C1504" s="63"/>
      <c r="D1504" s="63"/>
      <c r="E1504" s="63"/>
      <c r="F1504" s="66"/>
      <c r="G1504" s="66"/>
      <c r="H1504" s="71"/>
      <c r="I1504" s="405"/>
      <c r="J1504" s="408"/>
      <c r="K1504" s="398"/>
      <c r="L1504" s="405"/>
      <c r="M1504" s="64"/>
      <c r="N1504" s="65"/>
      <c r="O1504" s="65"/>
      <c r="P1504" s="81" t="str">
        <f>IF(AND('331-CT'!$E$7=TH!H1504,OR(N1504="331",O1504="331")),"x","")</f>
        <v/>
      </c>
      <c r="Q1504" s="81" t="str">
        <f>IF(AND(B1504='111'!$L$11,OR($N1504=$Q$7,$O1504=$Q$7)),"x","")</f>
        <v/>
      </c>
      <c r="R1504" s="81" t="str">
        <f>IF(AND($N1504=$Q$7,$B1504&lt;'111'!$L$11),"x","")</f>
        <v/>
      </c>
      <c r="S1504" s="81" t="str">
        <f>IF(AND($O1504=$Q$7,$B1504&lt;'111'!$L$11),"x","")</f>
        <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row>
    <row r="1505" spans="1:30" ht="15.75" customHeight="1">
      <c r="A1505" s="327" t="str">
        <f>IF(B1505&lt;&gt;"",IF(AND(B1505='IN-TC'!$S$4,OR(TH!N1505="1111",TH!O1505="1111")),TH!D1505,""),"")</f>
        <v/>
      </c>
      <c r="B1505" s="62" t="str">
        <f t="shared" si="350"/>
        <v/>
      </c>
      <c r="C1505" s="63"/>
      <c r="D1505" s="63"/>
      <c r="E1505" s="63"/>
      <c r="F1505" s="66"/>
      <c r="G1505" s="66"/>
      <c r="H1505" s="72"/>
      <c r="I1505" s="405"/>
      <c r="J1505" s="408"/>
      <c r="K1505" s="398"/>
      <c r="L1505" s="405"/>
      <c r="M1505" s="64"/>
      <c r="N1505" s="65"/>
      <c r="O1505" s="65"/>
      <c r="P1505" s="81" t="str">
        <f>IF(AND('331-CT'!$E$7=TH!H1505,OR(N1505="331",O1505="331")),"x","")</f>
        <v/>
      </c>
      <c r="Q1505" s="81" t="str">
        <f>IF(AND(B1505='111'!$L$11,OR($N1505=$Q$7,$O1505=$Q$7)),"x","")</f>
        <v/>
      </c>
      <c r="R1505" s="81" t="str">
        <f>IF(AND($N1505=$Q$7,$B1505&lt;'111'!$L$11),"x","")</f>
        <v/>
      </c>
      <c r="S1505" s="81" t="str">
        <f>IF(AND($O1505=$Q$7,$B1505&lt;'111'!$L$11),"x","")</f>
        <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row>
    <row r="1506" spans="1:30" ht="15.75" customHeight="1">
      <c r="A1506" s="327" t="str">
        <f>IF(B1506&lt;&gt;"",IF(AND(B1506='IN-TC'!$S$4,OR(TH!N1506="1111",TH!O1506="1111")),TH!D1506,""),"")</f>
        <v/>
      </c>
      <c r="B1506" s="62" t="str">
        <f t="shared" si="350"/>
        <v/>
      </c>
      <c r="C1506" s="63"/>
      <c r="D1506" s="63"/>
      <c r="E1506" s="63"/>
      <c r="F1506" s="66"/>
      <c r="G1506" s="66"/>
      <c r="H1506" s="71"/>
      <c r="I1506" s="405"/>
      <c r="J1506" s="408"/>
      <c r="K1506" s="398"/>
      <c r="L1506" s="405"/>
      <c r="M1506" s="64"/>
      <c r="N1506" s="65"/>
      <c r="O1506" s="65"/>
      <c r="P1506" s="81" t="str">
        <f>IF(AND('331-CT'!$E$7=TH!H1506,OR(N1506="331",O1506="331")),"x","")</f>
        <v/>
      </c>
      <c r="Q1506" s="81" t="str">
        <f>IF(AND(B1506='111'!$L$11,OR($N1506=$Q$7,$O1506=$Q$7)),"x","")</f>
        <v/>
      </c>
      <c r="R1506" s="81" t="str">
        <f>IF(AND($N1506=$Q$7,$B1506&lt;'111'!$L$11),"x","")</f>
        <v/>
      </c>
      <c r="S1506" s="81" t="str">
        <f>IF(AND($O1506=$Q$7,$B1506&lt;'111'!$L$11),"x","")</f>
        <v/>
      </c>
      <c r="T1506" s="81" t="str">
        <f>IF(ISERROR(FIND('112'!$M$9,G1506,1)),"",IF((AND(FIND('112'!$M$9,G1506,1)&gt;=1,B1506='112'!$K$9,OR($N1506='112'!$I$6,$O1506='112'!$I$6))),"x",""))</f>
        <v/>
      </c>
      <c r="U1506" s="81" t="str">
        <f>IF(ISERROR(FIND('112'!$M$9,G1506,1)),"",IF((AND(LEFT(G1506,2)=LEFT('112'!$M$9,2),B1506&lt;'112'!$K$9,$N1506='112'!$I$6)),"x",""))</f>
        <v/>
      </c>
      <c r="V1506" s="81" t="str">
        <f>IF(ISERROR(FIND('112'!$M$9,G1506,1)),"",IF((AND(RIGHT(G1506,2)=RIGHT('112'!$M$9,2),B1506&lt;'112'!$K$9,$O1506='112'!$I$6)),"x",""))</f>
        <v/>
      </c>
      <c r="W1506" s="81" t="str">
        <f>IF(AND('341-CT'!$H$9=H1506,OR(LEFT(N1506,3)=$W$7,LEFT(O1506,3)=$W$7)),"x","")</f>
        <v/>
      </c>
      <c r="X1506" s="81" t="str">
        <f>IF(OR(TH!N1506=TH!$X$7,O1506=TH!$X$7),"x","")</f>
        <v/>
      </c>
      <c r="Y1506" s="81" t="str">
        <f>IF(AND(OR(N1506="131",O1506="131"),H1506='131-CT'!$H$9),"x","")</f>
        <v/>
      </c>
      <c r="Z1506" s="81"/>
      <c r="AA1506" s="81" t="str">
        <f>IF(AND(MONTH(E1506)='IN-NX'!$J$5,'IN-NX'!$D$7=D1506),"x","")</f>
        <v/>
      </c>
      <c r="AB1506" s="81" t="str">
        <f>IF(AND(OR(LEFT(TH!N1506,2)="15",LEFT(TH!O1506,2)="15"),LEFT(TH!O1506,3)&lt;&gt;"111",'152-CT'!$J$8=TH!F1506),"x","")</f>
        <v/>
      </c>
      <c r="AC1506" s="81" t="str">
        <f>IF(AND(OR(LEFT(TH!N1506,2)="15",LEFT(TH!O1506,2)="15"),TK!$E$7=TH!F1506),"x","")</f>
        <v/>
      </c>
      <c r="AD1506" s="81" t="str">
        <f>IF(AND(N1506="1521",MONTH(C1506)='BK-NL'!$M$11),"x","")</f>
        <v/>
      </c>
    </row>
    <row r="1507" spans="1:30" ht="15.75" customHeight="1">
      <c r="A1507" s="327" t="str">
        <f>IF(B1507&lt;&gt;"",IF(AND(B1507='IN-TC'!$S$4,OR(TH!N1507="1111",TH!O1507="1111")),TH!D1507,""),"")</f>
        <v/>
      </c>
      <c r="B1507" s="62" t="str">
        <f t="shared" si="350"/>
        <v/>
      </c>
      <c r="C1507" s="63"/>
      <c r="D1507" s="63"/>
      <c r="E1507" s="63"/>
      <c r="F1507" s="66"/>
      <c r="G1507" s="66"/>
      <c r="H1507" s="72"/>
      <c r="I1507" s="405"/>
      <c r="J1507" s="408"/>
      <c r="K1507" s="398"/>
      <c r="L1507" s="405"/>
      <c r="M1507" s="64"/>
      <c r="N1507" s="65"/>
      <c r="O1507" s="65"/>
      <c r="P1507" s="81" t="str">
        <f>IF(AND('331-CT'!$E$7=TH!H1507,OR(N1507="331",O1507="331")),"x","")</f>
        <v/>
      </c>
      <c r="Q1507" s="81" t="str">
        <f>IF(AND(B1507='111'!$L$11,OR($N1507=$Q$7,$O1507=$Q$7)),"x","")</f>
        <v/>
      </c>
      <c r="R1507" s="81" t="str">
        <f>IF(AND($N1507=$Q$7,$B1507&lt;'111'!$L$11),"x","")</f>
        <v/>
      </c>
      <c r="S1507" s="81" t="str">
        <f>IF(AND($O1507=$Q$7,$B1507&lt;'111'!$L$11),"x","")</f>
        <v/>
      </c>
      <c r="T1507" s="81" t="str">
        <f>IF(ISERROR(FIND('112'!$M$9,G1507,1)),"",IF((AND(FIND('112'!$M$9,G1507,1)&gt;=1,B1507='112'!$K$9,OR($N1507='112'!$I$6,$O1507='112'!$I$6))),"x",""))</f>
        <v/>
      </c>
      <c r="U1507" s="81" t="str">
        <f>IF(ISERROR(FIND('112'!$M$9,G1507,1)),"",IF((AND(LEFT(G1507,2)=LEFT('112'!$M$9,2),B1507&lt;'112'!$K$9,$N1507='112'!$I$6)),"x",""))</f>
        <v/>
      </c>
      <c r="V1507" s="81" t="str">
        <f>IF(ISERROR(FIND('112'!$M$9,G1507,1)),"",IF((AND(RIGHT(G1507,2)=RIGHT('112'!$M$9,2),B1507&lt;'112'!$K$9,$O1507='112'!$I$6)),"x",""))</f>
        <v/>
      </c>
      <c r="W1507" s="81" t="str">
        <f>IF(AND('341-CT'!$H$9=H1507,OR(LEFT(N1507,3)=$W$7,LEFT(O1507,3)=$W$7)),"x","")</f>
        <v/>
      </c>
      <c r="X1507" s="81" t="str">
        <f>IF(OR(TH!N1507=TH!$X$7,O1507=TH!$X$7),"x","")</f>
        <v/>
      </c>
      <c r="Y1507" s="81" t="str">
        <f>IF(AND(OR(N1507="131",O1507="131"),H1507='131-CT'!$H$9),"x","")</f>
        <v/>
      </c>
      <c r="Z1507" s="81"/>
      <c r="AA1507" s="81" t="str">
        <f>IF(AND(MONTH(E1507)='IN-NX'!$J$5,'IN-NX'!$D$7=D1507),"x","")</f>
        <v/>
      </c>
      <c r="AB1507" s="81" t="str">
        <f>IF(AND(OR(LEFT(TH!N1507,2)="15",LEFT(TH!O1507,2)="15"),LEFT(TH!O1507,3)&lt;&gt;"111",'152-CT'!$J$8=TH!F1507),"x","")</f>
        <v/>
      </c>
      <c r="AC1507" s="81" t="str">
        <f>IF(AND(OR(LEFT(TH!N1507,2)="15",LEFT(TH!O1507,2)="15"),TK!$E$7=TH!F1507),"x","")</f>
        <v/>
      </c>
      <c r="AD1507" s="81" t="str">
        <f>IF(AND(N1507="1521",MONTH(C1507)='BK-NL'!$M$11),"x","")</f>
        <v/>
      </c>
    </row>
    <row r="1508" spans="1:30" ht="15.75" customHeight="1">
      <c r="A1508" s="327" t="str">
        <f>IF(B1508&lt;&gt;"",IF(AND(B1508='IN-TC'!$S$4,OR(TH!N1508="1111",TH!O1508="1111")),TH!D1508,""),"")</f>
        <v/>
      </c>
      <c r="B1508" s="62" t="str">
        <f t="shared" si="350"/>
        <v/>
      </c>
      <c r="C1508" s="63"/>
      <c r="D1508" s="63"/>
      <c r="E1508" s="63"/>
      <c r="F1508" s="66"/>
      <c r="G1508" s="66"/>
      <c r="H1508" s="71"/>
      <c r="I1508" s="405"/>
      <c r="J1508" s="408"/>
      <c r="K1508" s="398"/>
      <c r="L1508" s="405"/>
      <c r="M1508" s="64"/>
      <c r="N1508" s="65"/>
      <c r="O1508" s="65"/>
      <c r="P1508" s="81" t="str">
        <f>IF(AND('331-CT'!$E$7=TH!H1508,OR(N1508="331",O1508="331")),"x","")</f>
        <v/>
      </c>
      <c r="Q1508" s="81" t="str">
        <f>IF(AND(B1508='111'!$L$11,OR($N1508=$Q$7,$O1508=$Q$7)),"x","")</f>
        <v/>
      </c>
      <c r="R1508" s="81" t="str">
        <f>IF(AND($N1508=$Q$7,$B1508&lt;'111'!$L$11),"x","")</f>
        <v/>
      </c>
      <c r="S1508" s="81" t="str">
        <f>IF(AND($O1508=$Q$7,$B1508&lt;'111'!$L$11),"x","")</f>
        <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row>
    <row r="1509" spans="1:30" ht="15.75" customHeight="1">
      <c r="A1509" s="327" t="str">
        <f>IF(B1509&lt;&gt;"",IF(AND(B1509='IN-TC'!$S$4,OR(TH!N1509="1111",TH!O1509="1111")),TH!D1509,""),"")</f>
        <v/>
      </c>
      <c r="B1509" s="62" t="str">
        <f t="shared" si="350"/>
        <v/>
      </c>
      <c r="C1509" s="63"/>
      <c r="D1509" s="63"/>
      <c r="E1509" s="63"/>
      <c r="F1509" s="66"/>
      <c r="G1509" s="66"/>
      <c r="H1509" s="71"/>
      <c r="I1509" s="405"/>
      <c r="J1509" s="408"/>
      <c r="K1509" s="398"/>
      <c r="L1509" s="405"/>
      <c r="M1509" s="64"/>
      <c r="N1509" s="65"/>
      <c r="O1509" s="65"/>
      <c r="P1509" s="81" t="str">
        <f>IF(AND('331-CT'!$E$7=TH!H1509,OR(N1509="331",O1509="331")),"x","")</f>
        <v/>
      </c>
      <c r="Q1509" s="81" t="str">
        <f>IF(AND(B1509='111'!$L$11,OR($N1509=$Q$7,$O1509=$Q$7)),"x","")</f>
        <v/>
      </c>
      <c r="R1509" s="81" t="str">
        <f>IF(AND($N1509=$Q$7,$B1509&lt;'111'!$L$11),"x","")</f>
        <v/>
      </c>
      <c r="S1509" s="81" t="str">
        <f>IF(AND($O1509=$Q$7,$B1509&lt;'111'!$L$11),"x","")</f>
        <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row>
    <row r="1510" spans="1:30" ht="15.75" customHeight="1">
      <c r="A1510" s="327" t="str">
        <f>IF(B1510&lt;&gt;"",IF(AND(B1510='IN-TC'!$S$4,OR(TH!N1510="1111",TH!O1510="1111")),TH!D1510,""),"")</f>
        <v/>
      </c>
      <c r="B1510" s="62" t="str">
        <f t="shared" si="350"/>
        <v/>
      </c>
      <c r="C1510" s="63"/>
      <c r="D1510" s="63"/>
      <c r="E1510" s="63"/>
      <c r="F1510" s="66"/>
      <c r="G1510" s="66"/>
      <c r="H1510" s="71"/>
      <c r="I1510" s="407"/>
      <c r="J1510" s="408"/>
      <c r="K1510" s="400"/>
      <c r="L1510" s="407"/>
      <c r="M1510" s="64"/>
      <c r="N1510" s="65"/>
      <c r="O1510" s="65"/>
      <c r="P1510" s="81" t="str">
        <f>IF(AND('331-CT'!$E$7=TH!H1510,OR(N1510="331",O1510="331")),"x","")</f>
        <v/>
      </c>
      <c r="Q1510" s="81" t="str">
        <f>IF(AND(B1510='111'!$L$11,OR($N1510=$Q$7,$O1510=$Q$7)),"x","")</f>
        <v/>
      </c>
      <c r="R1510" s="81" t="str">
        <f>IF(AND($N1510=$Q$7,$B1510&lt;'111'!$L$11),"x","")</f>
        <v/>
      </c>
      <c r="S1510" s="81" t="str">
        <f>IF(AND($O1510=$Q$7,$B1510&lt;'111'!$L$11),"x","")</f>
        <v/>
      </c>
      <c r="T1510" s="81" t="str">
        <f>IF(ISERROR(FIND('112'!$M$9,G1510,1)),"",IF((AND(FIND('112'!$M$9,G1510,1)&gt;=1,B1510='112'!$K$9,OR($N1510='112'!$I$6,$O1510='112'!$I$6))),"x",""))</f>
        <v/>
      </c>
      <c r="U1510" s="81" t="str">
        <f>IF(ISERROR(FIND('112'!$M$9,G1510,1)),"",IF((AND(LEFT(G1510,2)=LEFT('112'!$M$9,2),B1510&lt;'112'!$K$9,$N1510='112'!$I$6)),"x",""))</f>
        <v/>
      </c>
      <c r="V1510" s="81" t="str">
        <f>IF(ISERROR(FIND('112'!$M$9,G1510,1)),"",IF((AND(RIGHT(G1510,2)=RIGHT('112'!$M$9,2),B1510&lt;'112'!$K$9,$O1510='112'!$I$6)),"x",""))</f>
        <v/>
      </c>
      <c r="W1510" s="81" t="str">
        <f>IF(AND('341-CT'!$H$9=H1510,OR(LEFT(N1510,3)=$W$7,LEFT(O1510,3)=$W$7)),"x","")</f>
        <v/>
      </c>
      <c r="X1510" s="81" t="str">
        <f>IF(OR(TH!N1510=TH!$X$7,O1510=TH!$X$7),"x","")</f>
        <v/>
      </c>
      <c r="Y1510" s="81" t="str">
        <f>IF(AND(OR(N1510="131",O1510="131"),H1510='131-CT'!$H$9),"x","")</f>
        <v/>
      </c>
      <c r="Z1510" s="81"/>
      <c r="AA1510" s="81" t="str">
        <f>IF(AND(MONTH(E1510)='IN-NX'!$J$5,'IN-NX'!$D$7=D1510),"x","")</f>
        <v/>
      </c>
      <c r="AB1510" s="81" t="str">
        <f>IF(AND(OR(LEFT(TH!N1510,2)="15",LEFT(TH!O1510,2)="15"),LEFT(TH!O1510,3)&lt;&gt;"111",'152-CT'!$J$8=TH!F1510),"x","")</f>
        <v/>
      </c>
      <c r="AC1510" s="81" t="str">
        <f>IF(AND(OR(LEFT(TH!N1510,2)="15",LEFT(TH!O1510,2)="15"),TK!$E$7=TH!F1510),"x","")</f>
        <v/>
      </c>
      <c r="AD1510" s="81" t="str">
        <f>IF(AND(N1510="1521",MONTH(C1510)='BK-NL'!$M$11),"x","")</f>
        <v/>
      </c>
    </row>
    <row r="1511" spans="1:30" ht="15.75" customHeight="1">
      <c r="A1511" s="327" t="str">
        <f>IF(B1511&lt;&gt;"",IF(AND(B1511='IN-TC'!$S$4,OR(TH!N1511="1111",TH!O1511="1111")),TH!D1511,""),"")</f>
        <v/>
      </c>
      <c r="B1511" s="62" t="str">
        <f t="shared" si="350"/>
        <v/>
      </c>
      <c r="C1511" s="63"/>
      <c r="D1511" s="63"/>
      <c r="E1511" s="63"/>
      <c r="F1511" s="66"/>
      <c r="G1511" s="66"/>
      <c r="H1511" s="71"/>
      <c r="I1511" s="405"/>
      <c r="J1511" s="408"/>
      <c r="K1511" s="398"/>
      <c r="L1511" s="405"/>
      <c r="M1511" s="64"/>
      <c r="N1511" s="65"/>
      <c r="O1511" s="65"/>
      <c r="P1511" s="81" t="str">
        <f>IF(AND('331-CT'!$E$7=TH!H1511,OR(N1511="331",O1511="331")),"x","")</f>
        <v/>
      </c>
      <c r="Q1511" s="81" t="str">
        <f>IF(AND(B1511='111'!$L$11,OR($N1511=$Q$7,$O1511=$Q$7)),"x","")</f>
        <v/>
      </c>
      <c r="R1511" s="81" t="str">
        <f>IF(AND($N1511=$Q$7,$B1511&lt;'111'!$L$11),"x","")</f>
        <v/>
      </c>
      <c r="S1511" s="81" t="str">
        <f>IF(AND($O1511=$Q$7,$B1511&lt;'111'!$L$11),"x","")</f>
        <v/>
      </c>
      <c r="T1511" s="81" t="str">
        <f>IF(ISERROR(FIND('112'!$M$9,G1511,1)),"",IF((AND(FIND('112'!$M$9,G1511,1)&gt;=1,B1511='112'!$K$9,OR($N1511='112'!$I$6,$O1511='112'!$I$6))),"x",""))</f>
        <v/>
      </c>
      <c r="U1511" s="81" t="str">
        <f>IF(ISERROR(FIND('112'!$M$9,G1511,1)),"",IF((AND(LEFT(G1511,2)=LEFT('112'!$M$9,2),B1511&lt;'112'!$K$9,$N1511='112'!$I$6)),"x",""))</f>
        <v/>
      </c>
      <c r="V1511" s="81" t="str">
        <f>IF(ISERROR(FIND('112'!$M$9,G1511,1)),"",IF((AND(RIGHT(G1511,2)=RIGHT('112'!$M$9,2),B1511&lt;'112'!$K$9,$O1511='112'!$I$6)),"x",""))</f>
        <v/>
      </c>
      <c r="W1511" s="81" t="str">
        <f>IF(AND('341-CT'!$H$9=H1511,OR(LEFT(N1511,3)=$W$7,LEFT(O1511,3)=$W$7)),"x","")</f>
        <v/>
      </c>
      <c r="X1511" s="81" t="str">
        <f>IF(OR(TH!N1511=TH!$X$7,O1511=TH!$X$7),"x","")</f>
        <v/>
      </c>
      <c r="Y1511" s="81" t="str">
        <f>IF(AND(OR(N1511="131",O1511="131"),H1511='131-CT'!$H$9),"x","")</f>
        <v/>
      </c>
      <c r="Z1511" s="81"/>
      <c r="AA1511" s="81" t="str">
        <f>IF(AND(MONTH(E1511)='IN-NX'!$J$5,'IN-NX'!$D$7=D1511),"x","")</f>
        <v/>
      </c>
      <c r="AB1511" s="81" t="str">
        <f>IF(AND(OR(LEFT(TH!N1511,2)="15",LEFT(TH!O1511,2)="15"),LEFT(TH!O1511,3)&lt;&gt;"111",'152-CT'!$J$8=TH!F1511),"x","")</f>
        <v/>
      </c>
      <c r="AC1511" s="81" t="str">
        <f>IF(AND(OR(LEFT(TH!N1511,2)="15",LEFT(TH!O1511,2)="15"),TK!$E$7=TH!F1511),"x","")</f>
        <v/>
      </c>
      <c r="AD1511" s="81" t="str">
        <f>IF(AND(N1511="1521",MONTH(C1511)='BK-NL'!$M$11),"x","")</f>
        <v/>
      </c>
    </row>
    <row r="1512" spans="1:30" ht="15.75" customHeight="1">
      <c r="A1512" s="327" t="str">
        <f>IF(B1512&lt;&gt;"",IF(AND(B1512='IN-TC'!$S$4,OR(TH!N1512="1111",TH!O1512="1111")),TH!D1512,""),"")</f>
        <v/>
      </c>
      <c r="B1512" s="62" t="str">
        <f t="shared" si="350"/>
        <v/>
      </c>
      <c r="C1512" s="63"/>
      <c r="D1512" s="63"/>
      <c r="E1512" s="63"/>
      <c r="F1512" s="66"/>
      <c r="G1512" s="66"/>
      <c r="H1512" s="71"/>
      <c r="I1512" s="405"/>
      <c r="J1512" s="408"/>
      <c r="K1512" s="398"/>
      <c r="L1512" s="405"/>
      <c r="M1512" s="64"/>
      <c r="N1512" s="65"/>
      <c r="O1512" s="65"/>
      <c r="P1512" s="81" t="str">
        <f>IF(AND('331-CT'!$E$7=TH!H1512,OR(N1512="331",O1512="331")),"x","")</f>
        <v/>
      </c>
      <c r="Q1512" s="81" t="str">
        <f>IF(AND(B1512='111'!$L$11,OR($N1512=$Q$7,$O1512=$Q$7)),"x","")</f>
        <v/>
      </c>
      <c r="R1512" s="81" t="str">
        <f>IF(AND($N1512=$Q$7,$B1512&lt;'111'!$L$11),"x","")</f>
        <v/>
      </c>
      <c r="S1512" s="81" t="str">
        <f>IF(AND($O1512=$Q$7,$B1512&lt;'111'!$L$11),"x","")</f>
        <v/>
      </c>
      <c r="T1512" s="81" t="str">
        <f>IF(ISERROR(FIND('112'!$M$9,G1512,1)),"",IF((AND(FIND('112'!$M$9,G1512,1)&gt;=1,B1512='112'!$K$9,OR($N1512='112'!$I$6,$O1512='112'!$I$6))),"x",""))</f>
        <v/>
      </c>
      <c r="U1512" s="81" t="str">
        <f>IF(ISERROR(FIND('112'!$M$9,G1512,1)),"",IF((AND(LEFT(G1512,2)=LEFT('112'!$M$9,2),B1512&lt;'112'!$K$9,$N1512='112'!$I$6)),"x",""))</f>
        <v/>
      </c>
      <c r="V1512" s="81" t="str">
        <f>IF(ISERROR(FIND('112'!$M$9,G1512,1)),"",IF((AND(RIGHT(G1512,2)=RIGHT('112'!$M$9,2),B1512&lt;'112'!$K$9,$O1512='112'!$I$6)),"x",""))</f>
        <v/>
      </c>
      <c r="W1512" s="81" t="str">
        <f>IF(AND('341-CT'!$H$9=H1512,OR(LEFT(N1512,3)=$W$7,LEFT(O1512,3)=$W$7)),"x","")</f>
        <v/>
      </c>
      <c r="X1512" s="81" t="str">
        <f>IF(OR(TH!N1512=TH!$X$7,O1512=TH!$X$7),"x","")</f>
        <v/>
      </c>
      <c r="Y1512" s="81" t="str">
        <f>IF(AND(OR(N1512="131",O1512="131"),H1512='131-CT'!$H$9),"x","")</f>
        <v/>
      </c>
      <c r="Z1512" s="81"/>
      <c r="AA1512" s="81" t="str">
        <f>IF(AND(MONTH(E1512)='IN-NX'!$J$5,'IN-NX'!$D$7=D1512),"x","")</f>
        <v/>
      </c>
      <c r="AB1512" s="81" t="str">
        <f>IF(AND(OR(LEFT(TH!N1512,2)="15",LEFT(TH!O1512,2)="15"),LEFT(TH!O1512,3)&lt;&gt;"111",'152-CT'!$J$8=TH!F1512),"x","")</f>
        <v/>
      </c>
      <c r="AC1512" s="81" t="str">
        <f>IF(AND(OR(LEFT(TH!N1512,2)="15",LEFT(TH!O1512,2)="15"),TK!$E$7=TH!F1512),"x","")</f>
        <v/>
      </c>
      <c r="AD1512" s="81" t="str">
        <f>IF(AND(N1512="1521",MONTH(C1512)='BK-NL'!$M$11),"x","")</f>
        <v/>
      </c>
    </row>
    <row r="1513" spans="1:30" ht="15.75" customHeight="1">
      <c r="A1513" s="327" t="str">
        <f>IF(B1513&lt;&gt;"",IF(AND(B1513='IN-TC'!$S$4,OR(TH!N1513="1111",TH!O1513="1111")),TH!D1513,""),"")</f>
        <v/>
      </c>
      <c r="B1513" s="62" t="str">
        <f t="shared" si="350"/>
        <v/>
      </c>
      <c r="C1513" s="63"/>
      <c r="D1513" s="63"/>
      <c r="E1513" s="63"/>
      <c r="F1513" s="66"/>
      <c r="G1513" s="66"/>
      <c r="H1513" s="72"/>
      <c r="I1513" s="408"/>
      <c r="J1513" s="408"/>
      <c r="K1513" s="401"/>
      <c r="L1513" s="408"/>
      <c r="M1513" s="64"/>
      <c r="N1513" s="65"/>
      <c r="O1513" s="65"/>
      <c r="P1513" s="81" t="str">
        <f>IF(AND('331-CT'!$E$7=TH!H1513,OR(N1513="331",O1513="331")),"x","")</f>
        <v/>
      </c>
      <c r="Q1513" s="81" t="str">
        <f>IF(AND(B1513='111'!$L$11,OR($N1513=$Q$7,$O1513=$Q$7)),"x","")</f>
        <v/>
      </c>
      <c r="R1513" s="81" t="str">
        <f>IF(AND($N1513=$Q$7,$B1513&lt;'111'!$L$11),"x","")</f>
        <v/>
      </c>
      <c r="S1513" s="81" t="str">
        <f>IF(AND($O1513=$Q$7,$B1513&lt;'111'!$L$11),"x","")</f>
        <v/>
      </c>
      <c r="T1513" s="81" t="str">
        <f>IF(ISERROR(FIND('112'!$M$9,G1513,1)),"",IF((AND(FIND('112'!$M$9,G1513,1)&gt;=1,B1513='112'!$K$9,OR($N1513='112'!$I$6,$O1513='112'!$I$6))),"x",""))</f>
        <v/>
      </c>
      <c r="U1513" s="81" t="str">
        <f>IF(ISERROR(FIND('112'!$M$9,G1513,1)),"",IF((AND(LEFT(G1513,2)=LEFT('112'!$M$9,2),B1513&lt;'112'!$K$9,$N1513='112'!$I$6)),"x",""))</f>
        <v/>
      </c>
      <c r="V1513" s="81" t="str">
        <f>IF(ISERROR(FIND('112'!$M$9,G1513,1)),"",IF((AND(RIGHT(G1513,2)=RIGHT('112'!$M$9,2),B1513&lt;'112'!$K$9,$O1513='112'!$I$6)),"x",""))</f>
        <v/>
      </c>
      <c r="W1513" s="81" t="str">
        <f>IF(AND('341-CT'!$H$9=H1513,OR(LEFT(N1513,3)=$W$7,LEFT(O1513,3)=$W$7)),"x","")</f>
        <v/>
      </c>
      <c r="X1513" s="81" t="str">
        <f>IF(OR(TH!N1513=TH!$X$7,O1513=TH!$X$7),"x","")</f>
        <v/>
      </c>
      <c r="Y1513" s="81" t="str">
        <f>IF(AND(OR(N1513="131",O1513="131"),H1513='131-CT'!$H$9),"x","")</f>
        <v/>
      </c>
      <c r="Z1513" s="81"/>
      <c r="AA1513" s="81" t="str">
        <f>IF(AND(MONTH(E1513)='IN-NX'!$J$5,'IN-NX'!$D$7=D1513),"x","")</f>
        <v/>
      </c>
      <c r="AB1513" s="81" t="str">
        <f>IF(AND(OR(LEFT(TH!N1513,2)="15",LEFT(TH!O1513,2)="15"),LEFT(TH!O1513,3)&lt;&gt;"111",'152-CT'!$J$8=TH!F1513),"x","")</f>
        <v/>
      </c>
      <c r="AC1513" s="81" t="str">
        <f>IF(AND(OR(LEFT(TH!N1513,2)="15",LEFT(TH!O1513,2)="15"),TK!$E$7=TH!F1513),"x","")</f>
        <v/>
      </c>
      <c r="AD1513" s="81" t="str">
        <f>IF(AND(N1513="1521",MONTH(C1513)='BK-NL'!$M$11),"x","")</f>
        <v/>
      </c>
    </row>
    <row r="1514" spans="1:30" ht="15.75" customHeight="1">
      <c r="A1514" s="327" t="str">
        <f>IF(B1514&lt;&gt;"",IF(AND(B1514='IN-TC'!$S$4,OR(TH!N1514="1111",TH!O1514="1111")),TH!D1514,""),"")</f>
        <v/>
      </c>
      <c r="B1514" s="62" t="str">
        <f t="shared" si="350"/>
        <v/>
      </c>
      <c r="C1514" s="63"/>
      <c r="D1514" s="63"/>
      <c r="E1514" s="63"/>
      <c r="F1514" s="66"/>
      <c r="G1514" s="66"/>
      <c r="H1514" s="71"/>
      <c r="I1514" s="405"/>
      <c r="J1514" s="408"/>
      <c r="K1514" s="398"/>
      <c r="L1514" s="405"/>
      <c r="M1514" s="64"/>
      <c r="N1514" s="65"/>
      <c r="O1514" s="65"/>
      <c r="P1514" s="81" t="str">
        <f>IF(AND('331-CT'!$E$7=TH!H1514,OR(N1514="331",O1514="331")),"x","")</f>
        <v/>
      </c>
      <c r="Q1514" s="81" t="str">
        <f>IF(AND(B1514='111'!$L$11,OR($N1514=$Q$7,$O1514=$Q$7)),"x","")</f>
        <v/>
      </c>
      <c r="R1514" s="81" t="str">
        <f>IF(AND($N1514=$Q$7,$B1514&lt;'111'!$L$11),"x","")</f>
        <v/>
      </c>
      <c r="S1514" s="81" t="str">
        <f>IF(AND($O1514=$Q$7,$B1514&lt;'111'!$L$11),"x","")</f>
        <v/>
      </c>
      <c r="T1514" s="81" t="str">
        <f>IF(ISERROR(FIND('112'!$M$9,G1514,1)),"",IF((AND(FIND('112'!$M$9,G1514,1)&gt;=1,B1514='112'!$K$9,OR($N1514='112'!$I$6,$O1514='112'!$I$6))),"x",""))</f>
        <v/>
      </c>
      <c r="U1514" s="81" t="str">
        <f>IF(ISERROR(FIND('112'!$M$9,G1514,1)),"",IF((AND(LEFT(G1514,2)=LEFT('112'!$M$9,2),B1514&lt;'112'!$K$9,$N1514='112'!$I$6)),"x",""))</f>
        <v/>
      </c>
      <c r="V1514" s="81" t="str">
        <f>IF(ISERROR(FIND('112'!$M$9,G1514,1)),"",IF((AND(RIGHT(G1514,2)=RIGHT('112'!$M$9,2),B1514&lt;'112'!$K$9,$O1514='112'!$I$6)),"x",""))</f>
        <v/>
      </c>
      <c r="W1514" s="81" t="str">
        <f>IF(AND('341-CT'!$H$9=H1514,OR(LEFT(N1514,3)=$W$7,LEFT(O1514,3)=$W$7)),"x","")</f>
        <v/>
      </c>
      <c r="X1514" s="81" t="str">
        <f>IF(OR(TH!N1514=TH!$X$7,O1514=TH!$X$7),"x","")</f>
        <v/>
      </c>
      <c r="Y1514" s="81" t="str">
        <f>IF(AND(OR(N1514="131",O1514="131"),H1514='131-CT'!$H$9),"x","")</f>
        <v/>
      </c>
      <c r="Z1514" s="81"/>
      <c r="AA1514" s="81" t="str">
        <f>IF(AND(MONTH(E1514)='IN-NX'!$J$5,'IN-NX'!$D$7=D1514),"x","")</f>
        <v/>
      </c>
      <c r="AB1514" s="81" t="str">
        <f>IF(AND(OR(LEFT(TH!N1514,2)="15",LEFT(TH!O1514,2)="15"),LEFT(TH!O1514,3)&lt;&gt;"111",'152-CT'!$J$8=TH!F1514),"x","")</f>
        <v/>
      </c>
      <c r="AC1514" s="81" t="str">
        <f>IF(AND(OR(LEFT(TH!N1514,2)="15",LEFT(TH!O1514,2)="15"),TK!$E$7=TH!F1514),"x","")</f>
        <v/>
      </c>
      <c r="AD1514" s="81" t="str">
        <f>IF(AND(N1514="1521",MONTH(C1514)='BK-NL'!$M$11),"x","")</f>
        <v/>
      </c>
    </row>
    <row r="1515" spans="1:30" ht="15.75" customHeight="1">
      <c r="A1515" s="327" t="str">
        <f>IF(B1515&lt;&gt;"",IF(AND(B1515='IN-TC'!$S$4,OR(TH!N1515="1111",TH!O1515="1111")),TH!D1515,""),"")</f>
        <v/>
      </c>
      <c r="B1515" s="62" t="str">
        <f t="shared" si="350"/>
        <v/>
      </c>
      <c r="C1515" s="63"/>
      <c r="D1515" s="63"/>
      <c r="E1515" s="63"/>
      <c r="F1515" s="66"/>
      <c r="G1515" s="66"/>
      <c r="H1515" s="71"/>
      <c r="I1515" s="405"/>
      <c r="J1515" s="408"/>
      <c r="K1515" s="398"/>
      <c r="L1515" s="405"/>
      <c r="M1515" s="64"/>
      <c r="N1515" s="65"/>
      <c r="O1515" s="65"/>
      <c r="P1515" s="81" t="str">
        <f>IF(AND('331-CT'!$E$7=TH!H1515,OR(N1515="331",O1515="331")),"x","")</f>
        <v/>
      </c>
      <c r="Q1515" s="81" t="str">
        <f>IF(AND(B1515='111'!$L$11,OR($N1515=$Q$7,$O1515=$Q$7)),"x","")</f>
        <v/>
      </c>
      <c r="R1515" s="81" t="str">
        <f>IF(AND($N1515=$Q$7,$B1515&lt;'111'!$L$11),"x","")</f>
        <v/>
      </c>
      <c r="S1515" s="81" t="str">
        <f>IF(AND($O1515=$Q$7,$B1515&lt;'111'!$L$11),"x","")</f>
        <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row>
    <row r="1516" spans="1:30" ht="15.75" customHeight="1">
      <c r="A1516" s="327" t="str">
        <f>IF(B1516&lt;&gt;"",IF(AND(B1516='IN-TC'!$S$4,OR(TH!N1516="1111",TH!O1516="1111")),TH!D1516,""),"")</f>
        <v/>
      </c>
      <c r="B1516" s="62" t="str">
        <f t="shared" ref="B1516:B1579" si="351">IF(C1516&lt;&gt;"",MONTH(C1516),"")</f>
        <v/>
      </c>
      <c r="C1516" s="63"/>
      <c r="D1516" s="63"/>
      <c r="E1516" s="63"/>
      <c r="F1516" s="66"/>
      <c r="G1516" s="66"/>
      <c r="H1516" s="71"/>
      <c r="I1516" s="405"/>
      <c r="J1516" s="408"/>
      <c r="K1516" s="398"/>
      <c r="L1516" s="405"/>
      <c r="M1516" s="64"/>
      <c r="N1516" s="65"/>
      <c r="O1516" s="65"/>
      <c r="P1516" s="81" t="str">
        <f>IF(AND('331-CT'!$E$7=TH!H1516,OR(N1516="331",O1516="331")),"x","")</f>
        <v/>
      </c>
      <c r="Q1516" s="81" t="str">
        <f>IF(AND(B1516='111'!$L$11,OR($N1516=$Q$7,$O1516=$Q$7)),"x","")</f>
        <v/>
      </c>
      <c r="R1516" s="81" t="str">
        <f>IF(AND($N1516=$Q$7,$B1516&lt;'111'!$L$11),"x","")</f>
        <v/>
      </c>
      <c r="S1516" s="81" t="str">
        <f>IF(AND($O1516=$Q$7,$B1516&lt;'111'!$L$11),"x","")</f>
        <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row>
    <row r="1517" spans="1:30" ht="15.75" customHeight="1">
      <c r="A1517" s="327" t="str">
        <f>IF(B1517&lt;&gt;"",IF(AND(B1517='IN-TC'!$S$4,OR(TH!N1517="1111",TH!O1517="1111")),TH!D1517,""),"")</f>
        <v/>
      </c>
      <c r="B1517" s="62" t="str">
        <f t="shared" si="351"/>
        <v/>
      </c>
      <c r="C1517" s="63"/>
      <c r="D1517" s="63"/>
      <c r="E1517" s="63"/>
      <c r="F1517" s="66"/>
      <c r="G1517" s="66"/>
      <c r="H1517" s="71"/>
      <c r="I1517" s="405"/>
      <c r="J1517" s="408"/>
      <c r="K1517" s="398"/>
      <c r="L1517" s="405"/>
      <c r="M1517" s="64"/>
      <c r="N1517" s="65"/>
      <c r="O1517" s="65"/>
      <c r="P1517" s="81" t="str">
        <f>IF(AND('331-CT'!$E$7=TH!H1517,OR(N1517="331",O1517="331")),"x","")</f>
        <v/>
      </c>
      <c r="Q1517" s="81" t="str">
        <f>IF(AND(B1517='111'!$L$11,OR($N1517=$Q$7,$O1517=$Q$7)),"x","")</f>
        <v/>
      </c>
      <c r="R1517" s="81" t="str">
        <f>IF(AND($N1517=$Q$7,$B1517&lt;'111'!$L$11),"x","")</f>
        <v/>
      </c>
      <c r="S1517" s="81" t="str">
        <f>IF(AND($O1517=$Q$7,$B1517&lt;'111'!$L$11),"x","")</f>
        <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row>
    <row r="1518" spans="1:30" ht="15.75" customHeight="1">
      <c r="A1518" s="327" t="str">
        <f>IF(B1518&lt;&gt;"",IF(AND(B1518='IN-TC'!$S$4,OR(TH!N1518="1111",TH!O1518="1111")),TH!D1518,""),"")</f>
        <v/>
      </c>
      <c r="B1518" s="62" t="str">
        <f t="shared" si="351"/>
        <v/>
      </c>
      <c r="C1518" s="63"/>
      <c r="D1518" s="63"/>
      <c r="E1518" s="63"/>
      <c r="F1518" s="66"/>
      <c r="G1518" s="66"/>
      <c r="H1518" s="71"/>
      <c r="I1518" s="405"/>
      <c r="J1518" s="408"/>
      <c r="K1518" s="398"/>
      <c r="L1518" s="405"/>
      <c r="M1518" s="64"/>
      <c r="N1518" s="65"/>
      <c r="O1518" s="65"/>
      <c r="P1518" s="81" t="str">
        <f>IF(AND('331-CT'!$E$7=TH!H1518,OR(N1518="331",O1518="331")),"x","")</f>
        <v/>
      </c>
      <c r="Q1518" s="81" t="str">
        <f>IF(AND(B1518='111'!$L$11,OR($N1518=$Q$7,$O1518=$Q$7)),"x","")</f>
        <v/>
      </c>
      <c r="R1518" s="81" t="str">
        <f>IF(AND($N1518=$Q$7,$B1518&lt;'111'!$L$11),"x","")</f>
        <v/>
      </c>
      <c r="S1518" s="81" t="str">
        <f>IF(AND($O1518=$Q$7,$B1518&lt;'111'!$L$11),"x","")</f>
        <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row>
    <row r="1519" spans="1:30" ht="15.75" customHeight="1">
      <c r="A1519" s="327" t="str">
        <f>IF(B1519&lt;&gt;"",IF(AND(B1519='IN-TC'!$S$4,OR(TH!N1519="1111",TH!O1519="1111")),TH!D1519,""),"")</f>
        <v/>
      </c>
      <c r="B1519" s="62" t="str">
        <f t="shared" si="351"/>
        <v/>
      </c>
      <c r="C1519" s="63"/>
      <c r="D1519" s="63"/>
      <c r="E1519" s="63"/>
      <c r="F1519" s="66"/>
      <c r="G1519" s="66"/>
      <c r="H1519" s="71"/>
      <c r="I1519" s="405"/>
      <c r="J1519" s="408"/>
      <c r="K1519" s="398"/>
      <c r="L1519" s="405"/>
      <c r="M1519" s="64"/>
      <c r="N1519" s="65"/>
      <c r="O1519" s="65"/>
      <c r="P1519" s="81" t="str">
        <f>IF(AND('331-CT'!$E$7=TH!H1519,OR(N1519="331",O1519="331")),"x","")</f>
        <v/>
      </c>
      <c r="Q1519" s="81" t="str">
        <f>IF(AND(B1519='111'!$L$11,OR($N1519=$Q$7,$O1519=$Q$7)),"x","")</f>
        <v/>
      </c>
      <c r="R1519" s="81" t="str">
        <f>IF(AND($N1519=$Q$7,$B1519&lt;'111'!$L$11),"x","")</f>
        <v/>
      </c>
      <c r="S1519" s="81" t="str">
        <f>IF(AND($O1519=$Q$7,$B1519&lt;'111'!$L$11),"x","")</f>
        <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row>
    <row r="1520" spans="1:30" ht="15.75" customHeight="1">
      <c r="A1520" s="327" t="str">
        <f>IF(B1520&lt;&gt;"",IF(AND(B1520='IN-TC'!$S$4,OR(TH!N1520="1111",TH!O1520="1111")),TH!D1520,""),"")</f>
        <v/>
      </c>
      <c r="B1520" s="62" t="str">
        <f t="shared" si="351"/>
        <v/>
      </c>
      <c r="C1520" s="63"/>
      <c r="D1520" s="63"/>
      <c r="E1520" s="63"/>
      <c r="F1520" s="66"/>
      <c r="G1520" s="66"/>
      <c r="H1520" s="71"/>
      <c r="I1520" s="405"/>
      <c r="J1520" s="408"/>
      <c r="K1520" s="398"/>
      <c r="L1520" s="405"/>
      <c r="M1520" s="64"/>
      <c r="N1520" s="65"/>
      <c r="O1520" s="65"/>
      <c r="P1520" s="81" t="str">
        <f>IF(AND('331-CT'!$E$7=TH!H1520,OR(N1520="331",O1520="331")),"x","")</f>
        <v/>
      </c>
      <c r="Q1520" s="81" t="str">
        <f>IF(AND(B1520='111'!$L$11,OR($N1520=$Q$7,$O1520=$Q$7)),"x","")</f>
        <v/>
      </c>
      <c r="R1520" s="81" t="str">
        <f>IF(AND($N1520=$Q$7,$B1520&lt;'111'!$L$11),"x","")</f>
        <v/>
      </c>
      <c r="S1520" s="81" t="str">
        <f>IF(AND($O1520=$Q$7,$B1520&lt;'111'!$L$11),"x","")</f>
        <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row>
    <row r="1521" spans="1:30" ht="15.75" customHeight="1">
      <c r="A1521" s="327" t="str">
        <f>IF(B1521&lt;&gt;"",IF(AND(B1521='IN-TC'!$S$4,OR(TH!N1521="1111",TH!O1521="1111")),TH!D1521,""),"")</f>
        <v/>
      </c>
      <c r="B1521" s="62" t="str">
        <f t="shared" si="351"/>
        <v/>
      </c>
      <c r="C1521" s="63"/>
      <c r="D1521" s="63"/>
      <c r="E1521" s="63"/>
      <c r="F1521" s="66"/>
      <c r="G1521" s="66"/>
      <c r="H1521" s="71"/>
      <c r="I1521" s="405"/>
      <c r="J1521" s="408"/>
      <c r="K1521" s="398"/>
      <c r="L1521" s="405"/>
      <c r="M1521" s="64"/>
      <c r="N1521" s="65"/>
      <c r="O1521" s="65"/>
      <c r="P1521" s="81" t="str">
        <f>IF(AND('331-CT'!$E$7=TH!H1521,OR(N1521="331",O1521="331")),"x","")</f>
        <v/>
      </c>
      <c r="Q1521" s="81" t="str">
        <f>IF(AND(B1521='111'!$L$11,OR($N1521=$Q$7,$O1521=$Q$7)),"x","")</f>
        <v/>
      </c>
      <c r="R1521" s="81" t="str">
        <f>IF(AND($N1521=$Q$7,$B1521&lt;'111'!$L$11),"x","")</f>
        <v/>
      </c>
      <c r="S1521" s="81" t="str">
        <f>IF(AND($O1521=$Q$7,$B1521&lt;'111'!$L$11),"x","")</f>
        <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row>
    <row r="1522" spans="1:30" ht="15.75" customHeight="1">
      <c r="A1522" s="327" t="str">
        <f>IF(B1522&lt;&gt;"",IF(AND(B1522='IN-TC'!$S$4,OR(TH!N1522="1111",TH!O1522="1111")),TH!D1522,""),"")</f>
        <v/>
      </c>
      <c r="B1522" s="62" t="str">
        <f t="shared" si="351"/>
        <v/>
      </c>
      <c r="C1522" s="63"/>
      <c r="D1522" s="63"/>
      <c r="E1522" s="63"/>
      <c r="F1522" s="66"/>
      <c r="G1522" s="66"/>
      <c r="H1522" s="71"/>
      <c r="I1522" s="405"/>
      <c r="J1522" s="408"/>
      <c r="K1522" s="398"/>
      <c r="L1522" s="405"/>
      <c r="M1522" s="64"/>
      <c r="N1522" s="65"/>
      <c r="O1522" s="65"/>
      <c r="P1522" s="81" t="str">
        <f>IF(AND('331-CT'!$E$7=TH!H1522,OR(N1522="331",O1522="331")),"x","")</f>
        <v/>
      </c>
      <c r="Q1522" s="81" t="str">
        <f>IF(AND(B1522='111'!$L$11,OR($N1522=$Q$7,$O1522=$Q$7)),"x","")</f>
        <v/>
      </c>
      <c r="R1522" s="81" t="str">
        <f>IF(AND($N1522=$Q$7,$B1522&lt;'111'!$L$11),"x","")</f>
        <v/>
      </c>
      <c r="S1522" s="81" t="str">
        <f>IF(AND($O1522=$Q$7,$B1522&lt;'111'!$L$11),"x","")</f>
        <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row>
    <row r="1523" spans="1:30" ht="15.75" customHeight="1">
      <c r="A1523" s="327" t="str">
        <f>IF(B1523&lt;&gt;"",IF(AND(B1523='IN-TC'!$S$4,OR(TH!N1523="1111",TH!O1523="1111")),TH!D1523,""),"")</f>
        <v/>
      </c>
      <c r="B1523" s="62" t="str">
        <f t="shared" si="351"/>
        <v/>
      </c>
      <c r="C1523" s="63"/>
      <c r="D1523" s="63"/>
      <c r="E1523" s="63"/>
      <c r="F1523" s="66"/>
      <c r="G1523" s="66"/>
      <c r="H1523" s="71"/>
      <c r="I1523" s="405"/>
      <c r="J1523" s="408"/>
      <c r="K1523" s="398"/>
      <c r="L1523" s="405"/>
      <c r="M1523" s="64"/>
      <c r="N1523" s="65"/>
      <c r="O1523" s="65"/>
      <c r="P1523" s="81" t="str">
        <f>IF(AND('331-CT'!$E$7=TH!H1523,OR(N1523="331",O1523="331")),"x","")</f>
        <v/>
      </c>
      <c r="Q1523" s="81" t="str">
        <f>IF(AND(B1523='111'!$L$11,OR($N1523=$Q$7,$O1523=$Q$7)),"x","")</f>
        <v/>
      </c>
      <c r="R1523" s="81" t="str">
        <f>IF(AND($N1523=$Q$7,$B1523&lt;'111'!$L$11),"x","")</f>
        <v/>
      </c>
      <c r="S1523" s="81" t="str">
        <f>IF(AND($O1523=$Q$7,$B1523&lt;'111'!$L$11),"x","")</f>
        <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row>
    <row r="1524" spans="1:30" ht="15.75" customHeight="1">
      <c r="A1524" s="327" t="str">
        <f>IF(B1524&lt;&gt;"",IF(AND(B1524='IN-TC'!$S$4,OR(TH!N1524="1111",TH!O1524="1111")),TH!D1524,""),"")</f>
        <v/>
      </c>
      <c r="B1524" s="62" t="str">
        <f t="shared" si="351"/>
        <v/>
      </c>
      <c r="C1524" s="63"/>
      <c r="D1524" s="63"/>
      <c r="E1524" s="63"/>
      <c r="F1524" s="66"/>
      <c r="G1524" s="66"/>
      <c r="H1524" s="71"/>
      <c r="I1524" s="405"/>
      <c r="J1524" s="408"/>
      <c r="K1524" s="398"/>
      <c r="L1524" s="405"/>
      <c r="M1524" s="64"/>
      <c r="N1524" s="65"/>
      <c r="O1524" s="65"/>
      <c r="P1524" s="81" t="str">
        <f>IF(AND('331-CT'!$E$7=TH!H1524,OR(N1524="331",O1524="331")),"x","")</f>
        <v/>
      </c>
      <c r="Q1524" s="81" t="str">
        <f>IF(AND(B1524='111'!$L$11,OR($N1524=$Q$7,$O1524=$Q$7)),"x","")</f>
        <v/>
      </c>
      <c r="R1524" s="81" t="str">
        <f>IF(AND($N1524=$Q$7,$B1524&lt;'111'!$L$11),"x","")</f>
        <v/>
      </c>
      <c r="S1524" s="81" t="str">
        <f>IF(AND($O1524=$Q$7,$B1524&lt;'111'!$L$11),"x","")</f>
        <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row>
    <row r="1525" spans="1:30" ht="15.75" customHeight="1">
      <c r="A1525" s="327" t="str">
        <f>IF(B1525&lt;&gt;"",IF(AND(B1525='IN-TC'!$S$4,OR(TH!N1525="1111",TH!O1525="1111")),TH!D1525,""),"")</f>
        <v/>
      </c>
      <c r="B1525" s="62" t="str">
        <f t="shared" si="351"/>
        <v/>
      </c>
      <c r="C1525" s="63"/>
      <c r="D1525" s="63"/>
      <c r="E1525" s="63"/>
      <c r="F1525" s="66"/>
      <c r="G1525" s="66"/>
      <c r="H1525" s="71"/>
      <c r="I1525" s="405"/>
      <c r="J1525" s="408"/>
      <c r="K1525" s="398"/>
      <c r="L1525" s="405"/>
      <c r="M1525" s="64"/>
      <c r="N1525" s="65"/>
      <c r="O1525" s="65"/>
      <c r="P1525" s="81" t="str">
        <f>IF(AND('331-CT'!$E$7=TH!H1525,OR(N1525="331",O1525="331")),"x","")</f>
        <v/>
      </c>
      <c r="Q1525" s="81" t="str">
        <f>IF(AND(B1525='111'!$L$11,OR($N1525=$Q$7,$O1525=$Q$7)),"x","")</f>
        <v/>
      </c>
      <c r="R1525" s="81" t="str">
        <f>IF(AND($N1525=$Q$7,$B1525&lt;'111'!$L$11),"x","")</f>
        <v/>
      </c>
      <c r="S1525" s="81" t="str">
        <f>IF(AND($O1525=$Q$7,$B1525&lt;'111'!$L$11),"x","")</f>
        <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row>
    <row r="1526" spans="1:30" ht="15.75" customHeight="1">
      <c r="A1526" s="327" t="str">
        <f>IF(B1526&lt;&gt;"",IF(AND(B1526='IN-TC'!$S$4,OR(TH!N1526="1111",TH!O1526="1111")),TH!D1526,""),"")</f>
        <v/>
      </c>
      <c r="B1526" s="62" t="str">
        <f t="shared" si="351"/>
        <v/>
      </c>
      <c r="C1526" s="63"/>
      <c r="D1526" s="63"/>
      <c r="E1526" s="63"/>
      <c r="F1526" s="66"/>
      <c r="G1526" s="66"/>
      <c r="H1526" s="71"/>
      <c r="I1526" s="405"/>
      <c r="J1526" s="408"/>
      <c r="K1526" s="398"/>
      <c r="L1526" s="405"/>
      <c r="M1526" s="64"/>
      <c r="N1526" s="65"/>
      <c r="O1526" s="65"/>
      <c r="P1526" s="81" t="str">
        <f>IF(AND('331-CT'!$E$7=TH!H1526,OR(N1526="331",O1526="331")),"x","")</f>
        <v/>
      </c>
      <c r="Q1526" s="81" t="str">
        <f>IF(AND(B1526='111'!$L$11,OR($N1526=$Q$7,$O1526=$Q$7)),"x","")</f>
        <v/>
      </c>
      <c r="R1526" s="81" t="str">
        <f>IF(AND($N1526=$Q$7,$B1526&lt;'111'!$L$11),"x","")</f>
        <v/>
      </c>
      <c r="S1526" s="81" t="str">
        <f>IF(AND($O1526=$Q$7,$B1526&lt;'111'!$L$11),"x","")</f>
        <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row>
    <row r="1527" spans="1:30" ht="15.75" customHeight="1">
      <c r="A1527" s="327" t="str">
        <f>IF(B1527&lt;&gt;"",IF(AND(B1527='IN-TC'!$S$4,OR(TH!N1527="1111",TH!O1527="1111")),TH!D1527,""),"")</f>
        <v/>
      </c>
      <c r="B1527" s="62" t="str">
        <f t="shared" si="351"/>
        <v/>
      </c>
      <c r="C1527" s="63"/>
      <c r="D1527" s="63"/>
      <c r="E1527" s="63"/>
      <c r="F1527" s="66"/>
      <c r="G1527" s="66"/>
      <c r="H1527" s="71"/>
      <c r="I1527" s="405"/>
      <c r="J1527" s="408"/>
      <c r="K1527" s="398"/>
      <c r="L1527" s="405"/>
      <c r="M1527" s="64"/>
      <c r="N1527" s="65"/>
      <c r="O1527" s="65"/>
      <c r="P1527" s="81" t="str">
        <f>IF(AND('331-CT'!$E$7=TH!H1527,OR(N1527="331",O1527="331")),"x","")</f>
        <v/>
      </c>
      <c r="Q1527" s="81" t="str">
        <f>IF(AND(B1527='111'!$L$11,OR($N1527=$Q$7,$O1527=$Q$7)),"x","")</f>
        <v/>
      </c>
      <c r="R1527" s="81" t="str">
        <f>IF(AND($N1527=$Q$7,$B1527&lt;'111'!$L$11),"x","")</f>
        <v/>
      </c>
      <c r="S1527" s="81" t="str">
        <f>IF(AND($O1527=$Q$7,$B1527&lt;'111'!$L$11),"x","")</f>
        <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row>
    <row r="1528" spans="1:30" ht="15.75" customHeight="1">
      <c r="A1528" s="327" t="str">
        <f>IF(B1528&lt;&gt;"",IF(AND(B1528='IN-TC'!$S$4,OR(TH!N1528="1111",TH!O1528="1111")),TH!D1528,""),"")</f>
        <v/>
      </c>
      <c r="B1528" s="62" t="str">
        <f t="shared" si="351"/>
        <v/>
      </c>
      <c r="C1528" s="63"/>
      <c r="D1528" s="63"/>
      <c r="E1528" s="63"/>
      <c r="F1528" s="66"/>
      <c r="G1528" s="66"/>
      <c r="H1528" s="71"/>
      <c r="I1528" s="407"/>
      <c r="J1528" s="408"/>
      <c r="K1528" s="400"/>
      <c r="L1528" s="407"/>
      <c r="M1528" s="64"/>
      <c r="N1528" s="65"/>
      <c r="O1528" s="65"/>
      <c r="P1528" s="81" t="str">
        <f>IF(AND('331-CT'!$E$7=TH!H1528,OR(N1528="331",O1528="331")),"x","")</f>
        <v/>
      </c>
      <c r="Q1528" s="81" t="str">
        <f>IF(AND(B1528='111'!$L$11,OR($N1528=$Q$7,$O1528=$Q$7)),"x","")</f>
        <v/>
      </c>
      <c r="R1528" s="81" t="str">
        <f>IF(AND($N1528=$Q$7,$B1528&lt;'111'!$L$11),"x","")</f>
        <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row>
    <row r="1529" spans="1:30" ht="15.75" customHeight="1">
      <c r="A1529" s="327" t="str">
        <f>IF(B1529&lt;&gt;"",IF(AND(B1529='IN-TC'!$S$4,OR(TH!N1529="1111",TH!O1529="1111")),TH!D1529,""),"")</f>
        <v/>
      </c>
      <c r="B1529" s="62" t="str">
        <f t="shared" si="351"/>
        <v/>
      </c>
      <c r="C1529" s="63"/>
      <c r="D1529" s="63"/>
      <c r="E1529" s="63"/>
      <c r="F1529" s="66"/>
      <c r="G1529" s="816"/>
      <c r="H1529" s="71"/>
      <c r="I1529" s="407"/>
      <c r="J1529" s="408"/>
      <c r="K1529" s="400"/>
      <c r="L1529" s="407"/>
      <c r="M1529" s="64"/>
      <c r="N1529" s="65"/>
      <c r="O1529" s="65"/>
      <c r="P1529" s="81" t="str">
        <f>IF(AND('331-CT'!$E$7=TH!H1529,OR(N1529="331",O1529="331")),"x","")</f>
        <v/>
      </c>
      <c r="Q1529" s="81" t="str">
        <f>IF(AND(B1529='111'!$L$11,OR($N1529=$Q$7,$O1529=$Q$7)),"x","")</f>
        <v/>
      </c>
      <c r="R1529" s="81" t="str">
        <f>IF(AND($N1529=$Q$7,$B1529&lt;'111'!$L$11),"x","")</f>
        <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0" ht="15.75" customHeight="1">
      <c r="A1530" s="327" t="str">
        <f>IF(B1530&lt;&gt;"",IF(AND(B1530='IN-TC'!$S$4,OR(TH!N1530="1111",TH!O1530="1111")),TH!D1530,""),"")</f>
        <v/>
      </c>
      <c r="B1530" s="62" t="str">
        <f t="shared" si="351"/>
        <v/>
      </c>
      <c r="C1530" s="63"/>
      <c r="D1530" s="63"/>
      <c r="E1530" s="63"/>
      <c r="F1530" s="66"/>
      <c r="G1530" s="66"/>
      <c r="H1530" s="71"/>
      <c r="I1530" s="405"/>
      <c r="J1530" s="408"/>
      <c r="K1530" s="398"/>
      <c r="L1530" s="405"/>
      <c r="M1530" s="64"/>
      <c r="N1530" s="65"/>
      <c r="O1530" s="65"/>
      <c r="P1530" s="81" t="str">
        <f>IF(AND('331-CT'!$E$7=TH!H1530,OR(N1530="331",O1530="331")),"x","")</f>
        <v/>
      </c>
      <c r="Q1530" s="81" t="str">
        <f>IF(AND(B1530='111'!$L$11,OR($N1530=$Q$7,$O1530=$Q$7)),"x","")</f>
        <v/>
      </c>
      <c r="R1530" s="81" t="str">
        <f>IF(AND($N1530=$Q$7,$B1530&lt;'111'!$L$11),"x","")</f>
        <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row>
    <row r="1531" spans="1:30" ht="15.75" customHeight="1">
      <c r="A1531" s="327" t="str">
        <f>IF(B1531&lt;&gt;"",IF(AND(B1531='IN-TC'!$S$4,OR(TH!N1531="1111",TH!O1531="1111")),TH!D1531,""),"")</f>
        <v/>
      </c>
      <c r="B1531" s="62" t="str">
        <f t="shared" si="351"/>
        <v/>
      </c>
      <c r="C1531" s="63"/>
      <c r="D1531" s="63"/>
      <c r="E1531" s="63"/>
      <c r="F1531" s="66"/>
      <c r="G1531" s="66"/>
      <c r="H1531" s="71"/>
      <c r="I1531" s="405"/>
      <c r="J1531" s="408"/>
      <c r="K1531" s="398"/>
      <c r="L1531" s="405"/>
      <c r="M1531" s="64"/>
      <c r="N1531" s="65"/>
      <c r="O1531" s="65"/>
      <c r="P1531" s="81" t="str">
        <f>IF(AND('331-CT'!$E$7=TH!H1531,OR(N1531="331",O1531="331")),"x","")</f>
        <v/>
      </c>
      <c r="Q1531" s="81" t="str">
        <f>IF(AND(B1531='111'!$L$11,OR($N1531=$Q$7,$O1531=$Q$7)),"x","")</f>
        <v/>
      </c>
      <c r="R1531" s="81" t="str">
        <f>IF(AND($N1531=$Q$7,$B1531&lt;'111'!$L$11),"x","")</f>
        <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row>
    <row r="1532" spans="1:30" ht="15.75" customHeight="1">
      <c r="A1532" s="327" t="str">
        <f>IF(B1532&lt;&gt;"",IF(AND(B1532='IN-TC'!$S$4,OR(TH!N1532="1111",TH!O1532="1111")),TH!D1532,""),"")</f>
        <v/>
      </c>
      <c r="B1532" s="62" t="str">
        <f t="shared" si="351"/>
        <v/>
      </c>
      <c r="C1532" s="63"/>
      <c r="D1532" s="63"/>
      <c r="E1532" s="63"/>
      <c r="F1532" s="66"/>
      <c r="G1532" s="66"/>
      <c r="H1532" s="71"/>
      <c r="I1532" s="405"/>
      <c r="J1532" s="408"/>
      <c r="K1532" s="398"/>
      <c r="L1532" s="405"/>
      <c r="M1532" s="64"/>
      <c r="N1532" s="65"/>
      <c r="O1532" s="65"/>
      <c r="P1532" s="81" t="str">
        <f>IF(AND('331-CT'!$E$7=TH!H1532,OR(N1532="331",O1532="331")),"x","")</f>
        <v/>
      </c>
      <c r="Q1532" s="81" t="str">
        <f>IF(AND(B1532='111'!$L$11,OR($N1532=$Q$7,$O1532=$Q$7)),"x","")</f>
        <v/>
      </c>
      <c r="R1532" s="81" t="str">
        <f>IF(AND($N1532=$Q$7,$B1532&lt;'111'!$L$11),"x","")</f>
        <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row>
    <row r="1533" spans="1:30" ht="15.75" customHeight="1">
      <c r="A1533" s="327" t="str">
        <f>IF(B1533&lt;&gt;"",IF(AND(B1533='IN-TC'!$S$4,OR(TH!N1533="1111",TH!O1533="1111")),TH!D1533,""),"")</f>
        <v/>
      </c>
      <c r="B1533" s="62" t="str">
        <f t="shared" si="351"/>
        <v/>
      </c>
      <c r="C1533" s="63"/>
      <c r="D1533" s="63"/>
      <c r="E1533" s="63"/>
      <c r="F1533" s="66"/>
      <c r="G1533" s="66"/>
      <c r="H1533" s="71"/>
      <c r="I1533" s="407"/>
      <c r="J1533" s="408"/>
      <c r="K1533" s="400"/>
      <c r="L1533" s="407"/>
      <c r="M1533" s="64"/>
      <c r="N1533" s="65"/>
      <c r="O1533" s="65"/>
      <c r="P1533" s="81" t="str">
        <f>IF(AND('331-CT'!$E$7=TH!H1533,OR(N1533="331",O1533="331")),"x","")</f>
        <v/>
      </c>
      <c r="Q1533" s="81" t="str">
        <f>IF(AND(B1533='111'!$L$11,OR($N1533=$Q$7,$O1533=$Q$7)),"x","")</f>
        <v/>
      </c>
      <c r="R1533" s="81" t="str">
        <f>IF(AND($N1533=$Q$7,$B1533&lt;'111'!$L$11),"x","")</f>
        <v/>
      </c>
      <c r="S1533" s="81" t="str">
        <f>IF(AND($O1533=$Q$7,$B1533&lt;'111'!$L$11),"x","")</f>
        <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row>
    <row r="1534" spans="1:30" ht="15.75" customHeight="1">
      <c r="A1534" s="327" t="str">
        <f>IF(B1534&lt;&gt;"",IF(AND(B1534='IN-TC'!$S$4,OR(TH!N1534="1111",TH!O1534="1111")),TH!D1534,""),"")</f>
        <v/>
      </c>
      <c r="B1534" s="62" t="str">
        <f t="shared" si="351"/>
        <v/>
      </c>
      <c r="C1534" s="63"/>
      <c r="D1534" s="63"/>
      <c r="E1534" s="63"/>
      <c r="F1534" s="66"/>
      <c r="G1534" s="66"/>
      <c r="H1534" s="72"/>
      <c r="I1534" s="405"/>
      <c r="J1534" s="408"/>
      <c r="K1534" s="398"/>
      <c r="L1534" s="405"/>
      <c r="M1534" s="64"/>
      <c r="N1534" s="65"/>
      <c r="O1534" s="65"/>
      <c r="P1534" s="81" t="str">
        <f>IF(AND('331-CT'!$E$7=TH!H1534,OR(N1534="331",O1534="331")),"x","")</f>
        <v/>
      </c>
      <c r="Q1534" s="81" t="str">
        <f>IF(AND(B1534='111'!$L$11,OR($N1534=$Q$7,$O1534=$Q$7)),"x","")</f>
        <v/>
      </c>
      <c r="R1534" s="81" t="str">
        <f>IF(AND($N1534=$Q$7,$B1534&lt;'111'!$L$11),"x","")</f>
        <v/>
      </c>
      <c r="S1534" s="81" t="str">
        <f>IF(AND($O1534=$Q$7,$B1534&lt;'111'!$L$11),"x","")</f>
        <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row>
    <row r="1535" spans="1:30" ht="15.75" customHeight="1">
      <c r="A1535" s="327" t="str">
        <f>IF(B1535&lt;&gt;"",IF(AND(B1535='IN-TC'!$S$4,OR(TH!N1535="1111",TH!O1535="1111")),TH!D1535,""),"")</f>
        <v/>
      </c>
      <c r="B1535" s="62" t="str">
        <f t="shared" si="351"/>
        <v/>
      </c>
      <c r="C1535" s="63"/>
      <c r="D1535" s="63"/>
      <c r="E1535" s="63"/>
      <c r="F1535" s="66"/>
      <c r="G1535" s="66"/>
      <c r="H1535" s="71"/>
      <c r="I1535" s="405"/>
      <c r="J1535" s="408"/>
      <c r="K1535" s="398"/>
      <c r="L1535" s="405"/>
      <c r="M1535" s="64"/>
      <c r="N1535" s="65"/>
      <c r="O1535" s="65"/>
      <c r="P1535" s="81" t="str">
        <f>IF(AND('331-CT'!$E$7=TH!H1535,OR(N1535="331",O1535="331")),"x","")</f>
        <v/>
      </c>
      <c r="Q1535" s="81" t="str">
        <f>IF(AND(B1535='111'!$L$11,OR($N1535=$Q$7,$O1535=$Q$7)),"x","")</f>
        <v/>
      </c>
      <c r="R1535" s="81" t="str">
        <f>IF(AND($N1535=$Q$7,$B1535&lt;'111'!$L$11),"x","")</f>
        <v/>
      </c>
      <c r="S1535" s="81" t="str">
        <f>IF(AND($O1535=$Q$7,$B1535&lt;'111'!$L$11),"x","")</f>
        <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row>
    <row r="1536" spans="1:30" ht="15.75" customHeight="1">
      <c r="A1536" s="327" t="str">
        <f>IF(B1536&lt;&gt;"",IF(AND(B1536='IN-TC'!$S$4,OR(TH!N1536="1111",TH!O1536="1111")),TH!D1536,""),"")</f>
        <v/>
      </c>
      <c r="B1536" s="62" t="str">
        <f t="shared" si="351"/>
        <v/>
      </c>
      <c r="C1536" s="63"/>
      <c r="D1536" s="63"/>
      <c r="E1536" s="63"/>
      <c r="F1536" s="66"/>
      <c r="G1536" s="66"/>
      <c r="H1536" s="71"/>
      <c r="I1536" s="405"/>
      <c r="J1536" s="408"/>
      <c r="K1536" s="398"/>
      <c r="L1536" s="405"/>
      <c r="M1536" s="64"/>
      <c r="N1536" s="65"/>
      <c r="O1536" s="65"/>
      <c r="P1536" s="81" t="str">
        <f>IF(AND('331-CT'!$E$7=TH!H1536,OR(N1536="331",O1536="331")),"x","")</f>
        <v/>
      </c>
      <c r="Q1536" s="81" t="str">
        <f>IF(AND(B1536='111'!$L$11,OR($N1536=$Q$7,$O1536=$Q$7)),"x","")</f>
        <v/>
      </c>
      <c r="R1536" s="81" t="str">
        <f>IF(AND($N1536=$Q$7,$B1536&lt;'111'!$L$11),"x","")</f>
        <v/>
      </c>
      <c r="S1536" s="81" t="str">
        <f>IF(AND($O1536=$Q$7,$B1536&lt;'111'!$L$11),"x","")</f>
        <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row>
    <row r="1537" spans="1:30" ht="15.75" customHeight="1">
      <c r="A1537" s="327" t="str">
        <f>IF(B1537&lt;&gt;"",IF(AND(B1537='IN-TC'!$S$4,OR(TH!N1537="1111",TH!O1537="1111")),TH!D1537,""),"")</f>
        <v/>
      </c>
      <c r="B1537" s="62" t="str">
        <f t="shared" si="351"/>
        <v/>
      </c>
      <c r="C1537" s="63"/>
      <c r="D1537" s="63"/>
      <c r="E1537" s="63"/>
      <c r="F1537" s="66"/>
      <c r="G1537" s="66"/>
      <c r="H1537" s="71"/>
      <c r="I1537" s="405"/>
      <c r="J1537" s="408"/>
      <c r="K1537" s="398"/>
      <c r="L1537" s="405"/>
      <c r="M1537" s="64"/>
      <c r="N1537" s="65"/>
      <c r="O1537" s="65"/>
      <c r="P1537" s="81" t="str">
        <f>IF(AND('331-CT'!$E$7=TH!H1537,OR(N1537="331",O1537="331")),"x","")</f>
        <v/>
      </c>
      <c r="Q1537" s="81" t="str">
        <f>IF(AND(B1537='111'!$L$11,OR($N1537=$Q$7,$O1537=$Q$7)),"x","")</f>
        <v/>
      </c>
      <c r="R1537" s="81" t="str">
        <f>IF(AND($N1537=$Q$7,$B1537&lt;'111'!$L$11),"x","")</f>
        <v/>
      </c>
      <c r="S1537" s="81" t="str">
        <f>IF(AND($O1537=$Q$7,$B1537&lt;'111'!$L$11),"x","")</f>
        <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row>
    <row r="1538" spans="1:30" ht="15.75" customHeight="1">
      <c r="A1538" s="327" t="str">
        <f>IF(B1538&lt;&gt;"",IF(AND(B1538='IN-TC'!$S$4,OR(TH!N1538="1111",TH!O1538="1111")),TH!D1538,""),"")</f>
        <v/>
      </c>
      <c r="B1538" s="62" t="str">
        <f t="shared" si="351"/>
        <v/>
      </c>
      <c r="C1538" s="63"/>
      <c r="D1538" s="63"/>
      <c r="E1538" s="63"/>
      <c r="F1538" s="66"/>
      <c r="G1538" s="66"/>
      <c r="H1538" s="71"/>
      <c r="I1538" s="405"/>
      <c r="J1538" s="408"/>
      <c r="K1538" s="398"/>
      <c r="L1538" s="405"/>
      <c r="M1538" s="64"/>
      <c r="N1538" s="65"/>
      <c r="O1538" s="65"/>
      <c r="P1538" s="81" t="str">
        <f>IF(AND('331-CT'!$E$7=TH!H1538,OR(N1538="331",O1538="331")),"x","")</f>
        <v/>
      </c>
      <c r="Q1538" s="81" t="str">
        <f>IF(AND(B1538='111'!$L$11,OR($N1538=$Q$7,$O1538=$Q$7)),"x","")</f>
        <v/>
      </c>
      <c r="R1538" s="81" t="str">
        <f>IF(AND($N1538=$Q$7,$B1538&lt;'111'!$L$11),"x","")</f>
        <v/>
      </c>
      <c r="S1538" s="81" t="str">
        <f>IF(AND($O1538=$Q$7,$B1538&lt;'111'!$L$11),"x","")</f>
        <v/>
      </c>
      <c r="T1538" s="81" t="str">
        <f>IF(ISERROR(FIND('112'!$M$9,G1538,1)),"",IF((AND(FIND('112'!$M$9,G1538,1)&gt;=1,B1538='112'!$K$9,OR($N1538='112'!$I$6,$O1538='112'!$I$6))),"x",""))</f>
        <v/>
      </c>
      <c r="U1538" s="81" t="str">
        <f>IF(ISERROR(FIND('112'!$M$9,G1538,1)),"",IF((AND(LEFT(G1538,2)=LEFT('112'!$M$9,2),B1538&lt;'112'!$K$9,$N1538='112'!$I$6)),"x",""))</f>
        <v/>
      </c>
      <c r="V1538" s="81" t="str">
        <f>IF(ISERROR(FIND('112'!$M$9,G1538,1)),"",IF((AND(RIGHT(G1538,2)=RIGHT('112'!$M$9,2),B1538&lt;'112'!$K$9,$O1538='112'!$I$6)),"x",""))</f>
        <v/>
      </c>
      <c r="W1538" s="81" t="str">
        <f>IF(AND('341-CT'!$H$9=H1538,OR(LEFT(N1538,3)=$W$7,LEFT(O1538,3)=$W$7)),"x","")</f>
        <v/>
      </c>
      <c r="X1538" s="81" t="str">
        <f>IF(OR(TH!N1538=TH!$X$7,O1538=TH!$X$7),"x","")</f>
        <v/>
      </c>
      <c r="Y1538" s="81" t="str">
        <f>IF(AND(OR(N1538="131",O1538="131"),H1538='131-CT'!$H$9),"x","")</f>
        <v/>
      </c>
      <c r="Z1538" s="81"/>
      <c r="AA1538" s="81" t="str">
        <f>IF(AND(MONTH(E1538)='IN-NX'!$J$5,'IN-NX'!$D$7=D1538),"x","")</f>
        <v/>
      </c>
      <c r="AB1538" s="81" t="str">
        <f>IF(AND(OR(LEFT(TH!N1538,2)="15",LEFT(TH!O1538,2)="15"),LEFT(TH!O1538,3)&lt;&gt;"111",'152-CT'!$J$8=TH!F1538),"x","")</f>
        <v/>
      </c>
      <c r="AC1538" s="81" t="str">
        <f>IF(AND(OR(LEFT(TH!N1538,2)="15",LEFT(TH!O1538,2)="15"),TK!$E$7=TH!F1538),"x","")</f>
        <v/>
      </c>
      <c r="AD1538" s="81" t="str">
        <f>IF(AND(N1538="1521",MONTH(C1538)='BK-NL'!$M$11),"x","")</f>
        <v/>
      </c>
    </row>
    <row r="1539" spans="1:30" ht="15.75" customHeight="1">
      <c r="A1539" s="327" t="str">
        <f>IF(B1539&lt;&gt;"",IF(AND(B1539='IN-TC'!$S$4,OR(TH!N1539="1111",TH!O1539="1111")),TH!D1539,""),"")</f>
        <v/>
      </c>
      <c r="B1539" s="62" t="str">
        <f t="shared" si="351"/>
        <v/>
      </c>
      <c r="C1539" s="63"/>
      <c r="D1539" s="63"/>
      <c r="E1539" s="63"/>
      <c r="F1539" s="66"/>
      <c r="G1539" s="66"/>
      <c r="H1539" s="71"/>
      <c r="I1539" s="405"/>
      <c r="J1539" s="408"/>
      <c r="K1539" s="398"/>
      <c r="L1539" s="405"/>
      <c r="M1539" s="64"/>
      <c r="N1539" s="65"/>
      <c r="O1539" s="65"/>
      <c r="P1539" s="81" t="str">
        <f>IF(AND('331-CT'!$E$7=TH!H1539,OR(N1539="331",O1539="331")),"x","")</f>
        <v/>
      </c>
      <c r="Q1539" s="81" t="str">
        <f>IF(AND(B1539='111'!$L$11,OR($N1539=$Q$7,$O1539=$Q$7)),"x","")</f>
        <v/>
      </c>
      <c r="R1539" s="81" t="str">
        <f>IF(AND($N1539=$Q$7,$B1539&lt;'111'!$L$11),"x","")</f>
        <v/>
      </c>
      <c r="S1539" s="81" t="str">
        <f>IF(AND($O1539=$Q$7,$B1539&lt;'111'!$L$11),"x","")</f>
        <v/>
      </c>
      <c r="T1539" s="81" t="str">
        <f>IF(ISERROR(FIND('112'!$M$9,G1539,1)),"",IF((AND(FIND('112'!$M$9,G1539,1)&gt;=1,B1539='112'!$K$9,OR($N1539='112'!$I$6,$O1539='112'!$I$6))),"x",""))</f>
        <v/>
      </c>
      <c r="U1539" s="81" t="str">
        <f>IF(ISERROR(FIND('112'!$M$9,G1539,1)),"",IF((AND(LEFT(G1539,2)=LEFT('112'!$M$9,2),B1539&lt;'112'!$K$9,$N1539='112'!$I$6)),"x",""))</f>
        <v/>
      </c>
      <c r="V1539" s="81" t="str">
        <f>IF(ISERROR(FIND('112'!$M$9,G1539,1)),"",IF((AND(RIGHT(G1539,2)=RIGHT('112'!$M$9,2),B1539&lt;'112'!$K$9,$O1539='112'!$I$6)),"x",""))</f>
        <v/>
      </c>
      <c r="W1539" s="81" t="str">
        <f>IF(AND('341-CT'!$H$9=H1539,OR(LEFT(N1539,3)=$W$7,LEFT(O1539,3)=$W$7)),"x","")</f>
        <v/>
      </c>
      <c r="X1539" s="81" t="str">
        <f>IF(OR(TH!N1539=TH!$X$7,O1539=TH!$X$7),"x","")</f>
        <v/>
      </c>
      <c r="Y1539" s="81" t="str">
        <f>IF(AND(OR(N1539="131",O1539="131"),H1539='131-CT'!$H$9),"x","")</f>
        <v/>
      </c>
      <c r="Z1539" s="81"/>
      <c r="AA1539" s="81" t="str">
        <f>IF(AND(MONTH(E1539)='IN-NX'!$J$5,'IN-NX'!$D$7=D1539),"x","")</f>
        <v/>
      </c>
      <c r="AB1539" s="81" t="str">
        <f>IF(AND(OR(LEFT(TH!N1539,2)="15",LEFT(TH!O1539,2)="15"),LEFT(TH!O1539,3)&lt;&gt;"111",'152-CT'!$J$8=TH!F1539),"x","")</f>
        <v/>
      </c>
      <c r="AC1539" s="81" t="str">
        <f>IF(AND(OR(LEFT(TH!N1539,2)="15",LEFT(TH!O1539,2)="15"),TK!$E$7=TH!F1539),"x","")</f>
        <v/>
      </c>
      <c r="AD1539" s="81" t="str">
        <f>IF(AND(N1539="1521",MONTH(C1539)='BK-NL'!$M$11),"x","")</f>
        <v/>
      </c>
    </row>
    <row r="1540" spans="1:30" ht="15.75" customHeight="1">
      <c r="A1540" s="327" t="str">
        <f>IF(B1540&lt;&gt;"",IF(AND(B1540='IN-TC'!$S$4,OR(TH!N1540="1111",TH!O1540="1111")),TH!D1540,""),"")</f>
        <v/>
      </c>
      <c r="B1540" s="62" t="str">
        <f t="shared" si="351"/>
        <v/>
      </c>
      <c r="C1540" s="63"/>
      <c r="D1540" s="63"/>
      <c r="E1540" s="63"/>
      <c r="F1540" s="66"/>
      <c r="G1540" s="66"/>
      <c r="H1540" s="71"/>
      <c r="I1540" s="407"/>
      <c r="J1540" s="408"/>
      <c r="K1540" s="400"/>
      <c r="L1540" s="407"/>
      <c r="M1540" s="64"/>
      <c r="N1540" s="65"/>
      <c r="O1540" s="65"/>
      <c r="P1540" s="81" t="str">
        <f>IF(AND('331-CT'!$E$7=TH!H1540,OR(N1540="331",O1540="331")),"x","")</f>
        <v/>
      </c>
      <c r="Q1540" s="81" t="str">
        <f>IF(AND(B1540='111'!$L$11,OR($N1540=$Q$7,$O1540=$Q$7)),"x","")</f>
        <v/>
      </c>
      <c r="R1540" s="81" t="str">
        <f>IF(AND($N1540=$Q$7,$B1540&lt;'111'!$L$11),"x","")</f>
        <v/>
      </c>
      <c r="S1540" s="81" t="str">
        <f>IF(AND($O1540=$Q$7,$B1540&lt;'111'!$L$11),"x","")</f>
        <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row>
    <row r="1541" spans="1:30" ht="15.75" customHeight="1">
      <c r="A1541" s="327" t="str">
        <f>IF(B1541&lt;&gt;"",IF(AND(B1541='IN-TC'!$S$4,OR(TH!N1541="1111",TH!O1541="1111")),TH!D1541,""),"")</f>
        <v/>
      </c>
      <c r="B1541" s="62" t="str">
        <f t="shared" si="351"/>
        <v/>
      </c>
      <c r="C1541" s="63"/>
      <c r="D1541" s="63"/>
      <c r="E1541" s="63"/>
      <c r="F1541" s="66"/>
      <c r="G1541" s="66"/>
      <c r="H1541" s="71"/>
      <c r="I1541" s="405"/>
      <c r="J1541" s="408"/>
      <c r="K1541" s="398"/>
      <c r="L1541" s="405"/>
      <c r="M1541" s="64"/>
      <c r="N1541" s="65"/>
      <c r="O1541" s="65"/>
      <c r="P1541" s="81" t="str">
        <f>IF(AND('331-CT'!$E$7=TH!H1541,OR(N1541="331",O1541="331")),"x","")</f>
        <v/>
      </c>
      <c r="Q1541" s="81" t="str">
        <f>IF(AND(B1541='111'!$L$11,OR($N1541=$Q$7,$O1541=$Q$7)),"x","")</f>
        <v/>
      </c>
      <c r="R1541" s="81" t="str">
        <f>IF(AND($N1541=$Q$7,$B1541&lt;'111'!$L$11),"x","")</f>
        <v/>
      </c>
      <c r="S1541" s="81" t="str">
        <f>IF(AND($O1541=$Q$7,$B1541&lt;'111'!$L$11),"x","")</f>
        <v/>
      </c>
      <c r="T1541" s="81" t="str">
        <f>IF(ISERROR(FIND('112'!$M$9,G1541,1)),"",IF((AND(FIND('112'!$M$9,G1541,1)&gt;=1,B1541='112'!$K$9,OR($N1541='112'!$I$6,$O1541='112'!$I$6))),"x",""))</f>
        <v/>
      </c>
      <c r="U1541" s="81" t="str">
        <f>IF(ISERROR(FIND('112'!$M$9,G1541,1)),"",IF((AND(LEFT(G1541,2)=LEFT('112'!$M$9,2),B1541&lt;'112'!$K$9,$N1541='112'!$I$6)),"x",""))</f>
        <v/>
      </c>
      <c r="V1541" s="81" t="str">
        <f>IF(ISERROR(FIND('112'!$M$9,G1541,1)),"",IF((AND(RIGHT(G1541,2)=RIGHT('112'!$M$9,2),B1541&lt;'112'!$K$9,$O1541='112'!$I$6)),"x",""))</f>
        <v/>
      </c>
      <c r="W1541" s="81" t="str">
        <f>IF(AND('341-CT'!$H$9=H1541,OR(LEFT(N1541,3)=$W$7,LEFT(O1541,3)=$W$7)),"x","")</f>
        <v/>
      </c>
      <c r="X1541" s="81" t="str">
        <f>IF(OR(TH!N1541=TH!$X$7,O1541=TH!$X$7),"x","")</f>
        <v/>
      </c>
      <c r="Y1541" s="81" t="str">
        <f>IF(AND(OR(N1541="131",O1541="131"),H1541='131-CT'!$H$9),"x","")</f>
        <v/>
      </c>
      <c r="Z1541" s="81"/>
      <c r="AA1541" s="81" t="str">
        <f>IF(AND(MONTH(E1541)='IN-NX'!$J$5,'IN-NX'!$D$7=D1541),"x","")</f>
        <v/>
      </c>
      <c r="AB1541" s="81" t="str">
        <f>IF(AND(OR(LEFT(TH!N1541,2)="15",LEFT(TH!O1541,2)="15"),LEFT(TH!O1541,3)&lt;&gt;"111",'152-CT'!$J$8=TH!F1541),"x","")</f>
        <v/>
      </c>
      <c r="AC1541" s="81" t="str">
        <f>IF(AND(OR(LEFT(TH!N1541,2)="15",LEFT(TH!O1541,2)="15"),TK!$E$7=TH!F1541),"x","")</f>
        <v/>
      </c>
      <c r="AD1541" s="81" t="str">
        <f>IF(AND(N1541="1521",MONTH(C1541)='BK-NL'!$M$11),"x","")</f>
        <v/>
      </c>
    </row>
    <row r="1542" spans="1:30" ht="15.75" customHeight="1">
      <c r="A1542" s="327" t="str">
        <f>IF(B1542&lt;&gt;"",IF(AND(B1542='IN-TC'!$S$4,OR(TH!N1542="1111",TH!O1542="1111")),TH!D1542,""),"")</f>
        <v/>
      </c>
      <c r="B1542" s="62" t="str">
        <f t="shared" si="351"/>
        <v/>
      </c>
      <c r="C1542" s="63"/>
      <c r="D1542" s="63"/>
      <c r="E1542" s="63"/>
      <c r="F1542" s="66"/>
      <c r="G1542" s="66"/>
      <c r="H1542" s="71"/>
      <c r="I1542" s="407"/>
      <c r="J1542" s="408"/>
      <c r="K1542" s="400"/>
      <c r="L1542" s="407"/>
      <c r="M1542" s="64"/>
      <c r="N1542" s="65"/>
      <c r="O1542" s="65"/>
      <c r="P1542" s="81" t="str">
        <f>IF(AND('331-CT'!$E$7=TH!H1542,OR(N1542="331",O1542="331")),"x","")</f>
        <v/>
      </c>
      <c r="Q1542" s="81" t="str">
        <f>IF(AND(B1542='111'!$L$11,OR($N1542=$Q$7,$O1542=$Q$7)),"x","")</f>
        <v/>
      </c>
      <c r="R1542" s="81" t="str">
        <f>IF(AND($N1542=$Q$7,$B1542&lt;'111'!$L$11),"x","")</f>
        <v/>
      </c>
      <c r="S1542" s="81" t="str">
        <f>IF(AND($O1542=$Q$7,$B1542&lt;'111'!$L$11),"x","")</f>
        <v/>
      </c>
      <c r="T1542" s="81" t="str">
        <f>IF(ISERROR(FIND('112'!$M$9,G1542,1)),"",IF((AND(FIND('112'!$M$9,G1542,1)&gt;=1,B1542='112'!$K$9,OR($N1542='112'!$I$6,$O1542='112'!$I$6))),"x",""))</f>
        <v/>
      </c>
      <c r="U1542" s="81" t="str">
        <f>IF(ISERROR(FIND('112'!$M$9,G1542,1)),"",IF((AND(LEFT(G1542,2)=LEFT('112'!$M$9,2),B1542&lt;'112'!$K$9,$N1542='112'!$I$6)),"x",""))</f>
        <v/>
      </c>
      <c r="V1542" s="81" t="str">
        <f>IF(ISERROR(FIND('112'!$M$9,G1542,1)),"",IF((AND(RIGHT(G1542,2)=RIGHT('112'!$M$9,2),B1542&lt;'112'!$K$9,$O1542='112'!$I$6)),"x",""))</f>
        <v/>
      </c>
      <c r="W1542" s="81" t="str">
        <f>IF(AND('341-CT'!$H$9=H1542,OR(LEFT(N1542,3)=$W$7,LEFT(O1542,3)=$W$7)),"x","")</f>
        <v/>
      </c>
      <c r="X1542" s="81" t="str">
        <f>IF(OR(TH!N1542=TH!$X$7,O1542=TH!$X$7),"x","")</f>
        <v/>
      </c>
      <c r="Y1542" s="81" t="str">
        <f>IF(AND(OR(N1542="131",O1542="131"),H1542='131-CT'!$H$9),"x","")</f>
        <v/>
      </c>
      <c r="Z1542" s="81"/>
      <c r="AA1542" s="81" t="str">
        <f>IF(AND(MONTH(E1542)='IN-NX'!$J$5,'IN-NX'!$D$7=D1542),"x","")</f>
        <v/>
      </c>
      <c r="AB1542" s="81" t="str">
        <f>IF(AND(OR(LEFT(TH!N1542,2)="15",LEFT(TH!O1542,2)="15"),LEFT(TH!O1542,3)&lt;&gt;"111",'152-CT'!$J$8=TH!F1542),"x","")</f>
        <v/>
      </c>
      <c r="AC1542" s="81" t="str">
        <f>IF(AND(OR(LEFT(TH!N1542,2)="15",LEFT(TH!O1542,2)="15"),TK!$E$7=TH!F1542),"x","")</f>
        <v/>
      </c>
      <c r="AD1542" s="81" t="str">
        <f>IF(AND(N1542="1521",MONTH(C1542)='BK-NL'!$M$11),"x","")</f>
        <v/>
      </c>
    </row>
    <row r="1543" spans="1:30" ht="15.75" customHeight="1">
      <c r="A1543" s="327" t="str">
        <f>IF(B1543&lt;&gt;"",IF(AND(B1543='IN-TC'!$S$4,OR(TH!N1543="1111",TH!O1543="1111")),TH!D1543,""),"")</f>
        <v/>
      </c>
      <c r="B1543" s="62" t="str">
        <f t="shared" si="351"/>
        <v/>
      </c>
      <c r="C1543" s="63"/>
      <c r="D1543" s="63"/>
      <c r="E1543" s="63"/>
      <c r="F1543" s="66"/>
      <c r="G1543" s="66"/>
      <c r="H1543" s="71"/>
      <c r="I1543" s="405"/>
      <c r="J1543" s="408"/>
      <c r="K1543" s="398"/>
      <c r="L1543" s="405"/>
      <c r="M1543" s="64"/>
      <c r="N1543" s="65"/>
      <c r="O1543" s="65"/>
      <c r="P1543" s="81" t="str">
        <f>IF(AND('331-CT'!$E$7=TH!H1543,OR(N1543="331",O1543="331")),"x","")</f>
        <v/>
      </c>
      <c r="Q1543" s="81" t="str">
        <f>IF(AND(B1543='111'!$L$11,OR($N1543=$Q$7,$O1543=$Q$7)),"x","")</f>
        <v/>
      </c>
      <c r="R1543" s="81" t="str">
        <f>IF(AND($N1543=$Q$7,$B1543&lt;'111'!$L$11),"x","")</f>
        <v/>
      </c>
      <c r="S1543" s="81" t="str">
        <f>IF(AND($O1543=$Q$7,$B1543&lt;'111'!$L$11),"x","")</f>
        <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row>
    <row r="1544" spans="1:30" ht="15.75" customHeight="1">
      <c r="A1544" s="327" t="str">
        <f>IF(B1544&lt;&gt;"",IF(AND(B1544='IN-TC'!$S$4,OR(TH!N1544="1111",TH!O1544="1111")),TH!D1544,""),"")</f>
        <v/>
      </c>
      <c r="B1544" s="62" t="str">
        <f t="shared" si="351"/>
        <v/>
      </c>
      <c r="C1544" s="63"/>
      <c r="D1544" s="63"/>
      <c r="E1544" s="63"/>
      <c r="F1544" s="66"/>
      <c r="G1544" s="66"/>
      <c r="H1544" s="71"/>
      <c r="I1544" s="408"/>
      <c r="J1544" s="408"/>
      <c r="K1544" s="401"/>
      <c r="L1544" s="408"/>
      <c r="M1544" s="64"/>
      <c r="N1544" s="65"/>
      <c r="O1544" s="65"/>
      <c r="P1544" s="81" t="str">
        <f>IF(AND('331-CT'!$E$7=TH!H1544,OR(N1544="331",O1544="331")),"x","")</f>
        <v/>
      </c>
      <c r="Q1544" s="81" t="str">
        <f>IF(AND(B1544='111'!$L$11,OR($N1544=$Q$7,$O1544=$Q$7)),"x","")</f>
        <v/>
      </c>
      <c r="R1544" s="81" t="str">
        <f>IF(AND($N1544=$Q$7,$B1544&lt;'111'!$L$11),"x","")</f>
        <v/>
      </c>
      <c r="S1544" s="81" t="str">
        <f>IF(AND($O1544=$Q$7,$B1544&lt;'111'!$L$11),"x","")</f>
        <v/>
      </c>
      <c r="T1544" s="81" t="str">
        <f>IF(ISERROR(FIND('112'!$M$9,G1544,1)),"",IF((AND(FIND('112'!$M$9,G1544,1)&gt;=1,B1544='112'!$K$9,OR($N1544='112'!$I$6,$O1544='112'!$I$6))),"x",""))</f>
        <v/>
      </c>
      <c r="U1544" s="81" t="str">
        <f>IF(ISERROR(FIND('112'!$M$9,G1544,1)),"",IF((AND(LEFT(G1544,2)=LEFT('112'!$M$9,2),B1544&lt;'112'!$K$9,$N1544='112'!$I$6)),"x",""))</f>
        <v/>
      </c>
      <c r="V1544" s="81" t="str">
        <f>IF(ISERROR(FIND('112'!$M$9,G1544,1)),"",IF((AND(RIGHT(G1544,2)=RIGHT('112'!$M$9,2),B1544&lt;'112'!$K$9,$O1544='112'!$I$6)),"x",""))</f>
        <v/>
      </c>
      <c r="W1544" s="81" t="str">
        <f>IF(AND('341-CT'!$H$9=H1544,OR(LEFT(N1544,3)=$W$7,LEFT(O1544,3)=$W$7)),"x","")</f>
        <v/>
      </c>
      <c r="X1544" s="81" t="str">
        <f>IF(OR(TH!N1544=TH!$X$7,O1544=TH!$X$7),"x","")</f>
        <v/>
      </c>
      <c r="Y1544" s="81" t="str">
        <f>IF(AND(OR(N1544="131",O1544="131"),H1544='131-CT'!$H$9),"x","")</f>
        <v/>
      </c>
      <c r="Z1544" s="81"/>
      <c r="AA1544" s="81" t="str">
        <f>IF(AND(MONTH(E1544)='IN-NX'!$J$5,'IN-NX'!$D$7=D1544),"x","")</f>
        <v/>
      </c>
      <c r="AB1544" s="81" t="str">
        <f>IF(AND(OR(LEFT(TH!N1544,2)="15",LEFT(TH!O1544,2)="15"),LEFT(TH!O1544,3)&lt;&gt;"111",'152-CT'!$J$8=TH!F1544),"x","")</f>
        <v/>
      </c>
      <c r="AC1544" s="81" t="str">
        <f>IF(AND(OR(LEFT(TH!N1544,2)="15",LEFT(TH!O1544,2)="15"),TK!$E$7=TH!F1544),"x","")</f>
        <v/>
      </c>
      <c r="AD1544" s="81" t="str">
        <f>IF(AND(N1544="1521",MONTH(C1544)='BK-NL'!$M$11),"x","")</f>
        <v/>
      </c>
    </row>
    <row r="1545" spans="1:30" ht="15.75" customHeight="1">
      <c r="A1545" s="327" t="str">
        <f>IF(B1545&lt;&gt;"",IF(AND(B1545='IN-TC'!$S$4,OR(TH!N1545="1111",TH!O1545="1111")),TH!D1545,""),"")</f>
        <v/>
      </c>
      <c r="B1545" s="62" t="str">
        <f t="shared" si="351"/>
        <v/>
      </c>
      <c r="C1545" s="63"/>
      <c r="D1545" s="63"/>
      <c r="E1545" s="63"/>
      <c r="F1545" s="66"/>
      <c r="G1545" s="66"/>
      <c r="H1545" s="71"/>
      <c r="I1545" s="405"/>
      <c r="J1545" s="408"/>
      <c r="K1545" s="398"/>
      <c r="L1545" s="405"/>
      <c r="M1545" s="64"/>
      <c r="N1545" s="65"/>
      <c r="O1545" s="65"/>
      <c r="P1545" s="81" t="str">
        <f>IF(AND('331-CT'!$E$7=TH!H1545,OR(N1545="331",O1545="331")),"x","")</f>
        <v/>
      </c>
      <c r="Q1545" s="81" t="str">
        <f>IF(AND(B1545='111'!$L$11,OR($N1545=$Q$7,$O1545=$Q$7)),"x","")</f>
        <v/>
      </c>
      <c r="R1545" s="81" t="str">
        <f>IF(AND($N1545=$Q$7,$B1545&lt;'111'!$L$11),"x","")</f>
        <v/>
      </c>
      <c r="S1545" s="81" t="str">
        <f>IF(AND($O1545=$Q$7,$B1545&lt;'111'!$L$11),"x","")</f>
        <v/>
      </c>
      <c r="T1545" s="81" t="str">
        <f>IF(ISERROR(FIND('112'!$M$9,G1545,1)),"",IF((AND(FIND('112'!$M$9,G1545,1)&gt;=1,B1545='112'!$K$9,OR($N1545='112'!$I$6,$O1545='112'!$I$6))),"x",""))</f>
        <v/>
      </c>
      <c r="U1545" s="81" t="str">
        <f>IF(ISERROR(FIND('112'!$M$9,G1545,1)),"",IF((AND(LEFT(G1545,2)=LEFT('112'!$M$9,2),B1545&lt;'112'!$K$9,$N1545='112'!$I$6)),"x",""))</f>
        <v/>
      </c>
      <c r="V1545" s="81" t="str">
        <f>IF(ISERROR(FIND('112'!$M$9,G1545,1)),"",IF((AND(RIGHT(G1545,2)=RIGHT('112'!$M$9,2),B1545&lt;'112'!$K$9,$O1545='112'!$I$6)),"x",""))</f>
        <v/>
      </c>
      <c r="W1545" s="81" t="str">
        <f>IF(AND('341-CT'!$H$9=H1545,OR(LEFT(N1545,3)=$W$7,LEFT(O1545,3)=$W$7)),"x","")</f>
        <v/>
      </c>
      <c r="X1545" s="81" t="str">
        <f>IF(OR(TH!N1545=TH!$X$7,O1545=TH!$X$7),"x","")</f>
        <v/>
      </c>
      <c r="Y1545" s="81" t="str">
        <f>IF(AND(OR(N1545="131",O1545="131"),H1545='131-CT'!$H$9),"x","")</f>
        <v/>
      </c>
      <c r="Z1545" s="81"/>
      <c r="AA1545" s="81" t="str">
        <f>IF(AND(MONTH(E1545)='IN-NX'!$J$5,'IN-NX'!$D$7=D1545),"x","")</f>
        <v/>
      </c>
      <c r="AB1545" s="81" t="str">
        <f>IF(AND(OR(LEFT(TH!N1545,2)="15",LEFT(TH!O1545,2)="15"),LEFT(TH!O1545,3)&lt;&gt;"111",'152-CT'!$J$8=TH!F1545),"x","")</f>
        <v/>
      </c>
      <c r="AC1545" s="81" t="str">
        <f>IF(AND(OR(LEFT(TH!N1545,2)="15",LEFT(TH!O1545,2)="15"),TK!$E$7=TH!F1545),"x","")</f>
        <v/>
      </c>
      <c r="AD1545" s="81" t="str">
        <f>IF(AND(N1545="1521",MONTH(C1545)='BK-NL'!$M$11),"x","")</f>
        <v/>
      </c>
    </row>
    <row r="1546" spans="1:30" ht="15.75" customHeight="1">
      <c r="A1546" s="327" t="str">
        <f>IF(B1546&lt;&gt;"",IF(AND(B1546='IN-TC'!$S$4,OR(TH!N1546="1111",TH!O1546="1111")),TH!D1546,""),"")</f>
        <v/>
      </c>
      <c r="B1546" s="62" t="str">
        <f t="shared" si="351"/>
        <v/>
      </c>
      <c r="C1546" s="63"/>
      <c r="D1546" s="63"/>
      <c r="E1546" s="63"/>
      <c r="F1546" s="66"/>
      <c r="G1546" s="66"/>
      <c r="H1546" s="71"/>
      <c r="I1546" s="405"/>
      <c r="J1546" s="408"/>
      <c r="K1546" s="398"/>
      <c r="L1546" s="405"/>
      <c r="M1546" s="64"/>
      <c r="N1546" s="65"/>
      <c r="O1546" s="65"/>
      <c r="P1546" s="81" t="str">
        <f>IF(AND('331-CT'!$E$7=TH!H1546,OR(N1546="331",O1546="331")),"x","")</f>
        <v/>
      </c>
      <c r="Q1546" s="81" t="str">
        <f>IF(AND(B1546='111'!$L$11,OR($N1546=$Q$7,$O1546=$Q$7)),"x","")</f>
        <v/>
      </c>
      <c r="R1546" s="81" t="str">
        <f>IF(AND($N1546=$Q$7,$B1546&lt;'111'!$L$11),"x","")</f>
        <v/>
      </c>
      <c r="S1546" s="81" t="str">
        <f>IF(AND($O1546=$Q$7,$B1546&lt;'111'!$L$11),"x","")</f>
        <v/>
      </c>
      <c r="T1546" s="81" t="str">
        <f>IF(ISERROR(FIND('112'!$M$9,G1546,1)),"",IF((AND(FIND('112'!$M$9,G1546,1)&gt;=1,B1546='112'!$K$9,OR($N1546='112'!$I$6,$O1546='112'!$I$6))),"x",""))</f>
        <v/>
      </c>
      <c r="U1546" s="81" t="str">
        <f>IF(ISERROR(FIND('112'!$M$9,G1546,1)),"",IF((AND(LEFT(G1546,2)=LEFT('112'!$M$9,2),B1546&lt;'112'!$K$9,$N1546='112'!$I$6)),"x",""))</f>
        <v/>
      </c>
      <c r="V1546" s="81" t="str">
        <f>IF(ISERROR(FIND('112'!$M$9,G1546,1)),"",IF((AND(RIGHT(G1546,2)=RIGHT('112'!$M$9,2),B1546&lt;'112'!$K$9,$O1546='112'!$I$6)),"x",""))</f>
        <v/>
      </c>
      <c r="W1546" s="81" t="str">
        <f>IF(AND('341-CT'!$H$9=H1546,OR(LEFT(N1546,3)=$W$7,LEFT(O1546,3)=$W$7)),"x","")</f>
        <v/>
      </c>
      <c r="X1546" s="81" t="str">
        <f>IF(OR(TH!N1546=TH!$X$7,O1546=TH!$X$7),"x","")</f>
        <v/>
      </c>
      <c r="Y1546" s="81" t="str">
        <f>IF(AND(OR(N1546="131",O1546="131"),H1546='131-CT'!$H$9),"x","")</f>
        <v/>
      </c>
      <c r="Z1546" s="81"/>
      <c r="AA1546" s="81" t="str">
        <f>IF(AND(MONTH(E1546)='IN-NX'!$J$5,'IN-NX'!$D$7=D1546),"x","")</f>
        <v/>
      </c>
      <c r="AB1546" s="81" t="str">
        <f>IF(AND(OR(LEFT(TH!N1546,2)="15",LEFT(TH!O1546,2)="15"),LEFT(TH!O1546,3)&lt;&gt;"111",'152-CT'!$J$8=TH!F1546),"x","")</f>
        <v/>
      </c>
      <c r="AC1546" s="81" t="str">
        <f>IF(AND(OR(LEFT(TH!N1546,2)="15",LEFT(TH!O1546,2)="15"),TK!$E$7=TH!F1546),"x","")</f>
        <v/>
      </c>
      <c r="AD1546" s="81" t="str">
        <f>IF(AND(N1546="1521",MONTH(C1546)='BK-NL'!$M$11),"x","")</f>
        <v/>
      </c>
    </row>
    <row r="1547" spans="1:30" ht="15.75" customHeight="1">
      <c r="A1547" s="327" t="str">
        <f>IF(B1547&lt;&gt;"",IF(AND(B1547='IN-TC'!$S$4,OR(TH!N1547="1111",TH!O1547="1111")),TH!D1547,""),"")</f>
        <v/>
      </c>
      <c r="B1547" s="62" t="str">
        <f t="shared" si="351"/>
        <v/>
      </c>
      <c r="C1547" s="63"/>
      <c r="D1547" s="63"/>
      <c r="E1547" s="63"/>
      <c r="F1547" s="66"/>
      <c r="G1547" s="66"/>
      <c r="H1547" s="71"/>
      <c r="I1547" s="405"/>
      <c r="J1547" s="408"/>
      <c r="K1547" s="398"/>
      <c r="L1547" s="405"/>
      <c r="M1547" s="64"/>
      <c r="N1547" s="65"/>
      <c r="O1547" s="65"/>
      <c r="P1547" s="81" t="str">
        <f>IF(AND('331-CT'!$E$7=TH!H1547,OR(N1547="331",O1547="331")),"x","")</f>
        <v/>
      </c>
      <c r="Q1547" s="81" t="str">
        <f>IF(AND(B1547='111'!$L$11,OR($N1547=$Q$7,$O1547=$Q$7)),"x","")</f>
        <v/>
      </c>
      <c r="R1547" s="81" t="str">
        <f>IF(AND($N1547=$Q$7,$B1547&lt;'111'!$L$11),"x","")</f>
        <v/>
      </c>
      <c r="S1547" s="81" t="str">
        <f>IF(AND($O1547=$Q$7,$B1547&lt;'111'!$L$11),"x","")</f>
        <v/>
      </c>
      <c r="T1547" s="81" t="str">
        <f>IF(ISERROR(FIND('112'!$M$9,G1547,1)),"",IF((AND(FIND('112'!$M$9,G1547,1)&gt;=1,B1547='112'!$K$9,OR($N1547='112'!$I$6,$O1547='112'!$I$6))),"x",""))</f>
        <v/>
      </c>
      <c r="U1547" s="81" t="str">
        <f>IF(ISERROR(FIND('112'!$M$9,G1547,1)),"",IF((AND(LEFT(G1547,2)=LEFT('112'!$M$9,2),B1547&lt;'112'!$K$9,$N1547='112'!$I$6)),"x",""))</f>
        <v/>
      </c>
      <c r="V1547" s="81" t="str">
        <f>IF(ISERROR(FIND('112'!$M$9,G1547,1)),"",IF((AND(RIGHT(G1547,2)=RIGHT('112'!$M$9,2),B1547&lt;'112'!$K$9,$O1547='112'!$I$6)),"x",""))</f>
        <v/>
      </c>
      <c r="W1547" s="81" t="str">
        <f>IF(AND('341-CT'!$H$9=H1547,OR(LEFT(N1547,3)=$W$7,LEFT(O1547,3)=$W$7)),"x","")</f>
        <v/>
      </c>
      <c r="X1547" s="81" t="str">
        <f>IF(OR(TH!N1547=TH!$X$7,O1547=TH!$X$7),"x","")</f>
        <v/>
      </c>
      <c r="Y1547" s="81" t="str">
        <f>IF(AND(OR(N1547="131",O1547="131"),H1547='131-CT'!$H$9),"x","")</f>
        <v/>
      </c>
      <c r="Z1547" s="81"/>
      <c r="AA1547" s="81" t="str">
        <f>IF(AND(MONTH(E1547)='IN-NX'!$J$5,'IN-NX'!$D$7=D1547),"x","")</f>
        <v/>
      </c>
      <c r="AB1547" s="81" t="str">
        <f>IF(AND(OR(LEFT(TH!N1547,2)="15",LEFT(TH!O1547,2)="15"),LEFT(TH!O1547,3)&lt;&gt;"111",'152-CT'!$J$8=TH!F1547),"x","")</f>
        <v/>
      </c>
      <c r="AC1547" s="81" t="str">
        <f>IF(AND(OR(LEFT(TH!N1547,2)="15",LEFT(TH!O1547,2)="15"),TK!$E$7=TH!F1547),"x","")</f>
        <v/>
      </c>
      <c r="AD1547" s="81" t="str">
        <f>IF(AND(N1547="1521",MONTH(C1547)='BK-NL'!$M$11),"x","")</f>
        <v/>
      </c>
    </row>
    <row r="1548" spans="1:30" ht="15.75" customHeight="1">
      <c r="A1548" s="327" t="str">
        <f>IF(B1548&lt;&gt;"",IF(AND(B1548='IN-TC'!$S$4,OR(TH!N1548="1111",TH!O1548="1111")),TH!D1548,""),"")</f>
        <v/>
      </c>
      <c r="B1548" s="62" t="str">
        <f t="shared" si="351"/>
        <v/>
      </c>
      <c r="C1548" s="63"/>
      <c r="D1548" s="63"/>
      <c r="E1548" s="63"/>
      <c r="F1548" s="66"/>
      <c r="G1548" s="66"/>
      <c r="H1548" s="71"/>
      <c r="I1548" s="405"/>
      <c r="J1548" s="408"/>
      <c r="K1548" s="398"/>
      <c r="L1548" s="405"/>
      <c r="M1548" s="64"/>
      <c r="N1548" s="65"/>
      <c r="O1548" s="65"/>
      <c r="P1548" s="81" t="str">
        <f>IF(AND('331-CT'!$E$7=TH!H1548,OR(N1548="331",O1548="331")),"x","")</f>
        <v/>
      </c>
      <c r="Q1548" s="81" t="str">
        <f>IF(AND(B1548='111'!$L$11,OR($N1548=$Q$7,$O1548=$Q$7)),"x","")</f>
        <v/>
      </c>
      <c r="R1548" s="81" t="str">
        <f>IF(AND($N1548=$Q$7,$B1548&lt;'111'!$L$11),"x","")</f>
        <v/>
      </c>
      <c r="S1548" s="81" t="str">
        <f>IF(AND($O1548=$Q$7,$B1548&lt;'111'!$L$11),"x","")</f>
        <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row>
    <row r="1549" spans="1:30" ht="15.75" customHeight="1">
      <c r="A1549" s="327" t="str">
        <f>IF(B1549&lt;&gt;"",IF(AND(B1549='IN-TC'!$S$4,OR(TH!N1549="1111",TH!O1549="1111")),TH!D1549,""),"")</f>
        <v/>
      </c>
      <c r="B1549" s="62" t="str">
        <f t="shared" si="351"/>
        <v/>
      </c>
      <c r="C1549" s="63"/>
      <c r="D1549" s="63"/>
      <c r="E1549" s="63"/>
      <c r="F1549" s="66"/>
      <c r="G1549" s="66"/>
      <c r="H1549" s="71"/>
      <c r="I1549" s="405"/>
      <c r="J1549" s="408"/>
      <c r="K1549" s="398"/>
      <c r="L1549" s="405"/>
      <c r="M1549" s="64"/>
      <c r="N1549" s="65"/>
      <c r="O1549" s="65"/>
      <c r="P1549" s="81" t="str">
        <f>IF(AND('331-CT'!$E$7=TH!H1549,OR(N1549="331",O1549="331")),"x","")</f>
        <v/>
      </c>
      <c r="Q1549" s="81" t="str">
        <f>IF(AND(B1549='111'!$L$11,OR($N1549=$Q$7,$O1549=$Q$7)),"x","")</f>
        <v/>
      </c>
      <c r="R1549" s="81" t="str">
        <f>IF(AND($N1549=$Q$7,$B1549&lt;'111'!$L$11),"x","")</f>
        <v/>
      </c>
      <c r="S1549" s="81" t="str">
        <f>IF(AND($O1549=$Q$7,$B1549&lt;'111'!$L$11),"x","")</f>
        <v/>
      </c>
      <c r="T1549" s="81" t="str">
        <f>IF(ISERROR(FIND('112'!$M$9,G1549,1)),"",IF((AND(FIND('112'!$M$9,G1549,1)&gt;=1,B1549='112'!$K$9,OR($N1549='112'!$I$6,$O1549='112'!$I$6))),"x",""))</f>
        <v/>
      </c>
      <c r="U1549" s="81" t="str">
        <f>IF(ISERROR(FIND('112'!$M$9,G1549,1)),"",IF((AND(LEFT(G1549,2)=LEFT('112'!$M$9,2),B1549&lt;'112'!$K$9,$N1549='112'!$I$6)),"x",""))</f>
        <v/>
      </c>
      <c r="V1549" s="81" t="str">
        <f>IF(ISERROR(FIND('112'!$M$9,G1549,1)),"",IF((AND(RIGHT(G1549,2)=RIGHT('112'!$M$9,2),B1549&lt;'112'!$K$9,$O1549='112'!$I$6)),"x",""))</f>
        <v/>
      </c>
      <c r="W1549" s="81" t="str">
        <f>IF(AND('341-CT'!$H$9=H1549,OR(LEFT(N1549,3)=$W$7,LEFT(O1549,3)=$W$7)),"x","")</f>
        <v/>
      </c>
      <c r="X1549" s="81" t="str">
        <f>IF(OR(TH!N1549=TH!$X$7,O1549=TH!$X$7),"x","")</f>
        <v/>
      </c>
      <c r="Y1549" s="81" t="str">
        <f>IF(AND(OR(N1549="131",O1549="131"),H1549='131-CT'!$H$9),"x","")</f>
        <v/>
      </c>
      <c r="Z1549" s="81"/>
      <c r="AA1549" s="81" t="str">
        <f>IF(AND(MONTH(E1549)='IN-NX'!$J$5,'IN-NX'!$D$7=D1549),"x","")</f>
        <v/>
      </c>
      <c r="AB1549" s="81" t="str">
        <f>IF(AND(OR(LEFT(TH!N1549,2)="15",LEFT(TH!O1549,2)="15"),LEFT(TH!O1549,3)&lt;&gt;"111",'152-CT'!$J$8=TH!F1549),"x","")</f>
        <v/>
      </c>
      <c r="AC1549" s="81" t="str">
        <f>IF(AND(OR(LEFT(TH!N1549,2)="15",LEFT(TH!O1549,2)="15"),TK!$E$7=TH!F1549),"x","")</f>
        <v/>
      </c>
      <c r="AD1549" s="81" t="str">
        <f>IF(AND(N1549="1521",MONTH(C1549)='BK-NL'!$M$11),"x","")</f>
        <v/>
      </c>
    </row>
    <row r="1550" spans="1:30" ht="15.75" customHeight="1">
      <c r="A1550" s="327" t="str">
        <f>IF(B1550&lt;&gt;"",IF(AND(B1550='IN-TC'!$S$4,OR(TH!N1550="1111",TH!O1550="1111")),TH!D1550,""),"")</f>
        <v/>
      </c>
      <c r="B1550" s="62" t="str">
        <f t="shared" si="351"/>
        <v/>
      </c>
      <c r="C1550" s="63"/>
      <c r="D1550" s="63"/>
      <c r="E1550" s="63"/>
      <c r="F1550" s="66"/>
      <c r="G1550" s="66"/>
      <c r="H1550" s="71"/>
      <c r="I1550" s="405"/>
      <c r="J1550" s="408"/>
      <c r="K1550" s="398"/>
      <c r="L1550" s="405"/>
      <c r="M1550" s="64"/>
      <c r="N1550" s="65"/>
      <c r="O1550" s="65"/>
      <c r="P1550" s="81" t="str">
        <f>IF(AND('331-CT'!$E$7=TH!H1550,OR(N1550="331",O1550="331")),"x","")</f>
        <v/>
      </c>
      <c r="Q1550" s="81" t="str">
        <f>IF(AND(B1550='111'!$L$11,OR($N1550=$Q$7,$O1550=$Q$7)),"x","")</f>
        <v/>
      </c>
      <c r="R1550" s="81" t="str">
        <f>IF(AND($N1550=$Q$7,$B1550&lt;'111'!$L$11),"x","")</f>
        <v/>
      </c>
      <c r="S1550" s="81" t="str">
        <f>IF(AND($O1550=$Q$7,$B1550&lt;'111'!$L$11),"x","")</f>
        <v/>
      </c>
      <c r="T1550" s="81" t="str">
        <f>IF(ISERROR(FIND('112'!$M$9,G1550,1)),"",IF((AND(FIND('112'!$M$9,G1550,1)&gt;=1,B1550='112'!$K$9,OR($N1550='112'!$I$6,$O1550='112'!$I$6))),"x",""))</f>
        <v/>
      </c>
      <c r="U1550" s="81" t="str">
        <f>IF(ISERROR(FIND('112'!$M$9,G1550,1)),"",IF((AND(LEFT(G1550,2)=LEFT('112'!$M$9,2),B1550&lt;'112'!$K$9,$N1550='112'!$I$6)),"x",""))</f>
        <v/>
      </c>
      <c r="V1550" s="81" t="str">
        <f>IF(ISERROR(FIND('112'!$M$9,G1550,1)),"",IF((AND(RIGHT(G1550,2)=RIGHT('112'!$M$9,2),B1550&lt;'112'!$K$9,$O1550='112'!$I$6)),"x",""))</f>
        <v/>
      </c>
      <c r="W1550" s="81" t="str">
        <f>IF(AND('341-CT'!$H$9=H1550,OR(LEFT(N1550,3)=$W$7,LEFT(O1550,3)=$W$7)),"x","")</f>
        <v/>
      </c>
      <c r="X1550" s="81" t="str">
        <f>IF(OR(TH!N1550=TH!$X$7,O1550=TH!$X$7),"x","")</f>
        <v/>
      </c>
      <c r="Y1550" s="81" t="str">
        <f>IF(AND(OR(N1550="131",O1550="131"),H1550='131-CT'!$H$9),"x","")</f>
        <v/>
      </c>
      <c r="Z1550" s="81"/>
      <c r="AA1550" s="81" t="str">
        <f>IF(AND(MONTH(E1550)='IN-NX'!$J$5,'IN-NX'!$D$7=D1550),"x","")</f>
        <v/>
      </c>
      <c r="AB1550" s="81" t="str">
        <f>IF(AND(OR(LEFT(TH!N1550,2)="15",LEFT(TH!O1550,2)="15"),LEFT(TH!O1550,3)&lt;&gt;"111",'152-CT'!$J$8=TH!F1550),"x","")</f>
        <v/>
      </c>
      <c r="AC1550" s="81" t="str">
        <f>IF(AND(OR(LEFT(TH!N1550,2)="15",LEFT(TH!O1550,2)="15"),TK!$E$7=TH!F1550),"x","")</f>
        <v/>
      </c>
      <c r="AD1550" s="81" t="str">
        <f>IF(AND(N1550="1521",MONTH(C1550)='BK-NL'!$M$11),"x","")</f>
        <v/>
      </c>
    </row>
    <row r="1551" spans="1:30" ht="15.75" customHeight="1">
      <c r="A1551" s="327" t="str">
        <f>IF(B1551&lt;&gt;"",IF(AND(B1551='IN-TC'!$S$4,OR(TH!N1551="1111",TH!O1551="1111")),TH!D1551,""),"")</f>
        <v/>
      </c>
      <c r="B1551" s="62" t="str">
        <f t="shared" si="351"/>
        <v/>
      </c>
      <c r="C1551" s="63"/>
      <c r="D1551" s="63"/>
      <c r="E1551" s="63"/>
      <c r="F1551" s="66"/>
      <c r="G1551" s="66"/>
      <c r="H1551" s="71"/>
      <c r="I1551" s="405"/>
      <c r="J1551" s="408"/>
      <c r="K1551" s="398"/>
      <c r="L1551" s="405"/>
      <c r="M1551" s="64"/>
      <c r="N1551" s="65"/>
      <c r="O1551" s="65"/>
      <c r="P1551" s="81" t="str">
        <f>IF(AND('331-CT'!$E$7=TH!H1551,OR(N1551="331",O1551="331")),"x","")</f>
        <v/>
      </c>
      <c r="Q1551" s="81" t="str">
        <f>IF(AND(B1551='111'!$L$11,OR($N1551=$Q$7,$O1551=$Q$7)),"x","")</f>
        <v/>
      </c>
      <c r="R1551" s="81" t="str">
        <f>IF(AND($N1551=$Q$7,$B1551&lt;'111'!$L$11),"x","")</f>
        <v/>
      </c>
      <c r="S1551" s="81" t="str">
        <f>IF(AND($O1551=$Q$7,$B1551&lt;'111'!$L$11),"x","")</f>
        <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row>
    <row r="1552" spans="1:30" ht="15.75" customHeight="1">
      <c r="A1552" s="327" t="str">
        <f>IF(B1552&lt;&gt;"",IF(AND(B1552='IN-TC'!$S$4,OR(TH!N1552="1111",TH!O1552="1111")),TH!D1552,""),"")</f>
        <v/>
      </c>
      <c r="B1552" s="62" t="str">
        <f t="shared" si="351"/>
        <v/>
      </c>
      <c r="C1552" s="63"/>
      <c r="D1552" s="63"/>
      <c r="E1552" s="63"/>
      <c r="F1552" s="66"/>
      <c r="G1552" s="66"/>
      <c r="H1552" s="71"/>
      <c r="I1552" s="405"/>
      <c r="J1552" s="408"/>
      <c r="K1552" s="398"/>
      <c r="L1552" s="405"/>
      <c r="M1552" s="64"/>
      <c r="N1552" s="65"/>
      <c r="O1552" s="65"/>
      <c r="P1552" s="81" t="str">
        <f>IF(AND('331-CT'!$E$7=TH!H1552,OR(N1552="331",O1552="331")),"x","")</f>
        <v/>
      </c>
      <c r="Q1552" s="81" t="str">
        <f>IF(AND(B1552='111'!$L$11,OR($N1552=$Q$7,$O1552=$Q$7)),"x","")</f>
        <v/>
      </c>
      <c r="R1552" s="81" t="str">
        <f>IF(AND($N1552=$Q$7,$B1552&lt;'111'!$L$11),"x","")</f>
        <v/>
      </c>
      <c r="S1552" s="81" t="str">
        <f>IF(AND($O1552=$Q$7,$B1552&lt;'111'!$L$11),"x","")</f>
        <v/>
      </c>
      <c r="T1552" s="81" t="str">
        <f>IF(ISERROR(FIND('112'!$M$9,G1552,1)),"",IF((AND(FIND('112'!$M$9,G1552,1)&gt;=1,B1552='112'!$K$9,OR($N1552='112'!$I$6,$O1552='112'!$I$6))),"x",""))</f>
        <v/>
      </c>
      <c r="U1552" s="81" t="str">
        <f>IF(ISERROR(FIND('112'!$M$9,G1552,1)),"",IF((AND(LEFT(G1552,2)=LEFT('112'!$M$9,2),B1552&lt;'112'!$K$9,$N1552='112'!$I$6)),"x",""))</f>
        <v/>
      </c>
      <c r="V1552" s="81" t="str">
        <f>IF(ISERROR(FIND('112'!$M$9,G1552,1)),"",IF((AND(RIGHT(G1552,2)=RIGHT('112'!$M$9,2),B1552&lt;'112'!$K$9,$O1552='112'!$I$6)),"x",""))</f>
        <v/>
      </c>
      <c r="W1552" s="81" t="str">
        <f>IF(AND('341-CT'!$H$9=H1552,OR(LEFT(N1552,3)=$W$7,LEFT(O1552,3)=$W$7)),"x","")</f>
        <v/>
      </c>
      <c r="X1552" s="81" t="str">
        <f>IF(OR(TH!N1552=TH!$X$7,O1552=TH!$X$7),"x","")</f>
        <v/>
      </c>
      <c r="Y1552" s="81" t="str">
        <f>IF(AND(OR(N1552="131",O1552="131"),H1552='131-CT'!$H$9),"x","")</f>
        <v/>
      </c>
      <c r="Z1552" s="81"/>
      <c r="AA1552" s="81" t="str">
        <f>IF(AND(MONTH(E1552)='IN-NX'!$J$5,'IN-NX'!$D$7=D1552),"x","")</f>
        <v/>
      </c>
      <c r="AB1552" s="81" t="str">
        <f>IF(AND(OR(LEFT(TH!N1552,2)="15",LEFT(TH!O1552,2)="15"),LEFT(TH!O1552,3)&lt;&gt;"111",'152-CT'!$J$8=TH!F1552),"x","")</f>
        <v/>
      </c>
      <c r="AC1552" s="81" t="str">
        <f>IF(AND(OR(LEFT(TH!N1552,2)="15",LEFT(TH!O1552,2)="15"),TK!$E$7=TH!F1552),"x","")</f>
        <v/>
      </c>
      <c r="AD1552" s="81" t="str">
        <f>IF(AND(N1552="1521",MONTH(C1552)='BK-NL'!$M$11),"x","")</f>
        <v/>
      </c>
    </row>
    <row r="1553" spans="1:30" ht="15.75" customHeight="1">
      <c r="A1553" s="327" t="str">
        <f>IF(B1553&lt;&gt;"",IF(AND(B1553='IN-TC'!$S$4,OR(TH!N1553="1111",TH!O1553="1111")),TH!D1553,""),"")</f>
        <v/>
      </c>
      <c r="B1553" s="62" t="str">
        <f t="shared" si="351"/>
        <v/>
      </c>
      <c r="C1553" s="63"/>
      <c r="D1553" s="63"/>
      <c r="E1553" s="63"/>
      <c r="F1553" s="66"/>
      <c r="G1553" s="66"/>
      <c r="H1553" s="71"/>
      <c r="I1553" s="405"/>
      <c r="J1553" s="408"/>
      <c r="K1553" s="398"/>
      <c r="L1553" s="405"/>
      <c r="M1553" s="64"/>
      <c r="N1553" s="65"/>
      <c r="O1553" s="65"/>
      <c r="P1553" s="81" t="str">
        <f>IF(AND('331-CT'!$E$7=TH!H1553,OR(N1553="331",O1553="331")),"x","")</f>
        <v/>
      </c>
      <c r="Q1553" s="81" t="str">
        <f>IF(AND(B1553='111'!$L$11,OR($N1553=$Q$7,$O1553=$Q$7)),"x","")</f>
        <v/>
      </c>
      <c r="R1553" s="81" t="str">
        <f>IF(AND($N1553=$Q$7,$B1553&lt;'111'!$L$11),"x","")</f>
        <v/>
      </c>
      <c r="S1553" s="81" t="str">
        <f>IF(AND($O1553=$Q$7,$B1553&lt;'111'!$L$11),"x","")</f>
        <v/>
      </c>
      <c r="T1553" s="81" t="str">
        <f>IF(ISERROR(FIND('112'!$M$9,G1553,1)),"",IF((AND(FIND('112'!$M$9,G1553,1)&gt;=1,B1553='112'!$K$9,OR($N1553='112'!$I$6,$O1553='112'!$I$6))),"x",""))</f>
        <v/>
      </c>
      <c r="U1553" s="81" t="str">
        <f>IF(ISERROR(FIND('112'!$M$9,G1553,1)),"",IF((AND(LEFT(G1553,2)=LEFT('112'!$M$9,2),B1553&lt;'112'!$K$9,$N1553='112'!$I$6)),"x",""))</f>
        <v/>
      </c>
      <c r="V1553" s="81" t="str">
        <f>IF(ISERROR(FIND('112'!$M$9,G1553,1)),"",IF((AND(RIGHT(G1553,2)=RIGHT('112'!$M$9,2),B1553&lt;'112'!$K$9,$O1553='112'!$I$6)),"x",""))</f>
        <v/>
      </c>
      <c r="W1553" s="81" t="str">
        <f>IF(AND('341-CT'!$H$9=H1553,OR(LEFT(N1553,3)=$W$7,LEFT(O1553,3)=$W$7)),"x","")</f>
        <v/>
      </c>
      <c r="X1553" s="81" t="str">
        <f>IF(OR(TH!N1553=TH!$X$7,O1553=TH!$X$7),"x","")</f>
        <v/>
      </c>
      <c r="Y1553" s="81" t="str">
        <f>IF(AND(OR(N1553="131",O1553="131"),H1553='131-CT'!$H$9),"x","")</f>
        <v/>
      </c>
      <c r="Z1553" s="81"/>
      <c r="AA1553" s="81" t="str">
        <f>IF(AND(MONTH(E1553)='IN-NX'!$J$5,'IN-NX'!$D$7=D1553),"x","")</f>
        <v/>
      </c>
      <c r="AB1553" s="81" t="str">
        <f>IF(AND(OR(LEFT(TH!N1553,2)="15",LEFT(TH!O1553,2)="15"),LEFT(TH!O1553,3)&lt;&gt;"111",'152-CT'!$J$8=TH!F1553),"x","")</f>
        <v/>
      </c>
      <c r="AC1553" s="81" t="str">
        <f>IF(AND(OR(LEFT(TH!N1553,2)="15",LEFT(TH!O1553,2)="15"),TK!$E$7=TH!F1553),"x","")</f>
        <v/>
      </c>
      <c r="AD1553" s="81" t="str">
        <f>IF(AND(N1553="1521",MONTH(C1553)='BK-NL'!$M$11),"x","")</f>
        <v/>
      </c>
    </row>
    <row r="1554" spans="1:30" ht="15.75" customHeight="1">
      <c r="A1554" s="327" t="str">
        <f>IF(B1554&lt;&gt;"",IF(AND(B1554='IN-TC'!$S$4,OR(TH!N1554="1111",TH!O1554="1111")),TH!D1554,""),"")</f>
        <v/>
      </c>
      <c r="B1554" s="62" t="str">
        <f t="shared" si="351"/>
        <v/>
      </c>
      <c r="C1554" s="63"/>
      <c r="D1554" s="63"/>
      <c r="E1554" s="63"/>
      <c r="F1554" s="66"/>
      <c r="G1554" s="66"/>
      <c r="H1554" s="71"/>
      <c r="I1554" s="405"/>
      <c r="J1554" s="408"/>
      <c r="K1554" s="398"/>
      <c r="L1554" s="405"/>
      <c r="M1554" s="64"/>
      <c r="N1554" s="65"/>
      <c r="O1554" s="65"/>
      <c r="P1554" s="81" t="str">
        <f>IF(AND('331-CT'!$E$7=TH!H1554,OR(N1554="331",O1554="331")),"x","")</f>
        <v/>
      </c>
      <c r="Q1554" s="81" t="str">
        <f>IF(AND(B1554='111'!$L$11,OR($N1554=$Q$7,$O1554=$Q$7)),"x","")</f>
        <v/>
      </c>
      <c r="R1554" s="81" t="str">
        <f>IF(AND($N1554=$Q$7,$B1554&lt;'111'!$L$11),"x","")</f>
        <v/>
      </c>
      <c r="S1554" s="81" t="str">
        <f>IF(AND($O1554=$Q$7,$B1554&lt;'111'!$L$11),"x","")</f>
        <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row>
    <row r="1555" spans="1:30" ht="15.75" customHeight="1">
      <c r="A1555" s="327" t="str">
        <f>IF(B1555&lt;&gt;"",IF(AND(B1555='IN-TC'!$S$4,OR(TH!N1555="1111",TH!O1555="1111")),TH!D1555,""),"")</f>
        <v/>
      </c>
      <c r="B1555" s="62" t="str">
        <f t="shared" si="351"/>
        <v/>
      </c>
      <c r="C1555" s="63"/>
      <c r="D1555" s="63"/>
      <c r="E1555" s="63"/>
      <c r="F1555" s="66"/>
      <c r="G1555" s="66"/>
      <c r="H1555" s="71"/>
      <c r="I1555" s="407"/>
      <c r="J1555" s="408"/>
      <c r="K1555" s="400"/>
      <c r="L1555" s="407"/>
      <c r="M1555" s="64"/>
      <c r="N1555" s="65"/>
      <c r="O1555" s="65"/>
      <c r="P1555" s="81" t="str">
        <f>IF(AND('331-CT'!$E$7=TH!H1555,OR(N1555="331",O1555="331")),"x","")</f>
        <v/>
      </c>
      <c r="Q1555" s="81" t="str">
        <f>IF(AND(B1555='111'!$L$11,OR($N1555=$Q$7,$O1555=$Q$7)),"x","")</f>
        <v/>
      </c>
      <c r="R1555" s="81" t="str">
        <f>IF(AND($N1555=$Q$7,$B1555&lt;'111'!$L$11),"x","")</f>
        <v/>
      </c>
      <c r="S1555" s="81" t="str">
        <f>IF(AND($O1555=$Q$7,$B1555&lt;'111'!$L$11),"x","")</f>
        <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row>
    <row r="1556" spans="1:30" ht="15.75" customHeight="1">
      <c r="A1556" s="327" t="str">
        <f>IF(B1556&lt;&gt;"",IF(AND(B1556='IN-TC'!$S$4,OR(TH!N1556="1111",TH!O1556="1111")),TH!D1556,""),"")</f>
        <v/>
      </c>
      <c r="B1556" s="62" t="str">
        <f t="shared" si="351"/>
        <v/>
      </c>
      <c r="C1556" s="63"/>
      <c r="D1556" s="63"/>
      <c r="E1556" s="63"/>
      <c r="F1556" s="66"/>
      <c r="G1556" s="816"/>
      <c r="H1556" s="71"/>
      <c r="I1556" s="407"/>
      <c r="J1556" s="408"/>
      <c r="K1556" s="400"/>
      <c r="L1556" s="407"/>
      <c r="M1556" s="64"/>
      <c r="N1556" s="65"/>
      <c r="O1556" s="65"/>
      <c r="P1556" s="81" t="str">
        <f>IF(AND('331-CT'!$E$7=TH!H1556,OR(N1556="331",O1556="331")),"x","")</f>
        <v/>
      </c>
      <c r="Q1556" s="81" t="str">
        <f>IF(AND(B1556='111'!$L$11,OR($N1556=$Q$7,$O1556=$Q$7)),"x","")</f>
        <v/>
      </c>
      <c r="R1556" s="81" t="str">
        <f>IF(AND($N1556=$Q$7,$B1556&lt;'111'!$L$11),"x","")</f>
        <v/>
      </c>
      <c r="S1556" s="81" t="str">
        <f>IF(AND($O1556=$Q$7,$B1556&lt;'111'!$L$11),"x","")</f>
        <v/>
      </c>
      <c r="T1556" s="81" t="str">
        <f>IF(ISERROR(FIND('112'!$M$9,G1556,1)),"",IF((AND(FIND('112'!$M$9,G1556,1)&gt;=1,B1556='112'!$K$9,OR($N1556='112'!$I$6,$O1556='112'!$I$6))),"x",""))</f>
        <v/>
      </c>
      <c r="U1556" s="81" t="str">
        <f>IF(ISERROR(FIND('112'!$M$9,G1556,1)),"",IF((AND(LEFT(G1556,2)=LEFT('112'!$M$9,2),B1556&lt;'112'!$K$9,$N1556='112'!$I$6)),"x",""))</f>
        <v/>
      </c>
      <c r="V1556" s="81" t="str">
        <f>IF(ISERROR(FIND('112'!$M$9,G1556,1)),"",IF((AND(RIGHT(G1556,2)=RIGHT('112'!$M$9,2),B1556&lt;'112'!$K$9,$O1556='112'!$I$6)),"x",""))</f>
        <v/>
      </c>
      <c r="W1556" s="81" t="str">
        <f>IF(AND('341-CT'!$H$9=H1556,OR(LEFT(N1556,3)=$W$7,LEFT(O1556,3)=$W$7)),"x","")</f>
        <v/>
      </c>
      <c r="X1556" s="81" t="str">
        <f>IF(OR(TH!N1556=TH!$X$7,O1556=TH!$X$7),"x","")</f>
        <v/>
      </c>
      <c r="Y1556" s="81" t="str">
        <f>IF(AND(OR(N1556="131",O1556="131"),H1556='131-CT'!$H$9),"x","")</f>
        <v/>
      </c>
      <c r="Z1556" s="81"/>
      <c r="AA1556" s="81" t="str">
        <f>IF(AND(MONTH(E1556)='IN-NX'!$J$5,'IN-NX'!$D$7=D1556),"x","")</f>
        <v/>
      </c>
      <c r="AB1556" s="81" t="str">
        <f>IF(AND(OR(LEFT(TH!N1556,2)="15",LEFT(TH!O1556,2)="15"),LEFT(TH!O1556,3)&lt;&gt;"111",'152-CT'!$J$8=TH!F1556),"x","")</f>
        <v/>
      </c>
      <c r="AC1556" s="81" t="str">
        <f>IF(AND(OR(LEFT(TH!N1556,2)="15",LEFT(TH!O1556,2)="15"),TK!$E$7=TH!F1556),"x","")</f>
        <v/>
      </c>
      <c r="AD1556" s="81" t="str">
        <f>IF(AND(N1556="1521",MONTH(C1556)='BK-NL'!$M$11),"x","")</f>
        <v/>
      </c>
    </row>
    <row r="1557" spans="1:30" ht="15.75" customHeight="1">
      <c r="A1557" s="327" t="str">
        <f>IF(B1557&lt;&gt;"",IF(AND(B1557='IN-TC'!$S$4,OR(TH!N1557="1111",TH!O1557="1111")),TH!D1557,""),"")</f>
        <v/>
      </c>
      <c r="B1557" s="62" t="str">
        <f t="shared" si="351"/>
        <v/>
      </c>
      <c r="C1557" s="63"/>
      <c r="D1557" s="63"/>
      <c r="E1557" s="63"/>
      <c r="F1557" s="66"/>
      <c r="G1557" s="66"/>
      <c r="H1557" s="71"/>
      <c r="I1557" s="405"/>
      <c r="J1557" s="408"/>
      <c r="K1557" s="398"/>
      <c r="L1557" s="405"/>
      <c r="M1557" s="64"/>
      <c r="N1557" s="65"/>
      <c r="O1557" s="65"/>
      <c r="P1557" s="81" t="str">
        <f>IF(AND('331-CT'!$E$7=TH!H1557,OR(N1557="331",O1557="331")),"x","")</f>
        <v/>
      </c>
      <c r="Q1557" s="81" t="str">
        <f>IF(AND(B1557='111'!$L$11,OR($N1557=$Q$7,$O1557=$Q$7)),"x","")</f>
        <v/>
      </c>
      <c r="R1557" s="81" t="str">
        <f>IF(AND($N1557=$Q$7,$B1557&lt;'111'!$L$11),"x","")</f>
        <v/>
      </c>
      <c r="S1557" s="81" t="str">
        <f>IF(AND($O1557=$Q$7,$B1557&lt;'111'!$L$11),"x","")</f>
        <v/>
      </c>
      <c r="T1557" s="81" t="str">
        <f>IF(ISERROR(FIND('112'!$M$9,G1557,1)),"",IF((AND(FIND('112'!$M$9,G1557,1)&gt;=1,B1557='112'!$K$9,OR($N1557='112'!$I$6,$O1557='112'!$I$6))),"x",""))</f>
        <v/>
      </c>
      <c r="U1557" s="81" t="str">
        <f>IF(ISERROR(FIND('112'!$M$9,G1557,1)),"",IF((AND(LEFT(G1557,2)=LEFT('112'!$M$9,2),B1557&lt;'112'!$K$9,$N1557='112'!$I$6)),"x",""))</f>
        <v/>
      </c>
      <c r="V1557" s="81" t="str">
        <f>IF(ISERROR(FIND('112'!$M$9,G1557,1)),"",IF((AND(RIGHT(G1557,2)=RIGHT('112'!$M$9,2),B1557&lt;'112'!$K$9,$O1557='112'!$I$6)),"x",""))</f>
        <v/>
      </c>
      <c r="W1557" s="81" t="str">
        <f>IF(AND('341-CT'!$H$9=H1557,OR(LEFT(N1557,3)=$W$7,LEFT(O1557,3)=$W$7)),"x","")</f>
        <v/>
      </c>
      <c r="X1557" s="81" t="str">
        <f>IF(OR(TH!N1557=TH!$X$7,O1557=TH!$X$7),"x","")</f>
        <v/>
      </c>
      <c r="Y1557" s="81" t="str">
        <f>IF(AND(OR(N1557="131",O1557="131"),H1557='131-CT'!$H$9),"x","")</f>
        <v/>
      </c>
      <c r="Z1557" s="81"/>
      <c r="AA1557" s="81" t="str">
        <f>IF(AND(MONTH(E1557)='IN-NX'!$J$5,'IN-NX'!$D$7=D1557),"x","")</f>
        <v/>
      </c>
      <c r="AB1557" s="81" t="str">
        <f>IF(AND(OR(LEFT(TH!N1557,2)="15",LEFT(TH!O1557,2)="15"),LEFT(TH!O1557,3)&lt;&gt;"111",'152-CT'!$J$8=TH!F1557),"x","")</f>
        <v/>
      </c>
      <c r="AC1557" s="81" t="str">
        <f>IF(AND(OR(LEFT(TH!N1557,2)="15",LEFT(TH!O1557,2)="15"),TK!$E$7=TH!F1557),"x","")</f>
        <v/>
      </c>
      <c r="AD1557" s="81" t="str">
        <f>IF(AND(N1557="1521",MONTH(C1557)='BK-NL'!$M$11),"x","")</f>
        <v/>
      </c>
    </row>
    <row r="1558" spans="1:30" ht="15.75" customHeight="1">
      <c r="A1558" s="327" t="str">
        <f>IF(B1558&lt;&gt;"",IF(AND(B1558='IN-TC'!$S$4,OR(TH!N1558="1111",TH!O1558="1111")),TH!D1558,""),"")</f>
        <v/>
      </c>
      <c r="B1558" s="62" t="str">
        <f t="shared" si="351"/>
        <v/>
      </c>
      <c r="C1558" s="63"/>
      <c r="D1558" s="63"/>
      <c r="E1558" s="63"/>
      <c r="F1558" s="66"/>
      <c r="G1558" s="66"/>
      <c r="H1558" s="72"/>
      <c r="I1558" s="405"/>
      <c r="J1558" s="408"/>
      <c r="K1558" s="398"/>
      <c r="L1558" s="405"/>
      <c r="M1558" s="64"/>
      <c r="N1558" s="65"/>
      <c r="O1558" s="65"/>
      <c r="P1558" s="81" t="str">
        <f>IF(AND('331-CT'!$E$7=TH!H1558,OR(N1558="331",O1558="331")),"x","")</f>
        <v/>
      </c>
      <c r="Q1558" s="81" t="str">
        <f>IF(AND(B1558='111'!$L$11,OR($N1558=$Q$7,$O1558=$Q$7)),"x","")</f>
        <v/>
      </c>
      <c r="R1558" s="81" t="str">
        <f>IF(AND($N1558=$Q$7,$B1558&lt;'111'!$L$11),"x","")</f>
        <v/>
      </c>
      <c r="S1558" s="81" t="str">
        <f>IF(AND($O1558=$Q$7,$B1558&lt;'111'!$L$11),"x","")</f>
        <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row>
    <row r="1559" spans="1:30" ht="15.75" customHeight="1">
      <c r="A1559" s="327" t="str">
        <f>IF(B1559&lt;&gt;"",IF(AND(B1559='IN-TC'!$S$4,OR(TH!N1559="1111",TH!O1559="1111")),TH!D1559,""),"")</f>
        <v/>
      </c>
      <c r="B1559" s="62" t="str">
        <f t="shared" si="351"/>
        <v/>
      </c>
      <c r="C1559" s="63"/>
      <c r="D1559" s="63"/>
      <c r="E1559" s="63"/>
      <c r="F1559" s="66"/>
      <c r="G1559" s="66"/>
      <c r="H1559" s="71"/>
      <c r="I1559" s="405"/>
      <c r="J1559" s="408"/>
      <c r="K1559" s="398"/>
      <c r="L1559" s="405"/>
      <c r="M1559" s="64"/>
      <c r="N1559" s="65"/>
      <c r="O1559" s="65"/>
      <c r="P1559" s="81" t="str">
        <f>IF(AND('331-CT'!$E$7=TH!H1559,OR(N1559="331",O1559="331")),"x","")</f>
        <v/>
      </c>
      <c r="Q1559" s="81" t="str">
        <f>IF(AND(B1559='111'!$L$11,OR($N1559=$Q$7,$O1559=$Q$7)),"x","")</f>
        <v/>
      </c>
      <c r="R1559" s="81" t="str">
        <f>IF(AND($N1559=$Q$7,$B1559&lt;'111'!$L$11),"x","")</f>
        <v/>
      </c>
      <c r="S1559" s="81" t="str">
        <f>IF(AND($O1559=$Q$7,$B1559&lt;'111'!$L$11),"x","")</f>
        <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row>
    <row r="1560" spans="1:30" ht="15.75" customHeight="1">
      <c r="A1560" s="327" t="str">
        <f>IF(B1560&lt;&gt;"",IF(AND(B1560='IN-TC'!$S$4,OR(TH!N1560="1111",TH!O1560="1111")),TH!D1560,""),"")</f>
        <v/>
      </c>
      <c r="B1560" s="62" t="str">
        <f t="shared" si="351"/>
        <v/>
      </c>
      <c r="C1560" s="63"/>
      <c r="D1560" s="63"/>
      <c r="E1560" s="63"/>
      <c r="F1560" s="66"/>
      <c r="G1560" s="66"/>
      <c r="H1560" s="71"/>
      <c r="I1560" s="405"/>
      <c r="J1560" s="408"/>
      <c r="K1560" s="398"/>
      <c r="L1560" s="405"/>
      <c r="M1560" s="64"/>
      <c r="N1560" s="65"/>
      <c r="O1560" s="65"/>
      <c r="P1560" s="81" t="str">
        <f>IF(AND('331-CT'!$E$7=TH!H1560,OR(N1560="331",O1560="331")),"x","")</f>
        <v/>
      </c>
      <c r="Q1560" s="81" t="str">
        <f>IF(AND(B1560='111'!$L$11,OR($N1560=$Q$7,$O1560=$Q$7)),"x","")</f>
        <v/>
      </c>
      <c r="R1560" s="81" t="str">
        <f>IF(AND($N1560=$Q$7,$B1560&lt;'111'!$L$11),"x","")</f>
        <v/>
      </c>
      <c r="S1560" s="81" t="str">
        <f>IF(AND($O1560=$Q$7,$B1560&lt;'111'!$L$11),"x","")</f>
        <v/>
      </c>
      <c r="T1560" s="81" t="str">
        <f>IF(ISERROR(FIND('112'!$M$9,G1560,1)),"",IF((AND(FIND('112'!$M$9,G1560,1)&gt;=1,B1560='112'!$K$9,OR($N1560='112'!$I$6,$O1560='112'!$I$6))),"x",""))</f>
        <v/>
      </c>
      <c r="U1560" s="81" t="str">
        <f>IF(ISERROR(FIND('112'!$M$9,G1560,1)),"",IF((AND(LEFT(G1560,2)=LEFT('112'!$M$9,2),B1560&lt;'112'!$K$9,$N1560='112'!$I$6)),"x",""))</f>
        <v/>
      </c>
      <c r="V1560" s="81" t="str">
        <f>IF(ISERROR(FIND('112'!$M$9,G1560,1)),"",IF((AND(RIGHT(G1560,2)=RIGHT('112'!$M$9,2),B1560&lt;'112'!$K$9,$O1560='112'!$I$6)),"x",""))</f>
        <v/>
      </c>
      <c r="W1560" s="81" t="str">
        <f>IF(AND('341-CT'!$H$9=H1560,OR(LEFT(N1560,3)=$W$7,LEFT(O1560,3)=$W$7)),"x","")</f>
        <v/>
      </c>
      <c r="X1560" s="81" t="str">
        <f>IF(OR(TH!N1560=TH!$X$7,O1560=TH!$X$7),"x","")</f>
        <v/>
      </c>
      <c r="Y1560" s="81" t="str">
        <f>IF(AND(OR(N1560="131",O1560="131"),H1560='131-CT'!$H$9),"x","")</f>
        <v/>
      </c>
      <c r="Z1560" s="81"/>
      <c r="AA1560" s="81" t="str">
        <f>IF(AND(MONTH(E1560)='IN-NX'!$J$5,'IN-NX'!$D$7=D1560),"x","")</f>
        <v/>
      </c>
      <c r="AB1560" s="81" t="str">
        <f>IF(AND(OR(LEFT(TH!N1560,2)="15",LEFT(TH!O1560,2)="15"),LEFT(TH!O1560,3)&lt;&gt;"111",'152-CT'!$J$8=TH!F1560),"x","")</f>
        <v/>
      </c>
      <c r="AC1560" s="81" t="str">
        <f>IF(AND(OR(LEFT(TH!N1560,2)="15",LEFT(TH!O1560,2)="15"),TK!$E$7=TH!F1560),"x","")</f>
        <v/>
      </c>
      <c r="AD1560" s="81" t="str">
        <f>IF(AND(N1560="1521",MONTH(C1560)='BK-NL'!$M$11),"x","")</f>
        <v/>
      </c>
    </row>
    <row r="1561" spans="1:30" ht="15.75" customHeight="1">
      <c r="A1561" s="327" t="str">
        <f>IF(B1561&lt;&gt;"",IF(AND(B1561='IN-TC'!$S$4,OR(TH!N1561="1111",TH!O1561="1111")),TH!D1561,""),"")</f>
        <v/>
      </c>
      <c r="B1561" s="62" t="str">
        <f t="shared" si="351"/>
        <v/>
      </c>
      <c r="C1561" s="63"/>
      <c r="D1561" s="63"/>
      <c r="E1561" s="63"/>
      <c r="F1561" s="66"/>
      <c r="G1561" s="66"/>
      <c r="H1561" s="71"/>
      <c r="I1561" s="405"/>
      <c r="J1561" s="408"/>
      <c r="K1561" s="398"/>
      <c r="L1561" s="405"/>
      <c r="M1561" s="64"/>
      <c r="N1561" s="65"/>
      <c r="O1561" s="65"/>
      <c r="P1561" s="81" t="str">
        <f>IF(AND('331-CT'!$E$7=TH!H1561,OR(N1561="331",O1561="331")),"x","")</f>
        <v/>
      </c>
      <c r="Q1561" s="81" t="str">
        <f>IF(AND(B1561='111'!$L$11,OR($N1561=$Q$7,$O1561=$Q$7)),"x","")</f>
        <v/>
      </c>
      <c r="R1561" s="81" t="str">
        <f>IF(AND($N1561=$Q$7,$B1561&lt;'111'!$L$11),"x","")</f>
        <v/>
      </c>
      <c r="S1561" s="81" t="str">
        <f>IF(AND($O1561=$Q$7,$B1561&lt;'111'!$L$11),"x","")</f>
        <v/>
      </c>
      <c r="T1561" s="81" t="str">
        <f>IF(ISERROR(FIND('112'!$M$9,G1561,1)),"",IF((AND(FIND('112'!$M$9,G1561,1)&gt;=1,B1561='112'!$K$9,OR($N1561='112'!$I$6,$O1561='112'!$I$6))),"x",""))</f>
        <v/>
      </c>
      <c r="U1561" s="81" t="str">
        <f>IF(ISERROR(FIND('112'!$M$9,G1561,1)),"",IF((AND(LEFT(G1561,2)=LEFT('112'!$M$9,2),B1561&lt;'112'!$K$9,$N1561='112'!$I$6)),"x",""))</f>
        <v/>
      </c>
      <c r="V1561" s="81" t="str">
        <f>IF(ISERROR(FIND('112'!$M$9,G1561,1)),"",IF((AND(RIGHT(G1561,2)=RIGHT('112'!$M$9,2),B1561&lt;'112'!$K$9,$O1561='112'!$I$6)),"x",""))</f>
        <v/>
      </c>
      <c r="W1561" s="81" t="str">
        <f>IF(AND('341-CT'!$H$9=H1561,OR(LEFT(N1561,3)=$W$7,LEFT(O1561,3)=$W$7)),"x","")</f>
        <v/>
      </c>
      <c r="X1561" s="81" t="str">
        <f>IF(OR(TH!N1561=TH!$X$7,O1561=TH!$X$7),"x","")</f>
        <v/>
      </c>
      <c r="Y1561" s="81" t="str">
        <f>IF(AND(OR(N1561="131",O1561="131"),H1561='131-CT'!$H$9),"x","")</f>
        <v/>
      </c>
      <c r="Z1561" s="81"/>
      <c r="AA1561" s="81" t="str">
        <f>IF(AND(MONTH(E1561)='IN-NX'!$J$5,'IN-NX'!$D$7=D1561),"x","")</f>
        <v/>
      </c>
      <c r="AB1561" s="81" t="str">
        <f>IF(AND(OR(LEFT(TH!N1561,2)="15",LEFT(TH!O1561,2)="15"),LEFT(TH!O1561,3)&lt;&gt;"111",'152-CT'!$J$8=TH!F1561),"x","")</f>
        <v/>
      </c>
      <c r="AC1561" s="81" t="str">
        <f>IF(AND(OR(LEFT(TH!N1561,2)="15",LEFT(TH!O1561,2)="15"),TK!$E$7=TH!F1561),"x","")</f>
        <v/>
      </c>
      <c r="AD1561" s="81" t="str">
        <f>IF(AND(N1561="1521",MONTH(C1561)='BK-NL'!$M$11),"x","")</f>
        <v/>
      </c>
    </row>
    <row r="1562" spans="1:30" ht="15.75" customHeight="1">
      <c r="A1562" s="327" t="str">
        <f>IF(B1562&lt;&gt;"",IF(AND(B1562='IN-TC'!$S$4,OR(TH!N1562="1111",TH!O1562="1111")),TH!D1562,""),"")</f>
        <v/>
      </c>
      <c r="B1562" s="62" t="str">
        <f t="shared" si="351"/>
        <v/>
      </c>
      <c r="C1562" s="63"/>
      <c r="D1562" s="63"/>
      <c r="E1562" s="63"/>
      <c r="F1562" s="66"/>
      <c r="G1562" s="66"/>
      <c r="H1562" s="71"/>
      <c r="I1562" s="405"/>
      <c r="J1562" s="408"/>
      <c r="K1562" s="398"/>
      <c r="L1562" s="405"/>
      <c r="M1562" s="64"/>
      <c r="N1562" s="65"/>
      <c r="O1562" s="65"/>
      <c r="P1562" s="81" t="str">
        <f>IF(AND('331-CT'!$E$7=TH!H1562,OR(N1562="331",O1562="331")),"x","")</f>
        <v/>
      </c>
      <c r="Q1562" s="81" t="str">
        <f>IF(AND(B1562='111'!$L$11,OR($N1562=$Q$7,$O1562=$Q$7)),"x","")</f>
        <v/>
      </c>
      <c r="R1562" s="81" t="str">
        <f>IF(AND($N1562=$Q$7,$B1562&lt;'111'!$L$11),"x","")</f>
        <v/>
      </c>
      <c r="S1562" s="81" t="str">
        <f>IF(AND($O1562=$Q$7,$B1562&lt;'111'!$L$11),"x","")</f>
        <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row>
    <row r="1563" spans="1:30" ht="15.75" customHeight="1">
      <c r="A1563" s="327" t="str">
        <f>IF(B1563&lt;&gt;"",IF(AND(B1563='IN-TC'!$S$4,OR(TH!N1563="1111",TH!O1563="1111")),TH!D1563,""),"")</f>
        <v/>
      </c>
      <c r="B1563" s="62" t="str">
        <f t="shared" si="351"/>
        <v/>
      </c>
      <c r="C1563" s="63"/>
      <c r="D1563" s="63"/>
      <c r="E1563" s="63"/>
      <c r="F1563" s="66"/>
      <c r="G1563" s="66"/>
      <c r="H1563" s="71"/>
      <c r="I1563" s="405"/>
      <c r="J1563" s="408"/>
      <c r="K1563" s="398"/>
      <c r="L1563" s="405"/>
      <c r="M1563" s="64"/>
      <c r="N1563" s="65"/>
      <c r="O1563" s="65"/>
      <c r="P1563" s="81" t="str">
        <f>IF(AND('331-CT'!$E$7=TH!H1563,OR(N1563="331",O1563="331")),"x","")</f>
        <v/>
      </c>
      <c r="Q1563" s="81" t="str">
        <f>IF(AND(B1563='111'!$L$11,OR($N1563=$Q$7,$O1563=$Q$7)),"x","")</f>
        <v/>
      </c>
      <c r="R1563" s="81" t="str">
        <f>IF(AND($N1563=$Q$7,$B1563&lt;'111'!$L$11),"x","")</f>
        <v/>
      </c>
      <c r="S1563" s="81" t="str">
        <f>IF(AND($O1563=$Q$7,$B1563&lt;'111'!$L$11),"x","")</f>
        <v/>
      </c>
      <c r="T1563" s="81" t="str">
        <f>IF(ISERROR(FIND('112'!$M$9,G1563,1)),"",IF((AND(FIND('112'!$M$9,G1563,1)&gt;=1,B1563='112'!$K$9,OR($N1563='112'!$I$6,$O1563='112'!$I$6))),"x",""))</f>
        <v/>
      </c>
      <c r="U1563" s="81" t="str">
        <f>IF(ISERROR(FIND('112'!$M$9,G1563,1)),"",IF((AND(LEFT(G1563,2)=LEFT('112'!$M$9,2),B1563&lt;'112'!$K$9,$N1563='112'!$I$6)),"x",""))</f>
        <v/>
      </c>
      <c r="V1563" s="81" t="str">
        <f>IF(ISERROR(FIND('112'!$M$9,G1563,1)),"",IF((AND(RIGHT(G1563,2)=RIGHT('112'!$M$9,2),B1563&lt;'112'!$K$9,$O1563='112'!$I$6)),"x",""))</f>
        <v/>
      </c>
      <c r="W1563" s="81" t="str">
        <f>IF(AND('341-CT'!$H$9=H1563,OR(LEFT(N1563,3)=$W$7,LEFT(O1563,3)=$W$7)),"x","")</f>
        <v/>
      </c>
      <c r="X1563" s="81" t="str">
        <f>IF(OR(TH!N1563=TH!$X$7,O1563=TH!$X$7),"x","")</f>
        <v/>
      </c>
      <c r="Y1563" s="81" t="str">
        <f>IF(AND(OR(N1563="131",O1563="131"),H1563='131-CT'!$H$9),"x","")</f>
        <v/>
      </c>
      <c r="Z1563" s="81"/>
      <c r="AA1563" s="81" t="str">
        <f>IF(AND(MONTH(E1563)='IN-NX'!$J$5,'IN-NX'!$D$7=D1563),"x","")</f>
        <v/>
      </c>
      <c r="AB1563" s="81" t="str">
        <f>IF(AND(OR(LEFT(TH!N1563,2)="15",LEFT(TH!O1563,2)="15"),LEFT(TH!O1563,3)&lt;&gt;"111",'152-CT'!$J$8=TH!F1563),"x","")</f>
        <v/>
      </c>
      <c r="AC1563" s="81" t="str">
        <f>IF(AND(OR(LEFT(TH!N1563,2)="15",LEFT(TH!O1563,2)="15"),TK!$E$7=TH!F1563),"x","")</f>
        <v/>
      </c>
      <c r="AD1563" s="81" t="str">
        <f>IF(AND(N1563="1521",MONTH(C1563)='BK-NL'!$M$11),"x","")</f>
        <v/>
      </c>
    </row>
    <row r="1564" spans="1:30" ht="15.75" customHeight="1">
      <c r="A1564" s="327" t="str">
        <f>IF(B1564&lt;&gt;"",IF(AND(B1564='IN-TC'!$S$4,OR(TH!N1564="1111",TH!O1564="1111")),TH!D1564,""),"")</f>
        <v/>
      </c>
      <c r="B1564" s="62" t="str">
        <f t="shared" si="351"/>
        <v/>
      </c>
      <c r="C1564" s="63"/>
      <c r="D1564" s="63"/>
      <c r="E1564" s="63"/>
      <c r="F1564" s="66"/>
      <c r="G1564" s="66"/>
      <c r="H1564" s="71"/>
      <c r="I1564" s="407"/>
      <c r="J1564" s="408"/>
      <c r="K1564" s="400"/>
      <c r="L1564" s="407"/>
      <c r="M1564" s="64"/>
      <c r="N1564" s="65"/>
      <c r="O1564" s="65"/>
      <c r="P1564" s="81" t="str">
        <f>IF(AND('331-CT'!$E$7=TH!H1564,OR(N1564="331",O1564="331")),"x","")</f>
        <v/>
      </c>
      <c r="Q1564" s="81" t="str">
        <f>IF(AND(B1564='111'!$L$11,OR($N1564=$Q$7,$O1564=$Q$7)),"x","")</f>
        <v/>
      </c>
      <c r="R1564" s="81" t="str">
        <f>IF(AND($N1564=$Q$7,$B1564&lt;'111'!$L$11),"x","")</f>
        <v/>
      </c>
      <c r="S1564" s="81" t="str">
        <f>IF(AND($O1564=$Q$7,$B1564&lt;'111'!$L$11),"x","")</f>
        <v/>
      </c>
      <c r="T1564" s="81" t="str">
        <f>IF(ISERROR(FIND('112'!$M$9,G1564,1)),"",IF((AND(FIND('112'!$M$9,G1564,1)&gt;=1,B1564='112'!$K$9,OR($N1564='112'!$I$6,$O1564='112'!$I$6))),"x",""))</f>
        <v/>
      </c>
      <c r="U1564" s="81" t="str">
        <f>IF(ISERROR(FIND('112'!$M$9,G1564,1)),"",IF((AND(LEFT(G1564,2)=LEFT('112'!$M$9,2),B1564&lt;'112'!$K$9,$N1564='112'!$I$6)),"x",""))</f>
        <v/>
      </c>
      <c r="V1564" s="81" t="str">
        <f>IF(ISERROR(FIND('112'!$M$9,G1564,1)),"",IF((AND(RIGHT(G1564,2)=RIGHT('112'!$M$9,2),B1564&lt;'112'!$K$9,$O1564='112'!$I$6)),"x",""))</f>
        <v/>
      </c>
      <c r="W1564" s="81" t="str">
        <f>IF(AND('341-CT'!$H$9=H1564,OR(LEFT(N1564,3)=$W$7,LEFT(O1564,3)=$W$7)),"x","")</f>
        <v/>
      </c>
      <c r="X1564" s="81" t="str">
        <f>IF(OR(TH!N1564=TH!$X$7,O1564=TH!$X$7),"x","")</f>
        <v/>
      </c>
      <c r="Y1564" s="81" t="str">
        <f>IF(AND(OR(N1564="131",O1564="131"),H1564='131-CT'!$H$9),"x","")</f>
        <v/>
      </c>
      <c r="Z1564" s="81"/>
      <c r="AA1564" s="81" t="str">
        <f>IF(AND(MONTH(E1564)='IN-NX'!$J$5,'IN-NX'!$D$7=D1564),"x","")</f>
        <v/>
      </c>
      <c r="AB1564" s="81" t="str">
        <f>IF(AND(OR(LEFT(TH!N1564,2)="15",LEFT(TH!O1564,2)="15"),LEFT(TH!O1564,3)&lt;&gt;"111",'152-CT'!$J$8=TH!F1564),"x","")</f>
        <v/>
      </c>
      <c r="AC1564" s="81" t="str">
        <f>IF(AND(OR(LEFT(TH!N1564,2)="15",LEFT(TH!O1564,2)="15"),TK!$E$7=TH!F1564),"x","")</f>
        <v/>
      </c>
      <c r="AD1564" s="81" t="str">
        <f>IF(AND(N1564="1521",MONTH(C1564)='BK-NL'!$M$11),"x","")</f>
        <v/>
      </c>
    </row>
    <row r="1565" spans="1:30" ht="15.75" customHeight="1">
      <c r="A1565" s="327" t="str">
        <f>IF(B1565&lt;&gt;"",IF(AND(B1565='IN-TC'!$S$4,OR(TH!N1565="1111",TH!O1565="1111")),TH!D1565,""),"")</f>
        <v/>
      </c>
      <c r="B1565" s="62" t="str">
        <f t="shared" si="351"/>
        <v/>
      </c>
      <c r="C1565" s="63"/>
      <c r="D1565" s="63"/>
      <c r="E1565" s="63"/>
      <c r="F1565" s="66"/>
      <c r="G1565" s="66"/>
      <c r="H1565" s="71"/>
      <c r="I1565" s="405"/>
      <c r="J1565" s="408"/>
      <c r="K1565" s="398"/>
      <c r="L1565" s="405"/>
      <c r="M1565" s="64"/>
      <c r="N1565" s="65"/>
      <c r="O1565" s="65"/>
      <c r="P1565" s="81" t="str">
        <f>IF(AND('331-CT'!$E$7=TH!H1565,OR(N1565="331",O1565="331")),"x","")</f>
        <v/>
      </c>
      <c r="Q1565" s="81" t="str">
        <f>IF(AND(B1565='111'!$L$11,OR($N1565=$Q$7,$O1565=$Q$7)),"x","")</f>
        <v/>
      </c>
      <c r="R1565" s="81" t="str">
        <f>IF(AND($N1565=$Q$7,$B1565&lt;'111'!$L$11),"x","")</f>
        <v/>
      </c>
      <c r="S1565" s="81" t="str">
        <f>IF(AND($O1565=$Q$7,$B1565&lt;'111'!$L$11),"x","")</f>
        <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row>
    <row r="1566" spans="1:30" ht="15.75" customHeight="1">
      <c r="A1566" s="327" t="str">
        <f>IF(B1566&lt;&gt;"",IF(AND(B1566='IN-TC'!$S$4,OR(TH!N1566="1111",TH!O1566="1111")),TH!D1566,""),"")</f>
        <v/>
      </c>
      <c r="B1566" s="62" t="str">
        <f t="shared" si="351"/>
        <v/>
      </c>
      <c r="C1566" s="63"/>
      <c r="D1566" s="63"/>
      <c r="E1566" s="63"/>
      <c r="F1566" s="66"/>
      <c r="G1566" s="66"/>
      <c r="H1566" s="71"/>
      <c r="I1566" s="405"/>
      <c r="J1566" s="408"/>
      <c r="K1566" s="398"/>
      <c r="L1566" s="405"/>
      <c r="M1566" s="64"/>
      <c r="N1566" s="65"/>
      <c r="O1566" s="65"/>
      <c r="P1566" s="81" t="str">
        <f>IF(AND('331-CT'!$E$7=TH!H1566,OR(N1566="331",O1566="331")),"x","")</f>
        <v/>
      </c>
      <c r="Q1566" s="81" t="str">
        <f>IF(AND(B1566='111'!$L$11,OR($N1566=$Q$7,$O1566=$Q$7)),"x","")</f>
        <v/>
      </c>
      <c r="R1566" s="81" t="str">
        <f>IF(AND($N1566=$Q$7,$B1566&lt;'111'!$L$11),"x","")</f>
        <v/>
      </c>
      <c r="S1566" s="81" t="str">
        <f>IF(AND($O1566=$Q$7,$B1566&lt;'111'!$L$11),"x","")</f>
        <v/>
      </c>
      <c r="T1566" s="81" t="str">
        <f>IF(ISERROR(FIND('112'!$M$9,G1566,1)),"",IF((AND(FIND('112'!$M$9,G1566,1)&gt;=1,B1566='112'!$K$9,OR($N1566='112'!$I$6,$O1566='112'!$I$6))),"x",""))</f>
        <v/>
      </c>
      <c r="U1566" s="81" t="str">
        <f>IF(ISERROR(FIND('112'!$M$9,G1566,1)),"",IF((AND(LEFT(G1566,2)=LEFT('112'!$M$9,2),B1566&lt;'112'!$K$9,$N1566='112'!$I$6)),"x",""))</f>
        <v/>
      </c>
      <c r="V1566" s="81" t="str">
        <f>IF(ISERROR(FIND('112'!$M$9,G1566,1)),"",IF((AND(RIGHT(G1566,2)=RIGHT('112'!$M$9,2),B1566&lt;'112'!$K$9,$O1566='112'!$I$6)),"x",""))</f>
        <v/>
      </c>
      <c r="W1566" s="81" t="str">
        <f>IF(AND('341-CT'!$H$9=H1566,OR(LEFT(N1566,3)=$W$7,LEFT(O1566,3)=$W$7)),"x","")</f>
        <v/>
      </c>
      <c r="X1566" s="81" t="str">
        <f>IF(OR(TH!N1566=TH!$X$7,O1566=TH!$X$7),"x","")</f>
        <v/>
      </c>
      <c r="Y1566" s="81" t="str">
        <f>IF(AND(OR(N1566="131",O1566="131"),H1566='131-CT'!$H$9),"x","")</f>
        <v/>
      </c>
      <c r="Z1566" s="81"/>
      <c r="AA1566" s="81" t="str">
        <f>IF(AND(MONTH(E1566)='IN-NX'!$J$5,'IN-NX'!$D$7=D1566),"x","")</f>
        <v/>
      </c>
      <c r="AB1566" s="81" t="str">
        <f>IF(AND(OR(LEFT(TH!N1566,2)="15",LEFT(TH!O1566,2)="15"),LEFT(TH!O1566,3)&lt;&gt;"111",'152-CT'!$J$8=TH!F1566),"x","")</f>
        <v/>
      </c>
      <c r="AC1566" s="81" t="str">
        <f>IF(AND(OR(LEFT(TH!N1566,2)="15",LEFT(TH!O1566,2)="15"),TK!$E$7=TH!F1566),"x","")</f>
        <v/>
      </c>
      <c r="AD1566" s="81" t="str">
        <f>IF(AND(N1566="1521",MONTH(C1566)='BK-NL'!$M$11),"x","")</f>
        <v/>
      </c>
    </row>
    <row r="1567" spans="1:30" ht="15.75" customHeight="1">
      <c r="A1567" s="327" t="str">
        <f>IF(B1567&lt;&gt;"",IF(AND(B1567='IN-TC'!$S$4,OR(TH!N1567="1111",TH!O1567="1111")),TH!D1567,""),"")</f>
        <v/>
      </c>
      <c r="B1567" s="62" t="str">
        <f t="shared" si="351"/>
        <v/>
      </c>
      <c r="C1567" s="63"/>
      <c r="D1567" s="63"/>
      <c r="E1567" s="63"/>
      <c r="F1567" s="66"/>
      <c r="G1567" s="66"/>
      <c r="H1567" s="71"/>
      <c r="I1567" s="405"/>
      <c r="J1567" s="408"/>
      <c r="K1567" s="398"/>
      <c r="L1567" s="405"/>
      <c r="M1567" s="64"/>
      <c r="N1567" s="65"/>
      <c r="O1567" s="65"/>
      <c r="P1567" s="81" t="str">
        <f>IF(AND('331-CT'!$E$7=TH!H1567,OR(N1567="331",O1567="331")),"x","")</f>
        <v/>
      </c>
      <c r="Q1567" s="81" t="str">
        <f>IF(AND(B1567='111'!$L$11,OR($N1567=$Q$7,$O1567=$Q$7)),"x","")</f>
        <v/>
      </c>
      <c r="R1567" s="81" t="str">
        <f>IF(AND($N1567=$Q$7,$B1567&lt;'111'!$L$11),"x","")</f>
        <v/>
      </c>
      <c r="S1567" s="81" t="str">
        <f>IF(AND($O1567=$Q$7,$B1567&lt;'111'!$L$11),"x","")</f>
        <v/>
      </c>
      <c r="T1567" s="81" t="str">
        <f>IF(ISERROR(FIND('112'!$M$9,G1567,1)),"",IF((AND(FIND('112'!$M$9,G1567,1)&gt;=1,B1567='112'!$K$9,OR($N1567='112'!$I$6,$O1567='112'!$I$6))),"x",""))</f>
        <v/>
      </c>
      <c r="U1567" s="81" t="str">
        <f>IF(ISERROR(FIND('112'!$M$9,G1567,1)),"",IF((AND(LEFT(G1567,2)=LEFT('112'!$M$9,2),B1567&lt;'112'!$K$9,$N1567='112'!$I$6)),"x",""))</f>
        <v/>
      </c>
      <c r="V1567" s="81" t="str">
        <f>IF(ISERROR(FIND('112'!$M$9,G1567,1)),"",IF((AND(RIGHT(G1567,2)=RIGHT('112'!$M$9,2),B1567&lt;'112'!$K$9,$O1567='112'!$I$6)),"x",""))</f>
        <v/>
      </c>
      <c r="W1567" s="81" t="str">
        <f>IF(AND('341-CT'!$H$9=H1567,OR(LEFT(N1567,3)=$W$7,LEFT(O1567,3)=$W$7)),"x","")</f>
        <v/>
      </c>
      <c r="X1567" s="81" t="str">
        <f>IF(OR(TH!N1567=TH!$X$7,O1567=TH!$X$7),"x","")</f>
        <v/>
      </c>
      <c r="Y1567" s="81" t="str">
        <f>IF(AND(OR(N1567="131",O1567="131"),H1567='131-CT'!$H$9),"x","")</f>
        <v/>
      </c>
      <c r="Z1567" s="81"/>
      <c r="AA1567" s="81" t="str">
        <f>IF(AND(MONTH(E1567)='IN-NX'!$J$5,'IN-NX'!$D$7=D1567),"x","")</f>
        <v/>
      </c>
      <c r="AB1567" s="81" t="str">
        <f>IF(AND(OR(LEFT(TH!N1567,2)="15",LEFT(TH!O1567,2)="15"),LEFT(TH!O1567,3)&lt;&gt;"111",'152-CT'!$J$8=TH!F1567),"x","")</f>
        <v/>
      </c>
      <c r="AC1567" s="81" t="str">
        <f>IF(AND(OR(LEFT(TH!N1567,2)="15",LEFT(TH!O1567,2)="15"),TK!$E$7=TH!F1567),"x","")</f>
        <v/>
      </c>
      <c r="AD1567" s="81" t="str">
        <f>IF(AND(N1567="1521",MONTH(C1567)='BK-NL'!$M$11),"x","")</f>
        <v/>
      </c>
    </row>
    <row r="1568" spans="1:30" ht="15.75" customHeight="1">
      <c r="A1568" s="327" t="str">
        <f>IF(B1568&lt;&gt;"",IF(AND(B1568='IN-TC'!$S$4,OR(TH!N1568="1111",TH!O1568="1111")),TH!D1568,""),"")</f>
        <v/>
      </c>
      <c r="B1568" s="62" t="str">
        <f t="shared" si="351"/>
        <v/>
      </c>
      <c r="C1568" s="63"/>
      <c r="D1568" s="63"/>
      <c r="E1568" s="63"/>
      <c r="F1568" s="66"/>
      <c r="G1568" s="66"/>
      <c r="H1568" s="71"/>
      <c r="I1568" s="405"/>
      <c r="J1568" s="408"/>
      <c r="K1568" s="398"/>
      <c r="L1568" s="405"/>
      <c r="M1568" s="64"/>
      <c r="N1568" s="65"/>
      <c r="O1568" s="65"/>
      <c r="P1568" s="81" t="str">
        <f>IF(AND('331-CT'!$E$7=TH!H1568,OR(N1568="331",O1568="331")),"x","")</f>
        <v/>
      </c>
      <c r="Q1568" s="81" t="str">
        <f>IF(AND(B1568='111'!$L$11,OR($N1568=$Q$7,$O1568=$Q$7)),"x","")</f>
        <v/>
      </c>
      <c r="R1568" s="81" t="str">
        <f>IF(AND($N1568=$Q$7,$B1568&lt;'111'!$L$11),"x","")</f>
        <v/>
      </c>
      <c r="S1568" s="81" t="str">
        <f>IF(AND($O1568=$Q$7,$B1568&lt;'111'!$L$11),"x","")</f>
        <v/>
      </c>
      <c r="T1568" s="81" t="str">
        <f>IF(ISERROR(FIND('112'!$M$9,G1568,1)),"",IF((AND(FIND('112'!$M$9,G1568,1)&gt;=1,B1568='112'!$K$9,OR($N1568='112'!$I$6,$O1568='112'!$I$6))),"x",""))</f>
        <v/>
      </c>
      <c r="U1568" s="81" t="str">
        <f>IF(ISERROR(FIND('112'!$M$9,G1568,1)),"",IF((AND(LEFT(G1568,2)=LEFT('112'!$M$9,2),B1568&lt;'112'!$K$9,$N1568='112'!$I$6)),"x",""))</f>
        <v/>
      </c>
      <c r="V1568" s="81" t="str">
        <f>IF(ISERROR(FIND('112'!$M$9,G1568,1)),"",IF((AND(RIGHT(G1568,2)=RIGHT('112'!$M$9,2),B1568&lt;'112'!$K$9,$O1568='112'!$I$6)),"x",""))</f>
        <v/>
      </c>
      <c r="W1568" s="81" t="str">
        <f>IF(AND('341-CT'!$H$9=H1568,OR(LEFT(N1568,3)=$W$7,LEFT(O1568,3)=$W$7)),"x","")</f>
        <v/>
      </c>
      <c r="X1568" s="81" t="str">
        <f>IF(OR(TH!N1568=TH!$X$7,O1568=TH!$X$7),"x","")</f>
        <v/>
      </c>
      <c r="Y1568" s="81" t="str">
        <f>IF(AND(OR(N1568="131",O1568="131"),H1568='131-CT'!$H$9),"x","")</f>
        <v/>
      </c>
      <c r="Z1568" s="81"/>
      <c r="AA1568" s="81" t="str">
        <f>IF(AND(MONTH(E1568)='IN-NX'!$J$5,'IN-NX'!$D$7=D1568),"x","")</f>
        <v/>
      </c>
      <c r="AB1568" s="81" t="str">
        <f>IF(AND(OR(LEFT(TH!N1568,2)="15",LEFT(TH!O1568,2)="15"),LEFT(TH!O1568,3)&lt;&gt;"111",'152-CT'!$J$8=TH!F1568),"x","")</f>
        <v/>
      </c>
      <c r="AC1568" s="81" t="str">
        <f>IF(AND(OR(LEFT(TH!N1568,2)="15",LEFT(TH!O1568,2)="15"),TK!$E$7=TH!F1568),"x","")</f>
        <v/>
      </c>
      <c r="AD1568" s="81" t="str">
        <f>IF(AND(N1568="1521",MONTH(C1568)='BK-NL'!$M$11),"x","")</f>
        <v/>
      </c>
    </row>
    <row r="1569" spans="1:30" ht="15.75" customHeight="1">
      <c r="A1569" s="327" t="str">
        <f>IF(B1569&lt;&gt;"",IF(AND(B1569='IN-TC'!$S$4,OR(TH!N1569="1111",TH!O1569="1111")),TH!D1569,""),"")</f>
        <v/>
      </c>
      <c r="B1569" s="62" t="str">
        <f t="shared" si="351"/>
        <v/>
      </c>
      <c r="C1569" s="63"/>
      <c r="D1569" s="63"/>
      <c r="E1569" s="63"/>
      <c r="F1569" s="66"/>
      <c r="G1569" s="66"/>
      <c r="H1569" s="71"/>
      <c r="I1569" s="405"/>
      <c r="J1569" s="408"/>
      <c r="K1569" s="398"/>
      <c r="L1569" s="405"/>
      <c r="M1569" s="64"/>
      <c r="N1569" s="65"/>
      <c r="O1569" s="65"/>
      <c r="P1569" s="81" t="str">
        <f>IF(AND('331-CT'!$E$7=TH!H1569,OR(N1569="331",O1569="331")),"x","")</f>
        <v/>
      </c>
      <c r="Q1569" s="81" t="str">
        <f>IF(AND(B1569='111'!$L$11,OR($N1569=$Q$7,$O1569=$Q$7)),"x","")</f>
        <v/>
      </c>
      <c r="R1569" s="81" t="str">
        <f>IF(AND($N1569=$Q$7,$B1569&lt;'111'!$L$11),"x","")</f>
        <v/>
      </c>
      <c r="S1569" s="81" t="str">
        <f>IF(AND($O1569=$Q$7,$B1569&lt;'111'!$L$11),"x","")</f>
        <v/>
      </c>
      <c r="T1569" s="81" t="str">
        <f>IF(ISERROR(FIND('112'!$M$9,G1569,1)),"",IF((AND(FIND('112'!$M$9,G1569,1)&gt;=1,B1569='112'!$K$9,OR($N1569='112'!$I$6,$O1569='112'!$I$6))),"x",""))</f>
        <v/>
      </c>
      <c r="U1569" s="81" t="str">
        <f>IF(ISERROR(FIND('112'!$M$9,G1569,1)),"",IF((AND(LEFT(G1569,2)=LEFT('112'!$M$9,2),B1569&lt;'112'!$K$9,$N1569='112'!$I$6)),"x",""))</f>
        <v/>
      </c>
      <c r="V1569" s="81" t="str">
        <f>IF(ISERROR(FIND('112'!$M$9,G1569,1)),"",IF((AND(RIGHT(G1569,2)=RIGHT('112'!$M$9,2),B1569&lt;'112'!$K$9,$O1569='112'!$I$6)),"x",""))</f>
        <v/>
      </c>
      <c r="W1569" s="81" t="str">
        <f>IF(AND('341-CT'!$H$9=H1569,OR(LEFT(N1569,3)=$W$7,LEFT(O1569,3)=$W$7)),"x","")</f>
        <v/>
      </c>
      <c r="X1569" s="81" t="str">
        <f>IF(OR(TH!N1569=TH!$X$7,O1569=TH!$X$7),"x","")</f>
        <v/>
      </c>
      <c r="Y1569" s="81" t="str">
        <f>IF(AND(OR(N1569="131",O1569="131"),H1569='131-CT'!$H$9),"x","")</f>
        <v/>
      </c>
      <c r="Z1569" s="81"/>
      <c r="AA1569" s="81" t="str">
        <f>IF(AND(MONTH(E1569)='IN-NX'!$J$5,'IN-NX'!$D$7=D1569),"x","")</f>
        <v/>
      </c>
      <c r="AB1569" s="81" t="str">
        <f>IF(AND(OR(LEFT(TH!N1569,2)="15",LEFT(TH!O1569,2)="15"),LEFT(TH!O1569,3)&lt;&gt;"111",'152-CT'!$J$8=TH!F1569),"x","")</f>
        <v/>
      </c>
      <c r="AC1569" s="81" t="str">
        <f>IF(AND(OR(LEFT(TH!N1569,2)="15",LEFT(TH!O1569,2)="15"),TK!$E$7=TH!F1569),"x","")</f>
        <v/>
      </c>
      <c r="AD1569" s="81" t="str">
        <f>IF(AND(N1569="1521",MONTH(C1569)='BK-NL'!$M$11),"x","")</f>
        <v/>
      </c>
    </row>
    <row r="1570" spans="1:30" ht="15.75" customHeight="1">
      <c r="A1570" s="327" t="str">
        <f>IF(B1570&lt;&gt;"",IF(AND(B1570='IN-TC'!$S$4,OR(TH!N1570="1111",TH!O1570="1111")),TH!D1570,""),"")</f>
        <v/>
      </c>
      <c r="B1570" s="62" t="str">
        <f t="shared" si="351"/>
        <v/>
      </c>
      <c r="C1570" s="63"/>
      <c r="D1570" s="63"/>
      <c r="E1570" s="63"/>
      <c r="F1570" s="66"/>
      <c r="G1570" s="66"/>
      <c r="H1570" s="71"/>
      <c r="I1570" s="407"/>
      <c r="J1570" s="408"/>
      <c r="K1570" s="400"/>
      <c r="L1570" s="407"/>
      <c r="M1570" s="64"/>
      <c r="N1570" s="65"/>
      <c r="O1570" s="65"/>
      <c r="P1570" s="81" t="str">
        <f>IF(AND('331-CT'!$E$7=TH!H1570,OR(N1570="331",O1570="331")),"x","")</f>
        <v/>
      </c>
      <c r="Q1570" s="81" t="str">
        <f>IF(AND(B1570='111'!$L$11,OR($N1570=$Q$7,$O1570=$Q$7)),"x","")</f>
        <v/>
      </c>
      <c r="R1570" s="81" t="str">
        <f>IF(AND($N1570=$Q$7,$B1570&lt;'111'!$L$11),"x","")</f>
        <v/>
      </c>
      <c r="S1570" s="81" t="str">
        <f>IF(AND($O1570=$Q$7,$B1570&lt;'111'!$L$11),"x","")</f>
        <v/>
      </c>
      <c r="T1570" s="81" t="str">
        <f>IF(ISERROR(FIND('112'!$M$9,G1570,1)),"",IF((AND(FIND('112'!$M$9,G1570,1)&gt;=1,B1570='112'!$K$9,OR($N1570='112'!$I$6,$O1570='112'!$I$6))),"x",""))</f>
        <v/>
      </c>
      <c r="U1570" s="81" t="str">
        <f>IF(ISERROR(FIND('112'!$M$9,G1570,1)),"",IF((AND(LEFT(G1570,2)=LEFT('112'!$M$9,2),B1570&lt;'112'!$K$9,$N1570='112'!$I$6)),"x",""))</f>
        <v/>
      </c>
      <c r="V1570" s="81" t="str">
        <f>IF(ISERROR(FIND('112'!$M$9,G1570,1)),"",IF((AND(RIGHT(G1570,2)=RIGHT('112'!$M$9,2),B1570&lt;'112'!$K$9,$O1570='112'!$I$6)),"x",""))</f>
        <v/>
      </c>
      <c r="W1570" s="81" t="str">
        <f>IF(AND('341-CT'!$H$9=H1570,OR(LEFT(N1570,3)=$W$7,LEFT(O1570,3)=$W$7)),"x","")</f>
        <v/>
      </c>
      <c r="X1570" s="81" t="str">
        <f>IF(OR(TH!N1570=TH!$X$7,O1570=TH!$X$7),"x","")</f>
        <v/>
      </c>
      <c r="Y1570" s="81" t="str">
        <f>IF(AND(OR(N1570="131",O1570="131"),H1570='131-CT'!$H$9),"x","")</f>
        <v/>
      </c>
      <c r="Z1570" s="81"/>
      <c r="AA1570" s="81" t="str">
        <f>IF(AND(MONTH(E1570)='IN-NX'!$J$5,'IN-NX'!$D$7=D1570),"x","")</f>
        <v/>
      </c>
      <c r="AB1570" s="81" t="str">
        <f>IF(AND(OR(LEFT(TH!N1570,2)="15",LEFT(TH!O1570,2)="15"),LEFT(TH!O1570,3)&lt;&gt;"111",'152-CT'!$J$8=TH!F1570),"x","")</f>
        <v/>
      </c>
      <c r="AC1570" s="81" t="str">
        <f>IF(AND(OR(LEFT(TH!N1570,2)="15",LEFT(TH!O1570,2)="15"),TK!$E$7=TH!F1570),"x","")</f>
        <v/>
      </c>
      <c r="AD1570" s="81" t="str">
        <f>IF(AND(N1570="1521",MONTH(C1570)='BK-NL'!$M$11),"x","")</f>
        <v/>
      </c>
    </row>
    <row r="1571" spans="1:30" ht="15.75" customHeight="1">
      <c r="A1571" s="327" t="str">
        <f>IF(B1571&lt;&gt;"",IF(AND(B1571='IN-TC'!$S$4,OR(TH!N1571="1111",TH!O1571="1111")),TH!D1571,""),"")</f>
        <v/>
      </c>
      <c r="B1571" s="62" t="str">
        <f t="shared" si="351"/>
        <v/>
      </c>
      <c r="C1571" s="63"/>
      <c r="D1571" s="63"/>
      <c r="E1571" s="63"/>
      <c r="F1571" s="66"/>
      <c r="G1571" s="66"/>
      <c r="H1571" s="71"/>
      <c r="I1571" s="405"/>
      <c r="J1571" s="408"/>
      <c r="K1571" s="398"/>
      <c r="L1571" s="405"/>
      <c r="M1571" s="64"/>
      <c r="N1571" s="65"/>
      <c r="O1571" s="65"/>
      <c r="P1571" s="81" t="str">
        <f>IF(AND('331-CT'!$E$7=TH!H1571,OR(N1571="331",O1571="331")),"x","")</f>
        <v/>
      </c>
      <c r="Q1571" s="81" t="str">
        <f>IF(AND(B1571='111'!$L$11,OR($N1571=$Q$7,$O1571=$Q$7)),"x","")</f>
        <v/>
      </c>
      <c r="R1571" s="81" t="str">
        <f>IF(AND($N1571=$Q$7,$B1571&lt;'111'!$L$11),"x","")</f>
        <v/>
      </c>
      <c r="S1571" s="81" t="str">
        <f>IF(AND($O1571=$Q$7,$B1571&lt;'111'!$L$11),"x","")</f>
        <v/>
      </c>
      <c r="T1571" s="81" t="str">
        <f>IF(ISERROR(FIND('112'!$M$9,G1571,1)),"",IF((AND(FIND('112'!$M$9,G1571,1)&gt;=1,B1571='112'!$K$9,OR($N1571='112'!$I$6,$O1571='112'!$I$6))),"x",""))</f>
        <v/>
      </c>
      <c r="U1571" s="81" t="str">
        <f>IF(ISERROR(FIND('112'!$M$9,G1571,1)),"",IF((AND(LEFT(G1571,2)=LEFT('112'!$M$9,2),B1571&lt;'112'!$K$9,$N1571='112'!$I$6)),"x",""))</f>
        <v/>
      </c>
      <c r="V1571" s="81" t="str">
        <f>IF(ISERROR(FIND('112'!$M$9,G1571,1)),"",IF((AND(RIGHT(G1571,2)=RIGHT('112'!$M$9,2),B1571&lt;'112'!$K$9,$O1571='112'!$I$6)),"x",""))</f>
        <v/>
      </c>
      <c r="W1571" s="81" t="str">
        <f>IF(AND('341-CT'!$H$9=H1571,OR(LEFT(N1571,3)=$W$7,LEFT(O1571,3)=$W$7)),"x","")</f>
        <v/>
      </c>
      <c r="X1571" s="81" t="str">
        <f>IF(OR(TH!N1571=TH!$X$7,O1571=TH!$X$7),"x","")</f>
        <v/>
      </c>
      <c r="Y1571" s="81" t="str">
        <f>IF(AND(OR(N1571="131",O1571="131"),H1571='131-CT'!$H$9),"x","")</f>
        <v/>
      </c>
      <c r="Z1571" s="81"/>
      <c r="AA1571" s="81" t="str">
        <f>IF(AND(MONTH(E1571)='IN-NX'!$J$5,'IN-NX'!$D$7=D1571),"x","")</f>
        <v/>
      </c>
      <c r="AB1571" s="81" t="str">
        <f>IF(AND(OR(LEFT(TH!N1571,2)="15",LEFT(TH!O1571,2)="15"),LEFT(TH!O1571,3)&lt;&gt;"111",'152-CT'!$J$8=TH!F1571),"x","")</f>
        <v/>
      </c>
      <c r="AC1571" s="81" t="str">
        <f>IF(AND(OR(LEFT(TH!N1571,2)="15",LEFT(TH!O1571,2)="15"),TK!$E$7=TH!F1571),"x","")</f>
        <v/>
      </c>
      <c r="AD1571" s="81" t="str">
        <f>IF(AND(N1571="1521",MONTH(C1571)='BK-NL'!$M$11),"x","")</f>
        <v/>
      </c>
    </row>
    <row r="1572" spans="1:30" ht="15.75" customHeight="1">
      <c r="A1572" s="327" t="str">
        <f>IF(B1572&lt;&gt;"",IF(AND(B1572='IN-TC'!$S$4,OR(TH!N1572="1111",TH!O1572="1111")),TH!D1572,""),"")</f>
        <v/>
      </c>
      <c r="B1572" s="62" t="str">
        <f t="shared" si="351"/>
        <v/>
      </c>
      <c r="C1572" s="63"/>
      <c r="D1572" s="63"/>
      <c r="E1572" s="63"/>
      <c r="F1572" s="66"/>
      <c r="G1572" s="66"/>
      <c r="H1572" s="71"/>
      <c r="I1572" s="407"/>
      <c r="J1572" s="408"/>
      <c r="K1572" s="400"/>
      <c r="L1572" s="407"/>
      <c r="M1572" s="64"/>
      <c r="N1572" s="65"/>
      <c r="O1572" s="65"/>
      <c r="P1572" s="81" t="str">
        <f>IF(AND('331-CT'!$E$7=TH!H1572,OR(N1572="331",O1572="331")),"x","")</f>
        <v/>
      </c>
      <c r="Q1572" s="81" t="str">
        <f>IF(AND(B1572='111'!$L$11,OR($N1572=$Q$7,$O1572=$Q$7)),"x","")</f>
        <v/>
      </c>
      <c r="R1572" s="81" t="str">
        <f>IF(AND($N1572=$Q$7,$B1572&lt;'111'!$L$11),"x","")</f>
        <v/>
      </c>
      <c r="S1572" s="81" t="str">
        <f>IF(AND($O1572=$Q$7,$B1572&lt;'111'!$L$11),"x","")</f>
        <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row>
    <row r="1573" spans="1:30" ht="15.75" customHeight="1">
      <c r="A1573" s="327" t="str">
        <f>IF(B1573&lt;&gt;"",IF(AND(B1573='IN-TC'!$S$4,OR(TH!N1573="1111",TH!O1573="1111")),TH!D1573,""),"")</f>
        <v/>
      </c>
      <c r="B1573" s="62" t="str">
        <f t="shared" si="351"/>
        <v/>
      </c>
      <c r="C1573" s="63"/>
      <c r="D1573" s="63"/>
      <c r="E1573" s="63"/>
      <c r="F1573" s="66"/>
      <c r="G1573" s="66"/>
      <c r="H1573" s="71"/>
      <c r="I1573" s="405"/>
      <c r="J1573" s="408"/>
      <c r="K1573" s="398"/>
      <c r="L1573" s="405"/>
      <c r="M1573" s="64"/>
      <c r="N1573" s="65"/>
      <c r="O1573" s="65"/>
      <c r="P1573" s="81" t="str">
        <f>IF(AND('331-CT'!$E$7=TH!H1573,OR(N1573="331",O1573="331")),"x","")</f>
        <v/>
      </c>
      <c r="Q1573" s="81" t="str">
        <f>IF(AND(B1573='111'!$L$11,OR($N1573=$Q$7,$O1573=$Q$7)),"x","")</f>
        <v/>
      </c>
      <c r="R1573" s="81" t="str">
        <f>IF(AND($N1573=$Q$7,$B1573&lt;'111'!$L$11),"x","")</f>
        <v/>
      </c>
      <c r="S1573" s="81" t="str">
        <f>IF(AND($O1573=$Q$7,$B1573&lt;'111'!$L$11),"x","")</f>
        <v/>
      </c>
      <c r="T1573" s="81" t="str">
        <f>IF(ISERROR(FIND('112'!$M$9,G1573,1)),"",IF((AND(FIND('112'!$M$9,G1573,1)&gt;=1,B1573='112'!$K$9,OR($N1573='112'!$I$6,$O1573='112'!$I$6))),"x",""))</f>
        <v/>
      </c>
      <c r="U1573" s="81" t="str">
        <f>IF(ISERROR(FIND('112'!$M$9,G1573,1)),"",IF((AND(LEFT(G1573,2)=LEFT('112'!$M$9,2),B1573&lt;'112'!$K$9,$N1573='112'!$I$6)),"x",""))</f>
        <v/>
      </c>
      <c r="V1573" s="81" t="str">
        <f>IF(ISERROR(FIND('112'!$M$9,G1573,1)),"",IF((AND(RIGHT(G1573,2)=RIGHT('112'!$M$9,2),B1573&lt;'112'!$K$9,$O1573='112'!$I$6)),"x",""))</f>
        <v/>
      </c>
      <c r="W1573" s="81" t="str">
        <f>IF(AND('341-CT'!$H$9=H1573,OR(LEFT(N1573,3)=$W$7,LEFT(O1573,3)=$W$7)),"x","")</f>
        <v/>
      </c>
      <c r="X1573" s="81" t="str">
        <f>IF(OR(TH!N1573=TH!$X$7,O1573=TH!$X$7),"x","")</f>
        <v/>
      </c>
      <c r="Y1573" s="81" t="str">
        <f>IF(AND(OR(N1573="131",O1573="131"),H1573='131-CT'!$H$9),"x","")</f>
        <v/>
      </c>
      <c r="Z1573" s="81"/>
      <c r="AA1573" s="81" t="str">
        <f>IF(AND(MONTH(E1573)='IN-NX'!$J$5,'IN-NX'!$D$7=D1573),"x","")</f>
        <v/>
      </c>
      <c r="AB1573" s="81" t="str">
        <f>IF(AND(OR(LEFT(TH!N1573,2)="15",LEFT(TH!O1573,2)="15"),LEFT(TH!O1573,3)&lt;&gt;"111",'152-CT'!$J$8=TH!F1573),"x","")</f>
        <v/>
      </c>
      <c r="AC1573" s="81" t="str">
        <f>IF(AND(OR(LEFT(TH!N1573,2)="15",LEFT(TH!O1573,2)="15"),TK!$E$7=TH!F1573),"x","")</f>
        <v/>
      </c>
      <c r="AD1573" s="81" t="str">
        <f>IF(AND(N1573="1521",MONTH(C1573)='BK-NL'!$M$11),"x","")</f>
        <v/>
      </c>
    </row>
    <row r="1574" spans="1:30" ht="15.75" customHeight="1">
      <c r="A1574" s="327" t="str">
        <f>IF(B1574&lt;&gt;"",IF(AND(B1574='IN-TC'!$S$4,OR(TH!N1574="1111",TH!O1574="1111")),TH!D1574,""),"")</f>
        <v/>
      </c>
      <c r="B1574" s="62" t="str">
        <f t="shared" si="351"/>
        <v/>
      </c>
      <c r="C1574" s="63"/>
      <c r="D1574" s="63"/>
      <c r="E1574" s="63"/>
      <c r="F1574" s="66"/>
      <c r="G1574" s="66"/>
      <c r="H1574" s="71"/>
      <c r="I1574" s="405"/>
      <c r="J1574" s="408"/>
      <c r="K1574" s="398"/>
      <c r="L1574" s="405"/>
      <c r="M1574" s="64"/>
      <c r="N1574" s="65"/>
      <c r="O1574" s="65"/>
      <c r="P1574" s="81" t="str">
        <f>IF(AND('331-CT'!$E$7=TH!H1574,OR(N1574="331",O1574="331")),"x","")</f>
        <v/>
      </c>
      <c r="Q1574" s="81" t="str">
        <f>IF(AND(B1574='111'!$L$11,OR($N1574=$Q$7,$O1574=$Q$7)),"x","")</f>
        <v/>
      </c>
      <c r="R1574" s="81" t="str">
        <f>IF(AND($N1574=$Q$7,$B1574&lt;'111'!$L$11),"x","")</f>
        <v/>
      </c>
      <c r="S1574" s="81" t="str">
        <f>IF(AND($O1574=$Q$7,$B1574&lt;'111'!$L$11),"x","")</f>
        <v/>
      </c>
      <c r="T1574" s="81" t="str">
        <f>IF(ISERROR(FIND('112'!$M$9,G1574,1)),"",IF((AND(FIND('112'!$M$9,G1574,1)&gt;=1,B1574='112'!$K$9,OR($N1574='112'!$I$6,$O1574='112'!$I$6))),"x",""))</f>
        <v/>
      </c>
      <c r="U1574" s="81" t="str">
        <f>IF(ISERROR(FIND('112'!$M$9,G1574,1)),"",IF((AND(LEFT(G1574,2)=LEFT('112'!$M$9,2),B1574&lt;'112'!$K$9,$N1574='112'!$I$6)),"x",""))</f>
        <v/>
      </c>
      <c r="V1574" s="81" t="str">
        <f>IF(ISERROR(FIND('112'!$M$9,G1574,1)),"",IF((AND(RIGHT(G1574,2)=RIGHT('112'!$M$9,2),B1574&lt;'112'!$K$9,$O1574='112'!$I$6)),"x",""))</f>
        <v/>
      </c>
      <c r="W1574" s="81" t="str">
        <f>IF(AND('341-CT'!$H$9=H1574,OR(LEFT(N1574,3)=$W$7,LEFT(O1574,3)=$W$7)),"x","")</f>
        <v/>
      </c>
      <c r="X1574" s="81" t="str">
        <f>IF(OR(TH!N1574=TH!$X$7,O1574=TH!$X$7),"x","")</f>
        <v/>
      </c>
      <c r="Y1574" s="81" t="str">
        <f>IF(AND(OR(N1574="131",O1574="131"),H1574='131-CT'!$H$9),"x","")</f>
        <v/>
      </c>
      <c r="Z1574" s="81"/>
      <c r="AA1574" s="81" t="str">
        <f>IF(AND(MONTH(E1574)='IN-NX'!$J$5,'IN-NX'!$D$7=D1574),"x","")</f>
        <v/>
      </c>
      <c r="AB1574" s="81" t="str">
        <f>IF(AND(OR(LEFT(TH!N1574,2)="15",LEFT(TH!O1574,2)="15"),LEFT(TH!O1574,3)&lt;&gt;"111",'152-CT'!$J$8=TH!F1574),"x","")</f>
        <v/>
      </c>
      <c r="AC1574" s="81" t="str">
        <f>IF(AND(OR(LEFT(TH!N1574,2)="15",LEFT(TH!O1574,2)="15"),TK!$E$7=TH!F1574),"x","")</f>
        <v/>
      </c>
      <c r="AD1574" s="81" t="str">
        <f>IF(AND(N1574="1521",MONTH(C1574)='BK-NL'!$M$11),"x","")</f>
        <v/>
      </c>
    </row>
    <row r="1575" spans="1:30" ht="15.75" customHeight="1">
      <c r="A1575" s="327" t="str">
        <f>IF(B1575&lt;&gt;"",IF(AND(B1575='IN-TC'!$S$4,OR(TH!N1575="1111",TH!O1575="1111")),TH!D1575,""),"")</f>
        <v/>
      </c>
      <c r="B1575" s="62" t="str">
        <f t="shared" si="351"/>
        <v/>
      </c>
      <c r="C1575" s="63"/>
      <c r="D1575" s="63"/>
      <c r="E1575" s="63"/>
      <c r="F1575" s="66"/>
      <c r="G1575" s="66"/>
      <c r="H1575" s="71"/>
      <c r="I1575" s="405"/>
      <c r="J1575" s="408"/>
      <c r="K1575" s="398"/>
      <c r="L1575" s="405"/>
      <c r="M1575" s="64"/>
      <c r="N1575" s="65"/>
      <c r="O1575" s="65"/>
      <c r="P1575" s="81" t="str">
        <f>IF(AND('331-CT'!$E$7=TH!H1575,OR(N1575="331",O1575="331")),"x","")</f>
        <v/>
      </c>
      <c r="Q1575" s="81" t="str">
        <f>IF(AND(B1575='111'!$L$11,OR($N1575=$Q$7,$O1575=$Q$7)),"x","")</f>
        <v/>
      </c>
      <c r="R1575" s="81" t="str">
        <f>IF(AND($N1575=$Q$7,$B1575&lt;'111'!$L$11),"x","")</f>
        <v/>
      </c>
      <c r="S1575" s="81" t="str">
        <f>IF(AND($O1575=$Q$7,$B1575&lt;'111'!$L$11),"x","")</f>
        <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row>
    <row r="1576" spans="1:30" ht="15.75" customHeight="1">
      <c r="A1576" s="327" t="str">
        <f>IF(B1576&lt;&gt;"",IF(AND(B1576='IN-TC'!$S$4,OR(TH!N1576="1111",TH!O1576="1111")),TH!D1576,""),"")</f>
        <v/>
      </c>
      <c r="B1576" s="62" t="str">
        <f t="shared" si="351"/>
        <v/>
      </c>
      <c r="C1576" s="63"/>
      <c r="D1576" s="63"/>
      <c r="E1576" s="63"/>
      <c r="F1576" s="66"/>
      <c r="G1576" s="66"/>
      <c r="H1576" s="71"/>
      <c r="I1576" s="405"/>
      <c r="J1576" s="408"/>
      <c r="K1576" s="398"/>
      <c r="L1576" s="405"/>
      <c r="M1576" s="64"/>
      <c r="N1576" s="65"/>
      <c r="O1576" s="65"/>
      <c r="P1576" s="81" t="str">
        <f>IF(AND('331-CT'!$E$7=TH!H1576,OR(N1576="331",O1576="331")),"x","")</f>
        <v/>
      </c>
      <c r="Q1576" s="81" t="str">
        <f>IF(AND(B1576='111'!$L$11,OR($N1576=$Q$7,$O1576=$Q$7)),"x","")</f>
        <v/>
      </c>
      <c r="R1576" s="81" t="str">
        <f>IF(AND($N1576=$Q$7,$B1576&lt;'111'!$L$11),"x","")</f>
        <v/>
      </c>
      <c r="S1576" s="81" t="str">
        <f>IF(AND($O1576=$Q$7,$B1576&lt;'111'!$L$11),"x","")</f>
        <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row>
    <row r="1577" spans="1:30" ht="15.75" customHeight="1">
      <c r="A1577" s="327" t="str">
        <f>IF(B1577&lt;&gt;"",IF(AND(B1577='IN-TC'!$S$4,OR(TH!N1577="1111",TH!O1577="1111")),TH!D1577,""),"")</f>
        <v/>
      </c>
      <c r="B1577" s="62" t="str">
        <f t="shared" si="351"/>
        <v/>
      </c>
      <c r="C1577" s="63"/>
      <c r="D1577" s="63"/>
      <c r="E1577" s="63"/>
      <c r="F1577" s="66"/>
      <c r="G1577" s="66"/>
      <c r="H1577" s="71"/>
      <c r="I1577" s="407"/>
      <c r="J1577" s="408"/>
      <c r="K1577" s="400"/>
      <c r="L1577" s="407"/>
      <c r="M1577" s="64"/>
      <c r="N1577" s="65"/>
      <c r="O1577" s="65"/>
      <c r="P1577" s="81" t="str">
        <f>IF(AND('331-CT'!$E$7=TH!H1577,OR(N1577="331",O1577="331")),"x","")</f>
        <v/>
      </c>
      <c r="Q1577" s="81" t="str">
        <f>IF(AND(B1577='111'!$L$11,OR($N1577=$Q$7,$O1577=$Q$7)),"x","")</f>
        <v/>
      </c>
      <c r="R1577" s="81" t="str">
        <f>IF(AND($N1577=$Q$7,$B1577&lt;'111'!$L$11),"x","")</f>
        <v/>
      </c>
      <c r="S1577" s="81" t="str">
        <f>IF(AND($O1577=$Q$7,$B1577&lt;'111'!$L$11),"x","")</f>
        <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row>
    <row r="1578" spans="1:30" ht="15.75" customHeight="1">
      <c r="A1578" s="327" t="str">
        <f>IF(B1578&lt;&gt;"",IF(AND(B1578='IN-TC'!$S$4,OR(TH!N1578="1111",TH!O1578="1111")),TH!D1578,""),"")</f>
        <v/>
      </c>
      <c r="B1578" s="62" t="str">
        <f t="shared" si="351"/>
        <v/>
      </c>
      <c r="C1578" s="63"/>
      <c r="D1578" s="63"/>
      <c r="E1578" s="63"/>
      <c r="F1578" s="66"/>
      <c r="G1578" s="66"/>
      <c r="H1578" s="71"/>
      <c r="I1578" s="405"/>
      <c r="J1578" s="408"/>
      <c r="K1578" s="398"/>
      <c r="L1578" s="405"/>
      <c r="M1578" s="64"/>
      <c r="N1578" s="65"/>
      <c r="O1578" s="65"/>
      <c r="P1578" s="81" t="str">
        <f>IF(AND('331-CT'!$E$7=TH!H1578,OR(N1578="331",O1578="331")),"x","")</f>
        <v/>
      </c>
      <c r="Q1578" s="81" t="str">
        <f>IF(AND(B1578='111'!$L$11,OR($N1578=$Q$7,$O1578=$Q$7)),"x","")</f>
        <v/>
      </c>
      <c r="R1578" s="81" t="str">
        <f>IF(AND($N1578=$Q$7,$B1578&lt;'111'!$L$11),"x","")</f>
        <v/>
      </c>
      <c r="S1578" s="81" t="str">
        <f>IF(AND($O1578=$Q$7,$B1578&lt;'111'!$L$11),"x","")</f>
        <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row>
    <row r="1579" spans="1:30" ht="15.75" customHeight="1">
      <c r="A1579" s="327" t="str">
        <f>IF(B1579&lt;&gt;"",IF(AND(B1579='IN-TC'!$S$4,OR(TH!N1579="1111",TH!O1579="1111")),TH!D1579,""),"")</f>
        <v/>
      </c>
      <c r="B1579" s="62" t="str">
        <f t="shared" si="351"/>
        <v/>
      </c>
      <c r="C1579" s="63"/>
      <c r="D1579" s="63"/>
      <c r="E1579" s="63"/>
      <c r="F1579" s="66"/>
      <c r="G1579" s="66"/>
      <c r="H1579" s="71"/>
      <c r="I1579" s="405"/>
      <c r="J1579" s="408"/>
      <c r="K1579" s="398"/>
      <c r="L1579" s="405"/>
      <c r="M1579" s="64"/>
      <c r="N1579" s="65"/>
      <c r="O1579" s="65"/>
      <c r="P1579" s="81" t="str">
        <f>IF(AND('331-CT'!$E$7=TH!H1579,OR(N1579="331",O1579="331")),"x","")</f>
        <v/>
      </c>
      <c r="Q1579" s="81" t="str">
        <f>IF(AND(B1579='111'!$L$11,OR($N1579=$Q$7,$O1579=$Q$7)),"x","")</f>
        <v/>
      </c>
      <c r="R1579" s="81" t="str">
        <f>IF(AND($N1579=$Q$7,$B1579&lt;'111'!$L$11),"x","")</f>
        <v/>
      </c>
      <c r="S1579" s="81" t="str">
        <f>IF(AND($O1579=$Q$7,$B1579&lt;'111'!$L$11),"x","")</f>
        <v/>
      </c>
      <c r="T1579" s="81" t="str">
        <f>IF(ISERROR(FIND('112'!$M$9,G1579,1)),"",IF((AND(FIND('112'!$M$9,G1579,1)&gt;=1,B1579='112'!$K$9,OR($N1579='112'!$I$6,$O1579='112'!$I$6))),"x",""))</f>
        <v/>
      </c>
      <c r="U1579" s="81" t="str">
        <f>IF(ISERROR(FIND('112'!$M$9,G1579,1)),"",IF((AND(LEFT(G1579,2)=LEFT('112'!$M$9,2),B1579&lt;'112'!$K$9,$N1579='112'!$I$6)),"x",""))</f>
        <v/>
      </c>
      <c r="V1579" s="81" t="str">
        <f>IF(ISERROR(FIND('112'!$M$9,G1579,1)),"",IF((AND(RIGHT(G1579,2)=RIGHT('112'!$M$9,2),B1579&lt;'112'!$K$9,$O1579='112'!$I$6)),"x",""))</f>
        <v/>
      </c>
      <c r="W1579" s="81" t="str">
        <f>IF(AND('341-CT'!$H$9=H1579,OR(LEFT(N1579,3)=$W$7,LEFT(O1579,3)=$W$7)),"x","")</f>
        <v/>
      </c>
      <c r="X1579" s="81" t="str">
        <f>IF(OR(TH!N1579=TH!$X$7,O1579=TH!$X$7),"x","")</f>
        <v/>
      </c>
      <c r="Y1579" s="81" t="str">
        <f>IF(AND(OR(N1579="131",O1579="131"),H1579='131-CT'!$H$9),"x","")</f>
        <v/>
      </c>
      <c r="Z1579" s="81"/>
      <c r="AA1579" s="81" t="str">
        <f>IF(AND(MONTH(E1579)='IN-NX'!$J$5,'IN-NX'!$D$7=D1579),"x","")</f>
        <v/>
      </c>
      <c r="AB1579" s="81" t="str">
        <f>IF(AND(OR(LEFT(TH!N1579,2)="15",LEFT(TH!O1579,2)="15"),LEFT(TH!O1579,3)&lt;&gt;"111",'152-CT'!$J$8=TH!F1579),"x","")</f>
        <v/>
      </c>
      <c r="AC1579" s="81" t="str">
        <f>IF(AND(OR(LEFT(TH!N1579,2)="15",LEFT(TH!O1579,2)="15"),TK!$E$7=TH!F1579),"x","")</f>
        <v/>
      </c>
      <c r="AD1579" s="81" t="str">
        <f>IF(AND(N1579="1521",MONTH(C1579)='BK-NL'!$M$11),"x","")</f>
        <v/>
      </c>
    </row>
    <row r="1580" spans="1:30" ht="15.75" customHeight="1">
      <c r="A1580" s="327" t="str">
        <f>IF(B1580&lt;&gt;"",IF(AND(B1580='IN-TC'!$S$4,OR(TH!N1580="1111",TH!O1580="1111")),TH!D1580,""),"")</f>
        <v/>
      </c>
      <c r="B1580" s="62" t="str">
        <f t="shared" ref="B1580:B1643" si="352">IF(C1580&lt;&gt;"",MONTH(C1580),"")</f>
        <v/>
      </c>
      <c r="C1580" s="63"/>
      <c r="D1580" s="63"/>
      <c r="E1580" s="63"/>
      <c r="F1580" s="66"/>
      <c r="G1580" s="66"/>
      <c r="H1580" s="71"/>
      <c r="I1580" s="405"/>
      <c r="J1580" s="408"/>
      <c r="K1580" s="398"/>
      <c r="L1580" s="405"/>
      <c r="M1580" s="64"/>
      <c r="N1580" s="65"/>
      <c r="O1580" s="65"/>
      <c r="P1580" s="81" t="str">
        <f>IF(AND('331-CT'!$E$7=TH!H1580,OR(N1580="331",O1580="331")),"x","")</f>
        <v/>
      </c>
      <c r="Q1580" s="81" t="str">
        <f>IF(AND(B1580='111'!$L$11,OR($N1580=$Q$7,$O1580=$Q$7)),"x","")</f>
        <v/>
      </c>
      <c r="R1580" s="81" t="str">
        <f>IF(AND($N1580=$Q$7,$B1580&lt;'111'!$L$11),"x","")</f>
        <v/>
      </c>
      <c r="S1580" s="81" t="str">
        <f>IF(AND($O1580=$Q$7,$B1580&lt;'111'!$L$11),"x","")</f>
        <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row>
    <row r="1581" spans="1:30" ht="15.75" customHeight="1">
      <c r="A1581" s="327" t="str">
        <f>IF(B1581&lt;&gt;"",IF(AND(B1581='IN-TC'!$S$4,OR(TH!N1581="1111",TH!O1581="1111")),TH!D1581,""),"")</f>
        <v/>
      </c>
      <c r="B1581" s="62" t="str">
        <f t="shared" si="352"/>
        <v/>
      </c>
      <c r="C1581" s="63"/>
      <c r="D1581" s="63"/>
      <c r="E1581" s="63"/>
      <c r="F1581" s="66"/>
      <c r="G1581" s="66"/>
      <c r="H1581" s="71"/>
      <c r="I1581" s="405"/>
      <c r="J1581" s="408"/>
      <c r="K1581" s="398"/>
      <c r="L1581" s="405"/>
      <c r="M1581" s="64"/>
      <c r="N1581" s="65"/>
      <c r="O1581" s="65"/>
      <c r="P1581" s="81" t="str">
        <f>IF(AND('331-CT'!$E$7=TH!H1581,OR(N1581="331",O1581="331")),"x","")</f>
        <v/>
      </c>
      <c r="Q1581" s="81" t="str">
        <f>IF(AND(B1581='111'!$L$11,OR($N1581=$Q$7,$O1581=$Q$7)),"x","")</f>
        <v/>
      </c>
      <c r="R1581" s="81" t="str">
        <f>IF(AND($N1581=$Q$7,$B1581&lt;'111'!$L$11),"x","")</f>
        <v/>
      </c>
      <c r="S1581" s="81" t="str">
        <f>IF(AND($O1581=$Q$7,$B1581&lt;'111'!$L$11),"x","")</f>
        <v/>
      </c>
      <c r="T1581" s="81" t="str">
        <f>IF(ISERROR(FIND('112'!$M$9,G1581,1)),"",IF((AND(FIND('112'!$M$9,G1581,1)&gt;=1,B1581='112'!$K$9,OR($N1581='112'!$I$6,$O1581='112'!$I$6))),"x",""))</f>
        <v/>
      </c>
      <c r="U1581" s="81" t="str">
        <f>IF(ISERROR(FIND('112'!$M$9,G1581,1)),"",IF((AND(LEFT(G1581,2)=LEFT('112'!$M$9,2),B1581&lt;'112'!$K$9,$N1581='112'!$I$6)),"x",""))</f>
        <v/>
      </c>
      <c r="V1581" s="81" t="str">
        <f>IF(ISERROR(FIND('112'!$M$9,G1581,1)),"",IF((AND(RIGHT(G1581,2)=RIGHT('112'!$M$9,2),B1581&lt;'112'!$K$9,$O1581='112'!$I$6)),"x",""))</f>
        <v/>
      </c>
      <c r="W1581" s="81" t="str">
        <f>IF(AND('341-CT'!$H$9=H1581,OR(LEFT(N1581,3)=$W$7,LEFT(O1581,3)=$W$7)),"x","")</f>
        <v/>
      </c>
      <c r="X1581" s="81" t="str">
        <f>IF(OR(TH!N1581=TH!$X$7,O1581=TH!$X$7),"x","")</f>
        <v/>
      </c>
      <c r="Y1581" s="81" t="str">
        <f>IF(AND(OR(N1581="131",O1581="131"),H1581='131-CT'!$H$9),"x","")</f>
        <v/>
      </c>
      <c r="Z1581" s="81"/>
      <c r="AA1581" s="81" t="str">
        <f>IF(AND(MONTH(E1581)='IN-NX'!$J$5,'IN-NX'!$D$7=D1581),"x","")</f>
        <v/>
      </c>
      <c r="AB1581" s="81" t="str">
        <f>IF(AND(OR(LEFT(TH!N1581,2)="15",LEFT(TH!O1581,2)="15"),LEFT(TH!O1581,3)&lt;&gt;"111",'152-CT'!$J$8=TH!F1581),"x","")</f>
        <v/>
      </c>
      <c r="AC1581" s="81" t="str">
        <f>IF(AND(OR(LEFT(TH!N1581,2)="15",LEFT(TH!O1581,2)="15"),TK!$E$7=TH!F1581),"x","")</f>
        <v/>
      </c>
      <c r="AD1581" s="81" t="str">
        <f>IF(AND(N1581="1521",MONTH(C1581)='BK-NL'!$M$11),"x","")</f>
        <v/>
      </c>
    </row>
    <row r="1582" spans="1:30" ht="15.75" customHeight="1">
      <c r="A1582" s="327" t="str">
        <f>IF(B1582&lt;&gt;"",IF(AND(B1582='IN-TC'!$S$4,OR(TH!N1582="1111",TH!O1582="1111")),TH!D1582,""),"")</f>
        <v/>
      </c>
      <c r="B1582" s="62" t="str">
        <f t="shared" si="352"/>
        <v/>
      </c>
      <c r="C1582" s="63"/>
      <c r="D1582" s="63"/>
      <c r="E1582" s="63"/>
      <c r="F1582" s="66"/>
      <c r="G1582" s="66"/>
      <c r="H1582" s="71"/>
      <c r="I1582" s="407"/>
      <c r="J1582" s="408"/>
      <c r="K1582" s="400"/>
      <c r="L1582" s="407"/>
      <c r="M1582" s="64"/>
      <c r="N1582" s="65"/>
      <c r="O1582" s="65"/>
      <c r="P1582" s="81" t="str">
        <f>IF(AND('331-CT'!$E$7=TH!H1582,OR(N1582="331",O1582="331")),"x","")</f>
        <v/>
      </c>
      <c r="Q1582" s="81" t="str">
        <f>IF(AND(B1582='111'!$L$11,OR($N1582=$Q$7,$O1582=$Q$7)),"x","")</f>
        <v/>
      </c>
      <c r="R1582" s="81" t="str">
        <f>IF(AND($N1582=$Q$7,$B1582&lt;'111'!$L$11),"x","")</f>
        <v/>
      </c>
      <c r="S1582" s="81" t="str">
        <f>IF(AND($O1582=$Q$7,$B1582&lt;'111'!$L$11),"x","")</f>
        <v/>
      </c>
      <c r="T1582" s="81" t="str">
        <f>IF(ISERROR(FIND('112'!$M$9,G1582,1)),"",IF((AND(FIND('112'!$M$9,G1582,1)&gt;=1,B1582='112'!$K$9,OR($N1582='112'!$I$6,$O1582='112'!$I$6))),"x",""))</f>
        <v/>
      </c>
      <c r="U1582" s="81" t="str">
        <f>IF(ISERROR(FIND('112'!$M$9,G1582,1)),"",IF((AND(LEFT(G1582,2)=LEFT('112'!$M$9,2),B1582&lt;'112'!$K$9,$N1582='112'!$I$6)),"x",""))</f>
        <v/>
      </c>
      <c r="V1582" s="81" t="str">
        <f>IF(ISERROR(FIND('112'!$M$9,G1582,1)),"",IF((AND(RIGHT(G1582,2)=RIGHT('112'!$M$9,2),B1582&lt;'112'!$K$9,$O1582='112'!$I$6)),"x",""))</f>
        <v/>
      </c>
      <c r="W1582" s="81" t="str">
        <f>IF(AND('341-CT'!$H$9=H1582,OR(LEFT(N1582,3)=$W$7,LEFT(O1582,3)=$W$7)),"x","")</f>
        <v/>
      </c>
      <c r="X1582" s="81" t="str">
        <f>IF(OR(TH!N1582=TH!$X$7,O1582=TH!$X$7),"x","")</f>
        <v/>
      </c>
      <c r="Y1582" s="81" t="str">
        <f>IF(AND(OR(N1582="131",O1582="131"),H1582='131-CT'!$H$9),"x","")</f>
        <v/>
      </c>
      <c r="Z1582" s="81"/>
      <c r="AA1582" s="81" t="str">
        <f>IF(AND(MONTH(E1582)='IN-NX'!$J$5,'IN-NX'!$D$7=D1582),"x","")</f>
        <v/>
      </c>
      <c r="AB1582" s="81" t="str">
        <f>IF(AND(OR(LEFT(TH!N1582,2)="15",LEFT(TH!O1582,2)="15"),LEFT(TH!O1582,3)&lt;&gt;"111",'152-CT'!$J$8=TH!F1582),"x","")</f>
        <v/>
      </c>
      <c r="AC1582" s="81" t="str">
        <f>IF(AND(OR(LEFT(TH!N1582,2)="15",LEFT(TH!O1582,2)="15"),TK!$E$7=TH!F1582),"x","")</f>
        <v/>
      </c>
      <c r="AD1582" s="81" t="str">
        <f>IF(AND(N1582="1521",MONTH(C1582)='BK-NL'!$M$11),"x","")</f>
        <v/>
      </c>
    </row>
    <row r="1583" spans="1:30" ht="15.75" customHeight="1">
      <c r="A1583" s="327" t="str">
        <f>IF(B1583&lt;&gt;"",IF(AND(B1583='IN-TC'!$S$4,OR(TH!N1583="1111",TH!O1583="1111")),TH!D1583,""),"")</f>
        <v/>
      </c>
      <c r="B1583" s="62" t="str">
        <f t="shared" si="352"/>
        <v/>
      </c>
      <c r="C1583" s="63"/>
      <c r="D1583" s="63"/>
      <c r="E1583" s="63"/>
      <c r="F1583" s="66"/>
      <c r="G1583" s="66"/>
      <c r="H1583" s="71"/>
      <c r="I1583" s="405"/>
      <c r="J1583" s="408"/>
      <c r="K1583" s="398"/>
      <c r="L1583" s="405"/>
      <c r="M1583" s="64"/>
      <c r="N1583" s="65"/>
      <c r="O1583" s="65"/>
      <c r="P1583" s="81" t="str">
        <f>IF(AND('331-CT'!$E$7=TH!H1583,OR(N1583="331",O1583="331")),"x","")</f>
        <v/>
      </c>
      <c r="Q1583" s="81" t="str">
        <f>IF(AND(B1583='111'!$L$11,OR($N1583=$Q$7,$O1583=$Q$7)),"x","")</f>
        <v/>
      </c>
      <c r="R1583" s="81" t="str">
        <f>IF(AND($N1583=$Q$7,$B1583&lt;'111'!$L$11),"x","")</f>
        <v/>
      </c>
      <c r="S1583" s="81" t="str">
        <f>IF(AND($O1583=$Q$7,$B1583&lt;'111'!$L$11),"x","")</f>
        <v/>
      </c>
      <c r="T1583" s="81" t="str">
        <f>IF(ISERROR(FIND('112'!$M$9,G1583,1)),"",IF((AND(FIND('112'!$M$9,G1583,1)&gt;=1,B1583='112'!$K$9,OR($N1583='112'!$I$6,$O1583='112'!$I$6))),"x",""))</f>
        <v/>
      </c>
      <c r="U1583" s="81" t="str">
        <f>IF(ISERROR(FIND('112'!$M$9,G1583,1)),"",IF((AND(LEFT(G1583,2)=LEFT('112'!$M$9,2),B1583&lt;'112'!$K$9,$N1583='112'!$I$6)),"x",""))</f>
        <v/>
      </c>
      <c r="V1583" s="81" t="str">
        <f>IF(ISERROR(FIND('112'!$M$9,G1583,1)),"",IF((AND(RIGHT(G1583,2)=RIGHT('112'!$M$9,2),B1583&lt;'112'!$K$9,$O1583='112'!$I$6)),"x",""))</f>
        <v/>
      </c>
      <c r="W1583" s="81" t="str">
        <f>IF(AND('341-CT'!$H$9=H1583,OR(LEFT(N1583,3)=$W$7,LEFT(O1583,3)=$W$7)),"x","")</f>
        <v/>
      </c>
      <c r="X1583" s="81" t="str">
        <f>IF(OR(TH!N1583=TH!$X$7,O1583=TH!$X$7),"x","")</f>
        <v/>
      </c>
      <c r="Y1583" s="81" t="str">
        <f>IF(AND(OR(N1583="131",O1583="131"),H1583='131-CT'!$H$9),"x","")</f>
        <v/>
      </c>
      <c r="Z1583" s="81"/>
      <c r="AA1583" s="81" t="str">
        <f>IF(AND(MONTH(E1583)='IN-NX'!$J$5,'IN-NX'!$D$7=D1583),"x","")</f>
        <v/>
      </c>
      <c r="AB1583" s="81" t="str">
        <f>IF(AND(OR(LEFT(TH!N1583,2)="15",LEFT(TH!O1583,2)="15"),LEFT(TH!O1583,3)&lt;&gt;"111",'152-CT'!$J$8=TH!F1583),"x","")</f>
        <v/>
      </c>
      <c r="AC1583" s="81" t="str">
        <f>IF(AND(OR(LEFT(TH!N1583,2)="15",LEFT(TH!O1583,2)="15"),TK!$E$7=TH!F1583),"x","")</f>
        <v/>
      </c>
      <c r="AD1583" s="81" t="str">
        <f>IF(AND(N1583="1521",MONTH(C1583)='BK-NL'!$M$11),"x","")</f>
        <v/>
      </c>
    </row>
    <row r="1584" spans="1:30" ht="15.75" customHeight="1">
      <c r="A1584" s="327" t="str">
        <f>IF(B1584&lt;&gt;"",IF(AND(B1584='IN-TC'!$S$4,OR(TH!N1584="1111",TH!O1584="1111")),TH!D1584,""),"")</f>
        <v/>
      </c>
      <c r="B1584" s="62" t="str">
        <f t="shared" si="352"/>
        <v/>
      </c>
      <c r="C1584" s="63"/>
      <c r="D1584" s="63"/>
      <c r="E1584" s="63"/>
      <c r="F1584" s="66"/>
      <c r="G1584" s="66"/>
      <c r="H1584" s="71"/>
      <c r="I1584" s="408"/>
      <c r="J1584" s="408"/>
      <c r="K1584" s="401"/>
      <c r="L1584" s="408"/>
      <c r="M1584" s="64"/>
      <c r="N1584" s="65"/>
      <c r="O1584" s="65"/>
      <c r="P1584" s="81" t="str">
        <f>IF(AND('331-CT'!$E$7=TH!H1584,OR(N1584="331",O1584="331")),"x","")</f>
        <v/>
      </c>
      <c r="Q1584" s="81" t="str">
        <f>IF(AND(B1584='111'!$L$11,OR($N1584=$Q$7,$O1584=$Q$7)),"x","")</f>
        <v/>
      </c>
      <c r="R1584" s="81" t="str">
        <f>IF(AND($N1584=$Q$7,$B1584&lt;'111'!$L$11),"x","")</f>
        <v/>
      </c>
      <c r="S1584" s="81" t="str">
        <f>IF(AND($O1584=$Q$7,$B1584&lt;'111'!$L$11),"x","")</f>
        <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row>
    <row r="1585" spans="1:30" ht="15.75" customHeight="1">
      <c r="A1585" s="327" t="str">
        <f>IF(B1585&lt;&gt;"",IF(AND(B1585='IN-TC'!$S$4,OR(TH!N1585="1111",TH!O1585="1111")),TH!D1585,""),"")</f>
        <v/>
      </c>
      <c r="B1585" s="62" t="str">
        <f t="shared" si="352"/>
        <v/>
      </c>
      <c r="C1585" s="63"/>
      <c r="D1585" s="63"/>
      <c r="E1585" s="63"/>
      <c r="F1585" s="66"/>
      <c r="G1585" s="66"/>
      <c r="H1585" s="71"/>
      <c r="I1585" s="407"/>
      <c r="J1585" s="408"/>
      <c r="K1585" s="400"/>
      <c r="L1585" s="407"/>
      <c r="M1585" s="64"/>
      <c r="N1585" s="65"/>
      <c r="O1585" s="65"/>
      <c r="P1585" s="81" t="str">
        <f>IF(AND('331-CT'!$E$7=TH!H1585,OR(N1585="331",O1585="331")),"x","")</f>
        <v/>
      </c>
      <c r="Q1585" s="81" t="str">
        <f>IF(AND(B1585='111'!$L$11,OR($N1585=$Q$7,$O1585=$Q$7)),"x","")</f>
        <v/>
      </c>
      <c r="R1585" s="81" t="str">
        <f>IF(AND($N1585=$Q$7,$B1585&lt;'111'!$L$11),"x","")</f>
        <v/>
      </c>
      <c r="S1585" s="81" t="str">
        <f>IF(AND($O1585=$Q$7,$B1585&lt;'111'!$L$11),"x","")</f>
        <v/>
      </c>
      <c r="T1585" s="81" t="str">
        <f>IF(ISERROR(FIND('112'!$M$9,G1585,1)),"",IF((AND(FIND('112'!$M$9,G1585,1)&gt;=1,B1585='112'!$K$9,OR($N1585='112'!$I$6,$O1585='112'!$I$6))),"x",""))</f>
        <v/>
      </c>
      <c r="U1585" s="81" t="str">
        <f>IF(ISERROR(FIND('112'!$M$9,G1585,1)),"",IF((AND(LEFT(G1585,2)=LEFT('112'!$M$9,2),B1585&lt;'112'!$K$9,$N1585='112'!$I$6)),"x",""))</f>
        <v/>
      </c>
      <c r="V1585" s="81" t="str">
        <f>IF(ISERROR(FIND('112'!$M$9,G1585,1)),"",IF((AND(RIGHT(G1585,2)=RIGHT('112'!$M$9,2),B1585&lt;'112'!$K$9,$O1585='112'!$I$6)),"x",""))</f>
        <v/>
      </c>
      <c r="W1585" s="81" t="str">
        <f>IF(AND('341-CT'!$H$9=H1585,OR(LEFT(N1585,3)=$W$7,LEFT(O1585,3)=$W$7)),"x","")</f>
        <v/>
      </c>
      <c r="X1585" s="81" t="str">
        <f>IF(OR(TH!N1585=TH!$X$7,O1585=TH!$X$7),"x","")</f>
        <v/>
      </c>
      <c r="Y1585" s="81" t="str">
        <f>IF(AND(OR(N1585="131",O1585="131"),H1585='131-CT'!$H$9),"x","")</f>
        <v/>
      </c>
      <c r="Z1585" s="81"/>
      <c r="AA1585" s="81" t="str">
        <f>IF(AND(MONTH(E1585)='IN-NX'!$J$5,'IN-NX'!$D$7=D1585),"x","")</f>
        <v/>
      </c>
      <c r="AB1585" s="81" t="str">
        <f>IF(AND(OR(LEFT(TH!N1585,2)="15",LEFT(TH!O1585,2)="15"),LEFT(TH!O1585,3)&lt;&gt;"111",'152-CT'!$J$8=TH!F1585),"x","")</f>
        <v/>
      </c>
      <c r="AC1585" s="81" t="str">
        <f>IF(AND(OR(LEFT(TH!N1585,2)="15",LEFT(TH!O1585,2)="15"),TK!$E$7=TH!F1585),"x","")</f>
        <v/>
      </c>
      <c r="AD1585" s="81" t="str">
        <f>IF(AND(N1585="1521",MONTH(C1585)='BK-NL'!$M$11),"x","")</f>
        <v/>
      </c>
    </row>
    <row r="1586" spans="1:30" ht="15.75" customHeight="1">
      <c r="A1586" s="327" t="str">
        <f>IF(B1586&lt;&gt;"",IF(AND(B1586='IN-TC'!$S$4,OR(TH!N1586="1111",TH!O1586="1111")),TH!D1586,""),"")</f>
        <v/>
      </c>
      <c r="B1586" s="62" t="str">
        <f t="shared" si="352"/>
        <v/>
      </c>
      <c r="C1586" s="63"/>
      <c r="D1586" s="63"/>
      <c r="E1586" s="63"/>
      <c r="F1586" s="66"/>
      <c r="G1586" s="66"/>
      <c r="H1586" s="71"/>
      <c r="I1586" s="407"/>
      <c r="J1586" s="408"/>
      <c r="K1586" s="400"/>
      <c r="L1586" s="407"/>
      <c r="M1586" s="64"/>
      <c r="N1586" s="65"/>
      <c r="O1586" s="65"/>
      <c r="P1586" s="81" t="str">
        <f>IF(AND('331-CT'!$E$7=TH!H1586,OR(N1586="331",O1586="331")),"x","")</f>
        <v/>
      </c>
      <c r="Q1586" s="81" t="str">
        <f>IF(AND(B1586='111'!$L$11,OR($N1586=$Q$7,$O1586=$Q$7)),"x","")</f>
        <v/>
      </c>
      <c r="R1586" s="81" t="str">
        <f>IF(AND($N1586=$Q$7,$B1586&lt;'111'!$L$11),"x","")</f>
        <v/>
      </c>
      <c r="S1586" s="81" t="str">
        <f>IF(AND($O1586=$Q$7,$B1586&lt;'111'!$L$11),"x","")</f>
        <v/>
      </c>
      <c r="T1586" s="81" t="str">
        <f>IF(ISERROR(FIND('112'!$M$9,G1586,1)),"",IF((AND(FIND('112'!$M$9,G1586,1)&gt;=1,B1586='112'!$K$9,OR($N1586='112'!$I$6,$O1586='112'!$I$6))),"x",""))</f>
        <v/>
      </c>
      <c r="U1586" s="81" t="str">
        <f>IF(ISERROR(FIND('112'!$M$9,G1586,1)),"",IF((AND(LEFT(G1586,2)=LEFT('112'!$M$9,2),B1586&lt;'112'!$K$9,$N1586='112'!$I$6)),"x",""))</f>
        <v/>
      </c>
      <c r="V1586" s="81" t="str">
        <f>IF(ISERROR(FIND('112'!$M$9,G1586,1)),"",IF((AND(RIGHT(G1586,2)=RIGHT('112'!$M$9,2),B1586&lt;'112'!$K$9,$O1586='112'!$I$6)),"x",""))</f>
        <v/>
      </c>
      <c r="W1586" s="81" t="str">
        <f>IF(AND('341-CT'!$H$9=H1586,OR(LEFT(N1586,3)=$W$7,LEFT(O1586,3)=$W$7)),"x","")</f>
        <v/>
      </c>
      <c r="X1586" s="81" t="str">
        <f>IF(OR(TH!N1586=TH!$X$7,O1586=TH!$X$7),"x","")</f>
        <v/>
      </c>
      <c r="Y1586" s="81" t="str">
        <f>IF(AND(OR(N1586="131",O1586="131"),H1586='131-CT'!$H$9),"x","")</f>
        <v/>
      </c>
      <c r="Z1586" s="81"/>
      <c r="AA1586" s="81" t="str">
        <f>IF(AND(MONTH(E1586)='IN-NX'!$J$5,'IN-NX'!$D$7=D1586),"x","")</f>
        <v/>
      </c>
      <c r="AB1586" s="81" t="str">
        <f>IF(AND(OR(LEFT(TH!N1586,2)="15",LEFT(TH!O1586,2)="15"),LEFT(TH!O1586,3)&lt;&gt;"111",'152-CT'!$J$8=TH!F1586),"x","")</f>
        <v/>
      </c>
      <c r="AC1586" s="81" t="str">
        <f>IF(AND(OR(LEFT(TH!N1586,2)="15",LEFT(TH!O1586,2)="15"),TK!$E$7=TH!F1586),"x","")</f>
        <v/>
      </c>
      <c r="AD1586" s="81" t="str">
        <f>IF(AND(N1586="1521",MONTH(C1586)='BK-NL'!$M$11),"x","")</f>
        <v/>
      </c>
    </row>
    <row r="1587" spans="1:30" ht="15.75" customHeight="1">
      <c r="A1587" s="327" t="str">
        <f>IF(B1587&lt;&gt;"",IF(AND(B1587='IN-TC'!$S$4,OR(TH!N1587="1111",TH!O1587="1111")),TH!D1587,""),"")</f>
        <v/>
      </c>
      <c r="B1587" s="62" t="str">
        <f t="shared" si="352"/>
        <v/>
      </c>
      <c r="C1587" s="63"/>
      <c r="D1587" s="63"/>
      <c r="E1587" s="63"/>
      <c r="F1587" s="66"/>
      <c r="G1587" s="66"/>
      <c r="H1587" s="72"/>
      <c r="I1587" s="408"/>
      <c r="J1587" s="408"/>
      <c r="K1587" s="401"/>
      <c r="L1587" s="408"/>
      <c r="M1587" s="64"/>
      <c r="N1587" s="65"/>
      <c r="O1587" s="65"/>
      <c r="P1587" s="81" t="str">
        <f>IF(AND('331-CT'!$E$7=TH!H1587,OR(N1587="331",O1587="331")),"x","")</f>
        <v/>
      </c>
      <c r="Q1587" s="81" t="str">
        <f>IF(AND(B1587='111'!$L$11,OR($N1587=$Q$7,$O1587=$Q$7)),"x","")</f>
        <v/>
      </c>
      <c r="R1587" s="81" t="str">
        <f>IF(AND($N1587=$Q$7,$B1587&lt;'111'!$L$11),"x","")</f>
        <v/>
      </c>
      <c r="S1587" s="81" t="str">
        <f>IF(AND($O1587=$Q$7,$B1587&lt;'111'!$L$11),"x","")</f>
        <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row>
    <row r="1588" spans="1:30" ht="15.75" customHeight="1">
      <c r="A1588" s="327" t="str">
        <f>IF(B1588&lt;&gt;"",IF(AND(B1588='IN-TC'!$S$4,OR(TH!N1588="1111",TH!O1588="1111")),TH!D1588,""),"")</f>
        <v/>
      </c>
      <c r="B1588" s="62" t="str">
        <f t="shared" si="352"/>
        <v/>
      </c>
      <c r="C1588" s="63"/>
      <c r="D1588" s="63"/>
      <c r="E1588" s="63"/>
      <c r="F1588" s="66"/>
      <c r="G1588" s="66"/>
      <c r="H1588" s="71"/>
      <c r="I1588" s="405"/>
      <c r="J1588" s="408"/>
      <c r="K1588" s="398"/>
      <c r="L1588" s="405"/>
      <c r="M1588" s="64"/>
      <c r="N1588" s="65"/>
      <c r="O1588" s="65"/>
      <c r="P1588" s="81" t="str">
        <f>IF(AND('331-CT'!$E$7=TH!H1588,OR(N1588="331",O1588="331")),"x","")</f>
        <v/>
      </c>
      <c r="Q1588" s="81" t="str">
        <f>IF(AND(B1588='111'!$L$11,OR($N1588=$Q$7,$O1588=$Q$7)),"x","")</f>
        <v/>
      </c>
      <c r="R1588" s="81" t="str">
        <f>IF(AND($N1588=$Q$7,$B1588&lt;'111'!$L$11),"x","")</f>
        <v/>
      </c>
      <c r="S1588" s="81" t="str">
        <f>IF(AND($O1588=$Q$7,$B1588&lt;'111'!$L$11),"x","")</f>
        <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row>
    <row r="1589" spans="1:30" ht="15.75" customHeight="1">
      <c r="A1589" s="327" t="str">
        <f>IF(B1589&lt;&gt;"",IF(AND(B1589='IN-TC'!$S$4,OR(TH!N1589="1111",TH!O1589="1111")),TH!D1589,""),"")</f>
        <v/>
      </c>
      <c r="B1589" s="62" t="str">
        <f t="shared" si="352"/>
        <v/>
      </c>
      <c r="C1589" s="63"/>
      <c r="D1589" s="63"/>
      <c r="E1589" s="63"/>
      <c r="F1589" s="66"/>
      <c r="G1589" s="66"/>
      <c r="H1589" s="71"/>
      <c r="I1589" s="405"/>
      <c r="J1589" s="408"/>
      <c r="K1589" s="398"/>
      <c r="L1589" s="405"/>
      <c r="M1589" s="64"/>
      <c r="N1589" s="65"/>
      <c r="O1589" s="65"/>
      <c r="P1589" s="81" t="str">
        <f>IF(AND('331-CT'!$E$7=TH!H1589,OR(N1589="331",O1589="331")),"x","")</f>
        <v/>
      </c>
      <c r="Q1589" s="81" t="str">
        <f>IF(AND(B1589='111'!$L$11,OR($N1589=$Q$7,$O1589=$Q$7)),"x","")</f>
        <v/>
      </c>
      <c r="R1589" s="81" t="str">
        <f>IF(AND($N1589=$Q$7,$B1589&lt;'111'!$L$11),"x","")</f>
        <v/>
      </c>
      <c r="S1589" s="81" t="str">
        <f>IF(AND($O1589=$Q$7,$B1589&lt;'111'!$L$11),"x","")</f>
        <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row>
    <row r="1590" spans="1:30" ht="15.75" customHeight="1">
      <c r="A1590" s="327" t="str">
        <f>IF(B1590&lt;&gt;"",IF(AND(B1590='IN-TC'!$S$4,OR(TH!N1590="1111",TH!O1590="1111")),TH!D1590,""),"")</f>
        <v/>
      </c>
      <c r="B1590" s="62" t="str">
        <f t="shared" si="352"/>
        <v/>
      </c>
      <c r="C1590" s="63"/>
      <c r="D1590" s="63"/>
      <c r="E1590" s="63"/>
      <c r="F1590" s="66"/>
      <c r="G1590" s="66"/>
      <c r="H1590" s="71"/>
      <c r="I1590" s="405"/>
      <c r="J1590" s="408"/>
      <c r="K1590" s="398"/>
      <c r="L1590" s="405"/>
      <c r="M1590" s="64"/>
      <c r="N1590" s="65"/>
      <c r="O1590" s="65"/>
      <c r="P1590" s="81" t="str">
        <f>IF(AND('331-CT'!$E$7=TH!H1590,OR(N1590="331",O1590="331")),"x","")</f>
        <v/>
      </c>
      <c r="Q1590" s="81" t="str">
        <f>IF(AND(B1590='111'!$L$11,OR($N1590=$Q$7,$O1590=$Q$7)),"x","")</f>
        <v/>
      </c>
      <c r="R1590" s="81" t="str">
        <f>IF(AND($N1590=$Q$7,$B1590&lt;'111'!$L$11),"x","")</f>
        <v/>
      </c>
      <c r="S1590" s="81" t="str">
        <f>IF(AND($O1590=$Q$7,$B1590&lt;'111'!$L$11),"x","")</f>
        <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row>
    <row r="1591" spans="1:30" ht="15.75" customHeight="1">
      <c r="A1591" s="327" t="str">
        <f>IF(B1591&lt;&gt;"",IF(AND(B1591='IN-TC'!$S$4,OR(TH!N1591="1111",TH!O1591="1111")),TH!D1591,""),"")</f>
        <v/>
      </c>
      <c r="B1591" s="62" t="str">
        <f t="shared" si="352"/>
        <v/>
      </c>
      <c r="C1591" s="63"/>
      <c r="D1591" s="63"/>
      <c r="E1591" s="63"/>
      <c r="F1591" s="66"/>
      <c r="G1591" s="66"/>
      <c r="H1591" s="71"/>
      <c r="I1591" s="405"/>
      <c r="J1591" s="408"/>
      <c r="K1591" s="398"/>
      <c r="L1591" s="405"/>
      <c r="M1591" s="64"/>
      <c r="N1591" s="65"/>
      <c r="O1591" s="65"/>
      <c r="P1591" s="81" t="str">
        <f>IF(AND('331-CT'!$E$7=TH!H1591,OR(N1591="331",O1591="331")),"x","")</f>
        <v/>
      </c>
      <c r="Q1591" s="81" t="str">
        <f>IF(AND(B1591='111'!$L$11,OR($N1591=$Q$7,$O1591=$Q$7)),"x","")</f>
        <v/>
      </c>
      <c r="R1591" s="81" t="str">
        <f>IF(AND($N1591=$Q$7,$B1591&lt;'111'!$L$11),"x","")</f>
        <v/>
      </c>
      <c r="S1591" s="81" t="str">
        <f>IF(AND($O1591=$Q$7,$B1591&lt;'111'!$L$11),"x","")</f>
        <v/>
      </c>
      <c r="T1591" s="81" t="str">
        <f>IF(ISERROR(FIND('112'!$M$9,G1591,1)),"",IF((AND(FIND('112'!$M$9,G1591,1)&gt;=1,B1591='112'!$K$9,OR($N1591='112'!$I$6,$O1591='112'!$I$6))),"x",""))</f>
        <v/>
      </c>
      <c r="U1591" s="81" t="str">
        <f>IF(ISERROR(FIND('112'!$M$9,G1591,1)),"",IF((AND(LEFT(G1591,2)=LEFT('112'!$M$9,2),B1591&lt;'112'!$K$9,$N1591='112'!$I$6)),"x",""))</f>
        <v/>
      </c>
      <c r="V1591" s="81" t="str">
        <f>IF(ISERROR(FIND('112'!$M$9,G1591,1)),"",IF((AND(RIGHT(G1591,2)=RIGHT('112'!$M$9,2),B1591&lt;'112'!$K$9,$O1591='112'!$I$6)),"x",""))</f>
        <v/>
      </c>
      <c r="W1591" s="81" t="str">
        <f>IF(AND('341-CT'!$H$9=H1591,OR(LEFT(N1591,3)=$W$7,LEFT(O1591,3)=$W$7)),"x","")</f>
        <v/>
      </c>
      <c r="X1591" s="81" t="str">
        <f>IF(OR(TH!N1591=TH!$X$7,O1591=TH!$X$7),"x","")</f>
        <v/>
      </c>
      <c r="Y1591" s="81" t="str">
        <f>IF(AND(OR(N1591="131",O1591="131"),H1591='131-CT'!$H$9),"x","")</f>
        <v/>
      </c>
      <c r="Z1591" s="81"/>
      <c r="AA1591" s="81" t="str">
        <f>IF(AND(MONTH(E1591)='IN-NX'!$J$5,'IN-NX'!$D$7=D1591),"x","")</f>
        <v/>
      </c>
      <c r="AB1591" s="81" t="str">
        <f>IF(AND(OR(LEFT(TH!N1591,2)="15",LEFT(TH!O1591,2)="15"),LEFT(TH!O1591,3)&lt;&gt;"111",'152-CT'!$J$8=TH!F1591),"x","")</f>
        <v/>
      </c>
      <c r="AC1591" s="81" t="str">
        <f>IF(AND(OR(LEFT(TH!N1591,2)="15",LEFT(TH!O1591,2)="15"),TK!$E$7=TH!F1591),"x","")</f>
        <v/>
      </c>
      <c r="AD1591" s="81" t="str">
        <f>IF(AND(N1591="1521",MONTH(C1591)='BK-NL'!$M$11),"x","")</f>
        <v/>
      </c>
    </row>
    <row r="1592" spans="1:30" ht="15.75" customHeight="1">
      <c r="A1592" s="327" t="str">
        <f>IF(B1592&lt;&gt;"",IF(AND(B1592='IN-TC'!$S$4,OR(TH!N1592="1111",TH!O1592="1111")),TH!D1592,""),"")</f>
        <v/>
      </c>
      <c r="B1592" s="62" t="str">
        <f t="shared" si="352"/>
        <v/>
      </c>
      <c r="C1592" s="63"/>
      <c r="D1592" s="63"/>
      <c r="E1592" s="63"/>
      <c r="F1592" s="66"/>
      <c r="G1592" s="66"/>
      <c r="H1592" s="71"/>
      <c r="I1592" s="405"/>
      <c r="J1592" s="408"/>
      <c r="K1592" s="398"/>
      <c r="L1592" s="405"/>
      <c r="M1592" s="64"/>
      <c r="N1592" s="65"/>
      <c r="O1592" s="65"/>
      <c r="P1592" s="81" t="str">
        <f>IF(AND('331-CT'!$E$7=TH!H1592,OR(N1592="331",O1592="331")),"x","")</f>
        <v/>
      </c>
      <c r="Q1592" s="81" t="str">
        <f>IF(AND(B1592='111'!$L$11,OR($N1592=$Q$7,$O1592=$Q$7)),"x","")</f>
        <v/>
      </c>
      <c r="R1592" s="81" t="str">
        <f>IF(AND($N1592=$Q$7,$B1592&lt;'111'!$L$11),"x","")</f>
        <v/>
      </c>
      <c r="S1592" s="81" t="str">
        <f>IF(AND($O1592=$Q$7,$B1592&lt;'111'!$L$11),"x","")</f>
        <v/>
      </c>
      <c r="T1592" s="81" t="str">
        <f>IF(ISERROR(FIND('112'!$M$9,G1592,1)),"",IF((AND(FIND('112'!$M$9,G1592,1)&gt;=1,B1592='112'!$K$9,OR($N1592='112'!$I$6,$O1592='112'!$I$6))),"x",""))</f>
        <v/>
      </c>
      <c r="U1592" s="81" t="str">
        <f>IF(ISERROR(FIND('112'!$M$9,G1592,1)),"",IF((AND(LEFT(G1592,2)=LEFT('112'!$M$9,2),B1592&lt;'112'!$K$9,$N1592='112'!$I$6)),"x",""))</f>
        <v/>
      </c>
      <c r="V1592" s="81" t="str">
        <f>IF(ISERROR(FIND('112'!$M$9,G1592,1)),"",IF((AND(RIGHT(G1592,2)=RIGHT('112'!$M$9,2),B1592&lt;'112'!$K$9,$O1592='112'!$I$6)),"x",""))</f>
        <v/>
      </c>
      <c r="W1592" s="81" t="str">
        <f>IF(AND('341-CT'!$H$9=H1592,OR(LEFT(N1592,3)=$W$7,LEFT(O1592,3)=$W$7)),"x","")</f>
        <v/>
      </c>
      <c r="X1592" s="81" t="str">
        <f>IF(OR(TH!N1592=TH!$X$7,O1592=TH!$X$7),"x","")</f>
        <v/>
      </c>
      <c r="Y1592" s="81" t="str">
        <f>IF(AND(OR(N1592="131",O1592="131"),H1592='131-CT'!$H$9),"x","")</f>
        <v/>
      </c>
      <c r="Z1592" s="81"/>
      <c r="AA1592" s="81" t="str">
        <f>IF(AND(MONTH(E1592)='IN-NX'!$J$5,'IN-NX'!$D$7=D1592),"x","")</f>
        <v/>
      </c>
      <c r="AB1592" s="81" t="str">
        <f>IF(AND(OR(LEFT(TH!N1592,2)="15",LEFT(TH!O1592,2)="15"),LEFT(TH!O1592,3)&lt;&gt;"111",'152-CT'!$J$8=TH!F1592),"x","")</f>
        <v/>
      </c>
      <c r="AC1592" s="81" t="str">
        <f>IF(AND(OR(LEFT(TH!N1592,2)="15",LEFT(TH!O1592,2)="15"),TK!$E$7=TH!F1592),"x","")</f>
        <v/>
      </c>
      <c r="AD1592" s="81" t="str">
        <f>IF(AND(N1592="1521",MONTH(C1592)='BK-NL'!$M$11),"x","")</f>
        <v/>
      </c>
    </row>
    <row r="1593" spans="1:30" ht="15.75" customHeight="1">
      <c r="A1593" s="327" t="str">
        <f>IF(B1593&lt;&gt;"",IF(AND(B1593='IN-TC'!$S$4,OR(TH!N1593="1111",TH!O1593="1111")),TH!D1593,""),"")</f>
        <v/>
      </c>
      <c r="B1593" s="62" t="str">
        <f t="shared" si="352"/>
        <v/>
      </c>
      <c r="C1593" s="63"/>
      <c r="D1593" s="63"/>
      <c r="E1593" s="63"/>
      <c r="F1593" s="66"/>
      <c r="G1593" s="66"/>
      <c r="H1593" s="71"/>
      <c r="I1593" s="405"/>
      <c r="J1593" s="408"/>
      <c r="K1593" s="398"/>
      <c r="L1593" s="405"/>
      <c r="M1593" s="64"/>
      <c r="N1593" s="65"/>
      <c r="O1593" s="65"/>
      <c r="P1593" s="81" t="str">
        <f>IF(AND('331-CT'!$E$7=TH!H1593,OR(N1593="331",O1593="331")),"x","")</f>
        <v/>
      </c>
      <c r="Q1593" s="81" t="str">
        <f>IF(AND(B1593='111'!$L$11,OR($N1593=$Q$7,$O1593=$Q$7)),"x","")</f>
        <v/>
      </c>
      <c r="R1593" s="81" t="str">
        <f>IF(AND($N1593=$Q$7,$B1593&lt;'111'!$L$11),"x","")</f>
        <v/>
      </c>
      <c r="S1593" s="81" t="str">
        <f>IF(AND($O1593=$Q$7,$B1593&lt;'111'!$L$11),"x","")</f>
        <v/>
      </c>
      <c r="T1593" s="81" t="str">
        <f>IF(ISERROR(FIND('112'!$M$9,G1593,1)),"",IF((AND(FIND('112'!$M$9,G1593,1)&gt;=1,B1593='112'!$K$9,OR($N1593='112'!$I$6,$O1593='112'!$I$6))),"x",""))</f>
        <v/>
      </c>
      <c r="U1593" s="81" t="str">
        <f>IF(ISERROR(FIND('112'!$M$9,G1593,1)),"",IF((AND(LEFT(G1593,2)=LEFT('112'!$M$9,2),B1593&lt;'112'!$K$9,$N1593='112'!$I$6)),"x",""))</f>
        <v/>
      </c>
      <c r="V1593" s="81" t="str">
        <f>IF(ISERROR(FIND('112'!$M$9,G1593,1)),"",IF((AND(RIGHT(G1593,2)=RIGHT('112'!$M$9,2),B1593&lt;'112'!$K$9,$O1593='112'!$I$6)),"x",""))</f>
        <v/>
      </c>
      <c r="W1593" s="81" t="str">
        <f>IF(AND('341-CT'!$H$9=H1593,OR(LEFT(N1593,3)=$W$7,LEFT(O1593,3)=$W$7)),"x","")</f>
        <v/>
      </c>
      <c r="X1593" s="81" t="str">
        <f>IF(OR(TH!N1593=TH!$X$7,O1593=TH!$X$7),"x","")</f>
        <v/>
      </c>
      <c r="Y1593" s="81" t="str">
        <f>IF(AND(OR(N1593="131",O1593="131"),H1593='131-CT'!$H$9),"x","")</f>
        <v/>
      </c>
      <c r="Z1593" s="81"/>
      <c r="AA1593" s="81" t="str">
        <f>IF(AND(MONTH(E1593)='IN-NX'!$J$5,'IN-NX'!$D$7=D1593),"x","")</f>
        <v/>
      </c>
      <c r="AB1593" s="81" t="str">
        <f>IF(AND(OR(LEFT(TH!N1593,2)="15",LEFT(TH!O1593,2)="15"),LEFT(TH!O1593,3)&lt;&gt;"111",'152-CT'!$J$8=TH!F1593),"x","")</f>
        <v/>
      </c>
      <c r="AC1593" s="81" t="str">
        <f>IF(AND(OR(LEFT(TH!N1593,2)="15",LEFT(TH!O1593,2)="15"),TK!$E$7=TH!F1593),"x","")</f>
        <v/>
      </c>
      <c r="AD1593" s="81" t="str">
        <f>IF(AND(N1593="1521",MONTH(C1593)='BK-NL'!$M$11),"x","")</f>
        <v/>
      </c>
    </row>
    <row r="1594" spans="1:30" ht="15.75" customHeight="1">
      <c r="A1594" s="327" t="str">
        <f>IF(B1594&lt;&gt;"",IF(AND(B1594='IN-TC'!$S$4,OR(TH!N1594="1111",TH!O1594="1111")),TH!D1594,""),"")</f>
        <v/>
      </c>
      <c r="B1594" s="62" t="str">
        <f t="shared" si="352"/>
        <v/>
      </c>
      <c r="C1594" s="63"/>
      <c r="D1594" s="63"/>
      <c r="E1594" s="63"/>
      <c r="F1594" s="66"/>
      <c r="G1594" s="66"/>
      <c r="H1594" s="71"/>
      <c r="I1594" s="405"/>
      <c r="J1594" s="408"/>
      <c r="K1594" s="398"/>
      <c r="L1594" s="405"/>
      <c r="M1594" s="64"/>
      <c r="N1594" s="65"/>
      <c r="O1594" s="65"/>
      <c r="P1594" s="81" t="str">
        <f>IF(AND('331-CT'!$E$7=TH!H1594,OR(N1594="331",O1594="331")),"x","")</f>
        <v/>
      </c>
      <c r="Q1594" s="81" t="str">
        <f>IF(AND(B1594='111'!$L$11,OR($N1594=$Q$7,$O1594=$Q$7)),"x","")</f>
        <v/>
      </c>
      <c r="R1594" s="81" t="str">
        <f>IF(AND($N1594=$Q$7,$B1594&lt;'111'!$L$11),"x","")</f>
        <v/>
      </c>
      <c r="S1594" s="81" t="str">
        <f>IF(AND($O1594=$Q$7,$B1594&lt;'111'!$L$11),"x","")</f>
        <v/>
      </c>
      <c r="T1594" s="81" t="str">
        <f>IF(ISERROR(FIND('112'!$M$9,G1594,1)),"",IF((AND(FIND('112'!$M$9,G1594,1)&gt;=1,B1594='112'!$K$9,OR($N1594='112'!$I$6,$O1594='112'!$I$6))),"x",""))</f>
        <v/>
      </c>
      <c r="U1594" s="81" t="str">
        <f>IF(ISERROR(FIND('112'!$M$9,G1594,1)),"",IF((AND(LEFT(G1594,2)=LEFT('112'!$M$9,2),B1594&lt;'112'!$K$9,$N1594='112'!$I$6)),"x",""))</f>
        <v/>
      </c>
      <c r="V1594" s="81" t="str">
        <f>IF(ISERROR(FIND('112'!$M$9,G1594,1)),"",IF((AND(RIGHT(G1594,2)=RIGHT('112'!$M$9,2),B1594&lt;'112'!$K$9,$O1594='112'!$I$6)),"x",""))</f>
        <v/>
      </c>
      <c r="W1594" s="81" t="str">
        <f>IF(AND('341-CT'!$H$9=H1594,OR(LEFT(N1594,3)=$W$7,LEFT(O1594,3)=$W$7)),"x","")</f>
        <v/>
      </c>
      <c r="X1594" s="81" t="str">
        <f>IF(OR(TH!N1594=TH!$X$7,O1594=TH!$X$7),"x","")</f>
        <v/>
      </c>
      <c r="Y1594" s="81" t="str">
        <f>IF(AND(OR(N1594="131",O1594="131"),H1594='131-CT'!$H$9),"x","")</f>
        <v/>
      </c>
      <c r="Z1594" s="81"/>
      <c r="AA1594" s="81" t="str">
        <f>IF(AND(MONTH(E1594)='IN-NX'!$J$5,'IN-NX'!$D$7=D1594),"x","")</f>
        <v/>
      </c>
      <c r="AB1594" s="81" t="str">
        <f>IF(AND(OR(LEFT(TH!N1594,2)="15",LEFT(TH!O1594,2)="15"),LEFT(TH!O1594,3)&lt;&gt;"111",'152-CT'!$J$8=TH!F1594),"x","")</f>
        <v/>
      </c>
      <c r="AC1594" s="81" t="str">
        <f>IF(AND(OR(LEFT(TH!N1594,2)="15",LEFT(TH!O1594,2)="15"),TK!$E$7=TH!F1594),"x","")</f>
        <v/>
      </c>
      <c r="AD1594" s="81" t="str">
        <f>IF(AND(N1594="1521",MONTH(C1594)='BK-NL'!$M$11),"x","")</f>
        <v/>
      </c>
    </row>
    <row r="1595" spans="1:30" ht="15.75" customHeight="1">
      <c r="A1595" s="327" t="str">
        <f>IF(B1595&lt;&gt;"",IF(AND(B1595='IN-TC'!$S$4,OR(TH!N1595="1111",TH!O1595="1111")),TH!D1595,""),"")</f>
        <v/>
      </c>
      <c r="B1595" s="62" t="str">
        <f t="shared" si="352"/>
        <v/>
      </c>
      <c r="C1595" s="63"/>
      <c r="D1595" s="63"/>
      <c r="E1595" s="63"/>
      <c r="F1595" s="66"/>
      <c r="G1595" s="66"/>
      <c r="H1595" s="71"/>
      <c r="I1595" s="405"/>
      <c r="J1595" s="408"/>
      <c r="K1595" s="398"/>
      <c r="L1595" s="405"/>
      <c r="M1595" s="64"/>
      <c r="N1595" s="65"/>
      <c r="O1595" s="65"/>
      <c r="P1595" s="81" t="str">
        <f>IF(AND('331-CT'!$E$7=TH!H1595,OR(N1595="331",O1595="331")),"x","")</f>
        <v/>
      </c>
      <c r="Q1595" s="81" t="str">
        <f>IF(AND(B1595='111'!$L$11,OR($N1595=$Q$7,$O1595=$Q$7)),"x","")</f>
        <v/>
      </c>
      <c r="R1595" s="81" t="str">
        <f>IF(AND($N1595=$Q$7,$B1595&lt;'111'!$L$11),"x","")</f>
        <v/>
      </c>
      <c r="S1595" s="81" t="str">
        <f>IF(AND($O1595=$Q$7,$B1595&lt;'111'!$L$11),"x","")</f>
        <v/>
      </c>
      <c r="T1595" s="81" t="str">
        <f>IF(ISERROR(FIND('112'!$M$9,G1595,1)),"",IF((AND(FIND('112'!$M$9,G1595,1)&gt;=1,B1595='112'!$K$9,OR($N1595='112'!$I$6,$O1595='112'!$I$6))),"x",""))</f>
        <v/>
      </c>
      <c r="U1595" s="81" t="str">
        <f>IF(ISERROR(FIND('112'!$M$9,G1595,1)),"",IF((AND(LEFT(G1595,2)=LEFT('112'!$M$9,2),B1595&lt;'112'!$K$9,$N1595='112'!$I$6)),"x",""))</f>
        <v/>
      </c>
      <c r="V1595" s="81" t="str">
        <f>IF(ISERROR(FIND('112'!$M$9,G1595,1)),"",IF((AND(RIGHT(G1595,2)=RIGHT('112'!$M$9,2),B1595&lt;'112'!$K$9,$O1595='112'!$I$6)),"x",""))</f>
        <v/>
      </c>
      <c r="W1595" s="81" t="str">
        <f>IF(AND('341-CT'!$H$9=H1595,OR(LEFT(N1595,3)=$W$7,LEFT(O1595,3)=$W$7)),"x","")</f>
        <v/>
      </c>
      <c r="X1595" s="81" t="str">
        <f>IF(OR(TH!N1595=TH!$X$7,O1595=TH!$X$7),"x","")</f>
        <v/>
      </c>
      <c r="Y1595" s="81" t="str">
        <f>IF(AND(OR(N1595="131",O1595="131"),H1595='131-CT'!$H$9),"x","")</f>
        <v/>
      </c>
      <c r="Z1595" s="81"/>
      <c r="AA1595" s="81" t="str">
        <f>IF(AND(MONTH(E1595)='IN-NX'!$J$5,'IN-NX'!$D$7=D1595),"x","")</f>
        <v/>
      </c>
      <c r="AB1595" s="81" t="str">
        <f>IF(AND(OR(LEFT(TH!N1595,2)="15",LEFT(TH!O1595,2)="15"),LEFT(TH!O1595,3)&lt;&gt;"111",'152-CT'!$J$8=TH!F1595),"x","")</f>
        <v/>
      </c>
      <c r="AC1595" s="81" t="str">
        <f>IF(AND(OR(LEFT(TH!N1595,2)="15",LEFT(TH!O1595,2)="15"),TK!$E$7=TH!F1595),"x","")</f>
        <v/>
      </c>
      <c r="AD1595" s="81" t="str">
        <f>IF(AND(N1595="1521",MONTH(C1595)='BK-NL'!$M$11),"x","")</f>
        <v/>
      </c>
    </row>
    <row r="1596" spans="1:30" ht="15.75" customHeight="1">
      <c r="A1596" s="327" t="str">
        <f>IF(B1596&lt;&gt;"",IF(AND(B1596='IN-TC'!$S$4,OR(TH!N1596="1111",TH!O1596="1111")),TH!D1596,""),"")</f>
        <v/>
      </c>
      <c r="B1596" s="62" t="str">
        <f t="shared" si="352"/>
        <v/>
      </c>
      <c r="C1596" s="63"/>
      <c r="D1596" s="63"/>
      <c r="E1596" s="63"/>
      <c r="F1596" s="66"/>
      <c r="G1596" s="66"/>
      <c r="H1596" s="71"/>
      <c r="I1596" s="407"/>
      <c r="J1596" s="408"/>
      <c r="K1596" s="400"/>
      <c r="L1596" s="407"/>
      <c r="M1596" s="64"/>
      <c r="N1596" s="65"/>
      <c r="O1596" s="65"/>
      <c r="P1596" s="81" t="str">
        <f>IF(AND('331-CT'!$E$7=TH!H1596,OR(N1596="331",O1596="331")),"x","")</f>
        <v/>
      </c>
      <c r="Q1596" s="81" t="str">
        <f>IF(AND(B1596='111'!$L$11,OR($N1596=$Q$7,$O1596=$Q$7)),"x","")</f>
        <v/>
      </c>
      <c r="R1596" s="81" t="str">
        <f>IF(AND($N1596=$Q$7,$B1596&lt;'111'!$L$11),"x","")</f>
        <v/>
      </c>
      <c r="S1596" s="81" t="str">
        <f>IF(AND($O1596=$Q$7,$B1596&lt;'111'!$L$11),"x","")</f>
        <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row>
    <row r="1597" spans="1:30" ht="15.75" customHeight="1">
      <c r="A1597" s="327" t="str">
        <f>IF(B1597&lt;&gt;"",IF(AND(B1597='IN-TC'!$S$4,OR(TH!N1597="1111",TH!O1597="1111")),TH!D1597,""),"")</f>
        <v/>
      </c>
      <c r="B1597" s="62" t="str">
        <f t="shared" si="352"/>
        <v/>
      </c>
      <c r="C1597" s="63"/>
      <c r="D1597" s="63"/>
      <c r="E1597" s="63"/>
      <c r="F1597" s="66"/>
      <c r="G1597" s="816"/>
      <c r="H1597" s="71"/>
      <c r="I1597" s="407"/>
      <c r="J1597" s="408"/>
      <c r="K1597" s="400"/>
      <c r="L1597" s="407"/>
      <c r="M1597" s="64"/>
      <c r="N1597" s="65"/>
      <c r="O1597" s="65"/>
      <c r="P1597" s="81" t="str">
        <f>IF(AND('331-CT'!$E$7=TH!H1597,OR(N1597="331",O1597="331")),"x","")</f>
        <v/>
      </c>
      <c r="Q1597" s="81" t="str">
        <f>IF(AND(B1597='111'!$L$11,OR($N1597=$Q$7,$O1597=$Q$7)),"x","")</f>
        <v/>
      </c>
      <c r="R1597" s="81" t="str">
        <f>IF(AND($N1597=$Q$7,$B1597&lt;'111'!$L$11),"x","")</f>
        <v/>
      </c>
      <c r="S1597" s="81" t="str">
        <f>IF(AND($O1597=$Q$7,$B1597&lt;'111'!$L$11),"x","")</f>
        <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row>
    <row r="1598" spans="1:30" ht="15.75" customHeight="1">
      <c r="A1598" s="327" t="str">
        <f>IF(B1598&lt;&gt;"",IF(AND(B1598='IN-TC'!$S$4,OR(TH!N1598="1111",TH!O1598="1111")),TH!D1598,""),"")</f>
        <v/>
      </c>
      <c r="B1598" s="62" t="str">
        <f t="shared" si="352"/>
        <v/>
      </c>
      <c r="C1598" s="63"/>
      <c r="D1598" s="63"/>
      <c r="E1598" s="63"/>
      <c r="F1598" s="66"/>
      <c r="G1598" s="66"/>
      <c r="H1598" s="71"/>
      <c r="I1598" s="405"/>
      <c r="J1598" s="408"/>
      <c r="K1598" s="398"/>
      <c r="L1598" s="405"/>
      <c r="M1598" s="64"/>
      <c r="N1598" s="65"/>
      <c r="O1598" s="65"/>
      <c r="P1598" s="81" t="str">
        <f>IF(AND('331-CT'!$E$7=TH!H1598,OR(N1598="331",O1598="331")),"x","")</f>
        <v/>
      </c>
      <c r="Q1598" s="81" t="str">
        <f>IF(AND(B1598='111'!$L$11,OR($N1598=$Q$7,$O1598=$Q$7)),"x","")</f>
        <v/>
      </c>
      <c r="R1598" s="81" t="str">
        <f>IF(AND($N1598=$Q$7,$B1598&lt;'111'!$L$11),"x","")</f>
        <v/>
      </c>
      <c r="S1598" s="81" t="str">
        <f>IF(AND($O1598=$Q$7,$B1598&lt;'111'!$L$11),"x","")</f>
        <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row>
    <row r="1599" spans="1:30" ht="15.75" customHeight="1">
      <c r="A1599" s="327" t="str">
        <f>IF(B1599&lt;&gt;"",IF(AND(B1599='IN-TC'!$S$4,OR(TH!N1599="1111",TH!O1599="1111")),TH!D1599,""),"")</f>
        <v/>
      </c>
      <c r="B1599" s="62" t="str">
        <f t="shared" si="352"/>
        <v/>
      </c>
      <c r="C1599" s="63"/>
      <c r="D1599" s="63"/>
      <c r="E1599" s="63"/>
      <c r="F1599" s="66"/>
      <c r="G1599" s="66"/>
      <c r="H1599" s="72"/>
      <c r="I1599" s="408"/>
      <c r="J1599" s="408"/>
      <c r="K1599" s="401"/>
      <c r="L1599" s="408"/>
      <c r="M1599" s="64"/>
      <c r="N1599" s="65"/>
      <c r="O1599" s="65"/>
      <c r="P1599" s="81" t="str">
        <f>IF(AND('331-CT'!$E$7=TH!H1599,OR(N1599="331",O1599="331")),"x","")</f>
        <v/>
      </c>
      <c r="Q1599" s="81" t="str">
        <f>IF(AND(B1599='111'!$L$11,OR($N1599=$Q$7,$O1599=$Q$7)),"x","")</f>
        <v/>
      </c>
      <c r="R1599" s="81" t="str">
        <f>IF(AND($N1599=$Q$7,$B1599&lt;'111'!$L$11),"x","")</f>
        <v/>
      </c>
      <c r="S1599" s="81" t="str">
        <f>IF(AND($O1599=$Q$7,$B1599&lt;'111'!$L$11),"x","")</f>
        <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row>
    <row r="1600" spans="1:30" ht="15.75" customHeight="1">
      <c r="A1600" s="327" t="str">
        <f>IF(B1600&lt;&gt;"",IF(AND(B1600='IN-TC'!$S$4,OR(TH!N1600="1111",TH!O1600="1111")),TH!D1600,""),"")</f>
        <v/>
      </c>
      <c r="B1600" s="62" t="str">
        <f t="shared" si="352"/>
        <v/>
      </c>
      <c r="C1600" s="63"/>
      <c r="D1600" s="63"/>
      <c r="E1600" s="63"/>
      <c r="F1600" s="66"/>
      <c r="G1600" s="66"/>
      <c r="H1600" s="71"/>
      <c r="I1600" s="405"/>
      <c r="J1600" s="408"/>
      <c r="K1600" s="398"/>
      <c r="L1600" s="405"/>
      <c r="M1600" s="64"/>
      <c r="N1600" s="65"/>
      <c r="O1600" s="65"/>
      <c r="P1600" s="81" t="str">
        <f>IF(AND('331-CT'!$E$7=TH!H1600,OR(N1600="331",O1600="331")),"x","")</f>
        <v/>
      </c>
      <c r="Q1600" s="81" t="str">
        <f>IF(AND(B1600='111'!$L$11,OR($N1600=$Q$7,$O1600=$Q$7)),"x","")</f>
        <v/>
      </c>
      <c r="R1600" s="81" t="str">
        <f>IF(AND($N1600=$Q$7,$B1600&lt;'111'!$L$11),"x","")</f>
        <v/>
      </c>
      <c r="S1600" s="81" t="str">
        <f>IF(AND($O1600=$Q$7,$B1600&lt;'111'!$L$11),"x","")</f>
        <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row>
    <row r="1601" spans="1:30" ht="15.75" customHeight="1">
      <c r="A1601" s="327" t="str">
        <f>IF(B1601&lt;&gt;"",IF(AND(B1601='IN-TC'!$S$4,OR(TH!N1601="1111",TH!O1601="1111")),TH!D1601,""),"")</f>
        <v/>
      </c>
      <c r="B1601" s="62" t="str">
        <f t="shared" si="352"/>
        <v/>
      </c>
      <c r="C1601" s="63"/>
      <c r="D1601" s="63"/>
      <c r="E1601" s="63"/>
      <c r="F1601" s="66"/>
      <c r="G1601" s="66"/>
      <c r="H1601" s="71"/>
      <c r="I1601" s="405"/>
      <c r="J1601" s="408"/>
      <c r="K1601" s="398"/>
      <c r="L1601" s="405"/>
      <c r="M1601" s="64"/>
      <c r="N1601" s="65"/>
      <c r="O1601" s="65"/>
      <c r="P1601" s="81" t="str">
        <f>IF(AND('331-CT'!$E$7=TH!H1601,OR(N1601="331",O1601="331")),"x","")</f>
        <v/>
      </c>
      <c r="Q1601" s="81" t="str">
        <f>IF(AND(B1601='111'!$L$11,OR($N1601=$Q$7,$O1601=$Q$7)),"x","")</f>
        <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row>
    <row r="1602" spans="1:30" ht="15.75" customHeight="1">
      <c r="A1602" s="327" t="str">
        <f>IF(B1602&lt;&gt;"",IF(AND(B1602='IN-TC'!$S$4,OR(TH!N1602="1111",TH!O1602="1111")),TH!D1602,""),"")</f>
        <v/>
      </c>
      <c r="B1602" s="62" t="str">
        <f t="shared" si="352"/>
        <v/>
      </c>
      <c r="C1602" s="63"/>
      <c r="D1602" s="63"/>
      <c r="E1602" s="63"/>
      <c r="F1602" s="66"/>
      <c r="G1602" s="66"/>
      <c r="H1602" s="71"/>
      <c r="I1602" s="405"/>
      <c r="J1602" s="408"/>
      <c r="K1602" s="398"/>
      <c r="L1602" s="405"/>
      <c r="M1602" s="64"/>
      <c r="N1602" s="65"/>
      <c r="O1602" s="65"/>
      <c r="P1602" s="81" t="str">
        <f>IF(AND('331-CT'!$E$7=TH!H1602,OR(N1602="331",O1602="331")),"x","")</f>
        <v/>
      </c>
      <c r="Q1602" s="81" t="str">
        <f>IF(AND(B1602='111'!$L$11,OR($N1602=$Q$7,$O1602=$Q$7)),"x","")</f>
        <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row>
    <row r="1603" spans="1:30" ht="15.75" customHeight="1">
      <c r="A1603" s="327" t="str">
        <f>IF(B1603&lt;&gt;"",IF(AND(B1603='IN-TC'!$S$4,OR(TH!N1603="1111",TH!O1603="1111")),TH!D1603,""),"")</f>
        <v/>
      </c>
      <c r="B1603" s="62" t="str">
        <f t="shared" si="352"/>
        <v/>
      </c>
      <c r="C1603" s="63"/>
      <c r="D1603" s="63"/>
      <c r="E1603" s="63"/>
      <c r="F1603" s="66"/>
      <c r="G1603" s="66"/>
      <c r="H1603" s="71"/>
      <c r="I1603" s="405"/>
      <c r="J1603" s="408"/>
      <c r="K1603" s="398"/>
      <c r="L1603" s="405"/>
      <c r="M1603" s="64"/>
      <c r="N1603" s="65"/>
      <c r="O1603" s="65"/>
      <c r="P1603" s="81" t="str">
        <f>IF(AND('331-CT'!$E$7=TH!H1603,OR(N1603="331",O1603="331")),"x","")</f>
        <v/>
      </c>
      <c r="Q1603" s="81" t="str">
        <f>IF(AND(B1603='111'!$L$11,OR($N1603=$Q$7,$O1603=$Q$7)),"x","")</f>
        <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row>
    <row r="1604" spans="1:30" ht="15.75" customHeight="1">
      <c r="A1604" s="327" t="str">
        <f>IF(B1604&lt;&gt;"",IF(AND(B1604='IN-TC'!$S$4,OR(TH!N1604="1111",TH!O1604="1111")),TH!D1604,""),"")</f>
        <v/>
      </c>
      <c r="B1604" s="62" t="str">
        <f t="shared" si="352"/>
        <v/>
      </c>
      <c r="C1604" s="63"/>
      <c r="D1604" s="63"/>
      <c r="E1604" s="63"/>
      <c r="F1604" s="66"/>
      <c r="G1604" s="66"/>
      <c r="H1604" s="71"/>
      <c r="I1604" s="405"/>
      <c r="J1604" s="408"/>
      <c r="K1604" s="398"/>
      <c r="L1604" s="405"/>
      <c r="M1604" s="64"/>
      <c r="N1604" s="65"/>
      <c r="O1604" s="65"/>
      <c r="P1604" s="81" t="str">
        <f>IF(AND('331-CT'!$E$7=TH!H1604,OR(N1604="331",O1604="331")),"x","")</f>
        <v/>
      </c>
      <c r="Q1604" s="81" t="str">
        <f>IF(AND(B1604='111'!$L$11,OR($N1604=$Q$7,$O1604=$Q$7)),"x","")</f>
        <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row>
    <row r="1605" spans="1:30" ht="15.75" customHeight="1">
      <c r="A1605" s="327" t="str">
        <f>IF(B1605&lt;&gt;"",IF(AND(B1605='IN-TC'!$S$4,OR(TH!N1605="1111",TH!O1605="1111")),TH!D1605,""),"")</f>
        <v/>
      </c>
      <c r="B1605" s="62" t="str">
        <f t="shared" si="352"/>
        <v/>
      </c>
      <c r="C1605" s="63"/>
      <c r="D1605" s="63"/>
      <c r="E1605" s="63"/>
      <c r="F1605" s="66"/>
      <c r="G1605" s="66"/>
      <c r="H1605" s="71"/>
      <c r="I1605" s="405"/>
      <c r="J1605" s="408"/>
      <c r="K1605" s="398"/>
      <c r="L1605" s="405"/>
      <c r="M1605" s="64"/>
      <c r="N1605" s="65"/>
      <c r="O1605" s="65"/>
      <c r="P1605" s="81" t="str">
        <f>IF(AND('331-CT'!$E$7=TH!H1605,OR(N1605="331",O1605="331")),"x","")</f>
        <v/>
      </c>
      <c r="Q1605" s="81" t="str">
        <f>IF(AND(B1605='111'!$L$11,OR($N1605=$Q$7,$O1605=$Q$7)),"x","")</f>
        <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row>
    <row r="1606" spans="1:30" ht="15.75" customHeight="1">
      <c r="A1606" s="327" t="str">
        <f>IF(B1606&lt;&gt;"",IF(AND(B1606='IN-TC'!$S$4,OR(TH!N1606="1111",TH!O1606="1111")),TH!D1606,""),"")</f>
        <v/>
      </c>
      <c r="B1606" s="62" t="str">
        <f t="shared" si="352"/>
        <v/>
      </c>
      <c r="C1606" s="63"/>
      <c r="D1606" s="63"/>
      <c r="E1606" s="63"/>
      <c r="F1606" s="66"/>
      <c r="G1606" s="66"/>
      <c r="H1606" s="71"/>
      <c r="I1606" s="405"/>
      <c r="J1606" s="408"/>
      <c r="K1606" s="398"/>
      <c r="L1606" s="405"/>
      <c r="M1606" s="64"/>
      <c r="N1606" s="65"/>
      <c r="O1606" s="65"/>
      <c r="P1606" s="81" t="str">
        <f>IF(AND('331-CT'!$E$7=TH!H1606,OR(N1606="331",O1606="331")),"x","")</f>
        <v/>
      </c>
      <c r="Q1606" s="81" t="str">
        <f>IF(AND(B1606='111'!$L$11,OR($N1606=$Q$7,$O1606=$Q$7)),"x","")</f>
        <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row>
    <row r="1607" spans="1:30" ht="15.75" customHeight="1">
      <c r="A1607" s="327" t="str">
        <f>IF(B1607&lt;&gt;"",IF(AND(B1607='IN-TC'!$S$4,OR(TH!N1607="1111",TH!O1607="1111")),TH!D1607,""),"")</f>
        <v/>
      </c>
      <c r="B1607" s="62" t="str">
        <f t="shared" si="352"/>
        <v/>
      </c>
      <c r="C1607" s="63"/>
      <c r="D1607" s="63"/>
      <c r="E1607" s="63"/>
      <c r="F1607" s="66"/>
      <c r="G1607" s="66"/>
      <c r="H1607" s="72"/>
      <c r="I1607" s="405"/>
      <c r="J1607" s="408"/>
      <c r="K1607" s="398"/>
      <c r="L1607" s="405"/>
      <c r="M1607" s="64"/>
      <c r="N1607" s="65"/>
      <c r="O1607" s="65"/>
      <c r="P1607" s="81" t="str">
        <f>IF(AND('331-CT'!$E$7=TH!H1607,OR(N1607="331",O1607="331")),"x","")</f>
        <v/>
      </c>
      <c r="Q1607" s="81" t="str">
        <f>IF(AND(B1607='111'!$L$11,OR($N1607=$Q$7,$O1607=$Q$7)),"x","")</f>
        <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row>
    <row r="1608" spans="1:30" ht="15.75" customHeight="1">
      <c r="A1608" s="327" t="str">
        <f>IF(B1608&lt;&gt;"",IF(AND(B1608='IN-TC'!$S$4,OR(TH!N1608="1111",TH!O1608="1111")),TH!D1608,""),"")</f>
        <v/>
      </c>
      <c r="B1608" s="62" t="str">
        <f t="shared" si="352"/>
        <v/>
      </c>
      <c r="C1608" s="63"/>
      <c r="D1608" s="63"/>
      <c r="E1608" s="63"/>
      <c r="F1608" s="66"/>
      <c r="G1608" s="66"/>
      <c r="H1608" s="71"/>
      <c r="I1608" s="407"/>
      <c r="J1608" s="408"/>
      <c r="K1608" s="400"/>
      <c r="L1608" s="407"/>
      <c r="M1608" s="64"/>
      <c r="N1608" s="65"/>
      <c r="O1608" s="65"/>
      <c r="P1608" s="81" t="str">
        <f>IF(AND('331-CT'!$E$7=TH!H1608,OR(N1608="331",O1608="331")),"x","")</f>
        <v/>
      </c>
      <c r="Q1608" s="81" t="str">
        <f>IF(AND(B1608='111'!$L$11,OR($N1608=$Q$7,$O1608=$Q$7)),"x","")</f>
        <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row>
    <row r="1609" spans="1:30" ht="15.75" customHeight="1">
      <c r="A1609" s="327" t="str">
        <f>IF(B1609&lt;&gt;"",IF(AND(B1609='IN-TC'!$S$4,OR(TH!N1609="1111",TH!O1609="1111")),TH!D1609,""),"")</f>
        <v/>
      </c>
      <c r="B1609" s="62" t="str">
        <f t="shared" si="352"/>
        <v/>
      </c>
      <c r="C1609" s="63"/>
      <c r="D1609" s="63"/>
      <c r="E1609" s="63"/>
      <c r="F1609" s="66"/>
      <c r="G1609" s="66"/>
      <c r="H1609" s="71"/>
      <c r="I1609" s="407"/>
      <c r="J1609" s="408"/>
      <c r="K1609" s="400"/>
      <c r="L1609" s="407"/>
      <c r="M1609" s="64"/>
      <c r="N1609" s="65"/>
      <c r="O1609" s="65"/>
      <c r="P1609" s="81" t="str">
        <f>IF(AND('331-CT'!$E$7=TH!H1609,OR(N1609="331",O1609="331")),"x","")</f>
        <v/>
      </c>
      <c r="Q1609" s="81" t="str">
        <f>IF(AND(B1609='111'!$L$11,OR($N1609=$Q$7,$O1609=$Q$7)),"x","")</f>
        <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row>
    <row r="1610" spans="1:30" ht="15.75" customHeight="1">
      <c r="A1610" s="327" t="str">
        <f>IF(B1610&lt;&gt;"",IF(AND(B1610='IN-TC'!$S$4,OR(TH!N1610="1111",TH!O1610="1111")),TH!D1610,""),"")</f>
        <v/>
      </c>
      <c r="B1610" s="62" t="str">
        <f t="shared" si="352"/>
        <v/>
      </c>
      <c r="C1610" s="63"/>
      <c r="D1610" s="63"/>
      <c r="E1610" s="63"/>
      <c r="F1610" s="66"/>
      <c r="G1610" s="66"/>
      <c r="H1610" s="71"/>
      <c r="I1610" s="407"/>
      <c r="J1610" s="408"/>
      <c r="K1610" s="400"/>
      <c r="L1610" s="407"/>
      <c r="M1610" s="64"/>
      <c r="N1610" s="65"/>
      <c r="O1610" s="65"/>
      <c r="P1610" s="81" t="str">
        <f>IF(AND('331-CT'!$E$7=TH!H1610,OR(N1610="331",O1610="331")),"x","")</f>
        <v/>
      </c>
      <c r="Q1610" s="81" t="str">
        <f>IF(AND(B1610='111'!$L$11,OR($N1610=$Q$7,$O1610=$Q$7)),"x","")</f>
        <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row>
    <row r="1611" spans="1:30" ht="15.75" customHeight="1">
      <c r="A1611" s="327" t="str">
        <f>IF(B1611&lt;&gt;"",IF(AND(B1611='IN-TC'!$S$4,OR(TH!N1611="1111",TH!O1611="1111")),TH!D1611,""),"")</f>
        <v/>
      </c>
      <c r="B1611" s="62" t="str">
        <f t="shared" si="352"/>
        <v/>
      </c>
      <c r="C1611" s="63"/>
      <c r="D1611" s="63"/>
      <c r="E1611" s="63"/>
      <c r="F1611" s="66"/>
      <c r="G1611" s="66"/>
      <c r="H1611" s="71"/>
      <c r="I1611" s="407"/>
      <c r="J1611" s="408"/>
      <c r="K1611" s="400"/>
      <c r="L1611" s="407"/>
      <c r="M1611" s="64"/>
      <c r="N1611" s="65"/>
      <c r="O1611" s="65"/>
      <c r="P1611" s="81" t="str">
        <f>IF(AND('331-CT'!$E$7=TH!H1611,OR(N1611="331",O1611="331")),"x","")</f>
        <v/>
      </c>
      <c r="Q1611" s="81" t="str">
        <f>IF(AND(B1611='111'!$L$11,OR($N1611=$Q$7,$O1611=$Q$7)),"x","")</f>
        <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row>
    <row r="1612" spans="1:30" ht="15.75" customHeight="1">
      <c r="A1612" s="327" t="str">
        <f>IF(B1612&lt;&gt;"",IF(AND(B1612='IN-TC'!$S$4,OR(TH!N1612="1111",TH!O1612="1111")),TH!D1612,""),"")</f>
        <v/>
      </c>
      <c r="B1612" s="62" t="str">
        <f t="shared" si="352"/>
        <v/>
      </c>
      <c r="C1612" s="63"/>
      <c r="D1612" s="63"/>
      <c r="E1612" s="63"/>
      <c r="F1612" s="66"/>
      <c r="G1612" s="66"/>
      <c r="H1612" s="71"/>
      <c r="I1612" s="405"/>
      <c r="J1612" s="408"/>
      <c r="K1612" s="398"/>
      <c r="L1612" s="405"/>
      <c r="M1612" s="64"/>
      <c r="N1612" s="65"/>
      <c r="O1612" s="65"/>
      <c r="P1612" s="81" t="str">
        <f>IF(AND('331-CT'!$E$7=TH!H1612,OR(N1612="331",O1612="331")),"x","")</f>
        <v/>
      </c>
      <c r="Q1612" s="81" t="str">
        <f>IF(AND(B1612='111'!$L$11,OR($N1612=$Q$7,$O1612=$Q$7)),"x","")</f>
        <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row>
    <row r="1613" spans="1:30" ht="15.75" customHeight="1">
      <c r="A1613" s="327" t="str">
        <f>IF(B1613&lt;&gt;"",IF(AND(B1613='IN-TC'!$S$4,OR(TH!N1613="1111",TH!O1613="1111")),TH!D1613,""),"")</f>
        <v/>
      </c>
      <c r="B1613" s="62" t="str">
        <f t="shared" si="352"/>
        <v/>
      </c>
      <c r="C1613" s="63"/>
      <c r="D1613" s="63"/>
      <c r="E1613" s="63"/>
      <c r="F1613" s="66"/>
      <c r="G1613" s="66"/>
      <c r="H1613" s="71"/>
      <c r="I1613" s="407"/>
      <c r="J1613" s="408"/>
      <c r="K1613" s="400"/>
      <c r="L1613" s="407"/>
      <c r="M1613" s="64"/>
      <c r="N1613" s="65"/>
      <c r="O1613" s="65"/>
      <c r="P1613" s="81" t="str">
        <f>IF(AND('331-CT'!$E$7=TH!H1613,OR(N1613="331",O1613="331")),"x","")</f>
        <v/>
      </c>
      <c r="Q1613" s="81" t="str">
        <f>IF(AND(B1613='111'!$L$11,OR($N1613=$Q$7,$O1613=$Q$7)),"x","")</f>
        <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row>
    <row r="1614" spans="1:30" ht="15.75" customHeight="1">
      <c r="A1614" s="327" t="str">
        <f>IF(B1614&lt;&gt;"",IF(AND(B1614='IN-TC'!$S$4,OR(TH!N1614="1111",TH!O1614="1111")),TH!D1614,""),"")</f>
        <v/>
      </c>
      <c r="B1614" s="62" t="str">
        <f t="shared" si="352"/>
        <v/>
      </c>
      <c r="C1614" s="63"/>
      <c r="D1614" s="63"/>
      <c r="E1614" s="63"/>
      <c r="F1614" s="66"/>
      <c r="G1614" s="66"/>
      <c r="H1614" s="72"/>
      <c r="I1614" s="408"/>
      <c r="J1614" s="408"/>
      <c r="K1614" s="401"/>
      <c r="L1614" s="408"/>
      <c r="M1614" s="64"/>
      <c r="N1614" s="65"/>
      <c r="O1614" s="65"/>
      <c r="P1614" s="81" t="str">
        <f>IF(AND('331-CT'!$E$7=TH!H1614,OR(N1614="331",O1614="331")),"x","")</f>
        <v/>
      </c>
      <c r="Q1614" s="81" t="str">
        <f>IF(AND(B1614='111'!$L$11,OR($N1614=$Q$7,$O1614=$Q$7)),"x","")</f>
        <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row>
    <row r="1615" spans="1:30" ht="15.75" customHeight="1">
      <c r="A1615" s="327" t="str">
        <f>IF(B1615&lt;&gt;"",IF(AND(B1615='IN-TC'!$S$4,OR(TH!N1615="1111",TH!O1615="1111")),TH!D1615,""),"")</f>
        <v/>
      </c>
      <c r="B1615" s="62" t="str">
        <f t="shared" si="352"/>
        <v/>
      </c>
      <c r="C1615" s="63"/>
      <c r="D1615" s="63"/>
      <c r="E1615" s="63"/>
      <c r="F1615" s="66"/>
      <c r="G1615" s="66"/>
      <c r="H1615" s="71"/>
      <c r="I1615" s="405"/>
      <c r="J1615" s="408"/>
      <c r="K1615" s="398"/>
      <c r="L1615" s="405"/>
      <c r="M1615" s="64"/>
      <c r="N1615" s="65"/>
      <c r="O1615" s="65"/>
      <c r="P1615" s="81" t="str">
        <f>IF(AND('331-CT'!$E$7=TH!H1615,OR(N1615="331",O1615="331")),"x","")</f>
        <v/>
      </c>
      <c r="Q1615" s="81" t="str">
        <f>IF(AND(B1615='111'!$L$11,OR($N1615=$Q$7,$O1615=$Q$7)),"x","")</f>
        <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row>
    <row r="1616" spans="1:30" ht="15.75" customHeight="1">
      <c r="A1616" s="327" t="str">
        <f>IF(B1616&lt;&gt;"",IF(AND(B1616='IN-TC'!$S$4,OR(TH!N1616="1111",TH!O1616="1111")),TH!D1616,""),"")</f>
        <v/>
      </c>
      <c r="B1616" s="62" t="str">
        <f t="shared" si="352"/>
        <v/>
      </c>
      <c r="C1616" s="63"/>
      <c r="D1616" s="63"/>
      <c r="E1616" s="63"/>
      <c r="F1616" s="66"/>
      <c r="G1616" s="66"/>
      <c r="H1616" s="71"/>
      <c r="I1616" s="405"/>
      <c r="J1616" s="408"/>
      <c r="K1616" s="398"/>
      <c r="L1616" s="405"/>
      <c r="M1616" s="64"/>
      <c r="N1616" s="65"/>
      <c r="O1616" s="65"/>
      <c r="P1616" s="81" t="str">
        <f>IF(AND('331-CT'!$E$7=TH!H1616,OR(N1616="331",O1616="331")),"x","")</f>
        <v/>
      </c>
      <c r="Q1616" s="81" t="str">
        <f>IF(AND(B1616='111'!$L$11,OR($N1616=$Q$7,$O1616=$Q$7)),"x","")</f>
        <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row>
    <row r="1617" spans="1:30" ht="15.75" customHeight="1">
      <c r="A1617" s="327" t="str">
        <f>IF(B1617&lt;&gt;"",IF(AND(B1617='IN-TC'!$S$4,OR(TH!N1617="1111",TH!O1617="1111")),TH!D1617,""),"")</f>
        <v/>
      </c>
      <c r="B1617" s="62" t="str">
        <f t="shared" si="352"/>
        <v/>
      </c>
      <c r="C1617" s="63"/>
      <c r="D1617" s="63"/>
      <c r="E1617" s="63"/>
      <c r="F1617" s="66"/>
      <c r="G1617" s="66"/>
      <c r="H1617" s="71"/>
      <c r="I1617" s="405"/>
      <c r="J1617" s="408"/>
      <c r="K1617" s="398"/>
      <c r="L1617" s="405"/>
      <c r="M1617" s="64"/>
      <c r="N1617" s="65"/>
      <c r="O1617" s="65"/>
      <c r="P1617" s="81" t="str">
        <f>IF(AND('331-CT'!$E$7=TH!H1617,OR(N1617="331",O1617="331")),"x","")</f>
        <v/>
      </c>
      <c r="Q1617" s="81" t="str">
        <f>IF(AND(B1617='111'!$L$11,OR($N1617=$Q$7,$O1617=$Q$7)),"x","")</f>
        <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row>
    <row r="1618" spans="1:30" ht="15.75" customHeight="1">
      <c r="A1618" s="327" t="str">
        <f>IF(B1618&lt;&gt;"",IF(AND(B1618='IN-TC'!$S$4,OR(TH!N1618="1111",TH!O1618="1111")),TH!D1618,""),"")</f>
        <v/>
      </c>
      <c r="B1618" s="62" t="str">
        <f t="shared" si="352"/>
        <v/>
      </c>
      <c r="C1618" s="63"/>
      <c r="D1618" s="63"/>
      <c r="E1618" s="63"/>
      <c r="F1618" s="66"/>
      <c r="G1618" s="66"/>
      <c r="H1618" s="71"/>
      <c r="I1618" s="405"/>
      <c r="J1618" s="408"/>
      <c r="K1618" s="398"/>
      <c r="L1618" s="405"/>
      <c r="M1618" s="64"/>
      <c r="N1618" s="65"/>
      <c r="O1618" s="65"/>
      <c r="P1618" s="81" t="str">
        <f>IF(AND('331-CT'!$E$7=TH!H1618,OR(N1618="331",O1618="331")),"x","")</f>
        <v/>
      </c>
      <c r="Q1618" s="81" t="str">
        <f>IF(AND(B1618='111'!$L$11,OR($N1618=$Q$7,$O1618=$Q$7)),"x","")</f>
        <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row>
    <row r="1619" spans="1:30" ht="15.75" customHeight="1">
      <c r="A1619" s="327" t="str">
        <f>IF(B1619&lt;&gt;"",IF(AND(B1619='IN-TC'!$S$4,OR(TH!N1619="1111",TH!O1619="1111")),TH!D1619,""),"")</f>
        <v/>
      </c>
      <c r="B1619" s="62" t="str">
        <f t="shared" si="352"/>
        <v/>
      </c>
      <c r="C1619" s="63"/>
      <c r="D1619" s="63"/>
      <c r="E1619" s="63"/>
      <c r="F1619" s="66"/>
      <c r="G1619" s="66"/>
      <c r="H1619" s="71"/>
      <c r="I1619" s="405"/>
      <c r="J1619" s="408"/>
      <c r="K1619" s="398"/>
      <c r="L1619" s="405"/>
      <c r="M1619" s="64"/>
      <c r="N1619" s="65"/>
      <c r="O1619" s="65"/>
      <c r="P1619" s="81" t="str">
        <f>IF(AND('331-CT'!$E$7=TH!H1619,OR(N1619="331",O1619="331")),"x","")</f>
        <v/>
      </c>
      <c r="Q1619" s="81" t="str">
        <f>IF(AND(B1619='111'!$L$11,OR($N1619=$Q$7,$O1619=$Q$7)),"x","")</f>
        <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row>
    <row r="1620" spans="1:30" ht="15.75" customHeight="1">
      <c r="A1620" s="327" t="str">
        <f>IF(B1620&lt;&gt;"",IF(AND(B1620='IN-TC'!$S$4,OR(TH!N1620="1111",TH!O1620="1111")),TH!D1620,""),"")</f>
        <v/>
      </c>
      <c r="B1620" s="62" t="str">
        <f t="shared" si="352"/>
        <v/>
      </c>
      <c r="C1620" s="63"/>
      <c r="D1620" s="63"/>
      <c r="E1620" s="63"/>
      <c r="F1620" s="66"/>
      <c r="G1620" s="66"/>
      <c r="H1620" s="71"/>
      <c r="I1620" s="405"/>
      <c r="J1620" s="408"/>
      <c r="K1620" s="398"/>
      <c r="L1620" s="405"/>
      <c r="M1620" s="64"/>
      <c r="N1620" s="65"/>
      <c r="O1620" s="65"/>
      <c r="P1620" s="81" t="str">
        <f>IF(AND('331-CT'!$E$7=TH!H1620,OR(N1620="331",O1620="331")),"x","")</f>
        <v/>
      </c>
      <c r="Q1620" s="81" t="str">
        <f>IF(AND(B1620='111'!$L$11,OR($N1620=$Q$7,$O1620=$Q$7)),"x","")</f>
        <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row>
    <row r="1621" spans="1:30" ht="15.75" customHeight="1">
      <c r="A1621" s="327" t="str">
        <f>IF(B1621&lt;&gt;"",IF(AND(B1621='IN-TC'!$S$4,OR(TH!N1621="1111",TH!O1621="1111")),TH!D1621,""),"")</f>
        <v/>
      </c>
      <c r="B1621" s="62" t="str">
        <f t="shared" si="352"/>
        <v/>
      </c>
      <c r="C1621" s="63"/>
      <c r="D1621" s="63"/>
      <c r="E1621" s="63"/>
      <c r="F1621" s="66"/>
      <c r="G1621" s="66"/>
      <c r="H1621" s="71"/>
      <c r="I1621" s="405"/>
      <c r="J1621" s="408"/>
      <c r="K1621" s="398"/>
      <c r="L1621" s="405"/>
      <c r="M1621" s="64"/>
      <c r="N1621" s="65"/>
      <c r="O1621" s="65"/>
      <c r="P1621" s="81" t="str">
        <f>IF(AND('331-CT'!$E$7=TH!H1621,OR(N1621="331",O1621="331")),"x","")</f>
        <v/>
      </c>
      <c r="Q1621" s="81" t="str">
        <f>IF(AND(B1621='111'!$L$11,OR($N1621=$Q$7,$O1621=$Q$7)),"x","")</f>
        <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row>
    <row r="1622" spans="1:30">
      <c r="A1622" s="327" t="str">
        <f>IF(B1622&lt;&gt;"",IF(AND(B1622='IN-TC'!$S$4,OR(TH!N1622="1111",TH!O1622="1111")),TH!D1622,""),"")</f>
        <v/>
      </c>
      <c r="B1622" s="62" t="str">
        <f t="shared" si="352"/>
        <v/>
      </c>
      <c r="C1622" s="63"/>
      <c r="D1622" s="63"/>
      <c r="E1622" s="63"/>
      <c r="F1622" s="66"/>
      <c r="G1622" s="66"/>
      <c r="H1622" s="71"/>
      <c r="I1622" s="405"/>
      <c r="J1622" s="408"/>
      <c r="K1622" s="398"/>
      <c r="L1622" s="405"/>
      <c r="M1622" s="64"/>
      <c r="N1622" s="65"/>
      <c r="O1622" s="65"/>
      <c r="P1622" s="81" t="str">
        <f>IF(AND('331-CT'!$E$7=TH!H1622,OR(N1622="331",O1622="331")),"x","")</f>
        <v/>
      </c>
      <c r="Q1622" s="81" t="str">
        <f>IF(AND(B1622='111'!$L$11,OR($N1622=$Q$7,$O1622=$Q$7)),"x","")</f>
        <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row>
    <row r="1623" spans="1:30" ht="15.75" customHeight="1">
      <c r="A1623" s="327" t="str">
        <f>IF(B1623&lt;&gt;"",IF(AND(B1623='IN-TC'!$S$4,OR(TH!N1623="1111",TH!O1623="1111")),TH!D1623,""),"")</f>
        <v/>
      </c>
      <c r="B1623" s="62" t="str">
        <f t="shared" si="352"/>
        <v/>
      </c>
      <c r="C1623" s="63"/>
      <c r="D1623" s="63"/>
      <c r="E1623" s="63"/>
      <c r="F1623" s="66"/>
      <c r="G1623" s="66"/>
      <c r="H1623" s="71"/>
      <c r="I1623" s="407"/>
      <c r="J1623" s="408"/>
      <c r="K1623" s="400"/>
      <c r="L1623" s="407"/>
      <c r="M1623" s="64"/>
      <c r="N1623" s="65"/>
      <c r="O1623" s="65"/>
      <c r="P1623" s="81" t="str">
        <f>IF(AND('331-CT'!$E$7=TH!H1623,OR(N1623="331",O1623="331")),"x","")</f>
        <v/>
      </c>
      <c r="Q1623" s="81" t="str">
        <f>IF(AND(B1623='111'!$L$11,OR($N1623=$Q$7,$O1623=$Q$7)),"x","")</f>
        <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row>
    <row r="1624" spans="1:30" ht="15.75" customHeight="1">
      <c r="A1624" s="327" t="str">
        <f>IF(B1624&lt;&gt;"",IF(AND(B1624='IN-TC'!$S$4,OR(TH!N1624="1111",TH!O1624="1111")),TH!D1624,""),"")</f>
        <v/>
      </c>
      <c r="B1624" s="62" t="str">
        <f t="shared" si="352"/>
        <v/>
      </c>
      <c r="C1624" s="63"/>
      <c r="D1624" s="63"/>
      <c r="E1624" s="63"/>
      <c r="F1624" s="66"/>
      <c r="G1624" s="816"/>
      <c r="H1624" s="71"/>
      <c r="I1624" s="407"/>
      <c r="J1624" s="408"/>
      <c r="K1624" s="400"/>
      <c r="L1624" s="407"/>
      <c r="M1624" s="64"/>
      <c r="N1624" s="65"/>
      <c r="O1624" s="65"/>
      <c r="P1624" s="81" t="str">
        <f>IF(AND('331-CT'!$E$7=TH!H1624,OR(N1624="331",O1624="331")),"x","")</f>
        <v/>
      </c>
      <c r="Q1624" s="81" t="str">
        <f>IF(AND(B1624='111'!$L$11,OR($N1624=$Q$7,$O1624=$Q$7)),"x","")</f>
        <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
      </c>
      <c r="AB1624" s="81" t="str">
        <f>IF(AND(OR(LEFT(TH!N1624,2)="15",LEFT(TH!O1624,2)="15"),LEFT(TH!O1624,3)&lt;&gt;"111",'152-CT'!$J$8=TH!F1624),"x","")</f>
        <v/>
      </c>
      <c r="AC1624" s="81" t="str">
        <f>IF(AND(OR(LEFT(TH!N1624,2)="15",LEFT(TH!O1624,2)="15"),TK!$E$7=TH!F1624),"x","")</f>
        <v/>
      </c>
      <c r="AD1624" s="81" t="str">
        <f>IF(AND(N1624="1521",MONTH(C1624)='BK-NL'!$M$11),"x","")</f>
        <v/>
      </c>
    </row>
    <row r="1625" spans="1:30" ht="15.75" customHeight="1">
      <c r="A1625" s="327" t="str">
        <f>IF(B1625&lt;&gt;"",IF(AND(B1625='IN-TC'!$S$4,OR(TH!N1625="1111",TH!O1625="1111")),TH!D1625,""),"")</f>
        <v/>
      </c>
      <c r="B1625" s="62" t="str">
        <f t="shared" si="352"/>
        <v/>
      </c>
      <c r="C1625" s="63"/>
      <c r="D1625" s="63"/>
      <c r="E1625" s="63"/>
      <c r="F1625" s="66"/>
      <c r="G1625" s="66"/>
      <c r="H1625" s="71"/>
      <c r="I1625" s="405"/>
      <c r="J1625" s="408"/>
      <c r="K1625" s="398"/>
      <c r="L1625" s="405"/>
      <c r="M1625" s="64"/>
      <c r="N1625" s="65"/>
      <c r="O1625" s="65"/>
      <c r="P1625" s="81" t="str">
        <f>IF(AND('331-CT'!$E$7=TH!H1625,OR(N1625="331",O1625="331")),"x","")</f>
        <v/>
      </c>
      <c r="Q1625" s="81" t="str">
        <f>IF(AND(B1625='111'!$L$11,OR($N1625=$Q$7,$O1625=$Q$7)),"x","")</f>
        <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
      </c>
      <c r="Y1625" s="81" t="str">
        <f>IF(AND(OR(N1625="131",O1625="131"),H1625='131-CT'!$H$9),"x","")</f>
        <v/>
      </c>
      <c r="Z1625" s="81"/>
      <c r="AA1625" s="81" t="str">
        <f>IF(AND(MONTH(E1625)='IN-NX'!$J$5,'IN-NX'!$D$7=D1625),"x","")</f>
        <v/>
      </c>
      <c r="AB1625" s="81" t="str">
        <f>IF(AND(OR(LEFT(TH!N1625,2)="15",LEFT(TH!O1625,2)="15"),LEFT(TH!O1625,3)&lt;&gt;"111",'152-CT'!$J$8=TH!F1625),"x","")</f>
        <v/>
      </c>
      <c r="AC1625" s="81" t="str">
        <f>IF(AND(OR(LEFT(TH!N1625,2)="15",LEFT(TH!O1625,2)="15"),TK!$E$7=TH!F1625),"x","")</f>
        <v/>
      </c>
      <c r="AD1625" s="81" t="str">
        <f>IF(AND(N1625="1521",MONTH(C1625)='BK-NL'!$M$11),"x","")</f>
        <v/>
      </c>
    </row>
    <row r="1626" spans="1:30" ht="15.75" customHeight="1">
      <c r="A1626" s="327" t="str">
        <f>IF(B1626&lt;&gt;"",IF(AND(B1626='IN-TC'!$S$4,OR(TH!N1626="1111",TH!O1626="1111")),TH!D1626,""),"")</f>
        <v/>
      </c>
      <c r="B1626" s="62" t="str">
        <f t="shared" si="352"/>
        <v/>
      </c>
      <c r="C1626" s="63"/>
      <c r="D1626" s="63"/>
      <c r="E1626" s="63"/>
      <c r="F1626" s="66"/>
      <c r="G1626" s="71"/>
      <c r="H1626" s="71"/>
      <c r="I1626" s="407"/>
      <c r="J1626" s="408"/>
      <c r="K1626" s="400"/>
      <c r="L1626" s="407"/>
      <c r="M1626" s="64"/>
      <c r="N1626" s="65"/>
      <c r="O1626" s="65"/>
      <c r="P1626" s="81" t="str">
        <f>IF(AND('331-CT'!$E$7=TH!H1626,OR(N1626="331",O1626="331")),"x","")</f>
        <v/>
      </c>
      <c r="Q1626" s="81" t="str">
        <f>IF(AND(B1626='111'!$L$11,OR($N1626=$Q$7,$O1626=$Q$7)),"x","")</f>
        <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
      </c>
      <c r="Y1626" s="81" t="str">
        <f>IF(AND(OR(N1626="131",O1626="131"),H1626='131-CT'!$H$9),"x","")</f>
        <v/>
      </c>
      <c r="Z1626" s="81"/>
      <c r="AA1626" s="81" t="str">
        <f>IF(AND(MONTH(E1626)='IN-NX'!$J$5,'IN-NX'!$D$7=D1626),"x","")</f>
        <v/>
      </c>
      <c r="AB1626" s="81" t="str">
        <f>IF(AND(OR(LEFT(TH!N1626,2)="15",LEFT(TH!O1626,2)="15"),LEFT(TH!O1626,3)&lt;&gt;"111",'152-CT'!$J$8=TH!F1626),"x","")</f>
        <v/>
      </c>
      <c r="AC1626" s="81" t="str">
        <f>IF(AND(OR(LEFT(TH!N1626,2)="15",LEFT(TH!O1626,2)="15"),TK!$E$7=TH!F1626),"x","")</f>
        <v/>
      </c>
      <c r="AD1626" s="81" t="str">
        <f>IF(AND(N1626="1521",MONTH(C1626)='BK-NL'!$M$11),"x","")</f>
        <v/>
      </c>
    </row>
    <row r="1627" spans="1:30" ht="15.75" customHeight="1">
      <c r="A1627" s="327" t="str">
        <f>IF(B1627&lt;&gt;"",IF(AND(B1627='IN-TC'!$S$4,OR(TH!N1627="1111",TH!O1627="1111")),TH!D1627,""),"")</f>
        <v/>
      </c>
      <c r="B1627" s="62" t="str">
        <f t="shared" si="352"/>
        <v/>
      </c>
      <c r="C1627" s="63"/>
      <c r="D1627" s="63"/>
      <c r="E1627" s="63"/>
      <c r="F1627" s="66"/>
      <c r="G1627" s="71"/>
      <c r="H1627" s="71"/>
      <c r="I1627" s="407"/>
      <c r="J1627" s="408"/>
      <c r="K1627" s="400"/>
      <c r="L1627" s="407"/>
      <c r="M1627" s="64"/>
      <c r="N1627" s="65"/>
      <c r="O1627" s="65"/>
      <c r="P1627" s="81" t="str">
        <f>IF(AND('331-CT'!$E$7=TH!H1627,OR(N1627="331",O1627="331")),"x","")</f>
        <v/>
      </c>
      <c r="Q1627" s="81" t="str">
        <f>IF(AND(B1627='111'!$L$11,OR($N1627=$Q$7,$O1627=$Q$7)),"x","")</f>
        <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
      </c>
      <c r="Y1627" s="81" t="str">
        <f>IF(AND(OR(N1627="131",O1627="131"),H1627='131-CT'!$H$9),"x","")</f>
        <v/>
      </c>
      <c r="Z1627" s="81"/>
      <c r="AA1627" s="81" t="str">
        <f>IF(AND(MONTH(E1627)='IN-NX'!$J$5,'IN-NX'!$D$7=D1627),"x","")</f>
        <v/>
      </c>
      <c r="AB1627" s="81" t="str">
        <f>IF(AND(OR(LEFT(TH!N1627,2)="15",LEFT(TH!O1627,2)="15"),LEFT(TH!O1627,3)&lt;&gt;"111",'152-CT'!$J$8=TH!F1627),"x","")</f>
        <v/>
      </c>
      <c r="AC1627" s="81" t="str">
        <f>IF(AND(OR(LEFT(TH!N1627,2)="15",LEFT(TH!O1627,2)="15"),TK!$E$7=TH!F1627),"x","")</f>
        <v/>
      </c>
      <c r="AD1627" s="81" t="str">
        <f>IF(AND(N1627="1521",MONTH(C1627)='BK-NL'!$M$11),"x","")</f>
        <v/>
      </c>
    </row>
    <row r="1628" spans="1:30" ht="15.75" customHeight="1">
      <c r="A1628" s="327" t="str">
        <f>IF(B1628&lt;&gt;"",IF(AND(B1628='IN-TC'!$S$4,OR(TH!N1628="1111",TH!O1628="1111")),TH!D1628,""),"")</f>
        <v/>
      </c>
      <c r="B1628" s="62" t="str">
        <f t="shared" si="352"/>
        <v/>
      </c>
      <c r="C1628" s="63"/>
      <c r="D1628" s="63"/>
      <c r="E1628" s="63"/>
      <c r="F1628" s="66"/>
      <c r="G1628" s="66"/>
      <c r="H1628" s="71"/>
      <c r="I1628" s="405"/>
      <c r="J1628" s="408"/>
      <c r="K1628" s="398"/>
      <c r="L1628" s="405"/>
      <c r="M1628" s="64"/>
      <c r="N1628" s="65"/>
      <c r="O1628" s="65"/>
      <c r="P1628" s="81" t="str">
        <f>IF(AND('331-CT'!$E$7=TH!H1628,OR(N1628="331",O1628="331")),"x","")</f>
        <v/>
      </c>
      <c r="Q1628" s="81" t="str">
        <f>IF(AND(B1628='111'!$L$11,OR($N1628=$Q$7,$O1628=$Q$7)),"x","")</f>
        <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
      </c>
      <c r="AC1628" s="81" t="str">
        <f>IF(AND(OR(LEFT(TH!N1628,2)="15",LEFT(TH!O1628,2)="15"),TK!$E$7=TH!F1628),"x","")</f>
        <v/>
      </c>
      <c r="AD1628" s="81" t="str">
        <f>IF(AND(N1628="1521",MONTH(C1628)='BK-NL'!$M$11),"x","")</f>
        <v/>
      </c>
    </row>
    <row r="1629" spans="1:30" ht="15.75" customHeight="1">
      <c r="A1629" s="327" t="str">
        <f>IF(B1629&lt;&gt;"",IF(AND(B1629='IN-TC'!$S$4,OR(TH!N1629="1111",TH!O1629="1111")),TH!D1629,""),"")</f>
        <v/>
      </c>
      <c r="B1629" s="62" t="str">
        <f t="shared" si="352"/>
        <v/>
      </c>
      <c r="C1629" s="63"/>
      <c r="D1629" s="63"/>
      <c r="E1629" s="63"/>
      <c r="F1629" s="66"/>
      <c r="G1629" s="66"/>
      <c r="H1629" s="71"/>
      <c r="I1629" s="405"/>
      <c r="J1629" s="408"/>
      <c r="K1629" s="398"/>
      <c r="L1629" s="405"/>
      <c r="M1629" s="64"/>
      <c r="N1629" s="65"/>
      <c r="O1629" s="65"/>
      <c r="P1629" s="81" t="str">
        <f>IF(AND('331-CT'!$E$7=TH!H1629,OR(N1629="331",O1629="331")),"x","")</f>
        <v/>
      </c>
      <c r="Q1629" s="81" t="str">
        <f>IF(AND(B1629='111'!$L$11,OR($N1629=$Q$7,$O1629=$Q$7)),"x","")</f>
        <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
      </c>
      <c r="Y1629" s="81" t="str">
        <f>IF(AND(OR(N1629="131",O1629="131"),H1629='131-CT'!$H$9),"x","")</f>
        <v/>
      </c>
      <c r="Z1629" s="81"/>
      <c r="AA1629" s="81" t="str">
        <f>IF(AND(MONTH(E1629)='IN-NX'!$J$5,'IN-NX'!$D$7=D1629),"x","")</f>
        <v/>
      </c>
      <c r="AB1629" s="81" t="str">
        <f>IF(AND(OR(LEFT(TH!N1629,2)="15",LEFT(TH!O1629,2)="15"),LEFT(TH!O1629,3)&lt;&gt;"111",'152-CT'!$J$8=TH!F1629),"x","")</f>
        <v/>
      </c>
      <c r="AC1629" s="81" t="str">
        <f>IF(AND(OR(LEFT(TH!N1629,2)="15",LEFT(TH!O1629,2)="15"),TK!$E$7=TH!F1629),"x","")</f>
        <v/>
      </c>
      <c r="AD1629" s="81" t="str">
        <f>IF(AND(N1629="1521",MONTH(C1629)='BK-NL'!$M$11),"x","")</f>
        <v/>
      </c>
    </row>
    <row r="1630" spans="1:30" ht="15.75" customHeight="1">
      <c r="A1630" s="327" t="str">
        <f>IF(B1630&lt;&gt;"",IF(AND(B1630='IN-TC'!$S$4,OR(TH!N1630="1111",TH!O1630="1111")),TH!D1630,""),"")</f>
        <v/>
      </c>
      <c r="B1630" s="62" t="str">
        <f t="shared" si="352"/>
        <v/>
      </c>
      <c r="C1630" s="63"/>
      <c r="D1630" s="63"/>
      <c r="E1630" s="63"/>
      <c r="F1630" s="66"/>
      <c r="G1630" s="66"/>
      <c r="H1630" s="71"/>
      <c r="I1630" s="405"/>
      <c r="J1630" s="408"/>
      <c r="K1630" s="398"/>
      <c r="L1630" s="405"/>
      <c r="M1630" s="64"/>
      <c r="N1630" s="65"/>
      <c r="O1630" s="65"/>
      <c r="P1630" s="81" t="str">
        <f>IF(AND('331-CT'!$E$7=TH!H1630,OR(N1630="331",O1630="331")),"x","")</f>
        <v/>
      </c>
      <c r="Q1630" s="81" t="str">
        <f>IF(AND(B1630='111'!$L$11,OR($N1630=$Q$7,$O1630=$Q$7)),"x","")</f>
        <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row>
    <row r="1631" spans="1:30" ht="15.75" customHeight="1">
      <c r="A1631" s="327" t="str">
        <f>IF(B1631&lt;&gt;"",IF(AND(B1631='IN-TC'!$S$4,OR(TH!N1631="1111",TH!O1631="1111")),TH!D1631,""),"")</f>
        <v/>
      </c>
      <c r="B1631" s="62" t="str">
        <f t="shared" si="352"/>
        <v/>
      </c>
      <c r="C1631" s="63"/>
      <c r="D1631" s="63"/>
      <c r="E1631" s="63"/>
      <c r="F1631" s="66"/>
      <c r="G1631" s="66"/>
      <c r="H1631" s="71"/>
      <c r="I1631" s="407"/>
      <c r="J1631" s="408"/>
      <c r="K1631" s="400"/>
      <c r="L1631" s="407"/>
      <c r="M1631" s="64"/>
      <c r="N1631" s="65"/>
      <c r="O1631" s="65"/>
      <c r="P1631" s="81" t="str">
        <f>IF(AND('331-CT'!$E$7=TH!H1631,OR(N1631="331",O1631="331")),"x","")</f>
        <v/>
      </c>
      <c r="Q1631" s="81" t="str">
        <f>IF(AND(B1631='111'!$L$11,OR($N1631=$Q$7,$O1631=$Q$7)),"x","")</f>
        <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row>
    <row r="1632" spans="1:30" ht="15.75" customHeight="1">
      <c r="A1632" s="327" t="str">
        <f>IF(B1632&lt;&gt;"",IF(AND(B1632='IN-TC'!$S$4,OR(TH!N1632="1111",TH!O1632="1111")),TH!D1632,""),"")</f>
        <v/>
      </c>
      <c r="B1632" s="62" t="str">
        <f t="shared" si="352"/>
        <v/>
      </c>
      <c r="C1632" s="63"/>
      <c r="D1632" s="63"/>
      <c r="E1632" s="63"/>
      <c r="F1632" s="66"/>
      <c r="G1632" s="66"/>
      <c r="H1632" s="72"/>
      <c r="I1632" s="405"/>
      <c r="J1632" s="408"/>
      <c r="K1632" s="398"/>
      <c r="L1632" s="405"/>
      <c r="M1632" s="64"/>
      <c r="N1632" s="65"/>
      <c r="O1632" s="65"/>
      <c r="P1632" s="81" t="str">
        <f>IF(AND('331-CT'!$E$7=TH!H1632,OR(N1632="331",O1632="331")),"x","")</f>
        <v/>
      </c>
      <c r="Q1632" s="81" t="str">
        <f>IF(AND(B1632='111'!$L$11,OR($N1632=$Q$7,$O1632=$Q$7)),"x","")</f>
        <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row>
    <row r="1633" spans="1:30" ht="15.75" customHeight="1">
      <c r="A1633" s="327" t="str">
        <f>IF(B1633&lt;&gt;"",IF(AND(B1633='IN-TC'!$S$4,OR(TH!N1633="1111",TH!O1633="1111")),TH!D1633,""),"")</f>
        <v/>
      </c>
      <c r="B1633" s="62" t="str">
        <f t="shared" si="352"/>
        <v/>
      </c>
      <c r="C1633" s="63"/>
      <c r="D1633" s="63"/>
      <c r="E1633" s="63"/>
      <c r="F1633" s="66"/>
      <c r="G1633" s="66"/>
      <c r="H1633" s="71"/>
      <c r="I1633" s="405"/>
      <c r="J1633" s="408"/>
      <c r="K1633" s="398"/>
      <c r="L1633" s="405"/>
      <c r="M1633" s="64"/>
      <c r="N1633" s="65"/>
      <c r="O1633" s="65"/>
      <c r="P1633" s="81" t="str">
        <f>IF(AND('331-CT'!$E$7=TH!H1633,OR(N1633="331",O1633="331")),"x","")</f>
        <v/>
      </c>
      <c r="Q1633" s="81" t="str">
        <f>IF(AND(B1633='111'!$L$11,OR($N1633=$Q$7,$O1633=$Q$7)),"x","")</f>
        <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row>
    <row r="1634" spans="1:30" ht="15.75" customHeight="1">
      <c r="A1634" s="327" t="str">
        <f>IF(B1634&lt;&gt;"",IF(AND(B1634='IN-TC'!$S$4,OR(TH!N1634="1111",TH!O1634="1111")),TH!D1634,""),"")</f>
        <v/>
      </c>
      <c r="B1634" s="62" t="str">
        <f t="shared" si="352"/>
        <v/>
      </c>
      <c r="C1634" s="63"/>
      <c r="D1634" s="63"/>
      <c r="E1634" s="63"/>
      <c r="F1634" s="66"/>
      <c r="G1634" s="66"/>
      <c r="H1634" s="71"/>
      <c r="I1634" s="405"/>
      <c r="J1634" s="408"/>
      <c r="K1634" s="398"/>
      <c r="L1634" s="405"/>
      <c r="M1634" s="64"/>
      <c r="N1634" s="65"/>
      <c r="O1634" s="65"/>
      <c r="P1634" s="81" t="str">
        <f>IF(AND('331-CT'!$E$7=TH!H1634,OR(N1634="331",O1634="331")),"x","")</f>
        <v/>
      </c>
      <c r="Q1634" s="81" t="str">
        <f>IF(AND(B1634='111'!$L$11,OR($N1634=$Q$7,$O1634=$Q$7)),"x","")</f>
        <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
      </c>
      <c r="Y1634" s="81" t="str">
        <f>IF(AND(OR(N1634="131",O1634="131"),H1634='131-CT'!$H$9),"x","")</f>
        <v/>
      </c>
      <c r="Z1634" s="81"/>
      <c r="AA1634" s="81" t="str">
        <f>IF(AND(MONTH(E1634)='IN-NX'!$J$5,'IN-NX'!$D$7=D1634),"x","")</f>
        <v/>
      </c>
      <c r="AB1634" s="81" t="str">
        <f>IF(AND(OR(LEFT(TH!N1634,2)="15",LEFT(TH!O1634,2)="15"),LEFT(TH!O1634,3)&lt;&gt;"111",'152-CT'!$J$8=TH!F1634),"x","")</f>
        <v/>
      </c>
      <c r="AC1634" s="81" t="str">
        <f>IF(AND(OR(LEFT(TH!N1634,2)="15",LEFT(TH!O1634,2)="15"),TK!$E$7=TH!F1634),"x","")</f>
        <v/>
      </c>
      <c r="AD1634" s="81" t="str">
        <f>IF(AND(N1634="1521",MONTH(C1634)='BK-NL'!$M$11),"x","")</f>
        <v/>
      </c>
    </row>
    <row r="1635" spans="1:30" ht="15.75" customHeight="1">
      <c r="A1635" s="327" t="str">
        <f>IF(B1635&lt;&gt;"",IF(AND(B1635='IN-TC'!$S$4,OR(TH!N1635="1111",TH!O1635="1111")),TH!D1635,""),"")</f>
        <v/>
      </c>
      <c r="B1635" s="62" t="str">
        <f t="shared" si="352"/>
        <v/>
      </c>
      <c r="C1635" s="63"/>
      <c r="D1635" s="63"/>
      <c r="E1635" s="63"/>
      <c r="F1635" s="66"/>
      <c r="G1635" s="66"/>
      <c r="H1635" s="71"/>
      <c r="I1635" s="405"/>
      <c r="J1635" s="408"/>
      <c r="K1635" s="398"/>
      <c r="L1635" s="405"/>
      <c r="M1635" s="64"/>
      <c r="N1635" s="65"/>
      <c r="O1635" s="65"/>
      <c r="P1635" s="81" t="str">
        <f>IF(AND('331-CT'!$E$7=TH!H1635,OR(N1635="331",O1635="331")),"x","")</f>
        <v/>
      </c>
      <c r="Q1635" s="81" t="str">
        <f>IF(AND(B1635='111'!$L$11,OR($N1635=$Q$7,$O1635=$Q$7)),"x","")</f>
        <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
      </c>
      <c r="Y1635" s="81" t="str">
        <f>IF(AND(OR(N1635="131",O1635="131"),H1635='131-CT'!$H$9),"x","")</f>
        <v/>
      </c>
      <c r="Z1635" s="81"/>
      <c r="AA1635" s="81" t="str">
        <f>IF(AND(MONTH(E1635)='IN-NX'!$J$5,'IN-NX'!$D$7=D1635),"x","")</f>
        <v/>
      </c>
      <c r="AB1635" s="81" t="str">
        <f>IF(AND(OR(LEFT(TH!N1635,2)="15",LEFT(TH!O1635,2)="15"),LEFT(TH!O1635,3)&lt;&gt;"111",'152-CT'!$J$8=TH!F1635),"x","")</f>
        <v/>
      </c>
      <c r="AC1635" s="81" t="str">
        <f>IF(AND(OR(LEFT(TH!N1635,2)="15",LEFT(TH!O1635,2)="15"),TK!$E$7=TH!F1635),"x","")</f>
        <v/>
      </c>
      <c r="AD1635" s="81" t="str">
        <f>IF(AND(N1635="1521",MONTH(C1635)='BK-NL'!$M$11),"x","")</f>
        <v/>
      </c>
    </row>
    <row r="1636" spans="1:30" ht="15.75" customHeight="1">
      <c r="A1636" s="327" t="str">
        <f>IF(B1636&lt;&gt;"",IF(AND(B1636='IN-TC'!$S$4,OR(TH!N1636="1111",TH!O1636="1111")),TH!D1636,""),"")</f>
        <v/>
      </c>
      <c r="B1636" s="62" t="str">
        <f t="shared" si="352"/>
        <v/>
      </c>
      <c r="C1636" s="63"/>
      <c r="D1636" s="63"/>
      <c r="E1636" s="63"/>
      <c r="F1636" s="66"/>
      <c r="G1636" s="66"/>
      <c r="H1636" s="71"/>
      <c r="I1636" s="405"/>
      <c r="J1636" s="408"/>
      <c r="K1636" s="398"/>
      <c r="L1636" s="405"/>
      <c r="M1636" s="64"/>
      <c r="N1636" s="65"/>
      <c r="O1636" s="65"/>
      <c r="P1636" s="81" t="str">
        <f>IF(AND('331-CT'!$E$7=TH!H1636,OR(N1636="331",O1636="331")),"x","")</f>
        <v/>
      </c>
      <c r="Q1636" s="81" t="str">
        <f>IF(AND(B1636='111'!$L$11,OR($N1636=$Q$7,$O1636=$Q$7)),"x","")</f>
        <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
      </c>
      <c r="Y1636" s="81" t="str">
        <f>IF(AND(OR(N1636="131",O1636="131"),H1636='131-CT'!$H$9),"x","")</f>
        <v/>
      </c>
      <c r="Z1636" s="81"/>
      <c r="AA1636" s="81" t="str">
        <f>IF(AND(MONTH(E1636)='IN-NX'!$J$5,'IN-NX'!$D$7=D1636),"x","")</f>
        <v/>
      </c>
      <c r="AB1636" s="81" t="str">
        <f>IF(AND(OR(LEFT(TH!N1636,2)="15",LEFT(TH!O1636,2)="15"),LEFT(TH!O1636,3)&lt;&gt;"111",'152-CT'!$J$8=TH!F1636),"x","")</f>
        <v/>
      </c>
      <c r="AC1636" s="81" t="str">
        <f>IF(AND(OR(LEFT(TH!N1636,2)="15",LEFT(TH!O1636,2)="15"),TK!$E$7=TH!F1636),"x","")</f>
        <v/>
      </c>
      <c r="AD1636" s="81" t="str">
        <f>IF(AND(N1636="1521",MONTH(C1636)='BK-NL'!$M$11),"x","")</f>
        <v/>
      </c>
    </row>
    <row r="1637" spans="1:30" ht="15.75" customHeight="1">
      <c r="A1637" s="327" t="str">
        <f>IF(B1637&lt;&gt;"",IF(AND(B1637='IN-TC'!$S$4,OR(TH!N1637="1111",TH!O1637="1111")),TH!D1637,""),"")</f>
        <v/>
      </c>
      <c r="B1637" s="62" t="str">
        <f t="shared" si="352"/>
        <v/>
      </c>
      <c r="C1637" s="63"/>
      <c r="D1637" s="63"/>
      <c r="E1637" s="63"/>
      <c r="F1637" s="66"/>
      <c r="G1637" s="66"/>
      <c r="H1637" s="71"/>
      <c r="I1637" s="405"/>
      <c r="J1637" s="408"/>
      <c r="K1637" s="398"/>
      <c r="L1637" s="405"/>
      <c r="M1637" s="64"/>
      <c r="N1637" s="65"/>
      <c r="O1637" s="65"/>
      <c r="P1637" s="81" t="str">
        <f>IF(AND('331-CT'!$E$7=TH!H1637,OR(N1637="331",O1637="331")),"x","")</f>
        <v/>
      </c>
      <c r="Q1637" s="81" t="str">
        <f>IF(AND(B1637='111'!$L$11,OR($N1637=$Q$7,$O1637=$Q$7)),"x","")</f>
        <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row>
    <row r="1638" spans="1:30" ht="15.75" customHeight="1">
      <c r="A1638" s="327" t="str">
        <f>IF(B1638&lt;&gt;"",IF(AND(B1638='IN-TC'!$S$4,OR(TH!N1638="1111",TH!O1638="1111")),TH!D1638,""),"")</f>
        <v/>
      </c>
      <c r="B1638" s="62" t="str">
        <f t="shared" si="352"/>
        <v/>
      </c>
      <c r="C1638" s="63"/>
      <c r="D1638" s="63"/>
      <c r="E1638" s="63"/>
      <c r="F1638" s="66"/>
      <c r="G1638" s="66"/>
      <c r="H1638" s="71"/>
      <c r="I1638" s="405"/>
      <c r="J1638" s="408"/>
      <c r="K1638" s="398"/>
      <c r="L1638" s="405"/>
      <c r="M1638" s="64"/>
      <c r="N1638" s="65"/>
      <c r="O1638" s="65"/>
      <c r="P1638" s="81" t="str">
        <f>IF(AND('331-CT'!$E$7=TH!H1638,OR(N1638="331",O1638="331")),"x","")</f>
        <v/>
      </c>
      <c r="Q1638" s="81" t="str">
        <f>IF(AND(B1638='111'!$L$11,OR($N1638=$Q$7,$O1638=$Q$7)),"x","")</f>
        <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row>
    <row r="1639" spans="1:30" ht="15.75" customHeight="1">
      <c r="A1639" s="327" t="str">
        <f>IF(B1639&lt;&gt;"",IF(AND(B1639='IN-TC'!$S$4,OR(TH!N1639="1111",TH!O1639="1111")),TH!D1639,""),"")</f>
        <v/>
      </c>
      <c r="B1639" s="62" t="str">
        <f t="shared" si="352"/>
        <v/>
      </c>
      <c r="C1639" s="63"/>
      <c r="D1639" s="63"/>
      <c r="E1639" s="63"/>
      <c r="F1639" s="66"/>
      <c r="G1639" s="66"/>
      <c r="H1639" s="71"/>
      <c r="I1639" s="405"/>
      <c r="J1639" s="408"/>
      <c r="K1639" s="398"/>
      <c r="L1639" s="405"/>
      <c r="M1639" s="64"/>
      <c r="N1639" s="65"/>
      <c r="O1639" s="65"/>
      <c r="P1639" s="81" t="str">
        <f>IF(AND('331-CT'!$E$7=TH!H1639,OR(N1639="331",O1639="331")),"x","")</f>
        <v/>
      </c>
      <c r="Q1639" s="81" t="str">
        <f>IF(AND(B1639='111'!$L$11,OR($N1639=$Q$7,$O1639=$Q$7)),"x","")</f>
        <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
      </c>
      <c r="Y1639" s="81" t="str">
        <f>IF(AND(OR(N1639="131",O1639="131"),H1639='131-CT'!$H$9),"x","")</f>
        <v/>
      </c>
      <c r="Z1639" s="81"/>
      <c r="AA1639" s="81" t="str">
        <f>IF(AND(MONTH(E1639)='IN-NX'!$J$5,'IN-NX'!$D$7=D1639),"x","")</f>
        <v/>
      </c>
      <c r="AB1639" s="81" t="str">
        <f>IF(AND(OR(LEFT(TH!N1639,2)="15",LEFT(TH!O1639,2)="15"),LEFT(TH!O1639,3)&lt;&gt;"111",'152-CT'!$J$8=TH!F1639),"x","")</f>
        <v/>
      </c>
      <c r="AC1639" s="81" t="str">
        <f>IF(AND(OR(LEFT(TH!N1639,2)="15",LEFT(TH!O1639,2)="15"),TK!$E$7=TH!F1639),"x","")</f>
        <v/>
      </c>
      <c r="AD1639" s="81" t="str">
        <f>IF(AND(N1639="1521",MONTH(C1639)='BK-NL'!$M$11),"x","")</f>
        <v/>
      </c>
    </row>
    <row r="1640" spans="1:30" ht="15.75" customHeight="1">
      <c r="A1640" s="327" t="str">
        <f>IF(B1640&lt;&gt;"",IF(AND(B1640='IN-TC'!$S$4,OR(TH!N1640="1111",TH!O1640="1111")),TH!D1640,""),"")</f>
        <v/>
      </c>
      <c r="B1640" s="62" t="str">
        <f t="shared" si="352"/>
        <v/>
      </c>
      <c r="C1640" s="63"/>
      <c r="D1640" s="63"/>
      <c r="E1640" s="63"/>
      <c r="F1640" s="66"/>
      <c r="G1640" s="66"/>
      <c r="H1640" s="71"/>
      <c r="I1640" s="405"/>
      <c r="J1640" s="408"/>
      <c r="K1640" s="398"/>
      <c r="L1640" s="405"/>
      <c r="M1640" s="64"/>
      <c r="N1640" s="65"/>
      <c r="O1640" s="65"/>
      <c r="P1640" s="81" t="str">
        <f>IF(AND('331-CT'!$E$7=TH!H1640,OR(N1640="331",O1640="331")),"x","")</f>
        <v/>
      </c>
      <c r="Q1640" s="81" t="str">
        <f>IF(AND(B1640='111'!$L$11,OR($N1640=$Q$7,$O1640=$Q$7)),"x","")</f>
        <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
      </c>
      <c r="Y1640" s="81" t="str">
        <f>IF(AND(OR(N1640="131",O1640="131"),H1640='131-CT'!$H$9),"x","")</f>
        <v/>
      </c>
      <c r="Z1640" s="81"/>
      <c r="AA1640" s="81" t="str">
        <f>IF(AND(MONTH(E1640)='IN-NX'!$J$5,'IN-NX'!$D$7=D1640),"x","")</f>
        <v/>
      </c>
      <c r="AB1640" s="81" t="str">
        <f>IF(AND(OR(LEFT(TH!N1640,2)="15",LEFT(TH!O1640,2)="15"),LEFT(TH!O1640,3)&lt;&gt;"111",'152-CT'!$J$8=TH!F1640),"x","")</f>
        <v/>
      </c>
      <c r="AC1640" s="81" t="str">
        <f>IF(AND(OR(LEFT(TH!N1640,2)="15",LEFT(TH!O1640,2)="15"),TK!$E$7=TH!F1640),"x","")</f>
        <v/>
      </c>
      <c r="AD1640" s="81" t="str">
        <f>IF(AND(N1640="1521",MONTH(C1640)='BK-NL'!$M$11),"x","")</f>
        <v/>
      </c>
    </row>
    <row r="1641" spans="1:30" ht="15.75" customHeight="1">
      <c r="A1641" s="327" t="str">
        <f>IF(B1641&lt;&gt;"",IF(AND(B1641='IN-TC'!$S$4,OR(TH!N1641="1111",TH!O1641="1111")),TH!D1641,""),"")</f>
        <v/>
      </c>
      <c r="B1641" s="62" t="str">
        <f t="shared" si="352"/>
        <v/>
      </c>
      <c r="C1641" s="63"/>
      <c r="D1641" s="63"/>
      <c r="E1641" s="63"/>
      <c r="F1641" s="66"/>
      <c r="G1641" s="66"/>
      <c r="H1641" s="71"/>
      <c r="I1641" s="405"/>
      <c r="J1641" s="408"/>
      <c r="K1641" s="398"/>
      <c r="L1641" s="405"/>
      <c r="M1641" s="64"/>
      <c r="N1641" s="65"/>
      <c r="O1641" s="65"/>
      <c r="P1641" s="81" t="str">
        <f>IF(AND('331-CT'!$E$7=TH!H1641,OR(N1641="331",O1641="331")),"x","")</f>
        <v/>
      </c>
      <c r="Q1641" s="81" t="str">
        <f>IF(AND(B1641='111'!$L$11,OR($N1641=$Q$7,$O1641=$Q$7)),"x","")</f>
        <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
      </c>
      <c r="Y1641" s="81" t="str">
        <f>IF(AND(OR(N1641="131",O1641="131"),H1641='131-CT'!$H$9),"x","")</f>
        <v/>
      </c>
      <c r="Z1641" s="81"/>
      <c r="AA1641" s="81" t="str">
        <f>IF(AND(MONTH(E1641)='IN-NX'!$J$5,'IN-NX'!$D$7=D1641),"x","")</f>
        <v/>
      </c>
      <c r="AB1641" s="81" t="str">
        <f>IF(AND(OR(LEFT(TH!N1641,2)="15",LEFT(TH!O1641,2)="15"),LEFT(TH!O1641,3)&lt;&gt;"111",'152-CT'!$J$8=TH!F1641),"x","")</f>
        <v/>
      </c>
      <c r="AC1641" s="81" t="str">
        <f>IF(AND(OR(LEFT(TH!N1641,2)="15",LEFT(TH!O1641,2)="15"),TK!$E$7=TH!F1641),"x","")</f>
        <v/>
      </c>
      <c r="AD1641" s="81" t="str">
        <f>IF(AND(N1641="1521",MONTH(C1641)='BK-NL'!$M$11),"x","")</f>
        <v/>
      </c>
    </row>
    <row r="1642" spans="1:30" ht="15.75" customHeight="1">
      <c r="A1642" s="327" t="str">
        <f>IF(B1642&lt;&gt;"",IF(AND(B1642='IN-TC'!$S$4,OR(TH!N1642="1111",TH!O1642="1111")),TH!D1642,""),"")</f>
        <v/>
      </c>
      <c r="B1642" s="62" t="str">
        <f t="shared" si="352"/>
        <v/>
      </c>
      <c r="C1642" s="63"/>
      <c r="D1642" s="63"/>
      <c r="E1642" s="63"/>
      <c r="F1642" s="66"/>
      <c r="G1642" s="66"/>
      <c r="H1642" s="71"/>
      <c r="I1642" s="407"/>
      <c r="J1642" s="408"/>
      <c r="K1642" s="400"/>
      <c r="L1642" s="407"/>
      <c r="M1642" s="64"/>
      <c r="N1642" s="65"/>
      <c r="O1642" s="65"/>
      <c r="P1642" s="81" t="str">
        <f>IF(AND('331-CT'!$E$7=TH!H1642,OR(N1642="331",O1642="331")),"x","")</f>
        <v/>
      </c>
      <c r="Q1642" s="81" t="str">
        <f>IF(AND(B1642='111'!$L$11,OR($N1642=$Q$7,$O1642=$Q$7)),"x","")</f>
        <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
      </c>
      <c r="Y1642" s="81" t="str">
        <f>IF(AND(OR(N1642="131",O1642="131"),H1642='131-CT'!$H$9),"x","")</f>
        <v/>
      </c>
      <c r="Z1642" s="81"/>
      <c r="AA1642" s="81" t="str">
        <f>IF(AND(MONTH(E1642)='IN-NX'!$J$5,'IN-NX'!$D$7=D1642),"x","")</f>
        <v/>
      </c>
      <c r="AB1642" s="81" t="str">
        <f>IF(AND(OR(LEFT(TH!N1642,2)="15",LEFT(TH!O1642,2)="15"),LEFT(TH!O1642,3)&lt;&gt;"111",'152-CT'!$J$8=TH!F1642),"x","")</f>
        <v/>
      </c>
      <c r="AC1642" s="81" t="str">
        <f>IF(AND(OR(LEFT(TH!N1642,2)="15",LEFT(TH!O1642,2)="15"),TK!$E$7=TH!F1642),"x","")</f>
        <v/>
      </c>
      <c r="AD1642" s="81" t="str">
        <f>IF(AND(N1642="1521",MONTH(C1642)='BK-NL'!$M$11),"x","")</f>
        <v/>
      </c>
    </row>
    <row r="1643" spans="1:30" ht="15.75" customHeight="1">
      <c r="A1643" s="327" t="str">
        <f>IF(B1643&lt;&gt;"",IF(AND(B1643='IN-TC'!$S$4,OR(TH!N1643="1111",TH!O1643="1111")),TH!D1643,""),"")</f>
        <v/>
      </c>
      <c r="B1643" s="62" t="str">
        <f t="shared" si="352"/>
        <v/>
      </c>
      <c r="C1643" s="63"/>
      <c r="D1643" s="63"/>
      <c r="E1643" s="63"/>
      <c r="F1643" s="66"/>
      <c r="G1643" s="66"/>
      <c r="H1643" s="71"/>
      <c r="I1643" s="407"/>
      <c r="J1643" s="408"/>
      <c r="K1643" s="400"/>
      <c r="L1643" s="407"/>
      <c r="M1643" s="64"/>
      <c r="N1643" s="65"/>
      <c r="O1643" s="65"/>
      <c r="P1643" s="81" t="str">
        <f>IF(AND('331-CT'!$E$7=TH!H1643,OR(N1643="331",O1643="331")),"x","")</f>
        <v/>
      </c>
      <c r="Q1643" s="81" t="str">
        <f>IF(AND(B1643='111'!$L$11,OR($N1643=$Q$7,$O1643=$Q$7)),"x","")</f>
        <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row>
    <row r="1644" spans="1:30" ht="15.75" customHeight="1">
      <c r="A1644" s="327" t="str">
        <f>IF(B1644&lt;&gt;"",IF(AND(B1644='IN-TC'!$S$4,OR(TH!N1644="1111",TH!O1644="1111")),TH!D1644,""),"")</f>
        <v/>
      </c>
      <c r="B1644" s="62" t="str">
        <f t="shared" ref="B1644:B1711" si="353">IF(C1644&lt;&gt;"",MONTH(C1644),"")</f>
        <v/>
      </c>
      <c r="C1644" s="63"/>
      <c r="D1644" s="63"/>
      <c r="E1644" s="63"/>
      <c r="F1644" s="66"/>
      <c r="G1644" s="66"/>
      <c r="H1644" s="71"/>
      <c r="I1644" s="407"/>
      <c r="J1644" s="408"/>
      <c r="K1644" s="400"/>
      <c r="L1644" s="407"/>
      <c r="M1644" s="64"/>
      <c r="N1644" s="65"/>
      <c r="O1644" s="65"/>
      <c r="P1644" s="81" t="str">
        <f>IF(AND('331-CT'!$E$7=TH!H1644,OR(N1644="331",O1644="331")),"x","")</f>
        <v/>
      </c>
      <c r="Q1644" s="81" t="str">
        <f>IF(AND(B1644='111'!$L$11,OR($N1644=$Q$7,$O1644=$Q$7)),"x","")</f>
        <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row>
    <row r="1645" spans="1:30" ht="15.75" customHeight="1">
      <c r="A1645" s="327" t="str">
        <f>IF(B1645&lt;&gt;"",IF(AND(B1645='IN-TC'!$S$4,OR(TH!N1645="1111",TH!O1645="1111")),TH!D1645,""),"")</f>
        <v/>
      </c>
      <c r="B1645" s="62" t="str">
        <f t="shared" si="353"/>
        <v/>
      </c>
      <c r="C1645" s="63"/>
      <c r="D1645" s="63"/>
      <c r="E1645" s="63"/>
      <c r="F1645" s="66"/>
      <c r="G1645" s="66"/>
      <c r="H1645" s="71"/>
      <c r="I1645" s="405"/>
      <c r="J1645" s="408"/>
      <c r="K1645" s="398"/>
      <c r="L1645" s="405"/>
      <c r="M1645" s="64"/>
      <c r="N1645" s="65"/>
      <c r="O1645" s="65"/>
      <c r="P1645" s="81" t="str">
        <f>IF(AND('331-CT'!$E$7=TH!H1645,OR(N1645="331",O1645="331")),"x","")</f>
        <v/>
      </c>
      <c r="Q1645" s="81" t="str">
        <f>IF(AND(B1645='111'!$L$11,OR($N1645=$Q$7,$O1645=$Q$7)),"x","")</f>
        <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
      </c>
      <c r="Y1645" s="81" t="str">
        <f>IF(AND(OR(N1645="131",O1645="131"),H1645='131-CT'!$H$9),"x","")</f>
        <v/>
      </c>
      <c r="Z1645" s="81"/>
      <c r="AA1645" s="81" t="str">
        <f>IF(AND(MONTH(E1645)='IN-NX'!$J$5,'IN-NX'!$D$7=D1645),"x","")</f>
        <v/>
      </c>
      <c r="AB1645" s="81" t="str">
        <f>IF(AND(OR(LEFT(TH!N1645,2)="15",LEFT(TH!O1645,2)="15"),LEFT(TH!O1645,3)&lt;&gt;"111",'152-CT'!$J$8=TH!F1645),"x","")</f>
        <v/>
      </c>
      <c r="AC1645" s="81" t="str">
        <f>IF(AND(OR(LEFT(TH!N1645,2)="15",LEFT(TH!O1645,2)="15"),TK!$E$7=TH!F1645),"x","")</f>
        <v/>
      </c>
      <c r="AD1645" s="81" t="str">
        <f>IF(AND(N1645="1521",MONTH(C1645)='BK-NL'!$M$11),"x","")</f>
        <v/>
      </c>
    </row>
    <row r="1646" spans="1:30" ht="15.75" customHeight="1">
      <c r="A1646" s="327" t="str">
        <f>IF(B1646&lt;&gt;"",IF(AND(B1646='IN-TC'!$S$4,OR(TH!N1646="1111",TH!O1646="1111")),TH!D1646,""),"")</f>
        <v/>
      </c>
      <c r="B1646" s="62" t="str">
        <f t="shared" si="353"/>
        <v/>
      </c>
      <c r="C1646" s="63"/>
      <c r="D1646" s="63"/>
      <c r="E1646" s="63"/>
      <c r="F1646" s="66"/>
      <c r="G1646" s="66"/>
      <c r="H1646" s="71"/>
      <c r="I1646" s="407"/>
      <c r="J1646" s="408"/>
      <c r="K1646" s="400"/>
      <c r="L1646" s="407"/>
      <c r="M1646" s="64"/>
      <c r="N1646" s="65"/>
      <c r="O1646" s="65"/>
      <c r="P1646" s="81" t="str">
        <f>IF(AND('331-CT'!$E$7=TH!H1646,OR(N1646="331",O1646="331")),"x","")</f>
        <v/>
      </c>
      <c r="Q1646" s="81" t="str">
        <f>IF(AND(B1646='111'!$L$11,OR($N1646=$Q$7,$O1646=$Q$7)),"x","")</f>
        <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
      </c>
      <c r="Y1646" s="81" t="str">
        <f>IF(AND(OR(N1646="131",O1646="131"),H1646='131-CT'!$H$9),"x","")</f>
        <v/>
      </c>
      <c r="Z1646" s="81"/>
      <c r="AA1646" s="81" t="str">
        <f>IF(AND(MONTH(E1646)='IN-NX'!$J$5,'IN-NX'!$D$7=D1646),"x","")</f>
        <v/>
      </c>
      <c r="AB1646" s="81" t="str">
        <f>IF(AND(OR(LEFT(TH!N1646,2)="15",LEFT(TH!O1646,2)="15"),LEFT(TH!O1646,3)&lt;&gt;"111",'152-CT'!$J$8=TH!F1646),"x","")</f>
        <v/>
      </c>
      <c r="AC1646" s="81" t="str">
        <f>IF(AND(OR(LEFT(TH!N1646,2)="15",LEFT(TH!O1646,2)="15"),TK!$E$7=TH!F1646),"x","")</f>
        <v/>
      </c>
      <c r="AD1646" s="81" t="str">
        <f>IF(AND(N1646="1521",MONTH(C1646)='BK-NL'!$M$11),"x","")</f>
        <v/>
      </c>
    </row>
    <row r="1647" spans="1:30" ht="15.75" customHeight="1">
      <c r="A1647" s="327" t="str">
        <f>IF(B1647&lt;&gt;"",IF(AND(B1647='IN-TC'!$S$4,OR(TH!N1647="1111",TH!O1647="1111")),TH!D1647,""),"")</f>
        <v/>
      </c>
      <c r="B1647" s="62" t="str">
        <f t="shared" si="353"/>
        <v/>
      </c>
      <c r="C1647" s="63"/>
      <c r="D1647" s="63"/>
      <c r="E1647" s="63"/>
      <c r="F1647" s="66"/>
      <c r="G1647" s="66"/>
      <c r="H1647" s="71"/>
      <c r="I1647" s="405"/>
      <c r="J1647" s="408"/>
      <c r="K1647" s="398"/>
      <c r="L1647" s="405"/>
      <c r="M1647" s="64"/>
      <c r="N1647" s="65"/>
      <c r="O1647" s="65"/>
      <c r="P1647" s="81" t="str">
        <f>IF(AND('331-CT'!$E$7=TH!H1647,OR(N1647="331",O1647="331")),"x","")</f>
        <v/>
      </c>
      <c r="Q1647" s="81" t="str">
        <f>IF(AND(B1647='111'!$L$11,OR($N1647=$Q$7,$O1647=$Q$7)),"x","")</f>
        <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
      </c>
      <c r="Y1647" s="81" t="str">
        <f>IF(AND(OR(N1647="131",O1647="131"),H1647='131-CT'!$H$9),"x","")</f>
        <v/>
      </c>
      <c r="Z1647" s="81"/>
      <c r="AA1647" s="81" t="str">
        <f>IF(AND(MONTH(E1647)='IN-NX'!$J$5,'IN-NX'!$D$7=D1647),"x","")</f>
        <v/>
      </c>
      <c r="AB1647" s="81" t="str">
        <f>IF(AND(OR(LEFT(TH!N1647,2)="15",LEFT(TH!O1647,2)="15"),LEFT(TH!O1647,3)&lt;&gt;"111",'152-CT'!$J$8=TH!F1647),"x","")</f>
        <v/>
      </c>
      <c r="AC1647" s="81" t="str">
        <f>IF(AND(OR(LEFT(TH!N1647,2)="15",LEFT(TH!O1647,2)="15"),TK!$E$7=TH!F1647),"x","")</f>
        <v/>
      </c>
      <c r="AD1647" s="81" t="str">
        <f>IF(AND(N1647="1521",MONTH(C1647)='BK-NL'!$M$11),"x","")</f>
        <v/>
      </c>
    </row>
    <row r="1648" spans="1:30" ht="15.75" customHeight="1">
      <c r="A1648" s="327" t="str">
        <f>IF(B1648&lt;&gt;"",IF(AND(B1648='IN-TC'!$S$4,OR(TH!N1648="1111",TH!O1648="1111")),TH!D1648,""),"")</f>
        <v/>
      </c>
      <c r="B1648" s="62" t="str">
        <f t="shared" si="353"/>
        <v/>
      </c>
      <c r="C1648" s="63"/>
      <c r="D1648" s="63"/>
      <c r="E1648" s="63"/>
      <c r="F1648" s="66"/>
      <c r="G1648" s="66"/>
      <c r="H1648" s="71"/>
      <c r="I1648" s="405"/>
      <c r="J1648" s="408"/>
      <c r="K1648" s="398"/>
      <c r="L1648" s="405"/>
      <c r="M1648" s="64"/>
      <c r="N1648" s="65"/>
      <c r="O1648" s="65"/>
      <c r="P1648" s="81" t="str">
        <f>IF(AND('331-CT'!$E$7=TH!H1648,OR(N1648="331",O1648="331")),"x","")</f>
        <v/>
      </c>
      <c r="Q1648" s="81" t="str">
        <f>IF(AND(B1648='111'!$L$11,OR($N1648=$Q$7,$O1648=$Q$7)),"x","")</f>
        <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
      </c>
      <c r="Y1648" s="81" t="str">
        <f>IF(AND(OR(N1648="131",O1648="131"),H1648='131-CT'!$H$9),"x","")</f>
        <v/>
      </c>
      <c r="Z1648" s="81"/>
      <c r="AA1648" s="81" t="str">
        <f>IF(AND(MONTH(E1648)='IN-NX'!$J$5,'IN-NX'!$D$7=D1648),"x","")</f>
        <v/>
      </c>
      <c r="AB1648" s="81" t="str">
        <f>IF(AND(OR(LEFT(TH!N1648,2)="15",LEFT(TH!O1648,2)="15"),LEFT(TH!O1648,3)&lt;&gt;"111",'152-CT'!$J$8=TH!F1648),"x","")</f>
        <v/>
      </c>
      <c r="AC1648" s="81" t="str">
        <f>IF(AND(OR(LEFT(TH!N1648,2)="15",LEFT(TH!O1648,2)="15"),TK!$E$7=TH!F1648),"x","")</f>
        <v/>
      </c>
      <c r="AD1648" s="81" t="str">
        <f>IF(AND(N1648="1521",MONTH(C1648)='BK-NL'!$M$11),"x","")</f>
        <v/>
      </c>
    </row>
    <row r="1649" spans="1:30" ht="15.75" customHeight="1">
      <c r="A1649" s="327" t="str">
        <f>IF(B1649&lt;&gt;"",IF(AND(B1649='IN-TC'!$S$4,OR(TH!N1649="1111",TH!O1649="1111")),TH!D1649,""),"")</f>
        <v/>
      </c>
      <c r="B1649" s="62" t="str">
        <f t="shared" si="353"/>
        <v/>
      </c>
      <c r="C1649" s="63"/>
      <c r="D1649" s="63"/>
      <c r="E1649" s="63"/>
      <c r="F1649" s="66"/>
      <c r="G1649" s="66"/>
      <c r="H1649" s="71"/>
      <c r="I1649" s="407"/>
      <c r="J1649" s="408"/>
      <c r="K1649" s="400"/>
      <c r="L1649" s="407"/>
      <c r="M1649" s="64"/>
      <c r="N1649" s="65"/>
      <c r="O1649" s="65"/>
      <c r="P1649" s="81" t="str">
        <f>IF(AND('331-CT'!$E$7=TH!H1649,OR(N1649="331",O1649="331")),"x","")</f>
        <v/>
      </c>
      <c r="Q1649" s="81" t="str">
        <f>IF(AND(B1649='111'!$L$11,OR($N1649=$Q$7,$O1649=$Q$7)),"x","")</f>
        <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
      </c>
      <c r="Y1649" s="81" t="str">
        <f>IF(AND(OR(N1649="131",O1649="131"),H1649='131-CT'!$H$9),"x","")</f>
        <v/>
      </c>
      <c r="Z1649" s="81"/>
      <c r="AA1649" s="81" t="str">
        <f>IF(AND(MONTH(E1649)='IN-NX'!$J$5,'IN-NX'!$D$7=D1649),"x","")</f>
        <v/>
      </c>
      <c r="AB1649" s="81" t="str">
        <f>IF(AND(OR(LEFT(TH!N1649,2)="15",LEFT(TH!O1649,2)="15"),LEFT(TH!O1649,3)&lt;&gt;"111",'152-CT'!$J$8=TH!F1649),"x","")</f>
        <v/>
      </c>
      <c r="AC1649" s="81" t="str">
        <f>IF(AND(OR(LEFT(TH!N1649,2)="15",LEFT(TH!O1649,2)="15"),TK!$E$7=TH!F1649),"x","")</f>
        <v/>
      </c>
      <c r="AD1649" s="81" t="str">
        <f>IF(AND(N1649="1521",MONTH(C1649)='BK-NL'!$M$11),"x","")</f>
        <v/>
      </c>
    </row>
    <row r="1650" spans="1:30" ht="15.75" customHeight="1">
      <c r="A1650" s="327" t="str">
        <f>IF(B1650&lt;&gt;"",IF(AND(B1650='IN-TC'!$S$4,OR(TH!N1650="1111",TH!O1650="1111")),TH!D1650,""),"")</f>
        <v/>
      </c>
      <c r="B1650" s="62" t="str">
        <f t="shared" si="353"/>
        <v/>
      </c>
      <c r="C1650" s="63"/>
      <c r="D1650" s="63"/>
      <c r="E1650" s="63"/>
      <c r="F1650" s="66"/>
      <c r="G1650" s="66"/>
      <c r="H1650" s="71"/>
      <c r="I1650" s="405"/>
      <c r="J1650" s="408"/>
      <c r="K1650" s="398"/>
      <c r="L1650" s="405"/>
      <c r="M1650" s="64"/>
      <c r="N1650" s="65"/>
      <c r="O1650" s="65"/>
      <c r="P1650" s="81" t="str">
        <f>IF(AND('331-CT'!$E$7=TH!H1650,OR(N1650="331",O1650="331")),"x","")</f>
        <v/>
      </c>
      <c r="Q1650" s="81" t="str">
        <f>IF(AND(B1650='111'!$L$11,OR($N1650=$Q$7,$O1650=$Q$7)),"x","")</f>
        <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
      </c>
      <c r="Y1650" s="81" t="str">
        <f>IF(AND(OR(N1650="131",O1650="131"),H1650='131-CT'!$H$9),"x","")</f>
        <v/>
      </c>
      <c r="Z1650" s="81"/>
      <c r="AA1650" s="81" t="str">
        <f>IF(AND(MONTH(E1650)='IN-NX'!$J$5,'IN-NX'!$D$7=D1650),"x","")</f>
        <v/>
      </c>
      <c r="AB1650" s="81" t="str">
        <f>IF(AND(OR(LEFT(TH!N1650,2)="15",LEFT(TH!O1650,2)="15"),LEFT(TH!O1650,3)&lt;&gt;"111",'152-CT'!$J$8=TH!F1650),"x","")</f>
        <v/>
      </c>
      <c r="AC1650" s="81" t="str">
        <f>IF(AND(OR(LEFT(TH!N1650,2)="15",LEFT(TH!O1650,2)="15"),TK!$E$7=TH!F1650),"x","")</f>
        <v/>
      </c>
      <c r="AD1650" s="81" t="str">
        <f>IF(AND(N1650="1521",MONTH(C1650)='BK-NL'!$M$11),"x","")</f>
        <v/>
      </c>
    </row>
    <row r="1651" spans="1:30" ht="15.75" customHeight="1">
      <c r="A1651" s="327" t="str">
        <f>IF(B1651&lt;&gt;"",IF(AND(B1651='IN-TC'!$S$4,OR(TH!N1651="1111",TH!O1651="1111")),TH!D1651,""),"")</f>
        <v/>
      </c>
      <c r="B1651" s="62" t="str">
        <f t="shared" si="353"/>
        <v/>
      </c>
      <c r="C1651" s="63"/>
      <c r="D1651" s="63"/>
      <c r="E1651" s="63"/>
      <c r="F1651" s="66"/>
      <c r="G1651" s="66"/>
      <c r="H1651" s="71"/>
      <c r="I1651" s="407"/>
      <c r="J1651" s="408"/>
      <c r="K1651" s="400"/>
      <c r="L1651" s="407"/>
      <c r="M1651" s="64"/>
      <c r="N1651" s="65"/>
      <c r="O1651" s="65"/>
      <c r="P1651" s="81" t="str">
        <f>IF(AND('331-CT'!$E$7=TH!H1651,OR(N1651="331",O1651="331")),"x","")</f>
        <v/>
      </c>
      <c r="Q1651" s="81" t="str">
        <f>IF(AND(B1651='111'!$L$11,OR($N1651=$Q$7,$O1651=$Q$7)),"x","")</f>
        <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
      </c>
      <c r="Y1651" s="81" t="str">
        <f>IF(AND(OR(N1651="131",O1651="131"),H1651='131-CT'!$H$9),"x","")</f>
        <v/>
      </c>
      <c r="Z1651" s="81"/>
      <c r="AA1651" s="81" t="str">
        <f>IF(AND(MONTH(E1651)='IN-NX'!$J$5,'IN-NX'!$D$7=D1651),"x","")</f>
        <v/>
      </c>
      <c r="AB1651" s="81" t="str">
        <f>IF(AND(OR(LEFT(TH!N1651,2)="15",LEFT(TH!O1651,2)="15"),LEFT(TH!O1651,3)&lt;&gt;"111",'152-CT'!$J$8=TH!F1651),"x","")</f>
        <v/>
      </c>
      <c r="AC1651" s="81" t="str">
        <f>IF(AND(OR(LEFT(TH!N1651,2)="15",LEFT(TH!O1651,2)="15"),TK!$E$7=TH!F1651),"x","")</f>
        <v/>
      </c>
      <c r="AD1651" s="81" t="str">
        <f>IF(AND(N1651="1521",MONTH(C1651)='BK-NL'!$M$11),"x","")</f>
        <v/>
      </c>
    </row>
    <row r="1652" spans="1:30" ht="15.75" customHeight="1">
      <c r="A1652" s="327" t="str">
        <f>IF(B1652&lt;&gt;"",IF(AND(B1652='IN-TC'!$S$4,OR(TH!N1652="1111",TH!O1652="1111")),TH!D1652,""),"")</f>
        <v/>
      </c>
      <c r="B1652" s="62" t="str">
        <f t="shared" si="353"/>
        <v/>
      </c>
      <c r="C1652" s="63"/>
      <c r="D1652" s="63"/>
      <c r="E1652" s="63"/>
      <c r="F1652" s="66"/>
      <c r="G1652" s="66"/>
      <c r="H1652" s="71"/>
      <c r="I1652" s="405"/>
      <c r="J1652" s="408"/>
      <c r="K1652" s="398"/>
      <c r="L1652" s="405"/>
      <c r="M1652" s="64"/>
      <c r="N1652" s="65"/>
      <c r="O1652" s="65"/>
      <c r="P1652" s="81" t="str">
        <f>IF(AND('331-CT'!$E$7=TH!H1652,OR(N1652="331",O1652="331")),"x","")</f>
        <v/>
      </c>
      <c r="Q1652" s="81" t="str">
        <f>IF(AND(B1652='111'!$L$11,OR($N1652=$Q$7,$O1652=$Q$7)),"x","")</f>
        <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row>
    <row r="1653" spans="1:30" ht="15.75" customHeight="1">
      <c r="A1653" s="327" t="str">
        <f>IF(B1653&lt;&gt;"",IF(AND(B1653='IN-TC'!$S$4,OR(TH!N1653="1111",TH!O1653="1111")),TH!D1653,""),"")</f>
        <v/>
      </c>
      <c r="B1653" s="62" t="str">
        <f t="shared" si="353"/>
        <v/>
      </c>
      <c r="C1653" s="63"/>
      <c r="D1653" s="63"/>
      <c r="E1653" s="63"/>
      <c r="F1653" s="66"/>
      <c r="G1653" s="66"/>
      <c r="H1653" s="71"/>
      <c r="I1653" s="405"/>
      <c r="J1653" s="408"/>
      <c r="K1653" s="398"/>
      <c r="L1653" s="405"/>
      <c r="M1653" s="64"/>
      <c r="N1653" s="65"/>
      <c r="O1653" s="65"/>
      <c r="P1653" s="81" t="str">
        <f>IF(AND('331-CT'!$E$7=TH!H1653,OR(N1653="331",O1653="331")),"x","")</f>
        <v/>
      </c>
      <c r="Q1653" s="81" t="str">
        <f>IF(AND(B1653='111'!$L$11,OR($N1653=$Q$7,$O1653=$Q$7)),"x","")</f>
        <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
      </c>
      <c r="AC1653" s="81" t="str">
        <f>IF(AND(OR(LEFT(TH!N1653,2)="15",LEFT(TH!O1653,2)="15"),TK!$E$7=TH!F1653),"x","")</f>
        <v/>
      </c>
      <c r="AD1653" s="81" t="str">
        <f>IF(AND(N1653="1521",MONTH(C1653)='BK-NL'!$M$11),"x","")</f>
        <v/>
      </c>
    </row>
    <row r="1654" spans="1:30" ht="15.75" customHeight="1">
      <c r="A1654" s="327" t="str">
        <f>IF(B1654&lt;&gt;"",IF(AND(B1654='IN-TC'!$S$4,OR(TH!N1654="1111",TH!O1654="1111")),TH!D1654,""),"")</f>
        <v/>
      </c>
      <c r="B1654" s="62" t="str">
        <f t="shared" si="353"/>
        <v/>
      </c>
      <c r="C1654" s="63"/>
      <c r="D1654" s="63"/>
      <c r="E1654" s="63"/>
      <c r="F1654" s="66"/>
      <c r="G1654" s="66"/>
      <c r="H1654" s="71"/>
      <c r="I1654" s="405"/>
      <c r="J1654" s="408"/>
      <c r="K1654" s="398"/>
      <c r="L1654" s="405"/>
      <c r="M1654" s="64"/>
      <c r="N1654" s="65"/>
      <c r="O1654" s="65"/>
      <c r="P1654" s="81" t="str">
        <f>IF(AND('331-CT'!$E$7=TH!H1654,OR(N1654="331",O1654="331")),"x","")</f>
        <v/>
      </c>
      <c r="Q1654" s="81" t="str">
        <f>IF(AND(B1654='111'!$L$11,OR($N1654=$Q$7,$O1654=$Q$7)),"x","")</f>
        <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
      </c>
      <c r="X1654" s="81" t="str">
        <f>IF(OR(TH!N1654=TH!$X$7,O1654=TH!$X$7),"x","")</f>
        <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row>
    <row r="1655" spans="1:30" ht="15.75" customHeight="1">
      <c r="A1655" s="327" t="str">
        <f>IF(B1655&lt;&gt;"",IF(AND(B1655='IN-TC'!$S$4,OR(TH!N1655="1111",TH!O1655="1111")),TH!D1655,""),"")</f>
        <v/>
      </c>
      <c r="B1655" s="62" t="str">
        <f t="shared" si="353"/>
        <v/>
      </c>
      <c r="C1655" s="63"/>
      <c r="D1655" s="63"/>
      <c r="E1655" s="63"/>
      <c r="F1655" s="66"/>
      <c r="G1655" s="66"/>
      <c r="H1655" s="71"/>
      <c r="I1655" s="407"/>
      <c r="J1655" s="408"/>
      <c r="K1655" s="400"/>
      <c r="L1655" s="407"/>
      <c r="M1655" s="64"/>
      <c r="N1655" s="65"/>
      <c r="O1655" s="65"/>
      <c r="P1655" s="81" t="str">
        <f>IF(AND('331-CT'!$E$7=TH!H1655,OR(N1655="331",O1655="331")),"x","")</f>
        <v/>
      </c>
      <c r="Q1655" s="81" t="str">
        <f>IF(AND(B1655='111'!$L$11,OR($N1655=$Q$7,$O1655=$Q$7)),"x","")</f>
        <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
      </c>
      <c r="X1655" s="81" t="str">
        <f>IF(OR(TH!N1655=TH!$X$7,O1655=TH!$X$7),"x","")</f>
        <v/>
      </c>
      <c r="Y1655" s="81" t="str">
        <f>IF(AND(OR(N1655="131",O1655="131"),H1655='131-CT'!$H$9),"x","")</f>
        <v/>
      </c>
      <c r="Z1655" s="81"/>
      <c r="AA1655" s="81" t="str">
        <f>IF(AND(MONTH(E1655)='IN-NX'!$J$5,'IN-NX'!$D$7=D1655),"x","")</f>
        <v/>
      </c>
      <c r="AB1655" s="81" t="str">
        <f>IF(AND(OR(LEFT(TH!N1655,2)="15",LEFT(TH!O1655,2)="15"),LEFT(TH!O1655,3)&lt;&gt;"111",'152-CT'!$J$8=TH!F1655),"x","")</f>
        <v/>
      </c>
      <c r="AC1655" s="81" t="str">
        <f>IF(AND(OR(LEFT(TH!N1655,2)="15",LEFT(TH!O1655,2)="15"),TK!$E$7=TH!F1655),"x","")</f>
        <v/>
      </c>
      <c r="AD1655" s="81" t="str">
        <f>IF(AND(N1655="1521",MONTH(C1655)='BK-NL'!$M$11),"x","")</f>
        <v/>
      </c>
    </row>
    <row r="1656" spans="1:30" ht="15.75" customHeight="1">
      <c r="A1656" s="327" t="str">
        <f>IF(B1656&lt;&gt;"",IF(AND(B1656='IN-TC'!$S$4,OR(TH!N1656="1111",TH!O1656="1111")),TH!D1656,""),"")</f>
        <v/>
      </c>
      <c r="B1656" s="62" t="str">
        <f t="shared" si="353"/>
        <v/>
      </c>
      <c r="C1656" s="63"/>
      <c r="D1656" s="63"/>
      <c r="E1656" s="63"/>
      <c r="F1656" s="66"/>
      <c r="G1656" s="66"/>
      <c r="H1656" s="71"/>
      <c r="I1656" s="405"/>
      <c r="J1656" s="408"/>
      <c r="K1656" s="398"/>
      <c r="L1656" s="405"/>
      <c r="M1656" s="64"/>
      <c r="N1656" s="65"/>
      <c r="O1656" s="65"/>
      <c r="P1656" s="81" t="str">
        <f>IF(AND('331-CT'!$E$7=TH!H1656,OR(N1656="331",O1656="331")),"x","")</f>
        <v/>
      </c>
      <c r="Q1656" s="81" t="str">
        <f>IF(AND(B1656='111'!$L$11,OR($N1656=$Q$7,$O1656=$Q$7)),"x","")</f>
        <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
      </c>
      <c r="X1656" s="81" t="str">
        <f>IF(OR(TH!N1656=TH!$X$7,O1656=TH!$X$7),"x","")</f>
        <v/>
      </c>
      <c r="Y1656" s="81" t="str">
        <f>IF(AND(OR(N1656="131",O1656="131"),H1656='131-CT'!$H$9),"x","")</f>
        <v/>
      </c>
      <c r="Z1656" s="81"/>
      <c r="AA1656" s="81" t="str">
        <f>IF(AND(MONTH(E1656)='IN-NX'!$J$5,'IN-NX'!$D$7=D1656),"x","")</f>
        <v/>
      </c>
      <c r="AB1656" s="81" t="str">
        <f>IF(AND(OR(LEFT(TH!N1656,2)="15",LEFT(TH!O1656,2)="15"),LEFT(TH!O1656,3)&lt;&gt;"111",'152-CT'!$J$8=TH!F1656),"x","")</f>
        <v/>
      </c>
      <c r="AC1656" s="81" t="str">
        <f>IF(AND(OR(LEFT(TH!N1656,2)="15",LEFT(TH!O1656,2)="15"),TK!$E$7=TH!F1656),"x","")</f>
        <v/>
      </c>
      <c r="AD1656" s="81" t="str">
        <f>IF(AND(N1656="1521",MONTH(C1656)='BK-NL'!$M$11),"x","")</f>
        <v/>
      </c>
    </row>
    <row r="1657" spans="1:30" ht="15.75" customHeight="1">
      <c r="A1657" s="327" t="str">
        <f>IF(B1657&lt;&gt;"",IF(AND(B1657='IN-TC'!$S$4,OR(TH!N1657="1111",TH!O1657="1111")),TH!D1657,""),"")</f>
        <v/>
      </c>
      <c r="B1657" s="62" t="str">
        <f t="shared" si="353"/>
        <v/>
      </c>
      <c r="C1657" s="63"/>
      <c r="D1657" s="63"/>
      <c r="E1657" s="63"/>
      <c r="F1657" s="66"/>
      <c r="G1657" s="66"/>
      <c r="H1657" s="71"/>
      <c r="I1657" s="405"/>
      <c r="J1657" s="408"/>
      <c r="K1657" s="398"/>
      <c r="L1657" s="405"/>
      <c r="M1657" s="64"/>
      <c r="N1657" s="65"/>
      <c r="O1657" s="65"/>
      <c r="P1657" s="81" t="str">
        <f>IF(AND('331-CT'!$E$7=TH!H1657,OR(N1657="331",O1657="331")),"x","")</f>
        <v/>
      </c>
      <c r="Q1657" s="81" t="str">
        <f>IF(AND(B1657='111'!$L$11,OR($N1657=$Q$7,$O1657=$Q$7)),"x","")</f>
        <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
      </c>
      <c r="AC1657" s="81" t="str">
        <f>IF(AND(OR(LEFT(TH!N1657,2)="15",LEFT(TH!O1657,2)="15"),TK!$E$7=TH!F1657),"x","")</f>
        <v/>
      </c>
      <c r="AD1657" s="81" t="str">
        <f>IF(AND(N1657="1521",MONTH(C1657)='BK-NL'!$M$11),"x","")</f>
        <v/>
      </c>
    </row>
    <row r="1658" spans="1:30" ht="15.75" customHeight="1">
      <c r="A1658" s="327" t="str">
        <f>IF(B1658&lt;&gt;"",IF(AND(B1658='IN-TC'!$S$4,OR(TH!N1658="1111",TH!O1658="1111")),TH!D1658,""),"")</f>
        <v/>
      </c>
      <c r="B1658" s="62" t="str">
        <f t="shared" si="353"/>
        <v/>
      </c>
      <c r="C1658" s="63"/>
      <c r="D1658" s="63"/>
      <c r="E1658" s="63"/>
      <c r="F1658" s="66"/>
      <c r="G1658" s="66"/>
      <c r="H1658" s="71"/>
      <c r="I1658" s="405"/>
      <c r="J1658" s="408"/>
      <c r="K1658" s="398"/>
      <c r="L1658" s="405"/>
      <c r="M1658" s="64"/>
      <c r="N1658" s="65"/>
      <c r="O1658" s="65"/>
      <c r="P1658" s="81" t="str">
        <f>IF(AND('331-CT'!$E$7=TH!H1658,OR(N1658="331",O1658="331")),"x","")</f>
        <v/>
      </c>
      <c r="Q1658" s="81" t="str">
        <f>IF(AND(B1658='111'!$L$11,OR($N1658=$Q$7,$O1658=$Q$7)),"x","")</f>
        <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
      </c>
      <c r="Y1658" s="81" t="str">
        <f>IF(AND(OR(N1658="131",O1658="131"),H1658='131-CT'!$H$9),"x","")</f>
        <v/>
      </c>
      <c r="Z1658" s="81"/>
      <c r="AA1658" s="81" t="str">
        <f>IF(AND(MONTH(E1658)='IN-NX'!$J$5,'IN-NX'!$D$7=D1658),"x","")</f>
        <v/>
      </c>
      <c r="AB1658" s="81" t="str">
        <f>IF(AND(OR(LEFT(TH!N1658,2)="15",LEFT(TH!O1658,2)="15"),LEFT(TH!O1658,3)&lt;&gt;"111",'152-CT'!$J$8=TH!F1658),"x","")</f>
        <v/>
      </c>
      <c r="AC1658" s="81" t="str">
        <f>IF(AND(OR(LEFT(TH!N1658,2)="15",LEFT(TH!O1658,2)="15"),TK!$E$7=TH!F1658),"x","")</f>
        <v/>
      </c>
      <c r="AD1658" s="81" t="str">
        <f>IF(AND(N1658="1521",MONTH(C1658)='BK-NL'!$M$11),"x","")</f>
        <v/>
      </c>
    </row>
    <row r="1659" spans="1:30" ht="15.75" customHeight="1">
      <c r="A1659" s="327" t="str">
        <f>IF(B1659&lt;&gt;"",IF(AND(B1659='IN-TC'!$S$4,OR(TH!N1659="1111",TH!O1659="1111")),TH!D1659,""),"")</f>
        <v/>
      </c>
      <c r="B1659" s="62" t="str">
        <f t="shared" si="353"/>
        <v/>
      </c>
      <c r="C1659" s="63"/>
      <c r="D1659" s="63"/>
      <c r="E1659" s="63"/>
      <c r="F1659" s="66"/>
      <c r="G1659" s="66"/>
      <c r="H1659" s="71"/>
      <c r="I1659" s="405"/>
      <c r="J1659" s="408"/>
      <c r="K1659" s="398"/>
      <c r="L1659" s="405"/>
      <c r="M1659" s="64"/>
      <c r="N1659" s="65"/>
      <c r="O1659" s="65"/>
      <c r="P1659" s="81" t="str">
        <f>IF(AND('331-CT'!$E$7=TH!H1659,OR(N1659="331",O1659="331")),"x","")</f>
        <v/>
      </c>
      <c r="Q1659" s="81" t="str">
        <f>IF(AND(B1659='111'!$L$11,OR($N1659=$Q$7,$O1659=$Q$7)),"x","")</f>
        <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row>
    <row r="1660" spans="1:30" ht="15.75" customHeight="1">
      <c r="A1660" s="327" t="str">
        <f>IF(B1660&lt;&gt;"",IF(AND(B1660='IN-TC'!$S$4,OR(TH!N1660="1111",TH!O1660="1111")),TH!D1660,""),"")</f>
        <v/>
      </c>
      <c r="B1660" s="62" t="str">
        <f t="shared" si="353"/>
        <v/>
      </c>
      <c r="C1660" s="63"/>
      <c r="D1660" s="63"/>
      <c r="E1660" s="63"/>
      <c r="F1660" s="66"/>
      <c r="G1660" s="66"/>
      <c r="H1660" s="71"/>
      <c r="I1660" s="405"/>
      <c r="J1660" s="408"/>
      <c r="K1660" s="398"/>
      <c r="L1660" s="405"/>
      <c r="M1660" s="64"/>
      <c r="N1660" s="65"/>
      <c r="O1660" s="65"/>
      <c r="P1660" s="81" t="str">
        <f>IF(AND('331-CT'!$E$7=TH!H1660,OR(N1660="331",O1660="331")),"x","")</f>
        <v/>
      </c>
      <c r="Q1660" s="81" t="str">
        <f>IF(AND(B1660='111'!$L$11,OR($N1660=$Q$7,$O1660=$Q$7)),"x","")</f>
        <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
      </c>
      <c r="Y1660" s="81" t="str">
        <f>IF(AND(OR(N1660="131",O1660="131"),H1660='131-CT'!$H$9),"x","")</f>
        <v/>
      </c>
      <c r="Z1660" s="81"/>
      <c r="AA1660" s="81" t="str">
        <f>IF(AND(MONTH(E1660)='IN-NX'!$J$5,'IN-NX'!$D$7=D1660),"x","")</f>
        <v/>
      </c>
      <c r="AB1660" s="81" t="str">
        <f>IF(AND(OR(LEFT(TH!N1660,2)="15",LEFT(TH!O1660,2)="15"),LEFT(TH!O1660,3)&lt;&gt;"111",'152-CT'!$J$8=TH!F1660),"x","")</f>
        <v/>
      </c>
      <c r="AC1660" s="81" t="str">
        <f>IF(AND(OR(LEFT(TH!N1660,2)="15",LEFT(TH!O1660,2)="15"),TK!$E$7=TH!F1660),"x","")</f>
        <v/>
      </c>
      <c r="AD1660" s="81" t="str">
        <f>IF(AND(N1660="1521",MONTH(C1660)='BK-NL'!$M$11),"x","")</f>
        <v/>
      </c>
    </row>
    <row r="1661" spans="1:30" ht="15.75" customHeight="1">
      <c r="A1661" s="327" t="str">
        <f>IF(B1661&lt;&gt;"",IF(AND(B1661='IN-TC'!$S$4,OR(TH!N1661="1111",TH!O1661="1111")),TH!D1661,""),"")</f>
        <v/>
      </c>
      <c r="B1661" s="62" t="str">
        <f t="shared" si="353"/>
        <v/>
      </c>
      <c r="C1661" s="63"/>
      <c r="D1661" s="63"/>
      <c r="E1661" s="63"/>
      <c r="F1661" s="66"/>
      <c r="G1661" s="66"/>
      <c r="H1661" s="71"/>
      <c r="I1661" s="405"/>
      <c r="J1661" s="408"/>
      <c r="K1661" s="398"/>
      <c r="L1661" s="405"/>
      <c r="M1661" s="64"/>
      <c r="N1661" s="65"/>
      <c r="O1661" s="65"/>
      <c r="P1661" s="81" t="str">
        <f>IF(AND('331-CT'!$E$7=TH!H1661,OR(N1661="331",O1661="331")),"x","")</f>
        <v/>
      </c>
      <c r="Q1661" s="81" t="str">
        <f>IF(AND(B1661='111'!$L$11,OR($N1661=$Q$7,$O1661=$Q$7)),"x","")</f>
        <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
      </c>
      <c r="Y1661" s="81" t="str">
        <f>IF(AND(OR(N1661="131",O1661="131"),H1661='131-CT'!$H$9),"x","")</f>
        <v/>
      </c>
      <c r="Z1661" s="81"/>
      <c r="AA1661" s="81" t="str">
        <f>IF(AND(MONTH(E1661)='IN-NX'!$J$5,'IN-NX'!$D$7=D1661),"x","")</f>
        <v/>
      </c>
      <c r="AB1661" s="81" t="str">
        <f>IF(AND(OR(LEFT(TH!N1661,2)="15",LEFT(TH!O1661,2)="15"),LEFT(TH!O1661,3)&lt;&gt;"111",'152-CT'!$J$8=TH!F1661),"x","")</f>
        <v/>
      </c>
      <c r="AC1661" s="81" t="str">
        <f>IF(AND(OR(LEFT(TH!N1661,2)="15",LEFT(TH!O1661,2)="15"),TK!$E$7=TH!F1661),"x","")</f>
        <v/>
      </c>
      <c r="AD1661" s="81" t="str">
        <f>IF(AND(N1661="1521",MONTH(C1661)='BK-NL'!$M$11),"x","")</f>
        <v/>
      </c>
    </row>
    <row r="1662" spans="1:30" ht="15.75" customHeight="1">
      <c r="A1662" s="327" t="str">
        <f>IF(B1662&lt;&gt;"",IF(AND(B1662='IN-TC'!$S$4,OR(TH!N1662="1111",TH!O1662="1111")),TH!D1662,""),"")</f>
        <v/>
      </c>
      <c r="B1662" s="62" t="str">
        <f t="shared" si="353"/>
        <v/>
      </c>
      <c r="C1662" s="63"/>
      <c r="D1662" s="63"/>
      <c r="E1662" s="63"/>
      <c r="F1662" s="66"/>
      <c r="G1662" s="66"/>
      <c r="H1662" s="71"/>
      <c r="I1662" s="405"/>
      <c r="J1662" s="408"/>
      <c r="K1662" s="398"/>
      <c r="L1662" s="405"/>
      <c r="M1662" s="64"/>
      <c r="N1662" s="65"/>
      <c r="O1662" s="65"/>
      <c r="P1662" s="81" t="str">
        <f>IF(AND('331-CT'!$E$7=TH!H1662,OR(N1662="331",O1662="331")),"x","")</f>
        <v/>
      </c>
      <c r="Q1662" s="81" t="str">
        <f>IF(AND(B1662='111'!$L$11,OR($N1662=$Q$7,$O1662=$Q$7)),"x","")</f>
        <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
      </c>
      <c r="Y1662" s="81" t="str">
        <f>IF(AND(OR(N1662="131",O1662="131"),H1662='131-CT'!$H$9),"x","")</f>
        <v/>
      </c>
      <c r="Z1662" s="81"/>
      <c r="AA1662" s="81" t="str">
        <f>IF(AND(MONTH(E1662)='IN-NX'!$J$5,'IN-NX'!$D$7=D1662),"x","")</f>
        <v/>
      </c>
      <c r="AB1662" s="81" t="str">
        <f>IF(AND(OR(LEFT(TH!N1662,2)="15",LEFT(TH!O1662,2)="15"),LEFT(TH!O1662,3)&lt;&gt;"111",'152-CT'!$J$8=TH!F1662),"x","")</f>
        <v/>
      </c>
      <c r="AC1662" s="81" t="str">
        <f>IF(AND(OR(LEFT(TH!N1662,2)="15",LEFT(TH!O1662,2)="15"),TK!$E$7=TH!F1662),"x","")</f>
        <v/>
      </c>
      <c r="AD1662" s="81" t="str">
        <f>IF(AND(N1662="1521",MONTH(C1662)='BK-NL'!$M$11),"x","")</f>
        <v/>
      </c>
    </row>
    <row r="1663" spans="1:30" ht="15.75" customHeight="1">
      <c r="A1663" s="327" t="str">
        <f>IF(B1663&lt;&gt;"",IF(AND(B1663='IN-TC'!$S$4,OR(TH!N1663="1111",TH!O1663="1111")),TH!D1663,""),"")</f>
        <v/>
      </c>
      <c r="B1663" s="62" t="str">
        <f t="shared" si="353"/>
        <v/>
      </c>
      <c r="C1663" s="63"/>
      <c r="D1663" s="63"/>
      <c r="E1663" s="63"/>
      <c r="F1663" s="66"/>
      <c r="G1663" s="66"/>
      <c r="H1663" s="71"/>
      <c r="I1663" s="405"/>
      <c r="J1663" s="408"/>
      <c r="K1663" s="398"/>
      <c r="L1663" s="405"/>
      <c r="M1663" s="64"/>
      <c r="N1663" s="65"/>
      <c r="O1663" s="65"/>
      <c r="P1663" s="81" t="str">
        <f>IF(AND('331-CT'!$E$7=TH!H1663,OR(N1663="331",O1663="331")),"x","")</f>
        <v/>
      </c>
      <c r="Q1663" s="81" t="str">
        <f>IF(AND(B1663='111'!$L$11,OR($N1663=$Q$7,$O1663=$Q$7)),"x","")</f>
        <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
      </c>
      <c r="Y1663" s="81" t="str">
        <f>IF(AND(OR(N1663="131",O1663="131"),H1663='131-CT'!$H$9),"x","")</f>
        <v/>
      </c>
      <c r="Z1663" s="81"/>
      <c r="AA1663" s="81" t="str">
        <f>IF(AND(MONTH(E1663)='IN-NX'!$J$5,'IN-NX'!$D$7=D1663),"x","")</f>
        <v/>
      </c>
      <c r="AB1663" s="81" t="str">
        <f>IF(AND(OR(LEFT(TH!N1663,2)="15",LEFT(TH!O1663,2)="15"),LEFT(TH!O1663,3)&lt;&gt;"111",'152-CT'!$J$8=TH!F1663),"x","")</f>
        <v/>
      </c>
      <c r="AC1663" s="81" t="str">
        <f>IF(AND(OR(LEFT(TH!N1663,2)="15",LEFT(TH!O1663,2)="15"),TK!$E$7=TH!F1663),"x","")</f>
        <v/>
      </c>
      <c r="AD1663" s="81" t="str">
        <f>IF(AND(N1663="1521",MONTH(C1663)='BK-NL'!$M$11),"x","")</f>
        <v/>
      </c>
    </row>
    <row r="1664" spans="1:30" ht="15.75" customHeight="1">
      <c r="A1664" s="327" t="str">
        <f>IF(B1664&lt;&gt;"",IF(AND(B1664='IN-TC'!$S$4,OR(TH!N1664="1111",TH!O1664="1111")),TH!D1664,""),"")</f>
        <v/>
      </c>
      <c r="B1664" s="62" t="str">
        <f t="shared" si="353"/>
        <v/>
      </c>
      <c r="C1664" s="63"/>
      <c r="D1664" s="63"/>
      <c r="E1664" s="63"/>
      <c r="F1664" s="66"/>
      <c r="G1664" s="66"/>
      <c r="H1664" s="71"/>
      <c r="I1664" s="405"/>
      <c r="J1664" s="408"/>
      <c r="K1664" s="398"/>
      <c r="L1664" s="405"/>
      <c r="M1664" s="64"/>
      <c r="N1664" s="65"/>
      <c r="O1664" s="65"/>
      <c r="P1664" s="81" t="str">
        <f>IF(AND('331-CT'!$E$7=TH!H1664,OR(N1664="331",O1664="331")),"x","")</f>
        <v/>
      </c>
      <c r="Q1664" s="81" t="str">
        <f>IF(AND(B1664='111'!$L$11,OR($N1664=$Q$7,$O1664=$Q$7)),"x","")</f>
        <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
      </c>
      <c r="Y1664" s="81" t="str">
        <f>IF(AND(OR(N1664="131",O1664="131"),H1664='131-CT'!$H$9),"x","")</f>
        <v/>
      </c>
      <c r="Z1664" s="81"/>
      <c r="AA1664" s="81" t="str">
        <f>IF(AND(MONTH(E1664)='IN-NX'!$J$5,'IN-NX'!$D$7=D1664),"x","")</f>
        <v/>
      </c>
      <c r="AB1664" s="81" t="str">
        <f>IF(AND(OR(LEFT(TH!N1664,2)="15",LEFT(TH!O1664,2)="15"),LEFT(TH!O1664,3)&lt;&gt;"111",'152-CT'!$J$8=TH!F1664),"x","")</f>
        <v/>
      </c>
      <c r="AC1664" s="81" t="str">
        <f>IF(AND(OR(LEFT(TH!N1664,2)="15",LEFT(TH!O1664,2)="15"),TK!$E$7=TH!F1664),"x","")</f>
        <v/>
      </c>
      <c r="AD1664" s="81" t="str">
        <f>IF(AND(N1664="1521",MONTH(C1664)='BK-NL'!$M$11),"x","")</f>
        <v/>
      </c>
    </row>
    <row r="1665" spans="1:30" ht="15.75" customHeight="1">
      <c r="A1665" s="327" t="str">
        <f>IF(B1665&lt;&gt;"",IF(AND(B1665='IN-TC'!$S$4,OR(TH!N1665="1111",TH!O1665="1111")),TH!D1665,""),"")</f>
        <v/>
      </c>
      <c r="B1665" s="62" t="str">
        <f t="shared" si="353"/>
        <v/>
      </c>
      <c r="C1665" s="63"/>
      <c r="D1665" s="63"/>
      <c r="E1665" s="63"/>
      <c r="F1665" s="66"/>
      <c r="G1665" s="66"/>
      <c r="H1665" s="71"/>
      <c r="I1665" s="405"/>
      <c r="J1665" s="408"/>
      <c r="K1665" s="398"/>
      <c r="L1665" s="405"/>
      <c r="M1665" s="64"/>
      <c r="N1665" s="65"/>
      <c r="O1665" s="65"/>
      <c r="P1665" s="81" t="str">
        <f>IF(AND('331-CT'!$E$7=TH!H1665,OR(N1665="331",O1665="331")),"x","")</f>
        <v/>
      </c>
      <c r="Q1665" s="81" t="str">
        <f>IF(AND(B1665='111'!$L$11,OR($N1665=$Q$7,$O1665=$Q$7)),"x","")</f>
        <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row>
    <row r="1666" spans="1:30" ht="15.75" customHeight="1">
      <c r="A1666" s="327" t="str">
        <f>IF(B1666&lt;&gt;"",IF(AND(B1666='IN-TC'!$S$4,OR(TH!N1666="1111",TH!O1666="1111")),TH!D1666,""),"")</f>
        <v/>
      </c>
      <c r="B1666" s="62" t="str">
        <f t="shared" si="353"/>
        <v/>
      </c>
      <c r="C1666" s="63"/>
      <c r="D1666" s="63"/>
      <c r="E1666" s="63"/>
      <c r="F1666" s="66"/>
      <c r="G1666" s="66"/>
      <c r="H1666" s="71"/>
      <c r="I1666" s="405"/>
      <c r="J1666" s="408"/>
      <c r="K1666" s="398"/>
      <c r="L1666" s="405"/>
      <c r="M1666" s="64"/>
      <c r="N1666" s="65"/>
      <c r="O1666" s="65"/>
      <c r="P1666" s="81" t="str">
        <f>IF(AND('331-CT'!$E$7=TH!H1666,OR(N1666="331",O1666="331")),"x","")</f>
        <v/>
      </c>
      <c r="Q1666" s="81" t="str">
        <f>IF(AND(B1666='111'!$L$11,OR($N1666=$Q$7,$O1666=$Q$7)),"x","")</f>
        <v/>
      </c>
      <c r="R1666" s="81" t="str">
        <f>IF(AND($N1666=$Q$7,$B1666&lt;'111'!$L$11),"x","")</f>
        <v/>
      </c>
      <c r="S1666" s="81" t="str">
        <f>IF(AND($O1666=$Q$7,$B1666&lt;'111'!$L$11),"x","")</f>
        <v/>
      </c>
      <c r="T1666" s="81" t="str">
        <f>IF(ISERROR(FIND('112'!$M$9,G1666,1)),"",IF((AND(FIND('112'!$M$9,G1666,1)&gt;=1,B1666='112'!$K$9,OR($N1666='112'!$I$6,$O1666='112'!$I$6))),"x",""))</f>
        <v/>
      </c>
      <c r="U1666" s="81" t="str">
        <f>IF(ISERROR(FIND('112'!$M$9,G1666,1)),"",IF((AND(LEFT(G1666,2)=LEFT('112'!$M$9,2),B1666&lt;'112'!$K$9,$N1666='112'!$I$6)),"x",""))</f>
        <v/>
      </c>
      <c r="V1666" s="81" t="str">
        <f>IF(ISERROR(FIND('112'!$M$9,G1666,1)),"",IF((AND(RIGHT(G1666,2)=RIGHT('112'!$M$9,2),B1666&lt;'112'!$K$9,$O1666='112'!$I$6)),"x",""))</f>
        <v/>
      </c>
      <c r="W1666" s="81" t="str">
        <f>IF(AND('341-CT'!$H$9=H1666,OR(LEFT(N1666,3)=$W$7,LEFT(O1666,3)=$W$7)),"x","")</f>
        <v/>
      </c>
      <c r="X1666" s="81" t="str">
        <f>IF(OR(TH!N1666=TH!$X$7,O1666=TH!$X$7),"x","")</f>
        <v/>
      </c>
      <c r="Y1666" s="81" t="str">
        <f>IF(AND(OR(N1666="131",O1666="131"),H1666='131-CT'!$H$9),"x","")</f>
        <v/>
      </c>
      <c r="Z1666" s="81"/>
      <c r="AA1666" s="81" t="str">
        <f>IF(AND(MONTH(E1666)='IN-NX'!$J$5,'IN-NX'!$D$7=D1666),"x","")</f>
        <v/>
      </c>
      <c r="AB1666" s="81" t="str">
        <f>IF(AND(OR(LEFT(TH!N1666,2)="15",LEFT(TH!O1666,2)="15"),LEFT(TH!O1666,3)&lt;&gt;"111",'152-CT'!$J$8=TH!F1666),"x","")</f>
        <v/>
      </c>
      <c r="AC1666" s="81" t="str">
        <f>IF(AND(OR(LEFT(TH!N1666,2)="15",LEFT(TH!O1666,2)="15"),TK!$E$7=TH!F1666),"x","")</f>
        <v/>
      </c>
      <c r="AD1666" s="81" t="str">
        <f>IF(AND(N1666="1521",MONTH(C1666)='BK-NL'!$M$11),"x","")</f>
        <v/>
      </c>
    </row>
    <row r="1667" spans="1:30" ht="15.75" customHeight="1">
      <c r="A1667" s="327" t="str">
        <f>IF(B1667&lt;&gt;"",IF(AND(B1667='IN-TC'!$S$4,OR(TH!N1667="1111",TH!O1667="1111")),TH!D1667,""),"")</f>
        <v/>
      </c>
      <c r="B1667" s="62" t="str">
        <f t="shared" si="353"/>
        <v/>
      </c>
      <c r="C1667" s="63"/>
      <c r="D1667" s="63"/>
      <c r="E1667" s="63"/>
      <c r="F1667" s="66"/>
      <c r="G1667" s="66"/>
      <c r="H1667" s="71"/>
      <c r="I1667" s="405"/>
      <c r="J1667" s="408"/>
      <c r="K1667" s="398"/>
      <c r="L1667" s="405"/>
      <c r="M1667" s="64"/>
      <c r="N1667" s="65"/>
      <c r="O1667" s="65"/>
      <c r="P1667" s="81" t="str">
        <f>IF(AND('331-CT'!$E$7=TH!H1667,OR(N1667="331",O1667="331")),"x","")</f>
        <v/>
      </c>
      <c r="Q1667" s="81" t="str">
        <f>IF(AND(B1667='111'!$L$11,OR($N1667=$Q$7,$O1667=$Q$7)),"x","")</f>
        <v/>
      </c>
      <c r="R1667" s="81" t="str">
        <f>IF(AND($N1667=$Q$7,$B1667&lt;'111'!$L$11),"x","")</f>
        <v/>
      </c>
      <c r="S1667" s="81" t="str">
        <f>IF(AND($O1667=$Q$7,$B1667&lt;'111'!$L$11),"x","")</f>
        <v/>
      </c>
      <c r="T1667" s="81" t="str">
        <f>IF(ISERROR(FIND('112'!$M$9,G1667,1)),"",IF((AND(FIND('112'!$M$9,G1667,1)&gt;=1,B1667='112'!$K$9,OR($N1667='112'!$I$6,$O1667='112'!$I$6))),"x",""))</f>
        <v/>
      </c>
      <c r="U1667" s="81" t="str">
        <f>IF(ISERROR(FIND('112'!$M$9,G1667,1)),"",IF((AND(LEFT(G1667,2)=LEFT('112'!$M$9,2),B1667&lt;'112'!$K$9,$N1667='112'!$I$6)),"x",""))</f>
        <v/>
      </c>
      <c r="V1667" s="81" t="str">
        <f>IF(ISERROR(FIND('112'!$M$9,G1667,1)),"",IF((AND(RIGHT(G1667,2)=RIGHT('112'!$M$9,2),B1667&lt;'112'!$K$9,$O1667='112'!$I$6)),"x",""))</f>
        <v/>
      </c>
      <c r="W1667" s="81" t="str">
        <f>IF(AND('341-CT'!$H$9=H1667,OR(LEFT(N1667,3)=$W$7,LEFT(O1667,3)=$W$7)),"x","")</f>
        <v/>
      </c>
      <c r="X1667" s="81" t="str">
        <f>IF(OR(TH!N1667=TH!$X$7,O1667=TH!$X$7),"x","")</f>
        <v/>
      </c>
      <c r="Y1667" s="81" t="str">
        <f>IF(AND(OR(N1667="131",O1667="131"),H1667='131-CT'!$H$9),"x","")</f>
        <v/>
      </c>
      <c r="Z1667" s="81"/>
      <c r="AA1667" s="81" t="str">
        <f>IF(AND(MONTH(E1667)='IN-NX'!$J$5,'IN-NX'!$D$7=D1667),"x","")</f>
        <v/>
      </c>
      <c r="AB1667" s="81" t="str">
        <f>IF(AND(OR(LEFT(TH!N1667,2)="15",LEFT(TH!O1667,2)="15"),LEFT(TH!O1667,3)&lt;&gt;"111",'152-CT'!$J$8=TH!F1667),"x","")</f>
        <v/>
      </c>
      <c r="AC1667" s="81" t="str">
        <f>IF(AND(OR(LEFT(TH!N1667,2)="15",LEFT(TH!O1667,2)="15"),TK!$E$7=TH!F1667),"x","")</f>
        <v/>
      </c>
      <c r="AD1667" s="81" t="str">
        <f>IF(AND(N1667="1521",MONTH(C1667)='BK-NL'!$M$11),"x","")</f>
        <v/>
      </c>
    </row>
    <row r="1668" spans="1:30" ht="15.75" customHeight="1">
      <c r="A1668" s="327" t="str">
        <f>IF(B1668&lt;&gt;"",IF(AND(B1668='IN-TC'!$S$4,OR(TH!N1668="1111",TH!O1668="1111")),TH!D1668,""),"")</f>
        <v/>
      </c>
      <c r="B1668" s="62" t="str">
        <f t="shared" si="353"/>
        <v/>
      </c>
      <c r="C1668" s="63"/>
      <c r="D1668" s="63"/>
      <c r="E1668" s="63"/>
      <c r="F1668" s="66"/>
      <c r="G1668" s="66"/>
      <c r="H1668" s="71"/>
      <c r="I1668" s="405"/>
      <c r="J1668" s="408"/>
      <c r="K1668" s="398"/>
      <c r="L1668" s="405"/>
      <c r="M1668" s="64"/>
      <c r="N1668" s="65"/>
      <c r="O1668" s="65"/>
      <c r="P1668" s="81" t="str">
        <f>IF(AND('331-CT'!$E$7=TH!H1668,OR(N1668="331",O1668="331")),"x","")</f>
        <v/>
      </c>
      <c r="Q1668" s="81" t="str">
        <f>IF(AND(B1668='111'!$L$11,OR($N1668=$Q$7,$O1668=$Q$7)),"x","")</f>
        <v/>
      </c>
      <c r="R1668" s="81" t="str">
        <f>IF(AND($N1668=$Q$7,$B1668&lt;'111'!$L$11),"x","")</f>
        <v/>
      </c>
      <c r="S1668" s="81" t="str">
        <f>IF(AND($O1668=$Q$7,$B1668&lt;'111'!$L$11),"x","")</f>
        <v/>
      </c>
      <c r="T1668" s="81" t="str">
        <f>IF(ISERROR(FIND('112'!$M$9,G1668,1)),"",IF((AND(FIND('112'!$M$9,G1668,1)&gt;=1,B1668='112'!$K$9,OR($N1668='112'!$I$6,$O1668='112'!$I$6))),"x",""))</f>
        <v/>
      </c>
      <c r="U1668" s="81" t="str">
        <f>IF(ISERROR(FIND('112'!$M$9,G1668,1)),"",IF((AND(LEFT(G1668,2)=LEFT('112'!$M$9,2),B1668&lt;'112'!$K$9,$N1668='112'!$I$6)),"x",""))</f>
        <v/>
      </c>
      <c r="V1668" s="81" t="str">
        <f>IF(ISERROR(FIND('112'!$M$9,G1668,1)),"",IF((AND(RIGHT(G1668,2)=RIGHT('112'!$M$9,2),B1668&lt;'112'!$K$9,$O1668='112'!$I$6)),"x",""))</f>
        <v/>
      </c>
      <c r="W1668" s="81" t="str">
        <f>IF(AND('341-CT'!$H$9=H1668,OR(LEFT(N1668,3)=$W$7,LEFT(O1668,3)=$W$7)),"x","")</f>
        <v/>
      </c>
      <c r="X1668" s="81" t="str">
        <f>IF(OR(TH!N1668=TH!$X$7,O1668=TH!$X$7),"x","")</f>
        <v/>
      </c>
      <c r="Y1668" s="81" t="str">
        <f>IF(AND(OR(N1668="131",O1668="131"),H1668='131-CT'!$H$9),"x","")</f>
        <v/>
      </c>
      <c r="Z1668" s="81"/>
      <c r="AA1668" s="81" t="str">
        <f>IF(AND(MONTH(E1668)='IN-NX'!$J$5,'IN-NX'!$D$7=D1668),"x","")</f>
        <v/>
      </c>
      <c r="AB1668" s="81" t="str">
        <f>IF(AND(OR(LEFT(TH!N1668,2)="15",LEFT(TH!O1668,2)="15"),LEFT(TH!O1668,3)&lt;&gt;"111",'152-CT'!$J$8=TH!F1668),"x","")</f>
        <v/>
      </c>
      <c r="AC1668" s="81" t="str">
        <f>IF(AND(OR(LEFT(TH!N1668,2)="15",LEFT(TH!O1668,2)="15"),TK!$E$7=TH!F1668),"x","")</f>
        <v/>
      </c>
      <c r="AD1668" s="81" t="str">
        <f>IF(AND(N1668="1521",MONTH(C1668)='BK-NL'!$M$11),"x","")</f>
        <v/>
      </c>
    </row>
    <row r="1669" spans="1:30" ht="15.75" customHeight="1">
      <c r="A1669" s="327" t="str">
        <f>IF(B1669&lt;&gt;"",IF(AND(B1669='IN-TC'!$S$4,OR(TH!N1669="1111",TH!O1669="1111")),TH!D1669,""),"")</f>
        <v/>
      </c>
      <c r="B1669" s="62" t="str">
        <f t="shared" si="353"/>
        <v/>
      </c>
      <c r="C1669" s="63"/>
      <c r="D1669" s="63"/>
      <c r="E1669" s="63"/>
      <c r="F1669" s="66"/>
      <c r="G1669" s="66"/>
      <c r="H1669" s="71"/>
      <c r="I1669" s="405"/>
      <c r="J1669" s="408"/>
      <c r="K1669" s="398"/>
      <c r="L1669" s="405"/>
      <c r="M1669" s="64"/>
      <c r="N1669" s="65"/>
      <c r="O1669" s="65"/>
      <c r="P1669" s="81" t="str">
        <f>IF(AND('331-CT'!$E$7=TH!H1669,OR(N1669="331",O1669="331")),"x","")</f>
        <v/>
      </c>
      <c r="Q1669" s="81" t="str">
        <f>IF(AND(B1669='111'!$L$11,OR($N1669=$Q$7,$O1669=$Q$7)),"x","")</f>
        <v/>
      </c>
      <c r="R1669" s="81" t="str">
        <f>IF(AND($N1669=$Q$7,$B1669&lt;'111'!$L$11),"x","")</f>
        <v/>
      </c>
      <c r="S1669" s="81" t="str">
        <f>IF(AND($O1669=$Q$7,$B1669&lt;'111'!$L$11),"x","")</f>
        <v/>
      </c>
      <c r="T1669" s="81" t="str">
        <f>IF(ISERROR(FIND('112'!$M$9,G1669,1)),"",IF((AND(FIND('112'!$M$9,G1669,1)&gt;=1,B1669='112'!$K$9,OR($N1669='112'!$I$6,$O1669='112'!$I$6))),"x",""))</f>
        <v/>
      </c>
      <c r="U1669" s="81" t="str">
        <f>IF(ISERROR(FIND('112'!$M$9,G1669,1)),"",IF((AND(LEFT(G1669,2)=LEFT('112'!$M$9,2),B1669&lt;'112'!$K$9,$N1669='112'!$I$6)),"x",""))</f>
        <v/>
      </c>
      <c r="V1669" s="81" t="str">
        <f>IF(ISERROR(FIND('112'!$M$9,G1669,1)),"",IF((AND(RIGHT(G1669,2)=RIGHT('112'!$M$9,2),B1669&lt;'112'!$K$9,$O1669='112'!$I$6)),"x",""))</f>
        <v/>
      </c>
      <c r="W1669" s="81" t="str">
        <f>IF(AND('341-CT'!$H$9=H1669,OR(LEFT(N1669,3)=$W$7,LEFT(O1669,3)=$W$7)),"x","")</f>
        <v/>
      </c>
      <c r="X1669" s="81" t="str">
        <f>IF(OR(TH!N1669=TH!$X$7,O1669=TH!$X$7),"x","")</f>
        <v/>
      </c>
      <c r="Y1669" s="81" t="str">
        <f>IF(AND(OR(N1669="131",O1669="131"),H1669='131-CT'!$H$9),"x","")</f>
        <v/>
      </c>
      <c r="Z1669" s="81"/>
      <c r="AA1669" s="81" t="str">
        <f>IF(AND(MONTH(E1669)='IN-NX'!$J$5,'IN-NX'!$D$7=D1669),"x","")</f>
        <v/>
      </c>
      <c r="AB1669" s="81" t="str">
        <f>IF(AND(OR(LEFT(TH!N1669,2)="15",LEFT(TH!O1669,2)="15"),LEFT(TH!O1669,3)&lt;&gt;"111",'152-CT'!$J$8=TH!F1669),"x","")</f>
        <v/>
      </c>
      <c r="AC1669" s="81" t="str">
        <f>IF(AND(OR(LEFT(TH!N1669,2)="15",LEFT(TH!O1669,2)="15"),TK!$E$7=TH!F1669),"x","")</f>
        <v/>
      </c>
      <c r="AD1669" s="81" t="str">
        <f>IF(AND(N1669="1521",MONTH(C1669)='BK-NL'!$M$11),"x","")</f>
        <v/>
      </c>
    </row>
    <row r="1670" spans="1:30" ht="15.75" customHeight="1">
      <c r="A1670" s="327" t="str">
        <f>IF(B1670&lt;&gt;"",IF(AND(B1670='IN-TC'!$S$4,OR(TH!N1670="1111",TH!O1670="1111")),TH!D1670,""),"")</f>
        <v/>
      </c>
      <c r="B1670" s="62" t="str">
        <f t="shared" si="353"/>
        <v/>
      </c>
      <c r="C1670" s="63"/>
      <c r="D1670" s="63"/>
      <c r="E1670" s="63"/>
      <c r="F1670" s="66"/>
      <c r="G1670" s="66"/>
      <c r="H1670" s="71"/>
      <c r="I1670" s="405"/>
      <c r="J1670" s="408"/>
      <c r="K1670" s="398"/>
      <c r="L1670" s="405"/>
      <c r="M1670" s="64"/>
      <c r="N1670" s="65"/>
      <c r="O1670" s="65"/>
      <c r="P1670" s="81" t="str">
        <f>IF(AND('331-CT'!$E$7=TH!H1670,OR(N1670="331",O1670="331")),"x","")</f>
        <v/>
      </c>
      <c r="Q1670" s="81" t="str">
        <f>IF(AND(B1670='111'!$L$11,OR($N1670=$Q$7,$O1670=$Q$7)),"x","")</f>
        <v/>
      </c>
      <c r="R1670" s="81" t="str">
        <f>IF(AND($N1670=$Q$7,$B1670&lt;'111'!$L$11),"x","")</f>
        <v/>
      </c>
      <c r="S1670" s="81" t="str">
        <f>IF(AND($O1670=$Q$7,$B1670&lt;'111'!$L$11),"x","")</f>
        <v/>
      </c>
      <c r="T1670" s="81" t="str">
        <f>IF(ISERROR(FIND('112'!$M$9,G1670,1)),"",IF((AND(FIND('112'!$M$9,G1670,1)&gt;=1,B1670='112'!$K$9,OR($N1670='112'!$I$6,$O1670='112'!$I$6))),"x",""))</f>
        <v/>
      </c>
      <c r="U1670" s="81" t="str">
        <f>IF(ISERROR(FIND('112'!$M$9,G1670,1)),"",IF((AND(LEFT(G1670,2)=LEFT('112'!$M$9,2),B1670&lt;'112'!$K$9,$N1670='112'!$I$6)),"x",""))</f>
        <v/>
      </c>
      <c r="V1670" s="81" t="str">
        <f>IF(ISERROR(FIND('112'!$M$9,G1670,1)),"",IF((AND(RIGHT(G1670,2)=RIGHT('112'!$M$9,2),B1670&lt;'112'!$K$9,$O1670='112'!$I$6)),"x",""))</f>
        <v/>
      </c>
      <c r="W1670" s="81" t="str">
        <f>IF(AND('341-CT'!$H$9=H1670,OR(LEFT(N1670,3)=$W$7,LEFT(O1670,3)=$W$7)),"x","")</f>
        <v/>
      </c>
      <c r="X1670" s="81" t="str">
        <f>IF(OR(TH!N1670=TH!$X$7,O1670=TH!$X$7),"x","")</f>
        <v/>
      </c>
      <c r="Y1670" s="81" t="str">
        <f>IF(AND(OR(N1670="131",O1670="131"),H1670='131-CT'!$H$9),"x","")</f>
        <v/>
      </c>
      <c r="Z1670" s="81"/>
      <c r="AA1670" s="81" t="str">
        <f>IF(AND(MONTH(E1670)='IN-NX'!$J$5,'IN-NX'!$D$7=D1670),"x","")</f>
        <v/>
      </c>
      <c r="AB1670" s="81" t="str">
        <f>IF(AND(OR(LEFT(TH!N1670,2)="15",LEFT(TH!O1670,2)="15"),LEFT(TH!O1670,3)&lt;&gt;"111",'152-CT'!$J$8=TH!F1670),"x","")</f>
        <v/>
      </c>
      <c r="AC1670" s="81" t="str">
        <f>IF(AND(OR(LEFT(TH!N1670,2)="15",LEFT(TH!O1670,2)="15"),TK!$E$7=TH!F1670),"x","")</f>
        <v/>
      </c>
      <c r="AD1670" s="81" t="str">
        <f>IF(AND(N1670="1521",MONTH(C1670)='BK-NL'!$M$11),"x","")</f>
        <v/>
      </c>
    </row>
    <row r="1671" spans="1:30" ht="15.75" customHeight="1">
      <c r="A1671" s="327" t="str">
        <f>IF(B1671&lt;&gt;"",IF(AND(B1671='IN-TC'!$S$4,OR(TH!N1671="1111",TH!O1671="1111")),TH!D1671,""),"")</f>
        <v/>
      </c>
      <c r="B1671" s="62" t="str">
        <f t="shared" si="353"/>
        <v/>
      </c>
      <c r="C1671" s="63"/>
      <c r="D1671" s="63"/>
      <c r="E1671" s="63"/>
      <c r="F1671" s="66"/>
      <c r="G1671" s="66"/>
      <c r="H1671" s="71"/>
      <c r="I1671" s="405"/>
      <c r="J1671" s="408"/>
      <c r="K1671" s="398"/>
      <c r="L1671" s="405"/>
      <c r="M1671" s="64"/>
      <c r="N1671" s="65"/>
      <c r="O1671" s="65"/>
      <c r="P1671" s="81" t="str">
        <f>IF(AND('331-CT'!$E$7=TH!H1671,OR(N1671="331",O1671="331")),"x","")</f>
        <v/>
      </c>
      <c r="Q1671" s="81" t="str">
        <f>IF(AND(B1671='111'!$L$11,OR($N1671=$Q$7,$O1671=$Q$7)),"x","")</f>
        <v/>
      </c>
      <c r="R1671" s="81" t="str">
        <f>IF(AND($N1671=$Q$7,$B1671&lt;'111'!$L$11),"x","")</f>
        <v/>
      </c>
      <c r="S1671" s="81" t="str">
        <f>IF(AND($O1671=$Q$7,$B1671&lt;'111'!$L$11),"x","")</f>
        <v/>
      </c>
      <c r="T1671" s="81" t="str">
        <f>IF(ISERROR(FIND('112'!$M$9,G1671,1)),"",IF((AND(FIND('112'!$M$9,G1671,1)&gt;=1,B1671='112'!$K$9,OR($N1671='112'!$I$6,$O1671='112'!$I$6))),"x",""))</f>
        <v/>
      </c>
      <c r="U1671" s="81" t="str">
        <f>IF(ISERROR(FIND('112'!$M$9,G1671,1)),"",IF((AND(LEFT(G1671,2)=LEFT('112'!$M$9,2),B1671&lt;'112'!$K$9,$N1671='112'!$I$6)),"x",""))</f>
        <v/>
      </c>
      <c r="V1671" s="81" t="str">
        <f>IF(ISERROR(FIND('112'!$M$9,G1671,1)),"",IF((AND(RIGHT(G1671,2)=RIGHT('112'!$M$9,2),B1671&lt;'112'!$K$9,$O1671='112'!$I$6)),"x",""))</f>
        <v/>
      </c>
      <c r="W1671" s="81" t="str">
        <f>IF(AND('341-CT'!$H$9=H1671,OR(LEFT(N1671,3)=$W$7,LEFT(O1671,3)=$W$7)),"x","")</f>
        <v/>
      </c>
      <c r="X1671" s="81" t="str">
        <f>IF(OR(TH!N1671=TH!$X$7,O1671=TH!$X$7),"x","")</f>
        <v/>
      </c>
      <c r="Y1671" s="81" t="str">
        <f>IF(AND(OR(N1671="131",O1671="131"),H1671='131-CT'!$H$9),"x","")</f>
        <v/>
      </c>
      <c r="Z1671" s="81"/>
      <c r="AA1671" s="81" t="str">
        <f>IF(AND(MONTH(E1671)='IN-NX'!$J$5,'IN-NX'!$D$7=D1671),"x","")</f>
        <v/>
      </c>
      <c r="AB1671" s="81" t="str">
        <f>IF(AND(OR(LEFT(TH!N1671,2)="15",LEFT(TH!O1671,2)="15"),LEFT(TH!O1671,3)&lt;&gt;"111",'152-CT'!$J$8=TH!F1671),"x","")</f>
        <v/>
      </c>
      <c r="AC1671" s="81" t="str">
        <f>IF(AND(OR(LEFT(TH!N1671,2)="15",LEFT(TH!O1671,2)="15"),TK!$E$7=TH!F1671),"x","")</f>
        <v/>
      </c>
      <c r="AD1671" s="81" t="str">
        <f>IF(AND(N1671="1521",MONTH(C1671)='BK-NL'!$M$11),"x","")</f>
        <v/>
      </c>
    </row>
    <row r="1672" spans="1:30" ht="15.75" customHeight="1">
      <c r="A1672" s="327" t="str">
        <f>IF(B1672&lt;&gt;"",IF(AND(B1672='IN-TC'!$S$4,OR(TH!N1672="1111",TH!O1672="1111")),TH!D1672,""),"")</f>
        <v/>
      </c>
      <c r="B1672" s="62" t="str">
        <f t="shared" si="353"/>
        <v/>
      </c>
      <c r="C1672" s="63"/>
      <c r="D1672" s="63"/>
      <c r="E1672" s="63"/>
      <c r="F1672" s="66"/>
      <c r="G1672" s="66"/>
      <c r="H1672" s="71"/>
      <c r="I1672" s="405"/>
      <c r="J1672" s="408"/>
      <c r="K1672" s="398"/>
      <c r="L1672" s="405"/>
      <c r="M1672" s="64"/>
      <c r="N1672" s="65"/>
      <c r="O1672" s="65"/>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
      </c>
      <c r="Y1672" s="81" t="str">
        <f>IF(AND(OR(N1672="131",O1672="131"),H1672='131-CT'!$H$9),"x","")</f>
        <v/>
      </c>
      <c r="Z1672" s="81"/>
      <c r="AA1672" s="81" t="str">
        <f>IF(AND(MONTH(E1672)='IN-NX'!$J$5,'IN-NX'!$D$7=D1672),"x","")</f>
        <v/>
      </c>
      <c r="AB1672" s="81" t="str">
        <f>IF(AND(OR(LEFT(TH!N1672,2)="15",LEFT(TH!O1672,2)="15"),LEFT(TH!O1672,3)&lt;&gt;"111",'152-CT'!$J$8=TH!F1672),"x","")</f>
        <v/>
      </c>
      <c r="AC1672" s="81" t="str">
        <f>IF(AND(OR(LEFT(TH!N1672,2)="15",LEFT(TH!O1672,2)="15"),TK!$E$7=TH!F1672),"x","")</f>
        <v/>
      </c>
      <c r="AD1672" s="81" t="str">
        <f>IF(AND(N1672="1521",MONTH(C1672)='BK-NL'!$M$11),"x","")</f>
        <v/>
      </c>
    </row>
    <row r="1673" spans="1:30" ht="15.75" customHeight="1">
      <c r="A1673" s="327" t="str">
        <f>IF(B1673&lt;&gt;"",IF(AND(B1673='IN-TC'!$S$4,OR(TH!N1673="1111",TH!O1673="1111")),TH!D1673,""),"")</f>
        <v/>
      </c>
      <c r="B1673" s="62" t="str">
        <f t="shared" si="353"/>
        <v/>
      </c>
      <c r="C1673" s="63"/>
      <c r="D1673" s="63"/>
      <c r="E1673" s="63"/>
      <c r="F1673" s="66"/>
      <c r="G1673" s="66"/>
      <c r="H1673" s="71"/>
      <c r="I1673" s="405"/>
      <c r="J1673" s="408"/>
      <c r="K1673" s="398"/>
      <c r="L1673" s="405"/>
      <c r="M1673" s="64"/>
      <c r="N1673" s="65"/>
      <c r="O1673" s="65"/>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
      </c>
      <c r="Y1673" s="81" t="str">
        <f>IF(AND(OR(N1673="131",O1673="131"),H1673='131-CT'!$H$9),"x","")</f>
        <v/>
      </c>
      <c r="Z1673" s="81"/>
      <c r="AA1673" s="81" t="str">
        <f>IF(AND(MONTH(E1673)='IN-NX'!$J$5,'IN-NX'!$D$7=D1673),"x","")</f>
        <v/>
      </c>
      <c r="AB1673" s="81" t="str">
        <f>IF(AND(OR(LEFT(TH!N1673,2)="15",LEFT(TH!O1673,2)="15"),LEFT(TH!O1673,3)&lt;&gt;"111",'152-CT'!$J$8=TH!F1673),"x","")</f>
        <v/>
      </c>
      <c r="AC1673" s="81" t="str">
        <f>IF(AND(OR(LEFT(TH!N1673,2)="15",LEFT(TH!O1673,2)="15"),TK!$E$7=TH!F1673),"x","")</f>
        <v/>
      </c>
      <c r="AD1673" s="81" t="str">
        <f>IF(AND(N1673="1521",MONTH(C1673)='BK-NL'!$M$11),"x","")</f>
        <v/>
      </c>
    </row>
    <row r="1674" spans="1:30" ht="15.75" customHeight="1">
      <c r="A1674" s="327" t="str">
        <f>IF(B1674&lt;&gt;"",IF(AND(B1674='IN-TC'!$S$4,OR(TH!N1674="1111",TH!O1674="1111")),TH!D1674,""),"")</f>
        <v/>
      </c>
      <c r="B1674" s="62" t="str">
        <f t="shared" si="353"/>
        <v/>
      </c>
      <c r="C1674" s="63"/>
      <c r="D1674" s="63"/>
      <c r="E1674" s="63"/>
      <c r="F1674" s="66"/>
      <c r="G1674" s="66"/>
      <c r="H1674" s="71"/>
      <c r="I1674" s="407"/>
      <c r="J1674" s="408"/>
      <c r="K1674" s="400"/>
      <c r="L1674" s="407"/>
      <c r="M1674" s="64"/>
      <c r="N1674" s="65"/>
      <c r="O1674" s="65"/>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row>
    <row r="1675" spans="1:30" ht="15.75" customHeight="1">
      <c r="A1675" s="327" t="str">
        <f>IF(B1675&lt;&gt;"",IF(AND(B1675='IN-TC'!$S$4,OR(TH!N1675="1111",TH!O1675="1111")),TH!D1675,""),"")</f>
        <v/>
      </c>
      <c r="B1675" s="62" t="str">
        <f t="shared" si="353"/>
        <v/>
      </c>
      <c r="C1675" s="63"/>
      <c r="D1675" s="63"/>
      <c r="E1675" s="63"/>
      <c r="F1675" s="66"/>
      <c r="G1675" s="66"/>
      <c r="H1675" s="71"/>
      <c r="I1675" s="407"/>
      <c r="J1675" s="408"/>
      <c r="K1675" s="400"/>
      <c r="L1675" s="407"/>
      <c r="M1675" s="64"/>
      <c r="N1675" s="65"/>
      <c r="O1675" s="65"/>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
      </c>
      <c r="AC1675" s="81" t="str">
        <f>IF(AND(OR(LEFT(TH!N1675,2)="15",LEFT(TH!O1675,2)="15"),TK!$E$7=TH!F1675),"x","")</f>
        <v/>
      </c>
      <c r="AD1675" s="81" t="str">
        <f>IF(AND(N1675="1521",MONTH(C1675)='BK-NL'!$M$11),"x","")</f>
        <v/>
      </c>
    </row>
    <row r="1676" spans="1:30" ht="15.75" customHeight="1">
      <c r="A1676" s="327" t="str">
        <f>IF(B1676&lt;&gt;"",IF(AND(B1676='IN-TC'!$S$4,OR(TH!N1676="1111",TH!O1676="1111")),TH!D1676,""),"")</f>
        <v/>
      </c>
      <c r="B1676" s="62" t="str">
        <f t="shared" si="353"/>
        <v/>
      </c>
      <c r="C1676" s="63"/>
      <c r="D1676" s="63"/>
      <c r="E1676" s="63"/>
      <c r="F1676" s="66"/>
      <c r="G1676" s="66"/>
      <c r="H1676" s="71"/>
      <c r="I1676" s="407"/>
      <c r="J1676" s="408"/>
      <c r="K1676" s="400"/>
      <c r="L1676" s="407"/>
      <c r="M1676" s="64"/>
      <c r="N1676" s="65"/>
      <c r="O1676" s="65"/>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row>
    <row r="1677" spans="1:30" ht="15.75" customHeight="1">
      <c r="A1677" s="327" t="str">
        <f>IF(B1677&lt;&gt;"",IF(AND(B1677='IN-TC'!$S$4,OR(TH!N1677="1111",TH!O1677="1111")),TH!D1677,""),"")</f>
        <v/>
      </c>
      <c r="B1677" s="62" t="str">
        <f t="shared" si="353"/>
        <v/>
      </c>
      <c r="C1677" s="63"/>
      <c r="D1677" s="63"/>
      <c r="E1677" s="63"/>
      <c r="F1677" s="66"/>
      <c r="G1677" s="66"/>
      <c r="H1677" s="71"/>
      <c r="I1677" s="407"/>
      <c r="J1677" s="408"/>
      <c r="K1677" s="400"/>
      <c r="L1677" s="407"/>
      <c r="M1677" s="64"/>
      <c r="N1677" s="65"/>
      <c r="O1677" s="65"/>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
      </c>
      <c r="AC1677" s="81" t="str">
        <f>IF(AND(OR(LEFT(TH!N1677,2)="15",LEFT(TH!O1677,2)="15"),TK!$E$7=TH!F1677),"x","")</f>
        <v/>
      </c>
      <c r="AD1677" s="81" t="str">
        <f>IF(AND(N1677="1521",MONTH(C1677)='BK-NL'!$M$11),"x","")</f>
        <v/>
      </c>
    </row>
    <row r="1678" spans="1:30" ht="15.75" customHeight="1">
      <c r="A1678" s="327" t="str">
        <f>IF(B1678&lt;&gt;"",IF(AND(B1678='IN-TC'!$S$4,OR(TH!N1678="1111",TH!O1678="1111")),TH!D1678,""),"")</f>
        <v/>
      </c>
      <c r="B1678" s="62" t="str">
        <f t="shared" si="353"/>
        <v/>
      </c>
      <c r="C1678" s="63"/>
      <c r="D1678" s="63"/>
      <c r="E1678" s="63"/>
      <c r="F1678" s="66"/>
      <c r="G1678" s="66"/>
      <c r="H1678" s="71"/>
      <c r="I1678" s="407"/>
      <c r="J1678" s="408"/>
      <c r="K1678" s="400"/>
      <c r="L1678" s="407"/>
      <c r="M1678" s="64"/>
      <c r="N1678" s="65"/>
      <c r="O1678" s="65"/>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row>
    <row r="1679" spans="1:30" ht="15.75" customHeight="1">
      <c r="A1679" s="327" t="str">
        <f>IF(B1679&lt;&gt;"",IF(AND(B1679='IN-TC'!$S$4,OR(TH!N1679="1111",TH!O1679="1111")),TH!D1679,""),"")</f>
        <v/>
      </c>
      <c r="B1679" s="62" t="str">
        <f t="shared" si="353"/>
        <v/>
      </c>
      <c r="C1679" s="63"/>
      <c r="D1679" s="63"/>
      <c r="E1679" s="63"/>
      <c r="F1679" s="66"/>
      <c r="G1679" s="66"/>
      <c r="H1679" s="71"/>
      <c r="I1679" s="407"/>
      <c r="J1679" s="408"/>
      <c r="K1679" s="400"/>
      <c r="L1679" s="407"/>
      <c r="M1679" s="64"/>
      <c r="N1679" s="65"/>
      <c r="O1679" s="65"/>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
      </c>
      <c r="AC1679" s="81" t="str">
        <f>IF(AND(OR(LEFT(TH!N1679,2)="15",LEFT(TH!O1679,2)="15"),TK!$E$7=TH!F1679),"x","")</f>
        <v/>
      </c>
      <c r="AD1679" s="81" t="str">
        <f>IF(AND(N1679="1521",MONTH(C1679)='BK-NL'!$M$11),"x","")</f>
        <v/>
      </c>
    </row>
    <row r="1680" spans="1:30" ht="15.75" customHeight="1">
      <c r="A1680" s="327" t="str">
        <f>IF(B1680&lt;&gt;"",IF(AND(B1680='IN-TC'!$S$4,OR(TH!N1680="1111",TH!O1680="1111")),TH!D1680,""),"")</f>
        <v/>
      </c>
      <c r="B1680" s="62" t="str">
        <f t="shared" si="353"/>
        <v/>
      </c>
      <c r="C1680" s="63"/>
      <c r="D1680" s="63"/>
      <c r="E1680" s="63"/>
      <c r="F1680" s="66"/>
      <c r="G1680" s="66"/>
      <c r="H1680" s="71"/>
      <c r="I1680" s="405"/>
      <c r="J1680" s="408"/>
      <c r="K1680" s="398"/>
      <c r="L1680" s="405"/>
      <c r="M1680" s="64"/>
      <c r="N1680" s="65"/>
      <c r="O1680" s="65"/>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row>
    <row r="1681" spans="1:30" ht="15.75" customHeight="1">
      <c r="A1681" s="327" t="str">
        <f>IF(B1681&lt;&gt;"",IF(AND(B1681='IN-TC'!$S$4,OR(TH!N1681="1111",TH!O1681="1111")),TH!D1681,""),"")</f>
        <v/>
      </c>
      <c r="B1681" s="62" t="str">
        <f t="shared" si="353"/>
        <v/>
      </c>
      <c r="C1681" s="63"/>
      <c r="D1681" s="63"/>
      <c r="E1681" s="63"/>
      <c r="F1681" s="66"/>
      <c r="G1681" s="66"/>
      <c r="H1681" s="71"/>
      <c r="I1681" s="405"/>
      <c r="J1681" s="408"/>
      <c r="K1681" s="398"/>
      <c r="L1681" s="405"/>
      <c r="M1681" s="64"/>
      <c r="N1681" s="65"/>
      <c r="O1681" s="65"/>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
      </c>
      <c r="Y1681" s="81" t="str">
        <f>IF(AND(OR(N1681="131",O1681="131"),H1681='131-CT'!$H$9),"x","")</f>
        <v/>
      </c>
      <c r="Z1681" s="81"/>
      <c r="AA1681" s="81" t="str">
        <f>IF(AND(MONTH(E1681)='IN-NX'!$J$5,'IN-NX'!$D$7=D1681),"x","")</f>
        <v/>
      </c>
      <c r="AB1681" s="81" t="str">
        <f>IF(AND(OR(LEFT(TH!N1681,2)="15",LEFT(TH!O1681,2)="15"),LEFT(TH!O1681,3)&lt;&gt;"111",'152-CT'!$J$8=TH!F1681),"x","")</f>
        <v/>
      </c>
      <c r="AC1681" s="81" t="str">
        <f>IF(AND(OR(LEFT(TH!N1681,2)="15",LEFT(TH!O1681,2)="15"),TK!$E$7=TH!F1681),"x","")</f>
        <v/>
      </c>
      <c r="AD1681" s="81" t="str">
        <f>IF(AND(N1681="1521",MONTH(C1681)='BK-NL'!$M$11),"x","")</f>
        <v/>
      </c>
    </row>
    <row r="1682" spans="1:30" ht="15.75" customHeight="1">
      <c r="A1682" s="327" t="str">
        <f>IF(B1682&lt;&gt;"",IF(AND(B1682='IN-TC'!$S$4,OR(TH!N1682="1111",TH!O1682="1111")),TH!D1682,""),"")</f>
        <v/>
      </c>
      <c r="B1682" s="62" t="str">
        <f t="shared" si="353"/>
        <v/>
      </c>
      <c r="C1682" s="63"/>
      <c r="D1682" s="63"/>
      <c r="E1682" s="63"/>
      <c r="F1682" s="66"/>
      <c r="G1682" s="66"/>
      <c r="H1682" s="71"/>
      <c r="I1682" s="405"/>
      <c r="J1682" s="408"/>
      <c r="K1682" s="398"/>
      <c r="L1682" s="405"/>
      <c r="M1682" s="64"/>
      <c r="N1682" s="65"/>
      <c r="O1682" s="65"/>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
      </c>
      <c r="Y1682" s="81" t="str">
        <f>IF(AND(OR(N1682="131",O1682="131"),H1682='131-CT'!$H$9),"x","")</f>
        <v/>
      </c>
      <c r="Z1682" s="81"/>
      <c r="AA1682" s="81" t="str">
        <f>IF(AND(MONTH(E1682)='IN-NX'!$J$5,'IN-NX'!$D$7=D1682),"x","")</f>
        <v/>
      </c>
      <c r="AB1682" s="81" t="str">
        <f>IF(AND(OR(LEFT(TH!N1682,2)="15",LEFT(TH!O1682,2)="15"),LEFT(TH!O1682,3)&lt;&gt;"111",'152-CT'!$J$8=TH!F1682),"x","")</f>
        <v/>
      </c>
      <c r="AC1682" s="81" t="str">
        <f>IF(AND(OR(LEFT(TH!N1682,2)="15",LEFT(TH!O1682,2)="15"),TK!$E$7=TH!F1682),"x","")</f>
        <v/>
      </c>
      <c r="AD1682" s="81" t="str">
        <f>IF(AND(N1682="1521",MONTH(C1682)='BK-NL'!$M$11),"x","")</f>
        <v/>
      </c>
    </row>
    <row r="1683" spans="1:30" ht="15.75" customHeight="1">
      <c r="A1683" s="327" t="str">
        <f>IF(B1683&lt;&gt;"",IF(AND(B1683='IN-TC'!$S$4,OR(TH!N1683="1111",TH!O1683="1111")),TH!D1683,""),"")</f>
        <v/>
      </c>
      <c r="B1683" s="62" t="str">
        <f t="shared" ref="B1683" si="354">IF(C1683&lt;&gt;"",MONTH(C1683),"")</f>
        <v/>
      </c>
      <c r="C1683" s="63"/>
      <c r="D1683" s="63"/>
      <c r="E1683" s="63"/>
      <c r="F1683" s="66"/>
      <c r="G1683" s="66"/>
      <c r="H1683" s="71"/>
      <c r="I1683" s="405"/>
      <c r="J1683" s="408"/>
      <c r="K1683" s="398"/>
      <c r="L1683" s="405"/>
      <c r="M1683" s="64"/>
      <c r="N1683" s="65"/>
      <c r="O1683" s="65"/>
      <c r="P1683" s="81" t="str">
        <f>IF(AND('331-CT'!$E$7=TH!H1683,OR(N1683="331",O1683="331")),"x","")</f>
        <v/>
      </c>
      <c r="Q1683" s="81" t="str">
        <f>IF(AND(B1683='111'!$L$11,OR($N1683=$Q$7,$O1683=$Q$7)),"x","")</f>
        <v/>
      </c>
      <c r="R1683" s="81" t="str">
        <f>IF(AND($N1683=$Q$7,$B1683&lt;'111'!$L$11),"x","")</f>
        <v/>
      </c>
      <c r="S1683" s="81" t="str">
        <f>IF(AND($O1683=$Q$7,$B1683&lt;'111'!$L$11),"x","")</f>
        <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
      </c>
      <c r="Y1683" s="81" t="str">
        <f>IF(AND(OR(N1683="131",O1683="131"),H1683='131-CT'!$H$9),"x","")</f>
        <v/>
      </c>
      <c r="Z1683" s="81"/>
      <c r="AA1683" s="81" t="str">
        <f>IF(AND(MONTH(E1683)='IN-NX'!$J$5,'IN-NX'!$D$7=D1683),"x","")</f>
        <v/>
      </c>
      <c r="AB1683" s="81" t="str">
        <f>IF(AND(OR(LEFT(TH!N1683,2)="15",LEFT(TH!O1683,2)="15"),LEFT(TH!O1683,3)&lt;&gt;"111",'152-CT'!$J$8=TH!F1683),"x","")</f>
        <v/>
      </c>
      <c r="AC1683" s="81" t="str">
        <f>IF(AND(OR(LEFT(TH!N1683,2)="15",LEFT(TH!O1683,2)="15"),TK!$E$7=TH!F1683),"x","")</f>
        <v/>
      </c>
      <c r="AD1683" s="81" t="str">
        <f>IF(AND(N1683="1521",MONTH(C1683)='BK-NL'!$M$11),"x","")</f>
        <v/>
      </c>
    </row>
    <row r="1684" spans="1:30" ht="15.75" customHeight="1">
      <c r="A1684" s="327" t="str">
        <f>IF(B1684&lt;&gt;"",IF(AND(B1684='IN-TC'!$S$4,OR(TH!N1684="1111",TH!O1684="1111")),TH!D1684,""),"")</f>
        <v/>
      </c>
      <c r="B1684" s="62" t="str">
        <f t="shared" si="353"/>
        <v/>
      </c>
      <c r="C1684" s="63"/>
      <c r="D1684" s="63"/>
      <c r="E1684" s="63"/>
      <c r="F1684" s="66"/>
      <c r="G1684" s="66"/>
      <c r="H1684" s="72"/>
      <c r="I1684" s="405"/>
      <c r="J1684" s="408"/>
      <c r="K1684" s="398"/>
      <c r="L1684" s="405"/>
      <c r="M1684" s="64"/>
      <c r="N1684" s="65"/>
      <c r="O1684" s="65"/>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
      </c>
      <c r="Y1684" s="81" t="str">
        <f>IF(AND(OR(N1684="131",O1684="131"),H1684='131-CT'!$H$9),"x","")</f>
        <v/>
      </c>
      <c r="Z1684" s="81"/>
      <c r="AA1684" s="81" t="str">
        <f>IF(AND(MONTH(E1684)='IN-NX'!$J$5,'IN-NX'!$D$7=D1684),"x","")</f>
        <v/>
      </c>
      <c r="AB1684" s="81" t="str">
        <f>IF(AND(OR(LEFT(TH!N1684,2)="15",LEFT(TH!O1684,2)="15"),LEFT(TH!O1684,3)&lt;&gt;"111",'152-CT'!$J$8=TH!F1684),"x","")</f>
        <v/>
      </c>
      <c r="AC1684" s="81" t="str">
        <f>IF(AND(OR(LEFT(TH!N1684,2)="15",LEFT(TH!O1684,2)="15"),TK!$E$7=TH!F1684),"x","")</f>
        <v/>
      </c>
      <c r="AD1684" s="81" t="str">
        <f>IF(AND(N1684="1521",MONTH(C1684)='BK-NL'!$M$11),"x","")</f>
        <v/>
      </c>
    </row>
    <row r="1685" spans="1:30" ht="15.75" customHeight="1">
      <c r="A1685" s="327" t="str">
        <f>IF(B1685&lt;&gt;"",IF(AND(B1685='IN-TC'!$S$4,OR(TH!N1685="1111",TH!O1685="1111")),TH!D1685,""),"")</f>
        <v/>
      </c>
      <c r="B1685" s="62" t="str">
        <f t="shared" si="353"/>
        <v/>
      </c>
      <c r="C1685" s="63"/>
      <c r="D1685" s="63"/>
      <c r="E1685" s="63"/>
      <c r="F1685" s="66"/>
      <c r="G1685" s="66"/>
      <c r="H1685" s="71"/>
      <c r="I1685" s="405"/>
      <c r="J1685" s="408"/>
      <c r="K1685" s="398"/>
      <c r="L1685" s="405"/>
      <c r="M1685" s="64"/>
      <c r="N1685" s="65"/>
      <c r="O1685" s="65"/>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
      </c>
      <c r="Y1685" s="81" t="str">
        <f>IF(AND(OR(N1685="131",O1685="131"),H1685='131-CT'!$H$9),"x","")</f>
        <v/>
      </c>
      <c r="Z1685" s="81"/>
      <c r="AA1685" s="81" t="str">
        <f>IF(AND(MONTH(E1685)='IN-NX'!$J$5,'IN-NX'!$D$7=D1685),"x","")</f>
        <v/>
      </c>
      <c r="AB1685" s="81" t="str">
        <f>IF(AND(OR(LEFT(TH!N1685,2)="15",LEFT(TH!O1685,2)="15"),LEFT(TH!O1685,3)&lt;&gt;"111",'152-CT'!$J$8=TH!F1685),"x","")</f>
        <v/>
      </c>
      <c r="AC1685" s="81" t="str">
        <f>IF(AND(OR(LEFT(TH!N1685,2)="15",LEFT(TH!O1685,2)="15"),TK!$E$7=TH!F1685),"x","")</f>
        <v/>
      </c>
      <c r="AD1685" s="81" t="str">
        <f>IF(AND(N1685="1521",MONTH(C1685)='BK-NL'!$M$11),"x","")</f>
        <v/>
      </c>
    </row>
    <row r="1686" spans="1:30" ht="15.75" customHeight="1">
      <c r="A1686" s="327" t="str">
        <f>IF(B1686&lt;&gt;"",IF(AND(B1686='IN-TC'!$S$4,OR(TH!N1686="1111",TH!O1686="1111")),TH!D1686,""),"")</f>
        <v/>
      </c>
      <c r="B1686" s="62" t="str">
        <f t="shared" si="353"/>
        <v/>
      </c>
      <c r="C1686" s="63"/>
      <c r="D1686" s="63"/>
      <c r="E1686" s="63"/>
      <c r="F1686" s="66"/>
      <c r="G1686" s="66"/>
      <c r="H1686" s="71"/>
      <c r="I1686" s="405"/>
      <c r="J1686" s="408"/>
      <c r="K1686" s="398"/>
      <c r="L1686" s="405"/>
      <c r="M1686" s="64"/>
      <c r="N1686" s="65"/>
      <c r="O1686" s="65"/>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
      </c>
      <c r="Y1686" s="81" t="str">
        <f>IF(AND(OR(N1686="131",O1686="131"),H1686='131-CT'!$H$9),"x","")</f>
        <v/>
      </c>
      <c r="Z1686" s="81"/>
      <c r="AA1686" s="81" t="str">
        <f>IF(AND(MONTH(E1686)='IN-NX'!$J$5,'IN-NX'!$D$7=D1686),"x","")</f>
        <v/>
      </c>
      <c r="AB1686" s="81" t="str">
        <f>IF(AND(OR(LEFT(TH!N1686,2)="15",LEFT(TH!O1686,2)="15"),LEFT(TH!O1686,3)&lt;&gt;"111",'152-CT'!$J$8=TH!F1686),"x","")</f>
        <v/>
      </c>
      <c r="AC1686" s="81" t="str">
        <f>IF(AND(OR(LEFT(TH!N1686,2)="15",LEFT(TH!O1686,2)="15"),TK!$E$7=TH!F1686),"x","")</f>
        <v/>
      </c>
      <c r="AD1686" s="81" t="str">
        <f>IF(AND(N1686="1521",MONTH(C1686)='BK-NL'!$M$11),"x","")</f>
        <v/>
      </c>
    </row>
    <row r="1687" spans="1:30" ht="15.75" customHeight="1">
      <c r="A1687" s="327" t="str">
        <f>IF(B1687&lt;&gt;"",IF(AND(B1687='IN-TC'!$S$4,OR(TH!N1687="1111",TH!O1687="1111")),TH!D1687,""),"")</f>
        <v/>
      </c>
      <c r="B1687" s="62" t="str">
        <f t="shared" si="353"/>
        <v/>
      </c>
      <c r="C1687" s="63"/>
      <c r="D1687" s="63"/>
      <c r="E1687" s="63"/>
      <c r="F1687" s="66"/>
      <c r="G1687" s="66"/>
      <c r="H1687" s="71"/>
      <c r="I1687" s="405"/>
      <c r="J1687" s="408"/>
      <c r="K1687" s="398"/>
      <c r="L1687" s="405"/>
      <c r="M1687" s="64"/>
      <c r="N1687" s="65"/>
      <c r="O1687" s="65"/>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
      </c>
      <c r="Y1687" s="81" t="str">
        <f>IF(AND(OR(N1687="131",O1687="131"),H1687='131-CT'!$H$9),"x","")</f>
        <v/>
      </c>
      <c r="Z1687" s="81"/>
      <c r="AA1687" s="81" t="str">
        <f>IF(AND(MONTH(E1687)='IN-NX'!$J$5,'IN-NX'!$D$7=D1687),"x","")</f>
        <v/>
      </c>
      <c r="AB1687" s="81" t="str">
        <f>IF(AND(OR(LEFT(TH!N1687,2)="15",LEFT(TH!O1687,2)="15"),LEFT(TH!O1687,3)&lt;&gt;"111",'152-CT'!$J$8=TH!F1687),"x","")</f>
        <v/>
      </c>
      <c r="AC1687" s="81" t="str">
        <f>IF(AND(OR(LEFT(TH!N1687,2)="15",LEFT(TH!O1687,2)="15"),TK!$E$7=TH!F1687),"x","")</f>
        <v/>
      </c>
      <c r="AD1687" s="81" t="str">
        <f>IF(AND(N1687="1521",MONTH(C1687)='BK-NL'!$M$11),"x","")</f>
        <v/>
      </c>
    </row>
    <row r="1688" spans="1:30" ht="15.75" customHeight="1">
      <c r="A1688" s="327" t="str">
        <f>IF(B1688&lt;&gt;"",IF(AND(B1688='IN-TC'!$S$4,OR(TH!N1688="1111",TH!O1688="1111")),TH!D1688,""),"")</f>
        <v/>
      </c>
      <c r="B1688" s="62" t="str">
        <f t="shared" si="353"/>
        <v/>
      </c>
      <c r="C1688" s="63"/>
      <c r="D1688" s="63"/>
      <c r="E1688" s="63"/>
      <c r="F1688" s="66"/>
      <c r="G1688" s="66"/>
      <c r="H1688" s="71"/>
      <c r="I1688" s="405"/>
      <c r="J1688" s="408"/>
      <c r="K1688" s="398"/>
      <c r="L1688" s="405"/>
      <c r="M1688" s="64"/>
      <c r="N1688" s="65"/>
      <c r="O1688" s="65"/>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
      </c>
      <c r="AD1688" s="81" t="str">
        <f>IF(AND(N1688="1521",MONTH(C1688)='BK-NL'!$M$11),"x","")</f>
        <v/>
      </c>
    </row>
    <row r="1689" spans="1:30" ht="15.75" customHeight="1">
      <c r="A1689" s="327" t="str">
        <f>IF(B1689&lt;&gt;"",IF(AND(B1689='IN-TC'!$S$4,OR(TH!N1689="1111",TH!O1689="1111")),TH!D1689,""),"")</f>
        <v/>
      </c>
      <c r="B1689" s="62" t="str">
        <f t="shared" si="353"/>
        <v/>
      </c>
      <c r="C1689" s="63"/>
      <c r="D1689" s="63"/>
      <c r="E1689" s="63"/>
      <c r="F1689" s="66"/>
      <c r="G1689" s="66"/>
      <c r="H1689" s="71"/>
      <c r="I1689" s="405"/>
      <c r="J1689" s="408"/>
      <c r="K1689" s="398"/>
      <c r="L1689" s="405"/>
      <c r="M1689" s="64"/>
      <c r="N1689" s="65"/>
      <c r="O1689" s="65"/>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
      </c>
      <c r="Y1689" s="81" t="str">
        <f>IF(AND(OR(N1689="131",O1689="131"),H1689='131-CT'!$H$9),"x","")</f>
        <v/>
      </c>
      <c r="Z1689" s="81"/>
      <c r="AA1689" s="81" t="str">
        <f>IF(AND(MONTH(E1689)='IN-NX'!$J$5,'IN-NX'!$D$7=D1689),"x","")</f>
        <v/>
      </c>
      <c r="AB1689" s="81" t="str">
        <f>IF(AND(OR(LEFT(TH!N1689,2)="15",LEFT(TH!O1689,2)="15"),LEFT(TH!O1689,3)&lt;&gt;"111",'152-CT'!$J$8=TH!F1689),"x","")</f>
        <v/>
      </c>
      <c r="AC1689" s="81" t="str">
        <f>IF(AND(OR(LEFT(TH!N1689,2)="15",LEFT(TH!O1689,2)="15"),TK!$E$7=TH!F1689),"x","")</f>
        <v/>
      </c>
      <c r="AD1689" s="81" t="str">
        <f>IF(AND(N1689="1521",MONTH(C1689)='BK-NL'!$M$11),"x","")</f>
        <v/>
      </c>
    </row>
    <row r="1690" spans="1:30" ht="15.75" customHeight="1">
      <c r="A1690" s="327" t="str">
        <f>IF(B1690&lt;&gt;"",IF(AND(B1690='IN-TC'!$S$4,OR(TH!N1690="1111",TH!O1690="1111")),TH!D1690,""),"")</f>
        <v/>
      </c>
      <c r="B1690" s="62" t="str">
        <f t="shared" si="353"/>
        <v/>
      </c>
      <c r="C1690" s="63"/>
      <c r="D1690" s="63"/>
      <c r="E1690" s="63"/>
      <c r="F1690" s="66"/>
      <c r="G1690" s="66"/>
      <c r="H1690" s="71"/>
      <c r="I1690" s="405"/>
      <c r="J1690" s="408"/>
      <c r="K1690" s="398"/>
      <c r="L1690" s="405"/>
      <c r="M1690" s="64"/>
      <c r="N1690" s="65"/>
      <c r="O1690" s="65"/>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
      </c>
      <c r="AD1690" s="81" t="str">
        <f>IF(AND(N1690="1521",MONTH(C1690)='BK-NL'!$M$11),"x","")</f>
        <v/>
      </c>
    </row>
    <row r="1691" spans="1:30" ht="15.75" customHeight="1">
      <c r="A1691" s="327" t="str">
        <f>IF(B1691&lt;&gt;"",IF(AND(B1691='IN-TC'!$S$4,OR(TH!N1691="1111",TH!O1691="1111")),TH!D1691,""),"")</f>
        <v/>
      </c>
      <c r="B1691" s="62" t="str">
        <f t="shared" si="353"/>
        <v/>
      </c>
      <c r="C1691" s="63"/>
      <c r="D1691" s="63"/>
      <c r="E1691" s="63"/>
      <c r="F1691" s="66"/>
      <c r="G1691" s="66"/>
      <c r="H1691" s="71"/>
      <c r="I1691" s="405"/>
      <c r="J1691" s="408"/>
      <c r="K1691" s="398"/>
      <c r="L1691" s="405"/>
      <c r="M1691" s="64"/>
      <c r="N1691" s="65"/>
      <c r="O1691" s="65"/>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
      </c>
      <c r="Y1691" s="81" t="str">
        <f>IF(AND(OR(N1691="131",O1691="131"),H1691='131-CT'!$H$9),"x","")</f>
        <v/>
      </c>
      <c r="Z1691" s="81"/>
      <c r="AA1691" s="81" t="str">
        <f>IF(AND(MONTH(E1691)='IN-NX'!$J$5,'IN-NX'!$D$7=D1691),"x","")</f>
        <v/>
      </c>
      <c r="AB1691" s="81" t="str">
        <f>IF(AND(OR(LEFT(TH!N1691,2)="15",LEFT(TH!O1691,2)="15"),LEFT(TH!O1691,3)&lt;&gt;"111",'152-CT'!$J$8=TH!F1691),"x","")</f>
        <v/>
      </c>
      <c r="AC1691" s="81" t="str">
        <f>IF(AND(OR(LEFT(TH!N1691,2)="15",LEFT(TH!O1691,2)="15"),TK!$E$7=TH!F1691),"x","")</f>
        <v/>
      </c>
      <c r="AD1691" s="81" t="str">
        <f>IF(AND(N1691="1521",MONTH(C1691)='BK-NL'!$M$11),"x","")</f>
        <v/>
      </c>
    </row>
    <row r="1692" spans="1:30" ht="15.75" customHeight="1">
      <c r="A1692" s="327" t="str">
        <f>IF(B1692&lt;&gt;"",IF(AND(B1692='IN-TC'!$S$4,OR(TH!N1692="1111",TH!O1692="1111")),TH!D1692,""),"")</f>
        <v/>
      </c>
      <c r="B1692" s="62" t="str">
        <f t="shared" si="353"/>
        <v/>
      </c>
      <c r="C1692" s="63"/>
      <c r="D1692" s="63"/>
      <c r="E1692" s="63"/>
      <c r="F1692" s="66"/>
      <c r="G1692" s="66"/>
      <c r="H1692" s="71"/>
      <c r="I1692" s="405"/>
      <c r="J1692" s="408"/>
      <c r="K1692" s="398"/>
      <c r="L1692" s="405"/>
      <c r="M1692" s="64"/>
      <c r="N1692" s="65"/>
      <c r="O1692" s="65"/>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row>
    <row r="1693" spans="1:30" ht="15.75" customHeight="1">
      <c r="A1693" s="327" t="str">
        <f>IF(B1693&lt;&gt;"",IF(AND(B1693='IN-TC'!$S$4,OR(TH!N1693="1111",TH!O1693="1111")),TH!D1693,""),"")</f>
        <v/>
      </c>
      <c r="B1693" s="62" t="str">
        <f t="shared" ref="B1693:B1695" si="355">IF(C1693&lt;&gt;"",MONTH(C1693),"")</f>
        <v/>
      </c>
      <c r="C1693" s="63"/>
      <c r="D1693" s="63"/>
      <c r="E1693" s="63"/>
      <c r="F1693" s="66"/>
      <c r="G1693" s="66"/>
      <c r="H1693" s="71"/>
      <c r="I1693" s="405"/>
      <c r="J1693" s="408"/>
      <c r="K1693" s="398"/>
      <c r="L1693" s="405"/>
      <c r="M1693" s="64"/>
      <c r="N1693" s="65"/>
      <c r="O1693" s="65"/>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
      </c>
      <c r="Y1693" s="81" t="str">
        <f>IF(AND(OR(N1693="131",O1693="131"),H1693='131-CT'!$H$9),"x","")</f>
        <v/>
      </c>
      <c r="Z1693" s="81"/>
      <c r="AA1693" s="81" t="str">
        <f>IF(AND(MONTH(E1693)='IN-NX'!$J$5,'IN-NX'!$D$7=D1693),"x","")</f>
        <v/>
      </c>
      <c r="AB1693" s="81" t="str">
        <f>IF(AND(OR(LEFT(TH!N1693,2)="15",LEFT(TH!O1693,2)="15"),LEFT(TH!O1693,3)&lt;&gt;"111",'152-CT'!$J$8=TH!F1693),"x","")</f>
        <v/>
      </c>
      <c r="AC1693" s="81" t="str">
        <f>IF(AND(OR(LEFT(TH!N1693,2)="15",LEFT(TH!O1693,2)="15"),TK!$E$7=TH!F1693),"x","")</f>
        <v/>
      </c>
      <c r="AD1693" s="81" t="str">
        <f>IF(AND(N1693="1521",MONTH(C1693)='BK-NL'!$M$11),"x","")</f>
        <v/>
      </c>
    </row>
    <row r="1694" spans="1:30" ht="15.75" customHeight="1">
      <c r="A1694" s="327" t="str">
        <f>IF(B1694&lt;&gt;"",IF(AND(B1694='IN-TC'!$S$4,OR(TH!N1694="1111",TH!O1694="1111")),TH!D1694,""),"")</f>
        <v/>
      </c>
      <c r="B1694" s="62" t="str">
        <f t="shared" si="355"/>
        <v/>
      </c>
      <c r="C1694" s="63"/>
      <c r="D1694" s="63"/>
      <c r="E1694" s="63"/>
      <c r="F1694" s="66"/>
      <c r="G1694" s="66"/>
      <c r="H1694" s="72"/>
      <c r="I1694" s="405"/>
      <c r="J1694" s="408"/>
      <c r="K1694" s="398"/>
      <c r="L1694" s="405"/>
      <c r="M1694" s="64"/>
      <c r="N1694" s="65"/>
      <c r="O1694" s="65"/>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
      </c>
      <c r="Y1694" s="81" t="str">
        <f>IF(AND(OR(N1694="131",O1694="131"),H1694='131-CT'!$H$9),"x","")</f>
        <v/>
      </c>
      <c r="Z1694" s="81"/>
      <c r="AA1694" s="81" t="str">
        <f>IF(AND(MONTH(E1694)='IN-NX'!$J$5,'IN-NX'!$D$7=D1694),"x","")</f>
        <v/>
      </c>
      <c r="AB1694" s="81" t="str">
        <f>IF(AND(OR(LEFT(TH!N1694,2)="15",LEFT(TH!O1694,2)="15"),LEFT(TH!O1694,3)&lt;&gt;"111",'152-CT'!$J$8=TH!F1694),"x","")</f>
        <v/>
      </c>
      <c r="AC1694" s="81" t="str">
        <f>IF(AND(OR(LEFT(TH!N1694,2)="15",LEFT(TH!O1694,2)="15"),TK!$E$7=TH!F1694),"x","")</f>
        <v/>
      </c>
      <c r="AD1694" s="81" t="str">
        <f>IF(AND(N1694="1521",MONTH(C1694)='BK-NL'!$M$11),"x","")</f>
        <v/>
      </c>
    </row>
    <row r="1695" spans="1:30" ht="15.75" customHeight="1">
      <c r="A1695" s="327" t="str">
        <f>IF(B1695&lt;&gt;"",IF(AND(B1695='IN-TC'!$S$4,OR(TH!N1695="1111",TH!O1695="1111")),TH!D1695,""),"")</f>
        <v/>
      </c>
      <c r="B1695" s="62" t="str">
        <f t="shared" si="355"/>
        <v/>
      </c>
      <c r="C1695" s="63"/>
      <c r="D1695" s="63"/>
      <c r="E1695" s="63"/>
      <c r="F1695" s="66"/>
      <c r="G1695" s="66"/>
      <c r="H1695" s="71"/>
      <c r="I1695" s="405"/>
      <c r="J1695" s="408"/>
      <c r="K1695" s="398"/>
      <c r="L1695" s="405"/>
      <c r="M1695" s="64"/>
      <c r="N1695" s="65"/>
      <c r="O1695" s="65"/>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row>
    <row r="1696" spans="1:30" ht="15.75" customHeight="1">
      <c r="A1696" s="327" t="str">
        <f>IF(B1696&lt;&gt;"",IF(AND(B1696='IN-TC'!$S$4,OR(TH!N1696="1111",TH!O1696="1111")),TH!D1696,""),"")</f>
        <v/>
      </c>
      <c r="B1696" s="62" t="str">
        <f t="shared" si="353"/>
        <v/>
      </c>
      <c r="C1696" s="63"/>
      <c r="D1696" s="63"/>
      <c r="E1696" s="63"/>
      <c r="F1696" s="66"/>
      <c r="G1696" s="66"/>
      <c r="H1696" s="71"/>
      <c r="I1696" s="405"/>
      <c r="J1696" s="408"/>
      <c r="K1696" s="398"/>
      <c r="L1696" s="405"/>
      <c r="M1696" s="64"/>
      <c r="N1696" s="65"/>
      <c r="O1696" s="65"/>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row>
    <row r="1697" spans="1:30" ht="15.75" customHeight="1">
      <c r="A1697" s="327" t="str">
        <f>IF(B1697&lt;&gt;"",IF(AND(B1697='IN-TC'!$S$4,OR(TH!N1697="1111",TH!O1697="1111")),TH!D1697,""),"")</f>
        <v/>
      </c>
      <c r="B1697" s="62" t="str">
        <f t="shared" si="353"/>
        <v/>
      </c>
      <c r="C1697" s="63"/>
      <c r="D1697" s="63"/>
      <c r="E1697" s="63"/>
      <c r="F1697" s="66"/>
      <c r="G1697" s="66"/>
      <c r="H1697" s="71"/>
      <c r="I1697" s="405"/>
      <c r="J1697" s="408"/>
      <c r="K1697" s="398"/>
      <c r="L1697" s="405"/>
      <c r="M1697" s="64"/>
      <c r="N1697" s="65"/>
      <c r="O1697" s="65"/>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
      </c>
      <c r="Y1697" s="81" t="str">
        <f>IF(AND(OR(N1697="131",O1697="131"),H1697='131-CT'!$H$9),"x","")</f>
        <v/>
      </c>
      <c r="Z1697" s="81"/>
      <c r="AA1697" s="81" t="str">
        <f>IF(AND(MONTH(E1697)='IN-NX'!$J$5,'IN-NX'!$D$7=D1697),"x","")</f>
        <v/>
      </c>
      <c r="AB1697" s="81" t="str">
        <f>IF(AND(OR(LEFT(TH!N1697,2)="15",LEFT(TH!O1697,2)="15"),LEFT(TH!O1697,3)&lt;&gt;"111",'152-CT'!$J$8=TH!F1697),"x","")</f>
        <v/>
      </c>
      <c r="AC1697" s="81" t="str">
        <f>IF(AND(OR(LEFT(TH!N1697,2)="15",LEFT(TH!O1697,2)="15"),TK!$E$7=TH!F1697),"x","")</f>
        <v/>
      </c>
      <c r="AD1697" s="81" t="str">
        <f>IF(AND(N1697="1521",MONTH(C1697)='BK-NL'!$M$11),"x","")</f>
        <v/>
      </c>
    </row>
    <row r="1698" spans="1:30" ht="15.75" customHeight="1">
      <c r="A1698" s="327" t="str">
        <f>IF(B1698&lt;&gt;"",IF(AND(B1698='IN-TC'!$S$4,OR(TH!N1698="1111",TH!O1698="1111")),TH!D1698,""),"")</f>
        <v/>
      </c>
      <c r="B1698" s="62" t="str">
        <f t="shared" si="353"/>
        <v/>
      </c>
      <c r="C1698" s="63"/>
      <c r="D1698" s="63"/>
      <c r="E1698" s="63"/>
      <c r="F1698" s="66"/>
      <c r="G1698" s="66"/>
      <c r="H1698" s="71"/>
      <c r="I1698" s="405"/>
      <c r="J1698" s="408"/>
      <c r="K1698" s="398"/>
      <c r="L1698" s="405"/>
      <c r="M1698" s="64"/>
      <c r="N1698" s="65"/>
      <c r="O1698" s="65"/>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
      </c>
      <c r="Y1698" s="81" t="str">
        <f>IF(AND(OR(N1698="131",O1698="131"),H1698='131-CT'!$H$9),"x","")</f>
        <v/>
      </c>
      <c r="Z1698" s="81"/>
      <c r="AA1698" s="81" t="str">
        <f>IF(AND(MONTH(E1698)='IN-NX'!$J$5,'IN-NX'!$D$7=D1698),"x","")</f>
        <v/>
      </c>
      <c r="AB1698" s="81" t="str">
        <f>IF(AND(OR(LEFT(TH!N1698,2)="15",LEFT(TH!O1698,2)="15"),LEFT(TH!O1698,3)&lt;&gt;"111",'152-CT'!$J$8=TH!F1698),"x","")</f>
        <v/>
      </c>
      <c r="AC1698" s="81" t="str">
        <f>IF(AND(OR(LEFT(TH!N1698,2)="15",LEFT(TH!O1698,2)="15"),TK!$E$7=TH!F1698),"x","")</f>
        <v/>
      </c>
      <c r="AD1698" s="81" t="str">
        <f>IF(AND(N1698="1521",MONTH(C1698)='BK-NL'!$M$11),"x","")</f>
        <v/>
      </c>
    </row>
    <row r="1699" spans="1:30" ht="15.75" customHeight="1">
      <c r="A1699" s="327" t="str">
        <f>IF(B1699&lt;&gt;"",IF(AND(B1699='IN-TC'!$S$4,OR(TH!N1699="1111",TH!O1699="1111")),TH!D1699,""),"")</f>
        <v/>
      </c>
      <c r="B1699" s="62" t="str">
        <f t="shared" si="353"/>
        <v/>
      </c>
      <c r="C1699" s="63"/>
      <c r="D1699" s="63"/>
      <c r="E1699" s="63"/>
      <c r="F1699" s="66"/>
      <c r="G1699" s="66"/>
      <c r="H1699" s="71"/>
      <c r="I1699" s="405"/>
      <c r="J1699" s="408"/>
      <c r="K1699" s="398"/>
      <c r="L1699" s="405"/>
      <c r="M1699" s="64"/>
      <c r="N1699" s="65"/>
      <c r="O1699" s="65"/>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
      </c>
      <c r="Y1699" s="81" t="str">
        <f>IF(AND(OR(N1699="131",O1699="131"),H1699='131-CT'!$H$9),"x","")</f>
        <v/>
      </c>
      <c r="Z1699" s="81"/>
      <c r="AA1699" s="81" t="str">
        <f>IF(AND(MONTH(E1699)='IN-NX'!$J$5,'IN-NX'!$D$7=D1699),"x","")</f>
        <v/>
      </c>
      <c r="AB1699" s="81" t="str">
        <f>IF(AND(OR(LEFT(TH!N1699,2)="15",LEFT(TH!O1699,2)="15"),LEFT(TH!O1699,3)&lt;&gt;"111",'152-CT'!$J$8=TH!F1699),"x","")</f>
        <v/>
      </c>
      <c r="AC1699" s="81" t="str">
        <f>IF(AND(OR(LEFT(TH!N1699,2)="15",LEFT(TH!O1699,2)="15"),TK!$E$7=TH!F1699),"x","")</f>
        <v/>
      </c>
      <c r="AD1699" s="81" t="str">
        <f>IF(AND(N1699="1521",MONTH(C1699)='BK-NL'!$M$11),"x","")</f>
        <v/>
      </c>
    </row>
    <row r="1700" spans="1:30" ht="15.75" customHeight="1">
      <c r="A1700" s="327" t="str">
        <f>IF(B1700&lt;&gt;"",IF(AND(B1700='IN-TC'!$S$4,OR(TH!N1700="1111",TH!O1700="1111")),TH!D1700,""),"")</f>
        <v/>
      </c>
      <c r="B1700" s="62" t="str">
        <f t="shared" si="353"/>
        <v/>
      </c>
      <c r="C1700" s="63"/>
      <c r="D1700" s="63"/>
      <c r="E1700" s="63"/>
      <c r="F1700" s="66"/>
      <c r="G1700" s="66"/>
      <c r="H1700" s="71"/>
      <c r="I1700" s="407"/>
      <c r="J1700" s="408"/>
      <c r="K1700" s="400"/>
      <c r="L1700" s="407"/>
      <c r="M1700" s="64"/>
      <c r="N1700" s="65"/>
      <c r="O1700" s="65"/>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
      </c>
      <c r="Y1700" s="81" t="str">
        <f>IF(AND(OR(N1700="131",O1700="131"),H1700='131-CT'!$H$9),"x","")</f>
        <v/>
      </c>
      <c r="Z1700" s="81"/>
      <c r="AA1700" s="81" t="str">
        <f>IF(AND(MONTH(E1700)='IN-NX'!$J$5,'IN-NX'!$D$7=D1700),"x","")</f>
        <v/>
      </c>
      <c r="AB1700" s="81" t="str">
        <f>IF(AND(OR(LEFT(TH!N1700,2)="15",LEFT(TH!O1700,2)="15"),LEFT(TH!O1700,3)&lt;&gt;"111",'152-CT'!$J$8=TH!F1700),"x","")</f>
        <v/>
      </c>
      <c r="AC1700" s="81" t="str">
        <f>IF(AND(OR(LEFT(TH!N1700,2)="15",LEFT(TH!O1700,2)="15"),TK!$E$7=TH!F1700),"x","")</f>
        <v/>
      </c>
      <c r="AD1700" s="81" t="str">
        <f>IF(AND(N1700="1521",MONTH(C1700)='BK-NL'!$M$11),"x","")</f>
        <v/>
      </c>
    </row>
    <row r="1701" spans="1:30" ht="15.75" customHeight="1">
      <c r="A1701" s="327" t="str">
        <f>IF(B1701&lt;&gt;"",IF(AND(B1701='IN-TC'!$S$4,OR(TH!N1701="1111",TH!O1701="1111")),TH!D1701,""),"")</f>
        <v/>
      </c>
      <c r="B1701" s="62" t="str">
        <f t="shared" si="353"/>
        <v/>
      </c>
      <c r="C1701" s="63"/>
      <c r="D1701" s="63"/>
      <c r="E1701" s="63"/>
      <c r="F1701" s="66"/>
      <c r="G1701" s="66"/>
      <c r="H1701" s="71"/>
      <c r="I1701" s="407"/>
      <c r="J1701" s="408"/>
      <c r="K1701" s="400"/>
      <c r="L1701" s="407"/>
      <c r="M1701" s="64"/>
      <c r="N1701" s="65"/>
      <c r="O1701" s="65"/>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
      </c>
      <c r="Y1701" s="81" t="str">
        <f>IF(AND(OR(N1701="131",O1701="131"),H1701='131-CT'!$H$9),"x","")</f>
        <v/>
      </c>
      <c r="Z1701" s="81"/>
      <c r="AA1701" s="81" t="str">
        <f>IF(AND(MONTH(E1701)='IN-NX'!$J$5,'IN-NX'!$D$7=D1701),"x","")</f>
        <v/>
      </c>
      <c r="AB1701" s="81" t="str">
        <f>IF(AND(OR(LEFT(TH!N1701,2)="15",LEFT(TH!O1701,2)="15"),LEFT(TH!O1701,3)&lt;&gt;"111",'152-CT'!$J$8=TH!F1701),"x","")</f>
        <v/>
      </c>
      <c r="AC1701" s="81" t="str">
        <f>IF(AND(OR(LEFT(TH!N1701,2)="15",LEFT(TH!O1701,2)="15"),TK!$E$7=TH!F1701),"x","")</f>
        <v/>
      </c>
      <c r="AD1701" s="81" t="str">
        <f>IF(AND(N1701="1521",MONTH(C1701)='BK-NL'!$M$11),"x","")</f>
        <v/>
      </c>
    </row>
    <row r="1702" spans="1:30" ht="15.75" customHeight="1">
      <c r="A1702" s="327" t="str">
        <f>IF(B1702&lt;&gt;"",IF(AND(B1702='IN-TC'!$S$4,OR(TH!N1702="1111",TH!O1702="1111")),TH!D1702,""),"")</f>
        <v/>
      </c>
      <c r="B1702" s="62" t="str">
        <f t="shared" si="353"/>
        <v/>
      </c>
      <c r="C1702" s="63"/>
      <c r="D1702" s="63"/>
      <c r="E1702" s="63"/>
      <c r="F1702" s="66"/>
      <c r="G1702" s="66"/>
      <c r="H1702" s="71"/>
      <c r="I1702" s="407"/>
      <c r="J1702" s="408"/>
      <c r="K1702" s="400"/>
      <c r="L1702" s="407"/>
      <c r="M1702" s="64"/>
      <c r="N1702" s="65"/>
      <c r="O1702" s="65"/>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
      </c>
      <c r="Y1702" s="81" t="str">
        <f>IF(AND(OR(N1702="131",O1702="131"),H1702='131-CT'!$H$9),"x","")</f>
        <v/>
      </c>
      <c r="Z1702" s="81"/>
      <c r="AA1702" s="81" t="str">
        <f>IF(AND(MONTH(E1702)='IN-NX'!$J$5,'IN-NX'!$D$7=D1702),"x","")</f>
        <v/>
      </c>
      <c r="AB1702" s="81" t="str">
        <f>IF(AND(OR(LEFT(TH!N1702,2)="15",LEFT(TH!O1702,2)="15"),LEFT(TH!O1702,3)&lt;&gt;"111",'152-CT'!$J$8=TH!F1702),"x","")</f>
        <v/>
      </c>
      <c r="AC1702" s="81" t="str">
        <f>IF(AND(OR(LEFT(TH!N1702,2)="15",LEFT(TH!O1702,2)="15"),TK!$E$7=TH!F1702),"x","")</f>
        <v/>
      </c>
      <c r="AD1702" s="81" t="str">
        <f>IF(AND(N1702="1521",MONTH(C1702)='BK-NL'!$M$11),"x","")</f>
        <v/>
      </c>
    </row>
    <row r="1703" spans="1:30" ht="15.75" customHeight="1">
      <c r="A1703" s="327" t="str">
        <f>IF(B1703&lt;&gt;"",IF(AND(B1703='IN-TC'!$S$4,OR(TH!N1703="1111",TH!O1703="1111")),TH!D1703,""),"")</f>
        <v/>
      </c>
      <c r="B1703" s="62" t="str">
        <f t="shared" si="353"/>
        <v/>
      </c>
      <c r="C1703" s="63"/>
      <c r="D1703" s="63"/>
      <c r="E1703" s="63"/>
      <c r="F1703" s="66"/>
      <c r="G1703" s="66"/>
      <c r="H1703" s="71"/>
      <c r="I1703" s="407"/>
      <c r="J1703" s="408"/>
      <c r="K1703" s="400"/>
      <c r="L1703" s="407"/>
      <c r="M1703" s="64"/>
      <c r="N1703" s="65"/>
      <c r="O1703" s="65"/>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
      </c>
      <c r="Y1703" s="81" t="str">
        <f>IF(AND(OR(N1703="131",O1703="131"),H1703='131-CT'!$H$9),"x","")</f>
        <v/>
      </c>
      <c r="Z1703" s="81"/>
      <c r="AA1703" s="81" t="str">
        <f>IF(AND(MONTH(E1703)='IN-NX'!$J$5,'IN-NX'!$D$7=D1703),"x","")</f>
        <v/>
      </c>
      <c r="AB1703" s="81" t="str">
        <f>IF(AND(OR(LEFT(TH!N1703,2)="15",LEFT(TH!O1703,2)="15"),LEFT(TH!O1703,3)&lt;&gt;"111",'152-CT'!$J$8=TH!F1703),"x","")</f>
        <v/>
      </c>
      <c r="AC1703" s="81" t="str">
        <f>IF(AND(OR(LEFT(TH!N1703,2)="15",LEFT(TH!O1703,2)="15"),TK!$E$7=TH!F1703),"x","")</f>
        <v/>
      </c>
      <c r="AD1703" s="81" t="str">
        <f>IF(AND(N1703="1521",MONTH(C1703)='BK-NL'!$M$11),"x","")</f>
        <v/>
      </c>
    </row>
    <row r="1704" spans="1:30" ht="15.75" customHeight="1">
      <c r="A1704" s="327" t="str">
        <f>IF(B1704&lt;&gt;"",IF(AND(B1704='IN-TC'!$S$4,OR(TH!N1704="1111",TH!O1704="1111")),TH!D1704,""),"")</f>
        <v/>
      </c>
      <c r="B1704" s="62" t="str">
        <f t="shared" si="353"/>
        <v/>
      </c>
      <c r="C1704" s="63"/>
      <c r="D1704" s="63"/>
      <c r="E1704" s="63"/>
      <c r="F1704" s="66"/>
      <c r="G1704" s="66"/>
      <c r="H1704" s="71"/>
      <c r="I1704" s="405"/>
      <c r="J1704" s="408"/>
      <c r="K1704" s="398"/>
      <c r="L1704" s="405"/>
      <c r="M1704" s="64"/>
      <c r="N1704" s="65"/>
      <c r="O1704" s="65"/>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
      </c>
      <c r="Y1704" s="81" t="str">
        <f>IF(AND(OR(N1704="131",O1704="131"),H1704='131-CT'!$H$9),"x","")</f>
        <v/>
      </c>
      <c r="Z1704" s="81"/>
      <c r="AA1704" s="81" t="str">
        <f>IF(AND(MONTH(E1704)='IN-NX'!$J$5,'IN-NX'!$D$7=D1704),"x","")</f>
        <v/>
      </c>
      <c r="AB1704" s="81" t="str">
        <f>IF(AND(OR(LEFT(TH!N1704,2)="15",LEFT(TH!O1704,2)="15"),LEFT(TH!O1704,3)&lt;&gt;"111",'152-CT'!$J$8=TH!F1704),"x","")</f>
        <v/>
      </c>
      <c r="AC1704" s="81" t="str">
        <f>IF(AND(OR(LEFT(TH!N1704,2)="15",LEFT(TH!O1704,2)="15"),TK!$E$7=TH!F1704),"x","")</f>
        <v/>
      </c>
      <c r="AD1704" s="81" t="str">
        <f>IF(AND(N1704="1521",MONTH(C1704)='BK-NL'!$M$11),"x","")</f>
        <v/>
      </c>
    </row>
    <row r="1705" spans="1:30" ht="15.75" customHeight="1">
      <c r="A1705" s="327" t="str">
        <f>IF(B1705&lt;&gt;"",IF(AND(B1705='IN-TC'!$S$4,OR(TH!N1705="1111",TH!O1705="1111")),TH!D1705,""),"")</f>
        <v/>
      </c>
      <c r="B1705" s="62" t="str">
        <f t="shared" si="353"/>
        <v/>
      </c>
      <c r="C1705" s="63"/>
      <c r="D1705" s="63"/>
      <c r="E1705" s="63"/>
      <c r="F1705" s="66"/>
      <c r="G1705" s="66"/>
      <c r="H1705" s="71"/>
      <c r="I1705" s="405"/>
      <c r="J1705" s="408"/>
      <c r="K1705" s="398"/>
      <c r="L1705" s="405"/>
      <c r="M1705" s="64"/>
      <c r="N1705" s="65"/>
      <c r="O1705" s="65"/>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
      </c>
      <c r="Y1705" s="81" t="str">
        <f>IF(AND(OR(N1705="131",O1705="131"),H1705='131-CT'!$H$9),"x","")</f>
        <v/>
      </c>
      <c r="Z1705" s="81"/>
      <c r="AA1705" s="81" t="str">
        <f>IF(AND(MONTH(E1705)='IN-NX'!$J$5,'IN-NX'!$D$7=D1705),"x","")</f>
        <v/>
      </c>
      <c r="AB1705" s="81" t="str">
        <f>IF(AND(OR(LEFT(TH!N1705,2)="15",LEFT(TH!O1705,2)="15"),LEFT(TH!O1705,3)&lt;&gt;"111",'152-CT'!$J$8=TH!F1705),"x","")</f>
        <v/>
      </c>
      <c r="AC1705" s="81" t="str">
        <f>IF(AND(OR(LEFT(TH!N1705,2)="15",LEFT(TH!O1705,2)="15"),TK!$E$7=TH!F1705),"x","")</f>
        <v/>
      </c>
      <c r="AD1705" s="81" t="str">
        <f>IF(AND(N1705="1521",MONTH(C1705)='BK-NL'!$M$11),"x","")</f>
        <v/>
      </c>
    </row>
    <row r="1706" spans="1:30" ht="15.75" customHeight="1">
      <c r="A1706" s="327" t="str">
        <f>IF(B1706&lt;&gt;"",IF(AND(B1706='IN-TC'!$S$4,OR(TH!N1706="1111",TH!O1706="1111")),TH!D1706,""),"")</f>
        <v/>
      </c>
      <c r="B1706" s="62" t="str">
        <f t="shared" si="353"/>
        <v/>
      </c>
      <c r="C1706" s="63"/>
      <c r="D1706" s="63"/>
      <c r="E1706" s="63"/>
      <c r="F1706" s="66"/>
      <c r="G1706" s="66"/>
      <c r="H1706" s="71"/>
      <c r="I1706" s="405"/>
      <c r="J1706" s="408"/>
      <c r="K1706" s="398"/>
      <c r="L1706" s="405"/>
      <c r="M1706" s="64"/>
      <c r="N1706" s="65"/>
      <c r="O1706" s="65"/>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
      </c>
      <c r="Y1706" s="81" t="str">
        <f>IF(AND(OR(N1706="131",O1706="131"),H1706='131-CT'!$H$9),"x","")</f>
        <v/>
      </c>
      <c r="Z1706" s="81"/>
      <c r="AA1706" s="81" t="str">
        <f>IF(AND(MONTH(E1706)='IN-NX'!$J$5,'IN-NX'!$D$7=D1706),"x","")</f>
        <v/>
      </c>
      <c r="AB1706" s="81" t="str">
        <f>IF(AND(OR(LEFT(TH!N1706,2)="15",LEFT(TH!O1706,2)="15"),LEFT(TH!O1706,3)&lt;&gt;"111",'152-CT'!$J$8=TH!F1706),"x","")</f>
        <v/>
      </c>
      <c r="AC1706" s="81" t="str">
        <f>IF(AND(OR(LEFT(TH!N1706,2)="15",LEFT(TH!O1706,2)="15"),TK!$E$7=TH!F1706),"x","")</f>
        <v/>
      </c>
      <c r="AD1706" s="81" t="str">
        <f>IF(AND(N1706="1521",MONTH(C1706)='BK-NL'!$M$11),"x","")</f>
        <v/>
      </c>
    </row>
    <row r="1707" spans="1:30" ht="15.75" customHeight="1">
      <c r="A1707" s="327" t="str">
        <f>IF(B1707&lt;&gt;"",IF(AND(B1707='IN-TC'!$S$4,OR(TH!N1707="1111",TH!O1707="1111")),TH!D1707,""),"")</f>
        <v/>
      </c>
      <c r="B1707" s="62" t="str">
        <f t="shared" si="353"/>
        <v/>
      </c>
      <c r="C1707" s="63"/>
      <c r="D1707" s="63"/>
      <c r="E1707" s="63"/>
      <c r="F1707" s="66"/>
      <c r="G1707" s="66"/>
      <c r="H1707" s="71"/>
      <c r="I1707" s="405"/>
      <c r="J1707" s="408"/>
      <c r="K1707" s="398"/>
      <c r="L1707" s="405"/>
      <c r="M1707" s="64"/>
      <c r="N1707" s="65"/>
      <c r="O1707" s="65"/>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
      </c>
      <c r="Y1707" s="81" t="str">
        <f>IF(AND(OR(N1707="131",O1707="131"),H1707='131-CT'!$H$9),"x","")</f>
        <v/>
      </c>
      <c r="Z1707" s="81"/>
      <c r="AA1707" s="81" t="str">
        <f>IF(AND(MONTH(E1707)='IN-NX'!$J$5,'IN-NX'!$D$7=D1707),"x","")</f>
        <v/>
      </c>
      <c r="AB1707" s="81" t="str">
        <f>IF(AND(OR(LEFT(TH!N1707,2)="15",LEFT(TH!O1707,2)="15"),LEFT(TH!O1707,3)&lt;&gt;"111",'152-CT'!$J$8=TH!F1707),"x","")</f>
        <v/>
      </c>
      <c r="AC1707" s="81" t="str">
        <f>IF(AND(OR(LEFT(TH!N1707,2)="15",LEFT(TH!O1707,2)="15"),TK!$E$7=TH!F1707),"x","")</f>
        <v/>
      </c>
      <c r="AD1707" s="81" t="str">
        <f>IF(AND(N1707="1521",MONTH(C1707)='BK-NL'!$M$11),"x","")</f>
        <v/>
      </c>
    </row>
    <row r="1708" spans="1:30" ht="15.75" customHeight="1">
      <c r="A1708" s="327" t="str">
        <f>IF(B1708&lt;&gt;"",IF(AND(B1708='IN-TC'!$S$4,OR(TH!N1708="1111",TH!O1708="1111")),TH!D1708,""),"")</f>
        <v/>
      </c>
      <c r="B1708" s="62" t="str">
        <f t="shared" si="353"/>
        <v/>
      </c>
      <c r="C1708" s="63"/>
      <c r="D1708" s="63"/>
      <c r="E1708" s="63"/>
      <c r="F1708" s="66"/>
      <c r="G1708" s="66"/>
      <c r="H1708" s="72"/>
      <c r="I1708" s="405"/>
      <c r="J1708" s="408"/>
      <c r="K1708" s="398"/>
      <c r="L1708" s="405"/>
      <c r="M1708" s="64"/>
      <c r="N1708" s="65"/>
      <c r="O1708" s="65"/>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
      </c>
      <c r="Y1708" s="81" t="str">
        <f>IF(AND(OR(N1708="131",O1708="131"),H1708='131-CT'!$H$9),"x","")</f>
        <v/>
      </c>
      <c r="Z1708" s="81"/>
      <c r="AA1708" s="81" t="str">
        <f>IF(AND(MONTH(E1708)='IN-NX'!$J$5,'IN-NX'!$D$7=D1708),"x","")</f>
        <v/>
      </c>
      <c r="AB1708" s="81" t="str">
        <f>IF(AND(OR(LEFT(TH!N1708,2)="15",LEFT(TH!O1708,2)="15"),LEFT(TH!O1708,3)&lt;&gt;"111",'152-CT'!$J$8=TH!F1708),"x","")</f>
        <v/>
      </c>
      <c r="AC1708" s="81" t="str">
        <f>IF(AND(OR(LEFT(TH!N1708,2)="15",LEFT(TH!O1708,2)="15"),TK!$E$7=TH!F1708),"x","")</f>
        <v/>
      </c>
      <c r="AD1708" s="81" t="str">
        <f>IF(AND(N1708="1521",MONTH(C1708)='BK-NL'!$M$11),"x","")</f>
        <v/>
      </c>
    </row>
    <row r="1709" spans="1:30" ht="15.75" customHeight="1">
      <c r="A1709" s="327" t="str">
        <f>IF(B1709&lt;&gt;"",IF(AND(B1709='IN-TC'!$S$4,OR(TH!N1709="1111",TH!O1709="1111")),TH!D1709,""),"")</f>
        <v/>
      </c>
      <c r="B1709" s="62" t="str">
        <f t="shared" si="353"/>
        <v/>
      </c>
      <c r="C1709" s="63"/>
      <c r="D1709" s="63"/>
      <c r="E1709" s="63"/>
      <c r="F1709" s="66"/>
      <c r="G1709" s="66"/>
      <c r="H1709" s="71"/>
      <c r="I1709" s="405"/>
      <c r="J1709" s="408"/>
      <c r="K1709" s="398"/>
      <c r="L1709" s="405"/>
      <c r="M1709" s="64"/>
      <c r="N1709" s="65"/>
      <c r="O1709" s="65"/>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
      </c>
      <c r="Y1709" s="81" t="str">
        <f>IF(AND(OR(N1709="131",O1709="131"),H1709='131-CT'!$H$9),"x","")</f>
        <v/>
      </c>
      <c r="Z1709" s="81"/>
      <c r="AA1709" s="81" t="str">
        <f>IF(AND(MONTH(E1709)='IN-NX'!$J$5,'IN-NX'!$D$7=D1709),"x","")</f>
        <v/>
      </c>
      <c r="AB1709" s="81" t="str">
        <f>IF(AND(OR(LEFT(TH!N1709,2)="15",LEFT(TH!O1709,2)="15"),LEFT(TH!O1709,3)&lt;&gt;"111",'152-CT'!$J$8=TH!F1709),"x","")</f>
        <v/>
      </c>
      <c r="AC1709" s="81" t="str">
        <f>IF(AND(OR(LEFT(TH!N1709,2)="15",LEFT(TH!O1709,2)="15"),TK!$E$7=TH!F1709),"x","")</f>
        <v/>
      </c>
      <c r="AD1709" s="81" t="str">
        <f>IF(AND(N1709="1521",MONTH(C1709)='BK-NL'!$M$11),"x","")</f>
        <v/>
      </c>
    </row>
    <row r="1710" spans="1:30" ht="15.75" customHeight="1">
      <c r="A1710" s="327" t="str">
        <f>IF(B1710&lt;&gt;"",IF(AND(B1710='IN-TC'!$S$4,OR(TH!N1710="1111",TH!O1710="1111")),TH!D1710,""),"")</f>
        <v/>
      </c>
      <c r="B1710" s="62" t="str">
        <f t="shared" si="353"/>
        <v/>
      </c>
      <c r="C1710" s="63"/>
      <c r="D1710" s="63"/>
      <c r="E1710" s="63"/>
      <c r="F1710" s="66"/>
      <c r="G1710" s="66"/>
      <c r="H1710" s="71"/>
      <c r="I1710" s="405"/>
      <c r="J1710" s="408"/>
      <c r="K1710" s="398"/>
      <c r="L1710" s="405"/>
      <c r="M1710" s="64"/>
      <c r="N1710" s="65"/>
      <c r="O1710" s="65"/>
      <c r="P1710" s="81" t="str">
        <f>IF(AND('331-CT'!$E$7=TH!H1710,OR(N1710="331",O1710="331")),"x","")</f>
        <v/>
      </c>
      <c r="Q1710" s="81" t="str">
        <f>IF(AND(B1710='111'!$L$11,OR($N1710=$Q$7,$O1710=$Q$7)),"x","")</f>
        <v/>
      </c>
      <c r="R1710" s="81" t="str">
        <f>IF(AND($N1710=$Q$7,$B1710&lt;'111'!$L$11),"x","")</f>
        <v/>
      </c>
      <c r="S1710" s="81" t="str">
        <f>IF(AND($O1710=$Q$7,$B1710&lt;'111'!$L$11),"x","")</f>
        <v/>
      </c>
      <c r="T1710" s="81" t="str">
        <f>IF(ISERROR(FIND('112'!$M$9,G1710,1)),"",IF((AND(FIND('112'!$M$9,G1710,1)&gt;=1,B1710='112'!$K$9,OR($N1710='112'!$I$6,$O1710='112'!$I$6))),"x",""))</f>
        <v/>
      </c>
      <c r="U1710" s="81" t="str">
        <f>IF(ISERROR(FIND('112'!$M$9,G1710,1)),"",IF((AND(LEFT(G1710,2)=LEFT('112'!$M$9,2),B1710&lt;'112'!$K$9,$N1710='112'!$I$6)),"x",""))</f>
        <v/>
      </c>
      <c r="V1710" s="81" t="str">
        <f>IF(ISERROR(FIND('112'!$M$9,G1710,1)),"",IF((AND(RIGHT(G1710,2)=RIGHT('112'!$M$9,2),B1710&lt;'112'!$K$9,$O1710='112'!$I$6)),"x",""))</f>
        <v/>
      </c>
      <c r="W1710" s="81" t="str">
        <f>IF(AND('341-CT'!$H$9=H1710,OR(LEFT(N1710,3)=$W$7,LEFT(O1710,3)=$W$7)),"x","")</f>
        <v/>
      </c>
      <c r="X1710" s="81" t="str">
        <f>IF(OR(TH!N1710=TH!$X$7,O1710=TH!$X$7),"x","")</f>
        <v/>
      </c>
      <c r="Y1710" s="81" t="str">
        <f>IF(AND(OR(N1710="131",O1710="131"),H1710='131-CT'!$H$9),"x","")</f>
        <v/>
      </c>
      <c r="Z1710" s="81"/>
      <c r="AA1710" s="81" t="str">
        <f>IF(AND(MONTH(E1710)='IN-NX'!$J$5,'IN-NX'!$D$7=D1710),"x","")</f>
        <v/>
      </c>
      <c r="AB1710" s="81" t="str">
        <f>IF(AND(OR(LEFT(TH!N1710,2)="15",LEFT(TH!O1710,2)="15"),LEFT(TH!O1710,3)&lt;&gt;"111",'152-CT'!$J$8=TH!F1710),"x","")</f>
        <v/>
      </c>
      <c r="AC1710" s="81" t="str">
        <f>IF(AND(OR(LEFT(TH!N1710,2)="15",LEFT(TH!O1710,2)="15"),TK!$E$7=TH!F1710),"x","")</f>
        <v/>
      </c>
      <c r="AD1710" s="81" t="str">
        <f>IF(AND(N1710="1521",MONTH(C1710)='BK-NL'!$M$11),"x","")</f>
        <v/>
      </c>
    </row>
    <row r="1711" spans="1:30" ht="15.75" customHeight="1">
      <c r="A1711" s="327" t="str">
        <f>IF(B1711&lt;&gt;"",IF(AND(B1711='IN-TC'!$S$4,OR(TH!N1711="1111",TH!O1711="1111")),TH!D1711,""),"")</f>
        <v/>
      </c>
      <c r="B1711" s="62" t="str">
        <f t="shared" si="353"/>
        <v/>
      </c>
      <c r="C1711" s="63"/>
      <c r="D1711" s="63"/>
      <c r="E1711" s="63"/>
      <c r="F1711" s="66"/>
      <c r="G1711" s="66"/>
      <c r="H1711" s="71"/>
      <c r="I1711" s="405"/>
      <c r="J1711" s="408"/>
      <c r="K1711" s="398"/>
      <c r="L1711" s="405"/>
      <c r="M1711" s="64"/>
      <c r="N1711" s="65"/>
      <c r="O1711" s="65"/>
      <c r="P1711" s="81" t="str">
        <f>IF(AND('331-CT'!$E$7=TH!H1711,OR(N1711="331",O1711="331")),"x","")</f>
        <v/>
      </c>
      <c r="Q1711" s="81" t="str">
        <f>IF(AND(B1711='111'!$L$11,OR($N1711=$Q$7,$O1711=$Q$7)),"x","")</f>
        <v/>
      </c>
      <c r="R1711" s="81" t="str">
        <f>IF(AND($N1711=$Q$7,$B1711&lt;'111'!$L$11),"x","")</f>
        <v/>
      </c>
      <c r="S1711" s="81" t="str">
        <f>IF(AND($O1711=$Q$7,$B1711&lt;'111'!$L$11),"x","")</f>
        <v/>
      </c>
      <c r="T1711" s="81" t="str">
        <f>IF(ISERROR(FIND('112'!$M$9,G1711,1)),"",IF((AND(FIND('112'!$M$9,G1711,1)&gt;=1,B1711='112'!$K$9,OR($N1711='112'!$I$6,$O1711='112'!$I$6))),"x",""))</f>
        <v/>
      </c>
      <c r="U1711" s="81" t="str">
        <f>IF(ISERROR(FIND('112'!$M$9,G1711,1)),"",IF((AND(LEFT(G1711,2)=LEFT('112'!$M$9,2),B1711&lt;'112'!$K$9,$N1711='112'!$I$6)),"x",""))</f>
        <v/>
      </c>
      <c r="V1711" s="81" t="str">
        <f>IF(ISERROR(FIND('112'!$M$9,G1711,1)),"",IF((AND(RIGHT(G1711,2)=RIGHT('112'!$M$9,2),B1711&lt;'112'!$K$9,$O1711='112'!$I$6)),"x",""))</f>
        <v/>
      </c>
      <c r="W1711" s="81" t="str">
        <f>IF(AND('341-CT'!$H$9=H1711,OR(LEFT(N1711,3)=$W$7,LEFT(O1711,3)=$W$7)),"x","")</f>
        <v/>
      </c>
      <c r="X1711" s="81" t="str">
        <f>IF(OR(TH!N1711=TH!$X$7,O1711=TH!$X$7),"x","")</f>
        <v/>
      </c>
      <c r="Y1711" s="81" t="str">
        <f>IF(AND(OR(N1711="131",O1711="131"),H1711='131-CT'!$H$9),"x","")</f>
        <v/>
      </c>
      <c r="Z1711" s="81"/>
      <c r="AA1711" s="81" t="str">
        <f>IF(AND(MONTH(E1711)='IN-NX'!$J$5,'IN-NX'!$D$7=D1711),"x","")</f>
        <v/>
      </c>
      <c r="AB1711" s="81" t="str">
        <f>IF(AND(OR(LEFT(TH!N1711,2)="15",LEFT(TH!O1711,2)="15"),LEFT(TH!O1711,3)&lt;&gt;"111",'152-CT'!$J$8=TH!F1711),"x","")</f>
        <v/>
      </c>
      <c r="AC1711" s="81" t="str">
        <f>IF(AND(OR(LEFT(TH!N1711,2)="15",LEFT(TH!O1711,2)="15"),TK!$E$7=TH!F1711),"x","")</f>
        <v/>
      </c>
      <c r="AD1711" s="81" t="str">
        <f>IF(AND(N1711="1521",MONTH(C1711)='BK-NL'!$M$11),"x","")</f>
        <v/>
      </c>
    </row>
    <row r="1712" spans="1:30" ht="15.75" customHeight="1">
      <c r="A1712" s="327" t="str">
        <f>IF(B1712&lt;&gt;"",IF(AND(B1712='IN-TC'!$S$4,OR(TH!N1712="1111",TH!O1712="1111")),TH!D1712,""),"")</f>
        <v/>
      </c>
      <c r="B1712" s="62" t="str">
        <f t="shared" ref="B1712:B1766" si="356">IF(C1712&lt;&gt;"",MONTH(C1712),"")</f>
        <v/>
      </c>
      <c r="C1712" s="63"/>
      <c r="D1712" s="63"/>
      <c r="E1712" s="63"/>
      <c r="F1712" s="66"/>
      <c r="G1712" s="66"/>
      <c r="H1712" s="71"/>
      <c r="I1712" s="407"/>
      <c r="J1712" s="408"/>
      <c r="K1712" s="400"/>
      <c r="L1712" s="407"/>
      <c r="M1712" s="64"/>
      <c r="N1712" s="65"/>
      <c r="O1712" s="65"/>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row>
    <row r="1713" spans="1:30" ht="15.75" customHeight="1">
      <c r="A1713" s="327" t="str">
        <f>IF(B1713&lt;&gt;"",IF(AND(B1713='IN-TC'!$S$4,OR(TH!N1713="1111",TH!O1713="1111")),TH!D1713,""),"")</f>
        <v/>
      </c>
      <c r="B1713" s="62" t="str">
        <f t="shared" si="356"/>
        <v/>
      </c>
      <c r="C1713" s="63"/>
      <c r="D1713" s="63"/>
      <c r="E1713" s="63"/>
      <c r="F1713" s="66"/>
      <c r="G1713" s="66"/>
      <c r="H1713" s="71"/>
      <c r="I1713" s="407"/>
      <c r="J1713" s="408"/>
      <c r="K1713" s="400"/>
      <c r="L1713" s="407"/>
      <c r="M1713" s="64"/>
      <c r="N1713" s="65"/>
      <c r="O1713" s="65"/>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
      </c>
      <c r="Y1713" s="81" t="str">
        <f>IF(AND(OR(N1713="131",O1713="131"),H1713='131-CT'!$H$9),"x","")</f>
        <v/>
      </c>
      <c r="Z1713" s="81"/>
      <c r="AA1713" s="81" t="str">
        <f>IF(AND(MONTH(E1713)='IN-NX'!$J$5,'IN-NX'!$D$7=D1713),"x","")</f>
        <v/>
      </c>
      <c r="AB1713" s="81" t="str">
        <f>IF(AND(OR(LEFT(TH!N1713,2)="15",LEFT(TH!O1713,2)="15"),LEFT(TH!O1713,3)&lt;&gt;"111",'152-CT'!$J$8=TH!F1713),"x","")</f>
        <v/>
      </c>
      <c r="AC1713" s="81" t="str">
        <f>IF(AND(OR(LEFT(TH!N1713,2)="15",LEFT(TH!O1713,2)="15"),TK!$E$7=TH!F1713),"x","")</f>
        <v/>
      </c>
      <c r="AD1713" s="81" t="str">
        <f>IF(AND(N1713="1521",MONTH(C1713)='BK-NL'!$M$11),"x","")</f>
        <v/>
      </c>
    </row>
    <row r="1714" spans="1:30" ht="15.75" customHeight="1">
      <c r="A1714" s="327" t="str">
        <f>IF(B1714&lt;&gt;"",IF(AND(B1714='IN-TC'!$S$4,OR(TH!N1714="1111",TH!O1714="1111")),TH!D1714,""),"")</f>
        <v/>
      </c>
      <c r="B1714" s="62" t="str">
        <f t="shared" si="356"/>
        <v/>
      </c>
      <c r="C1714" s="63"/>
      <c r="D1714" s="63"/>
      <c r="E1714" s="63"/>
      <c r="F1714" s="66"/>
      <c r="G1714" s="66"/>
      <c r="H1714" s="71"/>
      <c r="I1714" s="405"/>
      <c r="J1714" s="408"/>
      <c r="K1714" s="398"/>
      <c r="L1714" s="405"/>
      <c r="M1714" s="64"/>
      <c r="N1714" s="65"/>
      <c r="O1714" s="65"/>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
      </c>
      <c r="Y1714" s="81" t="str">
        <f>IF(AND(OR(N1714="131",O1714="131"),H1714='131-CT'!$H$9),"x","")</f>
        <v/>
      </c>
      <c r="Z1714" s="81"/>
      <c r="AA1714" s="81" t="str">
        <f>IF(AND(MONTH(E1714)='IN-NX'!$J$5,'IN-NX'!$D$7=D1714),"x","")</f>
        <v/>
      </c>
      <c r="AB1714" s="81" t="str">
        <f>IF(AND(OR(LEFT(TH!N1714,2)="15",LEFT(TH!O1714,2)="15"),LEFT(TH!O1714,3)&lt;&gt;"111",'152-CT'!$J$8=TH!F1714),"x","")</f>
        <v/>
      </c>
      <c r="AC1714" s="81" t="str">
        <f>IF(AND(OR(LEFT(TH!N1714,2)="15",LEFT(TH!O1714,2)="15"),TK!$E$7=TH!F1714),"x","")</f>
        <v/>
      </c>
      <c r="AD1714" s="81" t="str">
        <f>IF(AND(N1714="1521",MONTH(C1714)='BK-NL'!$M$11),"x","")</f>
        <v/>
      </c>
    </row>
    <row r="1715" spans="1:30" ht="15.75" customHeight="1">
      <c r="A1715" s="327" t="str">
        <f>IF(B1715&lt;&gt;"",IF(AND(B1715='IN-TC'!$S$4,OR(TH!N1715="1111",TH!O1715="1111")),TH!D1715,""),"")</f>
        <v/>
      </c>
      <c r="B1715" s="62" t="str">
        <f t="shared" si="356"/>
        <v/>
      </c>
      <c r="C1715" s="63"/>
      <c r="D1715" s="63"/>
      <c r="E1715" s="63"/>
      <c r="F1715" s="66"/>
      <c r="G1715" s="66"/>
      <c r="H1715" s="71"/>
      <c r="I1715" s="405"/>
      <c r="J1715" s="408"/>
      <c r="K1715" s="398"/>
      <c r="L1715" s="405"/>
      <c r="M1715" s="64"/>
      <c r="N1715" s="65"/>
      <c r="O1715" s="65"/>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
      </c>
      <c r="Y1715" s="81" t="str">
        <f>IF(AND(OR(N1715="131",O1715="131"),H1715='131-CT'!$H$9),"x","")</f>
        <v/>
      </c>
      <c r="Z1715" s="81"/>
      <c r="AA1715" s="81" t="str">
        <f>IF(AND(MONTH(E1715)='IN-NX'!$J$5,'IN-NX'!$D$7=D1715),"x","")</f>
        <v/>
      </c>
      <c r="AB1715" s="81" t="str">
        <f>IF(AND(OR(LEFT(TH!N1715,2)="15",LEFT(TH!O1715,2)="15"),LEFT(TH!O1715,3)&lt;&gt;"111",'152-CT'!$J$8=TH!F1715),"x","")</f>
        <v/>
      </c>
      <c r="AC1715" s="81" t="str">
        <f>IF(AND(OR(LEFT(TH!N1715,2)="15",LEFT(TH!O1715,2)="15"),TK!$E$7=TH!F1715),"x","")</f>
        <v/>
      </c>
      <c r="AD1715" s="81" t="str">
        <f>IF(AND(N1715="1521",MONTH(C1715)='BK-NL'!$M$11),"x","")</f>
        <v/>
      </c>
    </row>
    <row r="1716" spans="1:30" ht="15.75" customHeight="1">
      <c r="A1716" s="327" t="str">
        <f>IF(B1716&lt;&gt;"",IF(AND(B1716='IN-TC'!$S$4,OR(TH!N1716="1111",TH!O1716="1111")),TH!D1716,""),"")</f>
        <v/>
      </c>
      <c r="B1716" s="62" t="str">
        <f t="shared" si="356"/>
        <v/>
      </c>
      <c r="C1716" s="63"/>
      <c r="D1716" s="63"/>
      <c r="E1716" s="63"/>
      <c r="F1716" s="66"/>
      <c r="G1716" s="66"/>
      <c r="H1716" s="71"/>
      <c r="I1716" s="405"/>
      <c r="J1716" s="408"/>
      <c r="K1716" s="398"/>
      <c r="L1716" s="405"/>
      <c r="M1716" s="64"/>
      <c r="N1716" s="65"/>
      <c r="O1716" s="65"/>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row>
    <row r="1717" spans="1:30" ht="15.75" customHeight="1">
      <c r="A1717" s="327" t="str">
        <f>IF(B1717&lt;&gt;"",IF(AND(B1717='IN-TC'!$S$4,OR(TH!N1717="1111",TH!O1717="1111")),TH!D1717,""),"")</f>
        <v/>
      </c>
      <c r="B1717" s="62" t="str">
        <f t="shared" si="356"/>
        <v/>
      </c>
      <c r="C1717" s="63"/>
      <c r="D1717" s="63"/>
      <c r="E1717" s="63"/>
      <c r="F1717" s="66"/>
      <c r="G1717" s="66"/>
      <c r="H1717" s="71"/>
      <c r="I1717" s="405"/>
      <c r="J1717" s="408"/>
      <c r="K1717" s="398"/>
      <c r="L1717" s="405"/>
      <c r="M1717" s="64"/>
      <c r="N1717" s="65"/>
      <c r="O1717" s="65"/>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
      </c>
      <c r="V1717" s="81" t="str">
        <f>IF(ISERROR(FIND('112'!$M$9,G1717,1)),"",IF((AND(RIGHT(G1717,2)=RIGHT('112'!$M$9,2),B1717&lt;'112'!$K$9,$O1717='112'!$I$6)),"x",""))</f>
        <v/>
      </c>
      <c r="W1717" s="81" t="str">
        <f>IF(AND('341-CT'!$H$9=H1717,OR(LEFT(N1717,3)=$W$7,LEFT(O1717,3)=$W$7)),"x","")</f>
        <v/>
      </c>
      <c r="X1717" s="81" t="str">
        <f>IF(OR(TH!N1717=TH!$X$7,O1717=TH!$X$7),"x","")</f>
        <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row>
    <row r="1718" spans="1:30" ht="15.75" customHeight="1">
      <c r="A1718" s="327" t="str">
        <f>IF(B1718&lt;&gt;"",IF(AND(B1718='IN-TC'!$S$4,OR(TH!N1718="1111",TH!O1718="1111")),TH!D1718,""),"")</f>
        <v/>
      </c>
      <c r="B1718" s="62" t="str">
        <f t="shared" si="356"/>
        <v/>
      </c>
      <c r="C1718" s="63"/>
      <c r="D1718" s="63"/>
      <c r="E1718" s="63"/>
      <c r="F1718" s="66"/>
      <c r="G1718" s="66"/>
      <c r="H1718" s="71"/>
      <c r="I1718" s="405"/>
      <c r="J1718" s="408"/>
      <c r="K1718" s="398"/>
      <c r="L1718" s="405"/>
      <c r="M1718" s="64"/>
      <c r="N1718" s="65"/>
      <c r="O1718" s="65"/>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row>
    <row r="1719" spans="1:30" ht="15.75" customHeight="1">
      <c r="A1719" s="327" t="str">
        <f>IF(B1719&lt;&gt;"",IF(AND(B1719='IN-TC'!$S$4,OR(TH!N1719="1111",TH!O1719="1111")),TH!D1719,""),"")</f>
        <v/>
      </c>
      <c r="B1719" s="62" t="str">
        <f t="shared" si="356"/>
        <v/>
      </c>
      <c r="C1719" s="63"/>
      <c r="D1719" s="63"/>
      <c r="E1719" s="63"/>
      <c r="F1719" s="66"/>
      <c r="G1719" s="66"/>
      <c r="H1719" s="71"/>
      <c r="I1719" s="405"/>
      <c r="J1719" s="408"/>
      <c r="K1719" s="398"/>
      <c r="L1719" s="405"/>
      <c r="M1719" s="64"/>
      <c r="N1719" s="65"/>
      <c r="O1719" s="65"/>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row>
    <row r="1720" spans="1:30" ht="15.75" customHeight="1">
      <c r="A1720" s="327" t="str">
        <f>IF(B1720&lt;&gt;"",IF(AND(B1720='IN-TC'!$S$4,OR(TH!N1720="1111",TH!O1720="1111")),TH!D1720,""),"")</f>
        <v/>
      </c>
      <c r="B1720" s="62" t="str">
        <f t="shared" si="356"/>
        <v/>
      </c>
      <c r="C1720" s="63"/>
      <c r="D1720" s="63"/>
      <c r="E1720" s="63"/>
      <c r="F1720" s="66"/>
      <c r="G1720" s="66"/>
      <c r="H1720" s="71"/>
      <c r="I1720" s="405"/>
      <c r="J1720" s="408"/>
      <c r="K1720" s="398"/>
      <c r="L1720" s="405"/>
      <c r="M1720" s="64"/>
      <c r="N1720" s="65"/>
      <c r="O1720" s="65"/>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
      </c>
      <c r="AC1720" s="81" t="str">
        <f>IF(AND(OR(LEFT(TH!N1720,2)="15",LEFT(TH!O1720,2)="15"),TK!$E$7=TH!F1720),"x","")</f>
        <v/>
      </c>
      <c r="AD1720" s="81" t="str">
        <f>IF(AND(N1720="1521",MONTH(C1720)='BK-NL'!$M$11),"x","")</f>
        <v/>
      </c>
    </row>
    <row r="1721" spans="1:30" ht="15.75" customHeight="1">
      <c r="A1721" s="327" t="str">
        <f>IF(B1721&lt;&gt;"",IF(AND(B1721='IN-TC'!$S$4,OR(TH!N1721="1111",TH!O1721="1111")),TH!D1721,""),"")</f>
        <v/>
      </c>
      <c r="B1721" s="62" t="str">
        <f t="shared" si="356"/>
        <v/>
      </c>
      <c r="C1721" s="63"/>
      <c r="D1721" s="63"/>
      <c r="E1721" s="63"/>
      <c r="F1721" s="66"/>
      <c r="G1721" s="66"/>
      <c r="H1721" s="71"/>
      <c r="I1721" s="405"/>
      <c r="J1721" s="408"/>
      <c r="K1721" s="398"/>
      <c r="L1721" s="405"/>
      <c r="M1721" s="64"/>
      <c r="N1721" s="65"/>
      <c r="O1721" s="65"/>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row>
    <row r="1722" spans="1:30" ht="15.75" customHeight="1">
      <c r="A1722" s="327" t="str">
        <f>IF(B1722&lt;&gt;"",IF(AND(B1722='IN-TC'!$S$4,OR(TH!N1722="1111",TH!O1722="1111")),TH!D1722,""),"")</f>
        <v/>
      </c>
      <c r="B1722" s="62" t="str">
        <f t="shared" si="356"/>
        <v/>
      </c>
      <c r="C1722" s="63"/>
      <c r="D1722" s="63"/>
      <c r="E1722" s="63"/>
      <c r="F1722" s="66"/>
      <c r="G1722" s="66"/>
      <c r="H1722" s="71"/>
      <c r="I1722" s="405"/>
      <c r="J1722" s="408"/>
      <c r="K1722" s="398"/>
      <c r="L1722" s="405"/>
      <c r="M1722" s="64"/>
      <c r="N1722" s="65"/>
      <c r="O1722" s="65"/>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
      </c>
      <c r="AC1722" s="81" t="str">
        <f>IF(AND(OR(LEFT(TH!N1722,2)="15",LEFT(TH!O1722,2)="15"),TK!$E$7=TH!F1722),"x","")</f>
        <v/>
      </c>
      <c r="AD1722" s="81" t="str">
        <f>IF(AND(N1722="1521",MONTH(C1722)='BK-NL'!$M$11),"x","")</f>
        <v/>
      </c>
    </row>
    <row r="1723" spans="1:30" ht="15.75" customHeight="1">
      <c r="A1723" s="327" t="str">
        <f>IF(B1723&lt;&gt;"",IF(AND(B1723='IN-TC'!$S$4,OR(TH!N1723="1111",TH!O1723="1111")),TH!D1723,""),"")</f>
        <v/>
      </c>
      <c r="B1723" s="62" t="str">
        <f t="shared" si="356"/>
        <v/>
      </c>
      <c r="C1723" s="63"/>
      <c r="D1723" s="63"/>
      <c r="E1723" s="63"/>
      <c r="F1723" s="66"/>
      <c r="G1723" s="66"/>
      <c r="H1723" s="71"/>
      <c r="I1723" s="405"/>
      <c r="J1723" s="408"/>
      <c r="K1723" s="398"/>
      <c r="L1723" s="405"/>
      <c r="M1723" s="64"/>
      <c r="N1723" s="65"/>
      <c r="O1723" s="65"/>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row>
    <row r="1724" spans="1:30" ht="15.75" customHeight="1">
      <c r="A1724" s="327" t="str">
        <f>IF(B1724&lt;&gt;"",IF(AND(B1724='IN-TC'!$S$4,OR(TH!N1724="1111",TH!O1724="1111")),TH!D1724,""),"")</f>
        <v/>
      </c>
      <c r="B1724" s="62" t="str">
        <f t="shared" si="356"/>
        <v/>
      </c>
      <c r="C1724" s="63"/>
      <c r="D1724" s="63"/>
      <c r="E1724" s="63"/>
      <c r="F1724" s="66"/>
      <c r="G1724" s="66"/>
      <c r="H1724" s="71"/>
      <c r="I1724" s="405"/>
      <c r="J1724" s="408"/>
      <c r="K1724" s="398"/>
      <c r="L1724" s="405"/>
      <c r="M1724" s="64"/>
      <c r="N1724" s="65"/>
      <c r="O1724" s="65"/>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
      </c>
      <c r="AC1724" s="81" t="str">
        <f>IF(AND(OR(LEFT(TH!N1724,2)="15",LEFT(TH!O1724,2)="15"),TK!$E$7=TH!F1724),"x","")</f>
        <v/>
      </c>
      <c r="AD1724" s="81" t="str">
        <f>IF(AND(N1724="1521",MONTH(C1724)='BK-NL'!$M$11),"x","")</f>
        <v/>
      </c>
    </row>
    <row r="1725" spans="1:30" ht="15.75" customHeight="1">
      <c r="A1725" s="327" t="str">
        <f>IF(B1725&lt;&gt;"",IF(AND(B1725='IN-TC'!$S$4,OR(TH!N1725="1111",TH!O1725="1111")),TH!D1725,""),"")</f>
        <v/>
      </c>
      <c r="B1725" s="62" t="str">
        <f t="shared" si="356"/>
        <v/>
      </c>
      <c r="C1725" s="63"/>
      <c r="D1725" s="63"/>
      <c r="E1725" s="63"/>
      <c r="F1725" s="66"/>
      <c r="G1725" s="66"/>
      <c r="H1725" s="71"/>
      <c r="I1725" s="405"/>
      <c r="J1725" s="408"/>
      <c r="K1725" s="398"/>
      <c r="L1725" s="405"/>
      <c r="M1725" s="64"/>
      <c r="N1725" s="65"/>
      <c r="O1725" s="65"/>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row>
    <row r="1726" spans="1:30" ht="15.75" customHeight="1">
      <c r="A1726" s="327" t="str">
        <f>IF(B1726&lt;&gt;"",IF(AND(B1726='IN-TC'!$S$4,OR(TH!N1726="1111",TH!O1726="1111")),TH!D1726,""),"")</f>
        <v/>
      </c>
      <c r="B1726" s="62" t="str">
        <f t="shared" si="356"/>
        <v/>
      </c>
      <c r="C1726" s="63"/>
      <c r="D1726" s="63"/>
      <c r="E1726" s="63"/>
      <c r="F1726" s="66"/>
      <c r="G1726" s="66"/>
      <c r="H1726" s="71"/>
      <c r="I1726" s="405"/>
      <c r="J1726" s="408"/>
      <c r="K1726" s="398"/>
      <c r="L1726" s="405"/>
      <c r="M1726" s="64"/>
      <c r="N1726" s="65"/>
      <c r="O1726" s="65"/>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
      </c>
      <c r="AC1726" s="81" t="str">
        <f>IF(AND(OR(LEFT(TH!N1726,2)="15",LEFT(TH!O1726,2)="15"),TK!$E$7=TH!F1726),"x","")</f>
        <v/>
      </c>
      <c r="AD1726" s="81" t="str">
        <f>IF(AND(N1726="1521",MONTH(C1726)='BK-NL'!$M$11),"x","")</f>
        <v/>
      </c>
    </row>
    <row r="1727" spans="1:30" ht="15.75" customHeight="1">
      <c r="A1727" s="327" t="str">
        <f>IF(B1727&lt;&gt;"",IF(AND(B1727='IN-TC'!$S$4,OR(TH!N1727="1111",TH!O1727="1111")),TH!D1727,""),"")</f>
        <v/>
      </c>
      <c r="B1727" s="62" t="str">
        <f t="shared" si="356"/>
        <v/>
      </c>
      <c r="C1727" s="63"/>
      <c r="D1727" s="63"/>
      <c r="E1727" s="63"/>
      <c r="F1727" s="66"/>
      <c r="G1727" s="66"/>
      <c r="H1727" s="71"/>
      <c r="I1727" s="405"/>
      <c r="J1727" s="408"/>
      <c r="K1727" s="398"/>
      <c r="L1727" s="405"/>
      <c r="M1727" s="64"/>
      <c r="N1727" s="65"/>
      <c r="O1727" s="65"/>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row>
    <row r="1728" spans="1:30" ht="15.75" customHeight="1">
      <c r="A1728" s="327" t="str">
        <f>IF(B1728&lt;&gt;"",IF(AND(B1728='IN-TC'!$S$4,OR(TH!N1728="1111",TH!O1728="1111")),TH!D1728,""),"")</f>
        <v/>
      </c>
      <c r="B1728" s="62" t="str">
        <f t="shared" si="356"/>
        <v/>
      </c>
      <c r="C1728" s="63"/>
      <c r="D1728" s="63"/>
      <c r="E1728" s="63"/>
      <c r="F1728" s="66"/>
      <c r="G1728" s="66"/>
      <c r="H1728" s="71"/>
      <c r="I1728" s="405"/>
      <c r="J1728" s="408"/>
      <c r="K1728" s="398"/>
      <c r="L1728" s="405"/>
      <c r="M1728" s="64"/>
      <c r="N1728" s="65"/>
      <c r="O1728" s="65"/>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
      </c>
      <c r="AC1728" s="81" t="str">
        <f>IF(AND(OR(LEFT(TH!N1728,2)="15",LEFT(TH!O1728,2)="15"),TK!$E$7=TH!F1728),"x","")</f>
        <v/>
      </c>
      <c r="AD1728" s="81" t="str">
        <f>IF(AND(N1728="1521",MONTH(C1728)='BK-NL'!$M$11),"x","")</f>
        <v/>
      </c>
    </row>
    <row r="1729" spans="1:30" ht="15.75" customHeight="1">
      <c r="A1729" s="327" t="str">
        <f>IF(B1729&lt;&gt;"",IF(AND(B1729='IN-TC'!$S$4,OR(TH!N1729="1111",TH!O1729="1111")),TH!D1729,""),"")</f>
        <v/>
      </c>
      <c r="B1729" s="62" t="str">
        <f t="shared" si="356"/>
        <v/>
      </c>
      <c r="C1729" s="63"/>
      <c r="D1729" s="63"/>
      <c r="E1729" s="63"/>
      <c r="F1729" s="66"/>
      <c r="G1729" s="66"/>
      <c r="H1729" s="71"/>
      <c r="I1729" s="405"/>
      <c r="J1729" s="408"/>
      <c r="K1729" s="398"/>
      <c r="L1729" s="405"/>
      <c r="M1729" s="64"/>
      <c r="N1729" s="65"/>
      <c r="O1729" s="65"/>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row>
    <row r="1730" spans="1:30" ht="15.75" customHeight="1">
      <c r="A1730" s="327" t="str">
        <f>IF(B1730&lt;&gt;"",IF(AND(B1730='IN-TC'!$S$4,OR(TH!N1730="1111",TH!O1730="1111")),TH!D1730,""),"")</f>
        <v/>
      </c>
      <c r="B1730" s="62" t="str">
        <f t="shared" si="356"/>
        <v/>
      </c>
      <c r="C1730" s="63"/>
      <c r="D1730" s="63"/>
      <c r="E1730" s="63"/>
      <c r="F1730" s="66"/>
      <c r="G1730" s="66"/>
      <c r="H1730" s="71"/>
      <c r="I1730" s="405"/>
      <c r="J1730" s="408"/>
      <c r="K1730" s="398"/>
      <c r="L1730" s="405"/>
      <c r="M1730" s="64"/>
      <c r="N1730" s="65"/>
      <c r="O1730" s="65"/>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
      </c>
      <c r="W1730" s="81" t="str">
        <f>IF(AND('341-CT'!$H$9=H1730,OR(LEFT(N1730,3)=$W$7,LEFT(O1730,3)=$W$7)),"x","")</f>
        <v/>
      </c>
      <c r="X1730" s="81" t="str">
        <f>IF(OR(TH!N1730=TH!$X$7,O1730=TH!$X$7),"x","")</f>
        <v/>
      </c>
      <c r="Y1730" s="81" t="str">
        <f>IF(AND(OR(N1730="131",O1730="131"),H1730='131-CT'!$H$9),"x","")</f>
        <v/>
      </c>
      <c r="Z1730" s="81"/>
      <c r="AA1730" s="81" t="str">
        <f>IF(AND(MONTH(E1730)='IN-NX'!$J$5,'IN-NX'!$D$7=D1730),"x","")</f>
        <v/>
      </c>
      <c r="AB1730" s="81" t="str">
        <f>IF(AND(OR(LEFT(TH!N1730,2)="15",LEFT(TH!O1730,2)="15"),LEFT(TH!O1730,3)&lt;&gt;"111",'152-CT'!$J$8=TH!F1730),"x","")</f>
        <v/>
      </c>
      <c r="AC1730" s="81" t="str">
        <f>IF(AND(OR(LEFT(TH!N1730,2)="15",LEFT(TH!O1730,2)="15"),TK!$E$7=TH!F1730),"x","")</f>
        <v/>
      </c>
      <c r="AD1730" s="81" t="str">
        <f>IF(AND(N1730="1521",MONTH(C1730)='BK-NL'!$M$11),"x","")</f>
        <v/>
      </c>
    </row>
    <row r="1731" spans="1:30" ht="15.75" customHeight="1">
      <c r="A1731" s="327" t="str">
        <f>IF(B1731&lt;&gt;"",IF(AND(B1731='IN-TC'!$S$4,OR(TH!N1731="1111",TH!O1731="1111")),TH!D1731,""),"")</f>
        <v/>
      </c>
      <c r="B1731" s="62" t="str">
        <f>IF(C1731&lt;&gt;"",MONTH(C1731),"")</f>
        <v/>
      </c>
      <c r="C1731" s="63"/>
      <c r="D1731" s="63"/>
      <c r="E1731" s="63"/>
      <c r="F1731" s="66"/>
      <c r="G1731" s="66"/>
      <c r="H1731" s="71"/>
      <c r="I1731" s="407"/>
      <c r="J1731" s="408"/>
      <c r="K1731" s="400"/>
      <c r="L1731" s="407"/>
      <c r="M1731" s="64"/>
      <c r="N1731" s="65"/>
      <c r="O1731" s="65"/>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
      </c>
      <c r="Y1731" s="81" t="str">
        <f>IF(AND(OR(N1731="131",O1731="131"),H1731='131-CT'!$H$9),"x","")</f>
        <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row>
    <row r="1732" spans="1:30" ht="15.75" customHeight="1">
      <c r="A1732" s="327" t="str">
        <f>IF(B1732&lt;&gt;"",IF(AND(B1732='IN-TC'!$S$4,OR(TH!N1732="1111",TH!O1732="1111")),TH!D1732,""),"")</f>
        <v/>
      </c>
      <c r="B1732" s="62" t="str">
        <f>IF(C1732&lt;&gt;"",MONTH(C1732),"")</f>
        <v/>
      </c>
      <c r="C1732" s="63"/>
      <c r="D1732" s="63"/>
      <c r="E1732" s="63"/>
      <c r="F1732" s="66"/>
      <c r="G1732" s="66"/>
      <c r="H1732" s="71"/>
      <c r="I1732" s="407"/>
      <c r="J1732" s="408"/>
      <c r="K1732" s="400"/>
      <c r="L1732" s="407"/>
      <c r="M1732" s="64"/>
      <c r="N1732" s="65"/>
      <c r="O1732" s="65"/>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
      </c>
      <c r="AC1732" s="81" t="str">
        <f>IF(AND(OR(LEFT(TH!N1732,2)="15",LEFT(TH!O1732,2)="15"),TK!$E$7=TH!F1732),"x","")</f>
        <v/>
      </c>
      <c r="AD1732" s="81" t="str">
        <f>IF(AND(N1732="1521",MONTH(C1732)='BK-NL'!$M$11),"x","")</f>
        <v/>
      </c>
    </row>
    <row r="1733" spans="1:30" ht="15.75" customHeight="1">
      <c r="A1733" s="327" t="str">
        <f>IF(B1733&lt;&gt;"",IF(AND(B1733='IN-TC'!$S$4,OR(TH!N1733="1111",TH!O1733="1111")),TH!D1733,""),"")</f>
        <v/>
      </c>
      <c r="B1733" s="62" t="str">
        <f>IF(C1733&lt;&gt;"",MONTH(C1733),"")</f>
        <v/>
      </c>
      <c r="C1733" s="63"/>
      <c r="D1733" s="63"/>
      <c r="E1733" s="63"/>
      <c r="F1733" s="66"/>
      <c r="G1733" s="66"/>
      <c r="H1733" s="71"/>
      <c r="I1733" s="407"/>
      <c r="J1733" s="408"/>
      <c r="K1733" s="400"/>
      <c r="L1733" s="407"/>
      <c r="M1733" s="64"/>
      <c r="N1733" s="65"/>
      <c r="O1733" s="65"/>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row>
    <row r="1734" spans="1:30" ht="15.75" customHeight="1">
      <c r="A1734" s="327" t="str">
        <f>IF(B1734&lt;&gt;"",IF(AND(B1734='IN-TC'!$S$4,OR(TH!N1734="1111",TH!O1734="1111")),TH!D1734,""),"")</f>
        <v/>
      </c>
      <c r="B1734" s="62" t="str">
        <f>IF(C1734&lt;&gt;"",MONTH(C1734),"")</f>
        <v/>
      </c>
      <c r="C1734" s="63"/>
      <c r="D1734" s="63"/>
      <c r="E1734" s="63"/>
      <c r="F1734" s="66"/>
      <c r="G1734" s="66"/>
      <c r="H1734" s="71"/>
      <c r="I1734" s="407"/>
      <c r="J1734" s="408"/>
      <c r="K1734" s="400"/>
      <c r="L1734" s="407"/>
      <c r="M1734" s="64"/>
      <c r="N1734" s="65"/>
      <c r="O1734" s="65"/>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row>
    <row r="1735" spans="1:30" ht="15.75" customHeight="1">
      <c r="A1735" s="327" t="str">
        <f>IF(B1735&lt;&gt;"",IF(AND(B1735='IN-TC'!$S$4,OR(TH!N1735="1111",TH!O1735="1111")),TH!D1735,""),"")</f>
        <v/>
      </c>
      <c r="B1735" s="62" t="str">
        <f t="shared" si="356"/>
        <v/>
      </c>
      <c r="C1735" s="63"/>
      <c r="D1735" s="63"/>
      <c r="E1735" s="63"/>
      <c r="F1735" s="66"/>
      <c r="G1735" s="66"/>
      <c r="H1735" s="71"/>
      <c r="I1735" s="405"/>
      <c r="J1735" s="408"/>
      <c r="K1735" s="398"/>
      <c r="L1735" s="405"/>
      <c r="M1735" s="64"/>
      <c r="N1735" s="65"/>
      <c r="O1735" s="65"/>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row>
    <row r="1736" spans="1:30" ht="15.75" customHeight="1">
      <c r="A1736" s="327" t="str">
        <f>IF(B1736&lt;&gt;"",IF(AND(B1736='IN-TC'!$S$4,OR(TH!N1736="1111",TH!O1736="1111")),TH!D1736,""),"")</f>
        <v/>
      </c>
      <c r="B1736" s="62" t="str">
        <f t="shared" si="356"/>
        <v/>
      </c>
      <c r="C1736" s="63"/>
      <c r="D1736" s="63"/>
      <c r="E1736" s="63"/>
      <c r="F1736" s="66"/>
      <c r="G1736" s="66"/>
      <c r="H1736" s="71"/>
      <c r="I1736" s="405"/>
      <c r="J1736" s="408"/>
      <c r="K1736" s="398"/>
      <c r="L1736" s="405"/>
      <c r="M1736" s="64"/>
      <c r="N1736" s="65"/>
      <c r="O1736" s="65"/>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
      </c>
      <c r="AC1736" s="81" t="str">
        <f>IF(AND(OR(LEFT(TH!N1736,2)="15",LEFT(TH!O1736,2)="15"),TK!$E$7=TH!F1736),"x","")</f>
        <v/>
      </c>
      <c r="AD1736" s="81" t="str">
        <f>IF(AND(N1736="1521",MONTH(C1736)='BK-NL'!$M$11),"x","")</f>
        <v/>
      </c>
    </row>
    <row r="1737" spans="1:30" ht="15.75" customHeight="1">
      <c r="A1737" s="327" t="str">
        <f>IF(B1737&lt;&gt;"",IF(AND(B1737='IN-TC'!$S$4,OR(TH!N1737="1111",TH!O1737="1111")),TH!D1737,""),"")</f>
        <v/>
      </c>
      <c r="B1737" s="62" t="str">
        <f t="shared" si="356"/>
        <v/>
      </c>
      <c r="C1737" s="63"/>
      <c r="D1737" s="63"/>
      <c r="E1737" s="63"/>
      <c r="F1737" s="66"/>
      <c r="G1737" s="66"/>
      <c r="H1737" s="71"/>
      <c r="I1737" s="405"/>
      <c r="J1737" s="408"/>
      <c r="K1737" s="398"/>
      <c r="L1737" s="405"/>
      <c r="M1737" s="64"/>
      <c r="N1737" s="65"/>
      <c r="O1737" s="65"/>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row>
    <row r="1738" spans="1:30" ht="15.75" customHeight="1">
      <c r="A1738" s="327" t="str">
        <f>IF(B1738&lt;&gt;"",IF(AND(B1738='IN-TC'!$S$4,OR(TH!N1738="1111",TH!O1738="1111")),TH!D1738,""),"")</f>
        <v/>
      </c>
      <c r="B1738" s="62" t="str">
        <f t="shared" si="356"/>
        <v/>
      </c>
      <c r="C1738" s="63"/>
      <c r="D1738" s="63"/>
      <c r="E1738" s="63"/>
      <c r="F1738" s="66"/>
      <c r="G1738" s="66"/>
      <c r="H1738" s="71"/>
      <c r="I1738" s="405"/>
      <c r="J1738" s="408"/>
      <c r="K1738" s="398"/>
      <c r="L1738" s="405"/>
      <c r="M1738" s="64"/>
      <c r="N1738" s="65"/>
      <c r="O1738" s="65"/>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
      </c>
      <c r="AC1738" s="81" t="str">
        <f>IF(AND(OR(LEFT(TH!N1738,2)="15",LEFT(TH!O1738,2)="15"),TK!$E$7=TH!F1738),"x","")</f>
        <v/>
      </c>
      <c r="AD1738" s="81" t="str">
        <f>IF(AND(N1738="1521",MONTH(C1738)='BK-NL'!$M$11),"x","")</f>
        <v/>
      </c>
    </row>
    <row r="1739" spans="1:30" ht="15.75" customHeight="1">
      <c r="A1739" s="327" t="str">
        <f>IF(B1739&lt;&gt;"",IF(AND(B1739='IN-TC'!$S$4,OR(TH!N1739="1111",TH!O1739="1111")),TH!D1739,""),"")</f>
        <v/>
      </c>
      <c r="B1739" s="62" t="str">
        <f t="shared" si="356"/>
        <v/>
      </c>
      <c r="C1739" s="63"/>
      <c r="D1739" s="63"/>
      <c r="E1739" s="63"/>
      <c r="F1739" s="66"/>
      <c r="G1739" s="66"/>
      <c r="H1739" s="71"/>
      <c r="I1739" s="405"/>
      <c r="J1739" s="408"/>
      <c r="K1739" s="398"/>
      <c r="L1739" s="405"/>
      <c r="M1739" s="64"/>
      <c r="N1739" s="65"/>
      <c r="O1739" s="65"/>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
      </c>
      <c r="Y1739" s="81" t="str">
        <f>IF(AND(OR(N1739="131",O1739="131"),H1739='131-CT'!$H$9),"x","")</f>
        <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row>
    <row r="1740" spans="1:30" ht="15.75" customHeight="1">
      <c r="A1740" s="327" t="str">
        <f>IF(B1740&lt;&gt;"",IF(AND(B1740='IN-TC'!$S$4,OR(TH!N1740="1111",TH!O1740="1111")),TH!D1740,""),"")</f>
        <v/>
      </c>
      <c r="B1740" s="62" t="str">
        <f t="shared" si="356"/>
        <v/>
      </c>
      <c r="C1740" s="63"/>
      <c r="D1740" s="63"/>
      <c r="E1740" s="63"/>
      <c r="F1740" s="66"/>
      <c r="G1740" s="66"/>
      <c r="H1740" s="71"/>
      <c r="I1740" s="405"/>
      <c r="J1740" s="408"/>
      <c r="K1740" s="398"/>
      <c r="L1740" s="405"/>
      <c r="M1740" s="64"/>
      <c r="N1740" s="65"/>
      <c r="O1740" s="65"/>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
      </c>
      <c r="Z1740" s="81"/>
      <c r="AA1740" s="81" t="str">
        <f>IF(AND(MONTH(E1740)='IN-NX'!$J$5,'IN-NX'!$D$7=D1740),"x","")</f>
        <v/>
      </c>
      <c r="AB1740" s="81" t="str">
        <f>IF(AND(OR(LEFT(TH!N1740,2)="15",LEFT(TH!O1740,2)="15"),LEFT(TH!O1740,3)&lt;&gt;"111",'152-CT'!$J$8=TH!F1740),"x","")</f>
        <v/>
      </c>
      <c r="AC1740" s="81" t="str">
        <f>IF(AND(OR(LEFT(TH!N1740,2)="15",LEFT(TH!O1740,2)="15"),TK!$E$7=TH!F1740),"x","")</f>
        <v/>
      </c>
      <c r="AD1740" s="81" t="str">
        <f>IF(AND(N1740="1521",MONTH(C1740)='BK-NL'!$M$11),"x","")</f>
        <v/>
      </c>
    </row>
    <row r="1741" spans="1:30" ht="15.75" customHeight="1">
      <c r="A1741" s="327" t="str">
        <f>IF(B1741&lt;&gt;"",IF(AND(B1741='IN-TC'!$S$4,OR(TH!N1741="1111",TH!O1741="1111")),TH!D1741,""),"")</f>
        <v/>
      </c>
      <c r="B1741" s="62" t="str">
        <f t="shared" si="356"/>
        <v/>
      </c>
      <c r="C1741" s="63"/>
      <c r="D1741" s="63"/>
      <c r="E1741" s="63"/>
      <c r="F1741" s="66"/>
      <c r="G1741" s="66"/>
      <c r="H1741" s="71"/>
      <c r="I1741" s="405"/>
      <c r="J1741" s="408"/>
      <c r="K1741" s="398"/>
      <c r="L1741" s="405"/>
      <c r="M1741" s="64"/>
      <c r="N1741" s="65"/>
      <c r="O1741" s="65"/>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row>
    <row r="1742" spans="1:30" ht="15.75" customHeight="1">
      <c r="A1742" s="327" t="str">
        <f>IF(B1742&lt;&gt;"",IF(AND(B1742='IN-TC'!$S$4,OR(TH!N1742="1111",TH!O1742="1111")),TH!D1742,""),"")</f>
        <v/>
      </c>
      <c r="B1742" s="62" t="str">
        <f t="shared" si="356"/>
        <v/>
      </c>
      <c r="C1742" s="63"/>
      <c r="D1742" s="63"/>
      <c r="E1742" s="63"/>
      <c r="F1742" s="66"/>
      <c r="G1742" s="66"/>
      <c r="H1742" s="71"/>
      <c r="I1742" s="405"/>
      <c r="J1742" s="408"/>
      <c r="K1742" s="398"/>
      <c r="L1742" s="405"/>
      <c r="M1742" s="64"/>
      <c r="N1742" s="65"/>
      <c r="O1742" s="65"/>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
      </c>
      <c r="AC1742" s="81" t="str">
        <f>IF(AND(OR(LEFT(TH!N1742,2)="15",LEFT(TH!O1742,2)="15"),TK!$E$7=TH!F1742),"x","")</f>
        <v/>
      </c>
      <c r="AD1742" s="81" t="str">
        <f>IF(AND(N1742="1521",MONTH(C1742)='BK-NL'!$M$11),"x","")</f>
        <v/>
      </c>
    </row>
    <row r="1743" spans="1:30" ht="15.75" customHeight="1">
      <c r="A1743" s="327" t="str">
        <f>IF(B1743&lt;&gt;"",IF(AND(B1743='IN-TC'!$S$4,OR(TH!N1743="1111",TH!O1743="1111")),TH!D1743,""),"")</f>
        <v/>
      </c>
      <c r="B1743" s="62" t="str">
        <f t="shared" si="356"/>
        <v/>
      </c>
      <c r="C1743" s="63"/>
      <c r="D1743" s="63"/>
      <c r="E1743" s="63"/>
      <c r="F1743" s="66"/>
      <c r="G1743" s="66"/>
      <c r="H1743" s="71"/>
      <c r="I1743" s="405"/>
      <c r="J1743" s="408"/>
      <c r="K1743" s="398"/>
      <c r="L1743" s="405"/>
      <c r="M1743" s="64"/>
      <c r="N1743" s="65"/>
      <c r="O1743" s="65"/>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row>
    <row r="1744" spans="1:30" ht="15.75" customHeight="1">
      <c r="A1744" s="327" t="str">
        <f>IF(B1744&lt;&gt;"",IF(AND(B1744='IN-TC'!$S$4,OR(TH!N1744="1111",TH!O1744="1111")),TH!D1744,""),"")</f>
        <v/>
      </c>
      <c r="B1744" s="62" t="str">
        <f t="shared" si="356"/>
        <v/>
      </c>
      <c r="C1744" s="63"/>
      <c r="D1744" s="63"/>
      <c r="E1744" s="63"/>
      <c r="F1744" s="66"/>
      <c r="G1744" s="66"/>
      <c r="H1744" s="71"/>
      <c r="I1744" s="405"/>
      <c r="J1744" s="408"/>
      <c r="K1744" s="398"/>
      <c r="L1744" s="405"/>
      <c r="M1744" s="64"/>
      <c r="N1744" s="65"/>
      <c r="O1744" s="65"/>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
      </c>
      <c r="AC1744" s="81" t="str">
        <f>IF(AND(OR(LEFT(TH!N1744,2)="15",LEFT(TH!O1744,2)="15"),TK!$E$7=TH!F1744),"x","")</f>
        <v/>
      </c>
      <c r="AD1744" s="81" t="str">
        <f>IF(AND(N1744="1521",MONTH(C1744)='BK-NL'!$M$11),"x","")</f>
        <v/>
      </c>
    </row>
    <row r="1745" spans="1:30" ht="15.75" customHeight="1">
      <c r="A1745" s="327" t="str">
        <f>IF(B1745&lt;&gt;"",IF(AND(B1745='IN-TC'!$S$4,OR(TH!N1745="1111",TH!O1745="1111")),TH!D1745,""),"")</f>
        <v/>
      </c>
      <c r="B1745" s="62" t="str">
        <f t="shared" si="356"/>
        <v/>
      </c>
      <c r="C1745" s="63"/>
      <c r="D1745" s="63"/>
      <c r="E1745" s="63"/>
      <c r="F1745" s="66"/>
      <c r="G1745" s="66"/>
      <c r="H1745" s="71"/>
      <c r="I1745" s="405"/>
      <c r="J1745" s="408"/>
      <c r="K1745" s="398"/>
      <c r="L1745" s="405"/>
      <c r="M1745" s="64"/>
      <c r="N1745" s="65"/>
      <c r="O1745" s="65"/>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row>
    <row r="1746" spans="1:30" ht="15.75" customHeight="1">
      <c r="A1746" s="327" t="str">
        <f>IF(B1746&lt;&gt;"",IF(AND(B1746='IN-TC'!$S$4,OR(TH!N1746="1111",TH!O1746="1111")),TH!D1746,""),"")</f>
        <v/>
      </c>
      <c r="B1746" s="62" t="str">
        <f t="shared" si="356"/>
        <v/>
      </c>
      <c r="C1746" s="63"/>
      <c r="D1746" s="63"/>
      <c r="E1746" s="63"/>
      <c r="F1746" s="66"/>
      <c r="G1746" s="66"/>
      <c r="H1746" s="71"/>
      <c r="I1746" s="405"/>
      <c r="J1746" s="408"/>
      <c r="K1746" s="398"/>
      <c r="L1746" s="405"/>
      <c r="M1746" s="64"/>
      <c r="N1746" s="65"/>
      <c r="O1746" s="65"/>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
      </c>
      <c r="AC1746" s="81" t="str">
        <f>IF(AND(OR(LEFT(TH!N1746,2)="15",LEFT(TH!O1746,2)="15"),TK!$E$7=TH!F1746),"x","")</f>
        <v/>
      </c>
      <c r="AD1746" s="81" t="str">
        <f>IF(AND(N1746="1521",MONTH(C1746)='BK-NL'!$M$11),"x","")</f>
        <v/>
      </c>
    </row>
    <row r="1747" spans="1:30" ht="15.75" customHeight="1">
      <c r="A1747" s="327" t="str">
        <f>IF(B1747&lt;&gt;"",IF(AND(B1747='IN-TC'!$S$4,OR(TH!N1747="1111",TH!O1747="1111")),TH!D1747,""),"")</f>
        <v/>
      </c>
      <c r="B1747" s="62" t="str">
        <f t="shared" si="356"/>
        <v/>
      </c>
      <c r="C1747" s="63"/>
      <c r="D1747" s="63"/>
      <c r="E1747" s="63"/>
      <c r="F1747" s="66"/>
      <c r="G1747" s="66"/>
      <c r="H1747" s="71"/>
      <c r="I1747" s="405"/>
      <c r="J1747" s="408"/>
      <c r="K1747" s="398"/>
      <c r="L1747" s="405"/>
      <c r="M1747" s="64"/>
      <c r="N1747" s="65"/>
      <c r="O1747" s="65"/>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row>
    <row r="1748" spans="1:30" ht="15.75" customHeight="1">
      <c r="A1748" s="327" t="str">
        <f>IF(B1748&lt;&gt;"",IF(AND(B1748='IN-TC'!$S$4,OR(TH!N1748="1111",TH!O1748="1111")),TH!D1748,""),"")</f>
        <v/>
      </c>
      <c r="B1748" s="62" t="str">
        <f t="shared" si="356"/>
        <v/>
      </c>
      <c r="C1748" s="63"/>
      <c r="D1748" s="63"/>
      <c r="E1748" s="63"/>
      <c r="F1748" s="66"/>
      <c r="G1748" s="66"/>
      <c r="H1748" s="71"/>
      <c r="I1748" s="405"/>
      <c r="J1748" s="408"/>
      <c r="K1748" s="398"/>
      <c r="L1748" s="405"/>
      <c r="M1748" s="64"/>
      <c r="N1748" s="65"/>
      <c r="O1748" s="65"/>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
      </c>
      <c r="AC1748" s="81" t="str">
        <f>IF(AND(OR(LEFT(TH!N1748,2)="15",LEFT(TH!O1748,2)="15"),TK!$E$7=TH!F1748),"x","")</f>
        <v/>
      </c>
      <c r="AD1748" s="81" t="str">
        <f>IF(AND(N1748="1521",MONTH(C1748)='BK-NL'!$M$11),"x","")</f>
        <v/>
      </c>
    </row>
    <row r="1749" spans="1:30" ht="15.75" customHeight="1">
      <c r="A1749" s="327" t="str">
        <f>IF(B1749&lt;&gt;"",IF(AND(B1749='IN-TC'!$S$4,OR(TH!N1749="1111",TH!O1749="1111")),TH!D1749,""),"")</f>
        <v/>
      </c>
      <c r="B1749" s="62" t="str">
        <f t="shared" si="356"/>
        <v/>
      </c>
      <c r="C1749" s="63"/>
      <c r="D1749" s="63"/>
      <c r="E1749" s="63"/>
      <c r="F1749" s="66"/>
      <c r="G1749" s="66"/>
      <c r="H1749" s="71"/>
      <c r="I1749" s="405"/>
      <c r="J1749" s="408"/>
      <c r="K1749" s="398"/>
      <c r="L1749" s="405"/>
      <c r="M1749" s="64"/>
      <c r="N1749" s="65"/>
      <c r="O1749" s="65"/>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row>
    <row r="1750" spans="1:30" ht="15.75" customHeight="1">
      <c r="A1750" s="327" t="str">
        <f>IF(B1750&lt;&gt;"",IF(AND(B1750='IN-TC'!$S$4,OR(TH!N1750="1111",TH!O1750="1111")),TH!D1750,""),"")</f>
        <v/>
      </c>
      <c r="B1750" s="62" t="str">
        <f t="shared" si="356"/>
        <v/>
      </c>
      <c r="C1750" s="63"/>
      <c r="D1750" s="63"/>
      <c r="E1750" s="63"/>
      <c r="F1750" s="66"/>
      <c r="G1750" s="66"/>
      <c r="H1750" s="71"/>
      <c r="I1750" s="405"/>
      <c r="J1750" s="408"/>
      <c r="K1750" s="398"/>
      <c r="L1750" s="405"/>
      <c r="M1750" s="64"/>
      <c r="N1750" s="65"/>
      <c r="O1750" s="65"/>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
      </c>
      <c r="AC1750" s="81" t="str">
        <f>IF(AND(OR(LEFT(TH!N1750,2)="15",LEFT(TH!O1750,2)="15"),TK!$E$7=TH!F1750),"x","")</f>
        <v/>
      </c>
      <c r="AD1750" s="81" t="str">
        <f>IF(AND(N1750="1521",MONTH(C1750)='BK-NL'!$M$11),"x","")</f>
        <v/>
      </c>
    </row>
    <row r="1751" spans="1:30" ht="15.75" customHeight="1">
      <c r="A1751" s="327" t="str">
        <f>IF(B1751&lt;&gt;"",IF(AND(B1751='IN-TC'!$S$4,OR(TH!N1751="1111",TH!O1751="1111")),TH!D1751,""),"")</f>
        <v/>
      </c>
      <c r="B1751" s="62" t="str">
        <f t="shared" si="356"/>
        <v/>
      </c>
      <c r="C1751" s="63"/>
      <c r="D1751" s="63"/>
      <c r="E1751" s="63"/>
      <c r="F1751" s="66"/>
      <c r="G1751" s="66"/>
      <c r="H1751" s="71"/>
      <c r="I1751" s="405"/>
      <c r="J1751" s="408"/>
      <c r="K1751" s="398"/>
      <c r="L1751" s="405"/>
      <c r="M1751" s="64"/>
      <c r="N1751" s="65"/>
      <c r="O1751" s="65"/>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row>
    <row r="1752" spans="1:30" ht="15.75" customHeight="1">
      <c r="A1752" s="327" t="str">
        <f>IF(B1752&lt;&gt;"",IF(AND(B1752='IN-TC'!$S$4,OR(TH!N1752="1111",TH!O1752="1111")),TH!D1752,""),"")</f>
        <v/>
      </c>
      <c r="B1752" s="62" t="str">
        <f t="shared" si="356"/>
        <v/>
      </c>
      <c r="C1752" s="63"/>
      <c r="D1752" s="63"/>
      <c r="E1752" s="63"/>
      <c r="F1752" s="66"/>
      <c r="G1752" s="66"/>
      <c r="H1752" s="71"/>
      <c r="I1752" s="405"/>
      <c r="J1752" s="408"/>
      <c r="K1752" s="398"/>
      <c r="L1752" s="405"/>
      <c r="M1752" s="64"/>
      <c r="N1752" s="65"/>
      <c r="O1752" s="65"/>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
      </c>
      <c r="AC1752" s="81" t="str">
        <f>IF(AND(OR(LEFT(TH!N1752,2)="15",LEFT(TH!O1752,2)="15"),TK!$E$7=TH!F1752),"x","")</f>
        <v/>
      </c>
      <c r="AD1752" s="81" t="str">
        <f>IF(AND(N1752="1521",MONTH(C1752)='BK-NL'!$M$11),"x","")</f>
        <v/>
      </c>
    </row>
    <row r="1753" spans="1:30" ht="15.75" customHeight="1">
      <c r="A1753" s="327" t="str">
        <f>IF(B1753&lt;&gt;"",IF(AND(B1753='IN-TC'!$S$4,OR(TH!N1753="1111",TH!O1753="1111")),TH!D1753,""),"")</f>
        <v/>
      </c>
      <c r="B1753" s="62" t="str">
        <f t="shared" si="356"/>
        <v/>
      </c>
      <c r="C1753" s="63"/>
      <c r="D1753" s="63"/>
      <c r="E1753" s="63"/>
      <c r="F1753" s="66"/>
      <c r="G1753" s="66"/>
      <c r="H1753" s="71"/>
      <c r="I1753" s="405"/>
      <c r="J1753" s="408"/>
      <c r="K1753" s="398"/>
      <c r="L1753" s="405"/>
      <c r="M1753" s="64"/>
      <c r="N1753" s="65"/>
      <c r="O1753" s="65"/>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row>
    <row r="1754" spans="1:30" ht="15.75" customHeight="1">
      <c r="A1754" s="327" t="str">
        <f>IF(B1754&lt;&gt;"",IF(AND(B1754='IN-TC'!$S$4,OR(TH!N1754="1111",TH!O1754="1111")),TH!D1754,""),"")</f>
        <v/>
      </c>
      <c r="B1754" s="62" t="str">
        <f t="shared" si="356"/>
        <v/>
      </c>
      <c r="C1754" s="63"/>
      <c r="D1754" s="63"/>
      <c r="E1754" s="63"/>
      <c r="F1754" s="66"/>
      <c r="G1754" s="66"/>
      <c r="H1754" s="71"/>
      <c r="I1754" s="405"/>
      <c r="J1754" s="408"/>
      <c r="K1754" s="398"/>
      <c r="L1754" s="405"/>
      <c r="M1754" s="64"/>
      <c r="N1754" s="65"/>
      <c r="O1754" s="65"/>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
      </c>
      <c r="AC1754" s="81" t="str">
        <f>IF(AND(OR(LEFT(TH!N1754,2)="15",LEFT(TH!O1754,2)="15"),TK!$E$7=TH!F1754),"x","")</f>
        <v/>
      </c>
      <c r="AD1754" s="81" t="str">
        <f>IF(AND(N1754="1521",MONTH(C1754)='BK-NL'!$M$11),"x","")</f>
        <v/>
      </c>
    </row>
    <row r="1755" spans="1:30" ht="15.75" customHeight="1">
      <c r="A1755" s="327" t="str">
        <f>IF(B1755&lt;&gt;"",IF(AND(B1755='IN-TC'!$S$4,OR(TH!N1755="1111",TH!O1755="1111")),TH!D1755,""),"")</f>
        <v/>
      </c>
      <c r="B1755" s="62" t="str">
        <f t="shared" si="356"/>
        <v/>
      </c>
      <c r="C1755" s="63"/>
      <c r="D1755" s="63"/>
      <c r="E1755" s="63"/>
      <c r="F1755" s="66"/>
      <c r="G1755" s="66"/>
      <c r="H1755" s="71"/>
      <c r="I1755" s="405"/>
      <c r="J1755" s="408"/>
      <c r="K1755" s="398"/>
      <c r="L1755" s="405"/>
      <c r="M1755" s="64"/>
      <c r="N1755" s="65"/>
      <c r="O1755" s="65"/>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row>
    <row r="1756" spans="1:30" ht="15.75" customHeight="1">
      <c r="A1756" s="327" t="str">
        <f>IF(B1756&lt;&gt;"",IF(AND(B1756='IN-TC'!$S$4,OR(TH!N1756="1111",TH!O1756="1111")),TH!D1756,""),"")</f>
        <v/>
      </c>
      <c r="B1756" s="62" t="str">
        <f t="shared" si="356"/>
        <v/>
      </c>
      <c r="C1756" s="63"/>
      <c r="D1756" s="63"/>
      <c r="E1756" s="63"/>
      <c r="F1756" s="66"/>
      <c r="G1756" s="66"/>
      <c r="H1756" s="71"/>
      <c r="I1756" s="405"/>
      <c r="J1756" s="408"/>
      <c r="K1756" s="398"/>
      <c r="L1756" s="405"/>
      <c r="M1756" s="64"/>
      <c r="N1756" s="65"/>
      <c r="O1756" s="65"/>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
      </c>
      <c r="AC1756" s="81" t="str">
        <f>IF(AND(OR(LEFT(TH!N1756,2)="15",LEFT(TH!O1756,2)="15"),TK!$E$7=TH!F1756),"x","")</f>
        <v/>
      </c>
      <c r="AD1756" s="81" t="str">
        <f>IF(AND(N1756="1521",MONTH(C1756)='BK-NL'!$M$11),"x","")</f>
        <v/>
      </c>
    </row>
    <row r="1757" spans="1:30" ht="15.75" customHeight="1">
      <c r="A1757" s="327" t="str">
        <f>IF(B1757&lt;&gt;"",IF(AND(B1757='IN-TC'!$S$4,OR(TH!N1757="1111",TH!O1757="1111")),TH!D1757,""),"")</f>
        <v/>
      </c>
      <c r="B1757" s="62" t="str">
        <f t="shared" si="356"/>
        <v/>
      </c>
      <c r="C1757" s="63"/>
      <c r="D1757" s="63"/>
      <c r="E1757" s="63"/>
      <c r="F1757" s="66"/>
      <c r="G1757" s="66"/>
      <c r="H1757" s="71"/>
      <c r="I1757" s="405"/>
      <c r="J1757" s="408"/>
      <c r="K1757" s="398"/>
      <c r="L1757" s="405"/>
      <c r="M1757" s="64"/>
      <c r="N1757" s="65"/>
      <c r="O1757" s="65"/>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row>
    <row r="1758" spans="1:30" ht="15.75" customHeight="1">
      <c r="A1758" s="327" t="str">
        <f>IF(B1758&lt;&gt;"",IF(AND(B1758='IN-TC'!$S$4,OR(TH!N1758="1111",TH!O1758="1111")),TH!D1758,""),"")</f>
        <v/>
      </c>
      <c r="B1758" s="62" t="str">
        <f t="shared" si="356"/>
        <v/>
      </c>
      <c r="C1758" s="63"/>
      <c r="D1758" s="63"/>
      <c r="E1758" s="63"/>
      <c r="F1758" s="66"/>
      <c r="G1758" s="66"/>
      <c r="H1758" s="71"/>
      <c r="I1758" s="405"/>
      <c r="J1758" s="408"/>
      <c r="K1758" s="398"/>
      <c r="L1758" s="405"/>
      <c r="M1758" s="64"/>
      <c r="N1758" s="65"/>
      <c r="O1758" s="65"/>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
      </c>
      <c r="Y1758" s="81" t="str">
        <f>IF(AND(OR(N1758="131",O1758="131"),H1758='131-CT'!$H$9),"x","")</f>
        <v/>
      </c>
      <c r="Z1758" s="81"/>
      <c r="AA1758" s="81" t="str">
        <f>IF(AND(MONTH(E1758)='IN-NX'!$J$5,'IN-NX'!$D$7=D1758),"x","")</f>
        <v/>
      </c>
      <c r="AB1758" s="81" t="str">
        <f>IF(AND(OR(LEFT(TH!N1758,2)="15",LEFT(TH!O1758,2)="15"),LEFT(TH!O1758,3)&lt;&gt;"111",'152-CT'!$J$8=TH!F1758),"x","")</f>
        <v/>
      </c>
      <c r="AC1758" s="81" t="str">
        <f>IF(AND(OR(LEFT(TH!N1758,2)="15",LEFT(TH!O1758,2)="15"),TK!$E$7=TH!F1758),"x","")</f>
        <v/>
      </c>
      <c r="AD1758" s="81" t="str">
        <f>IF(AND(N1758="1521",MONTH(C1758)='BK-NL'!$M$11),"x","")</f>
        <v/>
      </c>
    </row>
    <row r="1759" spans="1:30" ht="15.75" customHeight="1">
      <c r="A1759" s="327" t="str">
        <f>IF(B1759&lt;&gt;"",IF(AND(B1759='IN-TC'!$S$4,OR(TH!N1759="1111",TH!O1759="1111")),TH!D1759,""),"")</f>
        <v/>
      </c>
      <c r="B1759" s="62" t="str">
        <f t="shared" si="356"/>
        <v/>
      </c>
      <c r="C1759" s="63"/>
      <c r="D1759" s="63"/>
      <c r="E1759" s="63"/>
      <c r="F1759" s="66"/>
      <c r="G1759" s="66"/>
      <c r="H1759" s="71"/>
      <c r="I1759" s="405"/>
      <c r="J1759" s="408"/>
      <c r="K1759" s="398"/>
      <c r="L1759" s="405"/>
      <c r="M1759" s="64"/>
      <c r="N1759" s="65"/>
      <c r="O1759" s="65"/>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
      </c>
      <c r="Y1759" s="81" t="str">
        <f>IF(AND(OR(N1759="131",O1759="131"),H1759='131-CT'!$H$9),"x","")</f>
        <v/>
      </c>
      <c r="Z1759" s="81"/>
      <c r="AA1759" s="81" t="str">
        <f>IF(AND(MONTH(E1759)='IN-NX'!$J$5,'IN-NX'!$D$7=D1759),"x","")</f>
        <v/>
      </c>
      <c r="AB1759" s="81" t="str">
        <f>IF(AND(OR(LEFT(TH!N1759,2)="15",LEFT(TH!O1759,2)="15"),LEFT(TH!O1759,3)&lt;&gt;"111",'152-CT'!$J$8=TH!F1759),"x","")</f>
        <v/>
      </c>
      <c r="AC1759" s="81" t="str">
        <f>IF(AND(OR(LEFT(TH!N1759,2)="15",LEFT(TH!O1759,2)="15"),TK!$E$7=TH!F1759),"x","")</f>
        <v/>
      </c>
      <c r="AD1759" s="81" t="str">
        <f>IF(AND(N1759="1521",MONTH(C1759)='BK-NL'!$M$11),"x","")</f>
        <v/>
      </c>
    </row>
    <row r="1760" spans="1:30" ht="15.75" customHeight="1">
      <c r="A1760" s="327" t="str">
        <f>IF(B1760&lt;&gt;"",IF(AND(B1760='IN-TC'!$S$4,OR(TH!N1760="1111",TH!O1760="1111")),TH!D1760,""),"")</f>
        <v/>
      </c>
      <c r="B1760" s="62" t="str">
        <f t="shared" si="356"/>
        <v/>
      </c>
      <c r="C1760" s="63"/>
      <c r="D1760" s="63"/>
      <c r="E1760" s="63"/>
      <c r="F1760" s="66"/>
      <c r="G1760" s="66"/>
      <c r="H1760" s="71"/>
      <c r="I1760" s="405"/>
      <c r="J1760" s="408"/>
      <c r="K1760" s="398"/>
      <c r="L1760" s="405"/>
      <c r="M1760" s="64"/>
      <c r="N1760" s="65"/>
      <c r="O1760" s="65"/>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
      </c>
      <c r="Y1760" s="81" t="str">
        <f>IF(AND(OR(N1760="131",O1760="131"),H1760='131-CT'!$H$9),"x","")</f>
        <v/>
      </c>
      <c r="Z1760" s="81"/>
      <c r="AA1760" s="81" t="str">
        <f>IF(AND(MONTH(E1760)='IN-NX'!$J$5,'IN-NX'!$D$7=D1760),"x","")</f>
        <v/>
      </c>
      <c r="AB1760" s="81" t="str">
        <f>IF(AND(OR(LEFT(TH!N1760,2)="15",LEFT(TH!O1760,2)="15"),LEFT(TH!O1760,3)&lt;&gt;"111",'152-CT'!$J$8=TH!F1760),"x","")</f>
        <v/>
      </c>
      <c r="AC1760" s="81" t="str">
        <f>IF(AND(OR(LEFT(TH!N1760,2)="15",LEFT(TH!O1760,2)="15"),TK!$E$7=TH!F1760),"x","")</f>
        <v/>
      </c>
      <c r="AD1760" s="81" t="str">
        <f>IF(AND(N1760="1521",MONTH(C1760)='BK-NL'!$M$11),"x","")</f>
        <v/>
      </c>
    </row>
    <row r="1761" spans="1:30" ht="15.75" customHeight="1">
      <c r="A1761" s="327" t="str">
        <f>IF(B1761&lt;&gt;"",IF(AND(B1761='IN-TC'!$S$4,OR(TH!N1761="1111",TH!O1761="1111")),TH!D1761,""),"")</f>
        <v/>
      </c>
      <c r="B1761" s="62" t="str">
        <f t="shared" si="356"/>
        <v/>
      </c>
      <c r="C1761" s="63"/>
      <c r="D1761" s="63"/>
      <c r="E1761" s="63"/>
      <c r="F1761" s="66"/>
      <c r="G1761" s="66"/>
      <c r="H1761" s="71"/>
      <c r="I1761" s="407"/>
      <c r="J1761" s="408"/>
      <c r="K1761" s="400"/>
      <c r="L1761" s="407"/>
      <c r="M1761" s="64"/>
      <c r="N1761" s="65"/>
      <c r="O1761" s="65"/>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
      </c>
      <c r="Y1761" s="81" t="str">
        <f>IF(AND(OR(N1761="131",O1761="131"),H1761='131-CT'!$H$9),"x","")</f>
        <v/>
      </c>
      <c r="Z1761" s="81"/>
      <c r="AA1761" s="81" t="str">
        <f>IF(AND(MONTH(E1761)='IN-NX'!$J$5,'IN-NX'!$D$7=D1761),"x","")</f>
        <v/>
      </c>
      <c r="AB1761" s="81" t="str">
        <f>IF(AND(OR(LEFT(TH!N1761,2)="15",LEFT(TH!O1761,2)="15"),LEFT(TH!O1761,3)&lt;&gt;"111",'152-CT'!$J$8=TH!F1761),"x","")</f>
        <v/>
      </c>
      <c r="AC1761" s="81" t="str">
        <f>IF(AND(OR(LEFT(TH!N1761,2)="15",LEFT(TH!O1761,2)="15"),TK!$E$7=TH!F1761),"x","")</f>
        <v/>
      </c>
      <c r="AD1761" s="81" t="str">
        <f>IF(AND(N1761="1521",MONTH(C1761)='BK-NL'!$M$11),"x","")</f>
        <v/>
      </c>
    </row>
    <row r="1762" spans="1:30" ht="15.75" customHeight="1">
      <c r="A1762" s="327" t="str">
        <f>IF(B1762&lt;&gt;"",IF(AND(B1762='IN-TC'!$S$4,OR(TH!N1762="1111",TH!O1762="1111")),TH!D1762,""),"")</f>
        <v/>
      </c>
      <c r="B1762" s="62" t="str">
        <f t="shared" si="356"/>
        <v/>
      </c>
      <c r="C1762" s="63"/>
      <c r="D1762" s="63"/>
      <c r="E1762" s="63"/>
      <c r="F1762" s="66"/>
      <c r="G1762" s="66"/>
      <c r="H1762" s="71"/>
      <c r="I1762" s="407"/>
      <c r="J1762" s="408"/>
      <c r="K1762" s="400"/>
      <c r="L1762" s="407"/>
      <c r="M1762" s="64"/>
      <c r="N1762" s="65"/>
      <c r="O1762" s="65"/>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
      </c>
      <c r="Y1762" s="81" t="str">
        <f>IF(AND(OR(N1762="131",O1762="131"),H1762='131-CT'!$H$9),"x","")</f>
        <v/>
      </c>
      <c r="Z1762" s="81"/>
      <c r="AA1762" s="81" t="str">
        <f>IF(AND(MONTH(E1762)='IN-NX'!$J$5,'IN-NX'!$D$7=D1762),"x","")</f>
        <v/>
      </c>
      <c r="AB1762" s="81" t="str">
        <f>IF(AND(OR(LEFT(TH!N1762,2)="15",LEFT(TH!O1762,2)="15"),LEFT(TH!O1762,3)&lt;&gt;"111",'152-CT'!$J$8=TH!F1762),"x","")</f>
        <v/>
      </c>
      <c r="AC1762" s="81" t="str">
        <f>IF(AND(OR(LEFT(TH!N1762,2)="15",LEFT(TH!O1762,2)="15"),TK!$E$7=TH!F1762),"x","")</f>
        <v/>
      </c>
      <c r="AD1762" s="81" t="str">
        <f>IF(AND(N1762="1521",MONTH(C1762)='BK-NL'!$M$11),"x","")</f>
        <v/>
      </c>
    </row>
    <row r="1763" spans="1:30" ht="15.75" customHeight="1">
      <c r="A1763" s="327" t="str">
        <f>IF(B1763&lt;&gt;"",IF(AND(B1763='IN-TC'!$S$4,OR(TH!N1763="1111",TH!O1763="1111")),TH!D1763,""),"")</f>
        <v/>
      </c>
      <c r="B1763" s="62" t="str">
        <f t="shared" si="356"/>
        <v/>
      </c>
      <c r="C1763" s="63"/>
      <c r="D1763" s="63"/>
      <c r="E1763" s="63"/>
      <c r="F1763" s="66"/>
      <c r="G1763" s="66"/>
      <c r="H1763" s="71"/>
      <c r="I1763" s="407"/>
      <c r="J1763" s="408"/>
      <c r="K1763" s="400"/>
      <c r="L1763" s="407"/>
      <c r="M1763" s="64"/>
      <c r="N1763" s="65"/>
      <c r="O1763" s="65"/>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
      </c>
      <c r="Y1763" s="81" t="str">
        <f>IF(AND(OR(N1763="131",O1763="131"),H1763='131-CT'!$H$9),"x","")</f>
        <v/>
      </c>
      <c r="Z1763" s="81"/>
      <c r="AA1763" s="81" t="str">
        <f>IF(AND(MONTH(E1763)='IN-NX'!$J$5,'IN-NX'!$D$7=D1763),"x","")</f>
        <v/>
      </c>
      <c r="AB1763" s="81" t="str">
        <f>IF(AND(OR(LEFT(TH!N1763,2)="15",LEFT(TH!O1763,2)="15"),LEFT(TH!O1763,3)&lt;&gt;"111",'152-CT'!$J$8=TH!F1763),"x","")</f>
        <v/>
      </c>
      <c r="AC1763" s="81" t="str">
        <f>IF(AND(OR(LEFT(TH!N1763,2)="15",LEFT(TH!O1763,2)="15"),TK!$E$7=TH!F1763),"x","")</f>
        <v/>
      </c>
      <c r="AD1763" s="81" t="str">
        <f>IF(AND(N1763="1521",MONTH(C1763)='BK-NL'!$M$11),"x","")</f>
        <v/>
      </c>
    </row>
    <row r="1764" spans="1:30" ht="15.75" customHeight="1">
      <c r="A1764" s="327" t="str">
        <f>IF(B1764&lt;&gt;"",IF(AND(B1764='IN-TC'!$S$4,OR(TH!N1764="1111",TH!O1764="1111")),TH!D1764,""),"")</f>
        <v/>
      </c>
      <c r="B1764" s="62" t="str">
        <f t="shared" si="356"/>
        <v/>
      </c>
      <c r="C1764" s="63"/>
      <c r="D1764" s="63"/>
      <c r="E1764" s="63"/>
      <c r="F1764" s="66"/>
      <c r="G1764" s="66"/>
      <c r="H1764" s="71"/>
      <c r="I1764" s="407"/>
      <c r="J1764" s="408"/>
      <c r="K1764" s="400"/>
      <c r="L1764" s="407"/>
      <c r="M1764" s="64"/>
      <c r="N1764" s="65"/>
      <c r="O1764" s="65"/>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
      </c>
      <c r="Y1764" s="81" t="str">
        <f>IF(AND(OR(N1764="131",O1764="131"),H1764='131-CT'!$H$9),"x","")</f>
        <v/>
      </c>
      <c r="Z1764" s="81"/>
      <c r="AA1764" s="81" t="str">
        <f>IF(AND(MONTH(E1764)='IN-NX'!$J$5,'IN-NX'!$D$7=D1764),"x","")</f>
        <v/>
      </c>
      <c r="AB1764" s="81" t="str">
        <f>IF(AND(OR(LEFT(TH!N1764,2)="15",LEFT(TH!O1764,2)="15"),LEFT(TH!O1764,3)&lt;&gt;"111",'152-CT'!$J$8=TH!F1764),"x","")</f>
        <v/>
      </c>
      <c r="AC1764" s="81" t="str">
        <f>IF(AND(OR(LEFT(TH!N1764,2)="15",LEFT(TH!O1764,2)="15"),TK!$E$7=TH!F1764),"x","")</f>
        <v/>
      </c>
      <c r="AD1764" s="81" t="str">
        <f>IF(AND(N1764="1521",MONTH(C1764)='BK-NL'!$M$11),"x","")</f>
        <v/>
      </c>
    </row>
    <row r="1765" spans="1:30" ht="15.75" customHeight="1">
      <c r="A1765" s="327" t="str">
        <f>IF(B1765&lt;&gt;"",IF(AND(B1765='IN-TC'!$S$4,OR(TH!N1765="1111",TH!O1765="1111")),TH!D1765,""),"")</f>
        <v/>
      </c>
      <c r="B1765" s="62" t="str">
        <f t="shared" si="356"/>
        <v/>
      </c>
      <c r="C1765" s="63"/>
      <c r="D1765" s="63"/>
      <c r="E1765" s="63"/>
      <c r="F1765" s="66"/>
      <c r="G1765" s="66"/>
      <c r="H1765" s="71"/>
      <c r="I1765" s="407"/>
      <c r="J1765" s="408"/>
      <c r="K1765" s="400"/>
      <c r="L1765" s="407"/>
      <c r="M1765" s="64"/>
      <c r="N1765" s="65"/>
      <c r="O1765" s="65"/>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
      </c>
      <c r="Y1765" s="81" t="str">
        <f>IF(AND(OR(N1765="131",O1765="131"),H1765='131-CT'!$H$9),"x","")</f>
        <v/>
      </c>
      <c r="Z1765" s="81"/>
      <c r="AA1765" s="81" t="str">
        <f>IF(AND(MONTH(E1765)='IN-NX'!$J$5,'IN-NX'!$D$7=D1765),"x","")</f>
        <v/>
      </c>
      <c r="AB1765" s="81" t="str">
        <f>IF(AND(OR(LEFT(TH!N1765,2)="15",LEFT(TH!O1765,2)="15"),LEFT(TH!O1765,3)&lt;&gt;"111",'152-CT'!$J$8=TH!F1765),"x","")</f>
        <v/>
      </c>
      <c r="AC1765" s="81" t="str">
        <f>IF(AND(OR(LEFT(TH!N1765,2)="15",LEFT(TH!O1765,2)="15"),TK!$E$7=TH!F1765),"x","")</f>
        <v/>
      </c>
      <c r="AD1765" s="81" t="str">
        <f>IF(AND(N1765="1521",MONTH(C1765)='BK-NL'!$M$11),"x","")</f>
        <v/>
      </c>
    </row>
    <row r="1766" spans="1:30" ht="15.75" customHeight="1">
      <c r="A1766" s="327" t="str">
        <f>IF(B1766&lt;&gt;"",IF(AND(B1766='IN-TC'!$S$4,OR(TH!N1766="1111",TH!O1766="1111")),TH!D1766,""),"")</f>
        <v/>
      </c>
      <c r="B1766" s="62" t="str">
        <f t="shared" si="356"/>
        <v/>
      </c>
      <c r="C1766" s="63"/>
      <c r="D1766" s="63"/>
      <c r="E1766" s="63"/>
      <c r="F1766" s="66"/>
      <c r="G1766" s="66"/>
      <c r="H1766" s="71"/>
      <c r="I1766" s="407"/>
      <c r="J1766" s="408"/>
      <c r="K1766" s="400"/>
      <c r="L1766" s="407"/>
      <c r="M1766" s="64"/>
      <c r="N1766" s="65"/>
      <c r="O1766" s="65"/>
      <c r="P1766" s="81" t="str">
        <f>IF(AND('331-CT'!$E$7=TH!H1766,OR(N1766="331",O1766="331")),"x","")</f>
        <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
      </c>
      <c r="Y1766" s="81" t="str">
        <f>IF(AND(OR(N1766="131",O1766="131"),H1766='131-CT'!$H$9),"x","")</f>
        <v/>
      </c>
      <c r="Z1766" s="81"/>
      <c r="AA1766" s="81" t="str">
        <f>IF(AND(MONTH(E1766)='IN-NX'!$J$5,'IN-NX'!$D$7=D1766),"x","")</f>
        <v/>
      </c>
      <c r="AB1766" s="81" t="str">
        <f>IF(AND(OR(LEFT(TH!N1766,2)="15",LEFT(TH!O1766,2)="15"),LEFT(TH!O1766,3)&lt;&gt;"111",'152-CT'!$J$8=TH!F1766),"x","")</f>
        <v/>
      </c>
      <c r="AC1766" s="81" t="str">
        <f>IF(AND(OR(LEFT(TH!N1766,2)="15",LEFT(TH!O1766,2)="15"),TK!$E$7=TH!F1766),"x","")</f>
        <v/>
      </c>
      <c r="AD1766" s="81" t="str">
        <f>IF(AND(N1766="1521",MONTH(C1766)='BK-NL'!$M$11),"x","")</f>
        <v/>
      </c>
    </row>
    <row r="1767" spans="1:30" ht="15.75" customHeight="1">
      <c r="A1767" s="327" t="str">
        <f>IF(B1767&lt;&gt;"",IF(AND(B1767='IN-TC'!$S$4,OR(TH!N1767="1111",TH!O1767="1111")),TH!D1767,""),"")</f>
        <v/>
      </c>
      <c r="B1767" s="62" t="str">
        <f t="shared" ref="B1767:B1857" si="357">IF(C1767&lt;&gt;"",MONTH(C1767),"")</f>
        <v/>
      </c>
      <c r="C1767" s="63"/>
      <c r="D1767" s="63"/>
      <c r="E1767" s="63"/>
      <c r="F1767" s="66"/>
      <c r="G1767" s="66"/>
      <c r="H1767" s="71"/>
      <c r="I1767" s="407"/>
      <c r="J1767" s="408"/>
      <c r="K1767" s="400"/>
      <c r="L1767" s="407"/>
      <c r="M1767" s="64"/>
      <c r="N1767" s="65"/>
      <c r="O1767" s="65"/>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
      </c>
      <c r="Y1767" s="81" t="str">
        <f>IF(AND(OR(N1767="131",O1767="131"),H1767='131-CT'!$H$9),"x","")</f>
        <v/>
      </c>
      <c r="Z1767" s="81"/>
      <c r="AA1767" s="81" t="str">
        <f>IF(AND(MONTH(E1767)='IN-NX'!$J$5,'IN-NX'!$D$7=D1767),"x","")</f>
        <v/>
      </c>
      <c r="AB1767" s="81" t="str">
        <f>IF(AND(OR(LEFT(TH!N1767,2)="15",LEFT(TH!O1767,2)="15"),LEFT(TH!O1767,3)&lt;&gt;"111",'152-CT'!$J$8=TH!F1767),"x","")</f>
        <v/>
      </c>
      <c r="AC1767" s="81" t="str">
        <f>IF(AND(OR(LEFT(TH!N1767,2)="15",LEFT(TH!O1767,2)="15"),TK!$E$7=TH!F1767),"x","")</f>
        <v/>
      </c>
      <c r="AD1767" s="81" t="str">
        <f>IF(AND(N1767="1521",MONTH(C1767)='BK-NL'!$M$11),"x","")</f>
        <v/>
      </c>
    </row>
    <row r="1768" spans="1:30" ht="15.75" customHeight="1">
      <c r="A1768" s="327" t="str">
        <f>IF(B1768&lt;&gt;"",IF(AND(B1768='IN-TC'!$S$4,OR(TH!N1768="1111",TH!O1768="1111")),TH!D1768,""),"")</f>
        <v/>
      </c>
      <c r="B1768" s="62" t="str">
        <f t="shared" si="357"/>
        <v/>
      </c>
      <c r="C1768" s="63"/>
      <c r="D1768" s="63"/>
      <c r="E1768" s="63"/>
      <c r="F1768" s="66"/>
      <c r="G1768" s="66"/>
      <c r="H1768" s="71"/>
      <c r="I1768" s="407"/>
      <c r="J1768" s="408"/>
      <c r="K1768" s="400"/>
      <c r="L1768" s="407"/>
      <c r="M1768" s="64"/>
      <c r="N1768" s="65"/>
      <c r="O1768" s="65"/>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
      </c>
      <c r="Y1768" s="81" t="str">
        <f>IF(AND(OR(N1768="131",O1768="131"),H1768='131-CT'!$H$9),"x","")</f>
        <v/>
      </c>
      <c r="Z1768" s="81"/>
      <c r="AA1768" s="81" t="str">
        <f>IF(AND(MONTH(E1768)='IN-NX'!$J$5,'IN-NX'!$D$7=D1768),"x","")</f>
        <v/>
      </c>
      <c r="AB1768" s="81" t="str">
        <f>IF(AND(OR(LEFT(TH!N1768,2)="15",LEFT(TH!O1768,2)="15"),LEFT(TH!O1768,3)&lt;&gt;"111",'152-CT'!$J$8=TH!F1768),"x","")</f>
        <v/>
      </c>
      <c r="AC1768" s="81" t="str">
        <f>IF(AND(OR(LEFT(TH!N1768,2)="15",LEFT(TH!O1768,2)="15"),TK!$E$7=TH!F1768),"x","")</f>
        <v/>
      </c>
      <c r="AD1768" s="81" t="str">
        <f>IF(AND(N1768="1521",MONTH(C1768)='BK-NL'!$M$11),"x","")</f>
        <v/>
      </c>
    </row>
    <row r="1769" spans="1:30" ht="15.75" customHeight="1">
      <c r="A1769" s="327" t="str">
        <f>IF(B1769&lt;&gt;"",IF(AND(B1769='IN-TC'!$S$4,OR(TH!N1769="1111",TH!O1769="1111")),TH!D1769,""),"")</f>
        <v/>
      </c>
      <c r="B1769" s="62" t="str">
        <f t="shared" ref="B1769:B1775" si="358">IF(C1769&lt;&gt;"",MONTH(C1769),"")</f>
        <v/>
      </c>
      <c r="C1769" s="63"/>
      <c r="D1769" s="63"/>
      <c r="E1769" s="63"/>
      <c r="F1769" s="66"/>
      <c r="G1769" s="66"/>
      <c r="H1769" s="71"/>
      <c r="I1769" s="407"/>
      <c r="J1769" s="408"/>
      <c r="K1769" s="400"/>
      <c r="L1769" s="407"/>
      <c r="M1769" s="64"/>
      <c r="N1769" s="65"/>
      <c r="O1769" s="65"/>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
      </c>
      <c r="Y1769" s="81" t="str">
        <f>IF(AND(OR(N1769="131",O1769="131"),H1769='131-CT'!$H$9),"x","")</f>
        <v/>
      </c>
      <c r="Z1769" s="81"/>
      <c r="AA1769" s="81" t="str">
        <f>IF(AND(MONTH(E1769)='IN-NX'!$J$5,'IN-NX'!$D$7=D1769),"x","")</f>
        <v/>
      </c>
      <c r="AB1769" s="81" t="str">
        <f>IF(AND(OR(LEFT(TH!N1769,2)="15",LEFT(TH!O1769,2)="15"),LEFT(TH!O1769,3)&lt;&gt;"111",'152-CT'!$J$8=TH!F1769),"x","")</f>
        <v/>
      </c>
      <c r="AC1769" s="81" t="str">
        <f>IF(AND(OR(LEFT(TH!N1769,2)="15",LEFT(TH!O1769,2)="15"),TK!$E$7=TH!F1769),"x","")</f>
        <v/>
      </c>
      <c r="AD1769" s="81" t="str">
        <f>IF(AND(N1769="1521",MONTH(C1769)='BK-NL'!$M$11),"x","")</f>
        <v/>
      </c>
    </row>
    <row r="1770" spans="1:30" ht="15.75" customHeight="1">
      <c r="A1770" s="327" t="str">
        <f>IF(B1770&lt;&gt;"",IF(AND(B1770='IN-TC'!$S$4,OR(TH!N1770="1111",TH!O1770="1111")),TH!D1770,""),"")</f>
        <v/>
      </c>
      <c r="B1770" s="62" t="str">
        <f t="shared" si="358"/>
        <v/>
      </c>
      <c r="C1770" s="63"/>
      <c r="D1770" s="63"/>
      <c r="E1770" s="63"/>
      <c r="F1770" s="66"/>
      <c r="G1770" s="66"/>
      <c r="H1770" s="71"/>
      <c r="I1770" s="407"/>
      <c r="J1770" s="408"/>
      <c r="K1770" s="400"/>
      <c r="L1770" s="407"/>
      <c r="M1770" s="64"/>
      <c r="N1770" s="65"/>
      <c r="O1770" s="65"/>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
      </c>
      <c r="Y1770" s="81" t="str">
        <f>IF(AND(OR(N1770="131",O1770="131"),H1770='131-CT'!$H$9),"x","")</f>
        <v/>
      </c>
      <c r="Z1770" s="81"/>
      <c r="AA1770" s="81" t="str">
        <f>IF(AND(MONTH(E1770)='IN-NX'!$J$5,'IN-NX'!$D$7=D1770),"x","")</f>
        <v/>
      </c>
      <c r="AB1770" s="81" t="str">
        <f>IF(AND(OR(LEFT(TH!N1770,2)="15",LEFT(TH!O1770,2)="15"),LEFT(TH!O1770,3)&lt;&gt;"111",'152-CT'!$J$8=TH!F1770),"x","")</f>
        <v/>
      </c>
      <c r="AC1770" s="81" t="str">
        <f>IF(AND(OR(LEFT(TH!N1770,2)="15",LEFT(TH!O1770,2)="15"),TK!$E$7=TH!F1770),"x","")</f>
        <v/>
      </c>
      <c r="AD1770" s="81" t="str">
        <f>IF(AND(N1770="1521",MONTH(C1770)='BK-NL'!$M$11),"x","")</f>
        <v/>
      </c>
    </row>
    <row r="1771" spans="1:30" ht="15.75" customHeight="1">
      <c r="A1771" s="327" t="str">
        <f>IF(B1771&lt;&gt;"",IF(AND(B1771='IN-TC'!$S$4,OR(TH!N1771="1111",TH!O1771="1111")),TH!D1771,""),"")</f>
        <v/>
      </c>
      <c r="B1771" s="62" t="str">
        <f t="shared" si="358"/>
        <v/>
      </c>
      <c r="C1771" s="63"/>
      <c r="D1771" s="63"/>
      <c r="E1771" s="63"/>
      <c r="F1771" s="66"/>
      <c r="G1771" s="66"/>
      <c r="H1771" s="71"/>
      <c r="I1771" s="407"/>
      <c r="J1771" s="408"/>
      <c r="K1771" s="400"/>
      <c r="L1771" s="407"/>
      <c r="M1771" s="64"/>
      <c r="N1771" s="65"/>
      <c r="O1771" s="65"/>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
      </c>
      <c r="Y1771" s="81" t="str">
        <f>IF(AND(OR(N1771="131",O1771="131"),H1771='131-CT'!$H$9),"x","")</f>
        <v/>
      </c>
      <c r="Z1771" s="81"/>
      <c r="AA1771" s="81" t="str">
        <f>IF(AND(MONTH(E1771)='IN-NX'!$J$5,'IN-NX'!$D$7=D1771),"x","")</f>
        <v/>
      </c>
      <c r="AB1771" s="81" t="str">
        <f>IF(AND(OR(LEFT(TH!N1771,2)="15",LEFT(TH!O1771,2)="15"),LEFT(TH!O1771,3)&lt;&gt;"111",'152-CT'!$J$8=TH!F1771),"x","")</f>
        <v/>
      </c>
      <c r="AC1771" s="81" t="str">
        <f>IF(AND(OR(LEFT(TH!N1771,2)="15",LEFT(TH!O1771,2)="15"),TK!$E$7=TH!F1771),"x","")</f>
        <v/>
      </c>
      <c r="AD1771" s="81" t="str">
        <f>IF(AND(N1771="1521",MONTH(C1771)='BK-NL'!$M$11),"x","")</f>
        <v/>
      </c>
    </row>
    <row r="1772" spans="1:30" ht="15.75" customHeight="1">
      <c r="A1772" s="327" t="str">
        <f>IF(B1772&lt;&gt;"",IF(AND(B1772='IN-TC'!$S$4,OR(TH!N1772="1111",TH!O1772="1111")),TH!D1772,""),"")</f>
        <v/>
      </c>
      <c r="B1772" s="62" t="str">
        <f t="shared" si="358"/>
        <v/>
      </c>
      <c r="C1772" s="63"/>
      <c r="D1772" s="63"/>
      <c r="E1772" s="63"/>
      <c r="F1772" s="66"/>
      <c r="G1772" s="66"/>
      <c r="H1772" s="71"/>
      <c r="I1772" s="407"/>
      <c r="J1772" s="408"/>
      <c r="K1772" s="400"/>
      <c r="L1772" s="407"/>
      <c r="M1772" s="64"/>
      <c r="N1772" s="65"/>
      <c r="O1772" s="65"/>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
      </c>
      <c r="Y1772" s="81" t="str">
        <f>IF(AND(OR(N1772="131",O1772="131"),H1772='131-CT'!$H$9),"x","")</f>
        <v/>
      </c>
      <c r="Z1772" s="81"/>
      <c r="AA1772" s="81" t="str">
        <f>IF(AND(MONTH(E1772)='IN-NX'!$J$5,'IN-NX'!$D$7=D1772),"x","")</f>
        <v/>
      </c>
      <c r="AB1772" s="81" t="str">
        <f>IF(AND(OR(LEFT(TH!N1772,2)="15",LEFT(TH!O1772,2)="15"),LEFT(TH!O1772,3)&lt;&gt;"111",'152-CT'!$J$8=TH!F1772),"x","")</f>
        <v/>
      </c>
      <c r="AC1772" s="81" t="str">
        <f>IF(AND(OR(LEFT(TH!N1772,2)="15",LEFT(TH!O1772,2)="15"),TK!$E$7=TH!F1772),"x","")</f>
        <v/>
      </c>
      <c r="AD1772" s="81" t="str">
        <f>IF(AND(N1772="1521",MONTH(C1772)='BK-NL'!$M$11),"x","")</f>
        <v/>
      </c>
    </row>
    <row r="1773" spans="1:30" ht="15.75" customHeight="1">
      <c r="A1773" s="327" t="str">
        <f>IF(B1773&lt;&gt;"",IF(AND(B1773='IN-TC'!$S$4,OR(TH!N1773="1111",TH!O1773="1111")),TH!D1773,""),"")</f>
        <v/>
      </c>
      <c r="B1773" s="62" t="str">
        <f t="shared" si="358"/>
        <v/>
      </c>
      <c r="C1773" s="63"/>
      <c r="D1773" s="63"/>
      <c r="E1773" s="63"/>
      <c r="F1773" s="66"/>
      <c r="G1773" s="66"/>
      <c r="H1773" s="71"/>
      <c r="I1773" s="407"/>
      <c r="J1773" s="408"/>
      <c r="K1773" s="400"/>
      <c r="L1773" s="407"/>
      <c r="M1773" s="64"/>
      <c r="N1773" s="65"/>
      <c r="O1773" s="65"/>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row>
    <row r="1774" spans="1:30" ht="15.75" customHeight="1">
      <c r="A1774" s="327" t="str">
        <f>IF(B1774&lt;&gt;"",IF(AND(B1774='IN-TC'!$S$4,OR(TH!N1774="1111",TH!O1774="1111")),TH!D1774,""),"")</f>
        <v/>
      </c>
      <c r="B1774" s="62" t="str">
        <f t="shared" si="358"/>
        <v/>
      </c>
      <c r="C1774" s="63"/>
      <c r="D1774" s="63"/>
      <c r="E1774" s="63"/>
      <c r="F1774" s="66"/>
      <c r="G1774" s="66"/>
      <c r="H1774" s="71"/>
      <c r="I1774" s="407"/>
      <c r="J1774" s="408"/>
      <c r="K1774" s="400"/>
      <c r="L1774" s="407"/>
      <c r="M1774" s="64"/>
      <c r="N1774" s="65"/>
      <c r="O1774" s="65"/>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
      </c>
      <c r="Y1774" s="81" t="str">
        <f>IF(AND(OR(N1774="131",O1774="131"),H1774='131-CT'!$H$9),"x","")</f>
        <v/>
      </c>
      <c r="Z1774" s="81"/>
      <c r="AA1774" s="81" t="str">
        <f>IF(AND(MONTH(E1774)='IN-NX'!$J$5,'IN-NX'!$D$7=D1774),"x","")</f>
        <v/>
      </c>
      <c r="AB1774" s="81" t="str">
        <f>IF(AND(OR(LEFT(TH!N1774,2)="15",LEFT(TH!O1774,2)="15"),LEFT(TH!O1774,3)&lt;&gt;"111",'152-CT'!$J$8=TH!F1774),"x","")</f>
        <v/>
      </c>
      <c r="AC1774" s="81" t="str">
        <f>IF(AND(OR(LEFT(TH!N1774,2)="15",LEFT(TH!O1774,2)="15"),TK!$E$7=TH!F1774),"x","")</f>
        <v/>
      </c>
      <c r="AD1774" s="81" t="str">
        <f>IF(AND(N1774="1521",MONTH(C1774)='BK-NL'!$M$11),"x","")</f>
        <v/>
      </c>
    </row>
    <row r="1775" spans="1:30" ht="15.75" customHeight="1">
      <c r="A1775" s="327" t="str">
        <f>IF(B1775&lt;&gt;"",IF(AND(B1775='IN-TC'!$S$4,OR(TH!N1775="1111",TH!O1775="1111")),TH!D1775,""),"")</f>
        <v/>
      </c>
      <c r="B1775" s="62" t="str">
        <f t="shared" si="358"/>
        <v/>
      </c>
      <c r="C1775" s="63"/>
      <c r="D1775" s="63"/>
      <c r="E1775" s="63"/>
      <c r="F1775" s="66"/>
      <c r="G1775" s="66"/>
      <c r="H1775" s="71"/>
      <c r="I1775" s="407"/>
      <c r="J1775" s="408"/>
      <c r="K1775" s="400"/>
      <c r="L1775" s="407"/>
      <c r="M1775" s="64"/>
      <c r="N1775" s="65"/>
      <c r="O1775" s="65"/>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
      </c>
      <c r="Y1775" s="81" t="str">
        <f>IF(AND(OR(N1775="131",O1775="131"),H1775='131-CT'!$H$9),"x","")</f>
        <v/>
      </c>
      <c r="Z1775" s="81"/>
      <c r="AA1775" s="81" t="str">
        <f>IF(AND(MONTH(E1775)='IN-NX'!$J$5,'IN-NX'!$D$7=D1775),"x","")</f>
        <v/>
      </c>
      <c r="AB1775" s="81" t="str">
        <f>IF(AND(OR(LEFT(TH!N1775,2)="15",LEFT(TH!O1775,2)="15"),LEFT(TH!O1775,3)&lt;&gt;"111",'152-CT'!$J$8=TH!F1775),"x","")</f>
        <v/>
      </c>
      <c r="AC1775" s="81" t="str">
        <f>IF(AND(OR(LEFT(TH!N1775,2)="15",LEFT(TH!O1775,2)="15"),TK!$E$7=TH!F1775),"x","")</f>
        <v/>
      </c>
      <c r="AD1775" s="81" t="str">
        <f>IF(AND(N1775="1521",MONTH(C1775)='BK-NL'!$M$11),"x","")</f>
        <v/>
      </c>
    </row>
    <row r="1776" spans="1:30" ht="15.75" customHeight="1">
      <c r="A1776" s="327" t="str">
        <f>IF(B1776&lt;&gt;"",IF(AND(B1776='IN-TC'!$S$4,OR(TH!N1776="1111",TH!O1776="1111")),TH!D1776,""),"")</f>
        <v/>
      </c>
      <c r="B1776" s="62" t="str">
        <f t="shared" ref="B1776:B1797" si="359">IF(C1776&lt;&gt;"",MONTH(C1776),"")</f>
        <v/>
      </c>
      <c r="C1776" s="63"/>
      <c r="D1776" s="63"/>
      <c r="E1776" s="63"/>
      <c r="F1776" s="66"/>
      <c r="G1776" s="66"/>
      <c r="H1776" s="71"/>
      <c r="I1776" s="405"/>
      <c r="J1776" s="408"/>
      <c r="K1776" s="398"/>
      <c r="L1776" s="405"/>
      <c r="M1776" s="64"/>
      <c r="N1776" s="65"/>
      <c r="O1776" s="65"/>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row>
    <row r="1777" spans="1:30" ht="15.75" customHeight="1">
      <c r="A1777" s="327" t="str">
        <f>IF(B1777&lt;&gt;"",IF(AND(B1777='IN-TC'!$S$4,OR(TH!N1777="1111",TH!O1777="1111")),TH!D1777,""),"")</f>
        <v/>
      </c>
      <c r="B1777" s="62" t="str">
        <f t="shared" si="359"/>
        <v/>
      </c>
      <c r="C1777" s="63"/>
      <c r="D1777" s="63"/>
      <c r="E1777" s="63"/>
      <c r="F1777" s="66"/>
      <c r="G1777" s="66"/>
      <c r="H1777" s="71"/>
      <c r="I1777" s="405"/>
      <c r="J1777" s="408"/>
      <c r="K1777" s="398"/>
      <c r="L1777" s="405"/>
      <c r="M1777" s="64"/>
      <c r="N1777" s="65"/>
      <c r="O1777" s="65"/>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
      </c>
      <c r="AC1777" s="81" t="str">
        <f>IF(AND(OR(LEFT(TH!N1777,2)="15",LEFT(TH!O1777,2)="15"),TK!$E$7=TH!F1777),"x","")</f>
        <v/>
      </c>
      <c r="AD1777" s="81" t="str">
        <f>IF(AND(N1777="1521",MONTH(C1777)='BK-NL'!$M$11),"x","")</f>
        <v/>
      </c>
    </row>
    <row r="1778" spans="1:30" ht="15.75" customHeight="1">
      <c r="A1778" s="327" t="str">
        <f>IF(B1778&lt;&gt;"",IF(AND(B1778='IN-TC'!$S$4,OR(TH!N1778="1111",TH!O1778="1111")),TH!D1778,""),"")</f>
        <v/>
      </c>
      <c r="B1778" s="62" t="str">
        <f t="shared" si="359"/>
        <v/>
      </c>
      <c r="C1778" s="63"/>
      <c r="D1778" s="63"/>
      <c r="E1778" s="63"/>
      <c r="F1778" s="66"/>
      <c r="G1778" s="66"/>
      <c r="H1778" s="71"/>
      <c r="I1778" s="405"/>
      <c r="J1778" s="408"/>
      <c r="K1778" s="398"/>
      <c r="L1778" s="405"/>
      <c r="M1778" s="64"/>
      <c r="N1778" s="65"/>
      <c r="O1778" s="65"/>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row>
    <row r="1779" spans="1:30" ht="15.75" customHeight="1">
      <c r="A1779" s="327" t="str">
        <f>IF(B1779&lt;&gt;"",IF(AND(B1779='IN-TC'!$S$4,OR(TH!N1779="1111",TH!O1779="1111")),TH!D1779,""),"")</f>
        <v/>
      </c>
      <c r="B1779" s="62" t="str">
        <f t="shared" si="359"/>
        <v/>
      </c>
      <c r="C1779" s="63"/>
      <c r="D1779" s="63"/>
      <c r="E1779" s="63"/>
      <c r="F1779" s="66"/>
      <c r="G1779" s="66"/>
      <c r="H1779" s="71"/>
      <c r="I1779" s="405"/>
      <c r="J1779" s="408"/>
      <c r="K1779" s="398"/>
      <c r="L1779" s="405"/>
      <c r="M1779" s="64"/>
      <c r="N1779" s="65"/>
      <c r="O1779" s="65"/>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
      </c>
      <c r="AC1779" s="81" t="str">
        <f>IF(AND(OR(LEFT(TH!N1779,2)="15",LEFT(TH!O1779,2)="15"),TK!$E$7=TH!F1779),"x","")</f>
        <v/>
      </c>
      <c r="AD1779" s="81" t="str">
        <f>IF(AND(N1779="1521",MONTH(C1779)='BK-NL'!$M$11),"x","")</f>
        <v/>
      </c>
    </row>
    <row r="1780" spans="1:30" ht="15.75" customHeight="1">
      <c r="A1780" s="327" t="str">
        <f>IF(B1780&lt;&gt;"",IF(AND(B1780='IN-TC'!$S$4,OR(TH!N1780="1111",TH!O1780="1111")),TH!D1780,""),"")</f>
        <v/>
      </c>
      <c r="B1780" s="62" t="str">
        <f t="shared" si="359"/>
        <v/>
      </c>
      <c r="C1780" s="63"/>
      <c r="D1780" s="63"/>
      <c r="E1780" s="63"/>
      <c r="F1780" s="66"/>
      <c r="G1780" s="66"/>
      <c r="H1780" s="71"/>
      <c r="I1780" s="405"/>
      <c r="J1780" s="408"/>
      <c r="K1780" s="398"/>
      <c r="L1780" s="405"/>
      <c r="M1780" s="64"/>
      <c r="N1780" s="65"/>
      <c r="O1780" s="65"/>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row>
    <row r="1781" spans="1:30" ht="15.75" customHeight="1">
      <c r="A1781" s="327" t="str">
        <f>IF(B1781&lt;&gt;"",IF(AND(B1781='IN-TC'!$S$4,OR(TH!N1781="1111",TH!O1781="1111")),TH!D1781,""),"")</f>
        <v/>
      </c>
      <c r="B1781" s="62" t="str">
        <f t="shared" si="359"/>
        <v/>
      </c>
      <c r="C1781" s="63"/>
      <c r="D1781" s="63"/>
      <c r="E1781" s="63"/>
      <c r="F1781" s="66"/>
      <c r="G1781" s="66"/>
      <c r="H1781" s="71"/>
      <c r="I1781" s="405"/>
      <c r="J1781" s="408"/>
      <c r="K1781" s="398"/>
      <c r="L1781" s="405"/>
      <c r="M1781" s="64"/>
      <c r="N1781" s="65"/>
      <c r="O1781" s="65"/>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
      </c>
      <c r="AC1781" s="81" t="str">
        <f>IF(AND(OR(LEFT(TH!N1781,2)="15",LEFT(TH!O1781,2)="15"),TK!$E$7=TH!F1781),"x","")</f>
        <v/>
      </c>
      <c r="AD1781" s="81" t="str">
        <f>IF(AND(N1781="1521",MONTH(C1781)='BK-NL'!$M$11),"x","")</f>
        <v/>
      </c>
    </row>
    <row r="1782" spans="1:30" ht="15.75" customHeight="1">
      <c r="A1782" s="327" t="str">
        <f>IF(B1782&lt;&gt;"",IF(AND(B1782='IN-TC'!$S$4,OR(TH!N1782="1111",TH!O1782="1111")),TH!D1782,""),"")</f>
        <v/>
      </c>
      <c r="B1782" s="62" t="str">
        <f t="shared" si="359"/>
        <v/>
      </c>
      <c r="C1782" s="63"/>
      <c r="D1782" s="63"/>
      <c r="E1782" s="63"/>
      <c r="F1782" s="66"/>
      <c r="G1782" s="66"/>
      <c r="H1782" s="71"/>
      <c r="I1782" s="405"/>
      <c r="J1782" s="408"/>
      <c r="K1782" s="398"/>
      <c r="L1782" s="405"/>
      <c r="M1782" s="64"/>
      <c r="N1782" s="65"/>
      <c r="O1782" s="65"/>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row>
    <row r="1783" spans="1:30" ht="15.75" customHeight="1">
      <c r="A1783" s="327" t="str">
        <f>IF(B1783&lt;&gt;"",IF(AND(B1783='IN-TC'!$S$4,OR(TH!N1783="1111",TH!O1783="1111")),TH!D1783,""),"")</f>
        <v/>
      </c>
      <c r="B1783" s="62" t="str">
        <f t="shared" si="359"/>
        <v/>
      </c>
      <c r="C1783" s="63"/>
      <c r="D1783" s="63"/>
      <c r="E1783" s="63"/>
      <c r="F1783" s="66"/>
      <c r="G1783" s="66"/>
      <c r="H1783" s="71"/>
      <c r="I1783" s="405"/>
      <c r="J1783" s="408"/>
      <c r="K1783" s="398"/>
      <c r="L1783" s="405"/>
      <c r="M1783" s="64"/>
      <c r="N1783" s="65"/>
      <c r="O1783" s="65"/>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
      </c>
      <c r="AC1783" s="81" t="str">
        <f>IF(AND(OR(LEFT(TH!N1783,2)="15",LEFT(TH!O1783,2)="15"),TK!$E$7=TH!F1783),"x","")</f>
        <v/>
      </c>
      <c r="AD1783" s="81" t="str">
        <f>IF(AND(N1783="1521",MONTH(C1783)='BK-NL'!$M$11),"x","")</f>
        <v/>
      </c>
    </row>
    <row r="1784" spans="1:30" ht="15.75" customHeight="1">
      <c r="A1784" s="327" t="str">
        <f>IF(B1784&lt;&gt;"",IF(AND(B1784='IN-TC'!$S$4,OR(TH!N1784="1111",TH!O1784="1111")),TH!D1784,""),"")</f>
        <v/>
      </c>
      <c r="B1784" s="62" t="str">
        <f t="shared" si="359"/>
        <v/>
      </c>
      <c r="C1784" s="63"/>
      <c r="D1784" s="63"/>
      <c r="E1784" s="63"/>
      <c r="F1784" s="66"/>
      <c r="G1784" s="66"/>
      <c r="H1784" s="71"/>
      <c r="I1784" s="405"/>
      <c r="J1784" s="408"/>
      <c r="K1784" s="398"/>
      <c r="L1784" s="405"/>
      <c r="M1784" s="64"/>
      <c r="N1784" s="65"/>
      <c r="O1784" s="65"/>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
      </c>
      <c r="Y1784" s="81" t="str">
        <f>IF(AND(OR(N1784="131",O1784="131"),H1784='131-CT'!$H$9),"x","")</f>
        <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row>
    <row r="1785" spans="1:30" ht="15.75" customHeight="1">
      <c r="A1785" s="327" t="str">
        <f>IF(B1785&lt;&gt;"",IF(AND(B1785='IN-TC'!$S$4,OR(TH!N1785="1111",TH!O1785="1111")),TH!D1785,""),"")</f>
        <v/>
      </c>
      <c r="B1785" s="62" t="str">
        <f t="shared" si="359"/>
        <v/>
      </c>
      <c r="C1785" s="63"/>
      <c r="D1785" s="63"/>
      <c r="E1785" s="63"/>
      <c r="F1785" s="66"/>
      <c r="G1785" s="66"/>
      <c r="H1785" s="71"/>
      <c r="I1785" s="407"/>
      <c r="J1785" s="408"/>
      <c r="K1785" s="400"/>
      <c r="L1785" s="407"/>
      <c r="M1785" s="64"/>
      <c r="N1785" s="65"/>
      <c r="O1785" s="65"/>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
      </c>
      <c r="Z1785" s="81"/>
      <c r="AA1785" s="81" t="str">
        <f>IF(AND(MONTH(E1785)='IN-NX'!$J$5,'IN-NX'!$D$7=D1785),"x","")</f>
        <v/>
      </c>
      <c r="AB1785" s="81" t="str">
        <f>IF(AND(OR(LEFT(TH!N1785,2)="15",LEFT(TH!O1785,2)="15"),LEFT(TH!O1785,3)&lt;&gt;"111",'152-CT'!$J$8=TH!F1785),"x","")</f>
        <v/>
      </c>
      <c r="AC1785" s="81" t="str">
        <f>IF(AND(OR(LEFT(TH!N1785,2)="15",LEFT(TH!O1785,2)="15"),TK!$E$7=TH!F1785),"x","")</f>
        <v/>
      </c>
      <c r="AD1785" s="81" t="str">
        <f>IF(AND(N1785="1521",MONTH(C1785)='BK-NL'!$M$11),"x","")</f>
        <v/>
      </c>
    </row>
    <row r="1786" spans="1:30" ht="15.75" customHeight="1">
      <c r="A1786" s="327" t="str">
        <f>IF(B1786&lt;&gt;"",IF(AND(B1786='IN-TC'!$S$4,OR(TH!N1786="1111",TH!O1786="1111")),TH!D1786,""),"")</f>
        <v/>
      </c>
      <c r="B1786" s="62" t="str">
        <f t="shared" si="359"/>
        <v/>
      </c>
      <c r="C1786" s="63"/>
      <c r="D1786" s="63"/>
      <c r="E1786" s="63"/>
      <c r="F1786" s="66"/>
      <c r="G1786" s="66"/>
      <c r="H1786" s="71"/>
      <c r="I1786" s="407"/>
      <c r="J1786" s="408"/>
      <c r="K1786" s="400"/>
      <c r="L1786" s="407"/>
      <c r="M1786" s="64"/>
      <c r="N1786" s="65"/>
      <c r="O1786" s="65"/>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
      </c>
      <c r="Y1786" s="81" t="str">
        <f>IF(AND(OR(N1786="131",O1786="131"),H1786='131-CT'!$H$9),"x","")</f>
        <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row>
    <row r="1787" spans="1:30" ht="15.75" customHeight="1">
      <c r="A1787" s="327" t="str">
        <f>IF(B1787&lt;&gt;"",IF(AND(B1787='IN-TC'!$S$4,OR(TH!N1787="1111",TH!O1787="1111")),TH!D1787,""),"")</f>
        <v/>
      </c>
      <c r="B1787" s="62" t="str">
        <f t="shared" si="359"/>
        <v/>
      </c>
      <c r="C1787" s="63"/>
      <c r="D1787" s="63"/>
      <c r="E1787" s="63"/>
      <c r="F1787" s="66"/>
      <c r="G1787" s="66"/>
      <c r="H1787" s="71"/>
      <c r="I1787" s="405"/>
      <c r="J1787" s="408"/>
      <c r="K1787" s="398"/>
      <c r="L1787" s="405"/>
      <c r="M1787" s="64"/>
      <c r="N1787" s="65"/>
      <c r="O1787" s="65"/>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
      </c>
      <c r="AC1787" s="81" t="str">
        <f>IF(AND(OR(LEFT(TH!N1787,2)="15",LEFT(TH!O1787,2)="15"),TK!$E$7=TH!F1787),"x","")</f>
        <v/>
      </c>
      <c r="AD1787" s="81" t="str">
        <f>IF(AND(N1787="1521",MONTH(C1787)='BK-NL'!$M$11),"x","")</f>
        <v/>
      </c>
    </row>
    <row r="1788" spans="1:30" ht="15.75" customHeight="1">
      <c r="A1788" s="327" t="str">
        <f>IF(B1788&lt;&gt;"",IF(AND(B1788='IN-TC'!$S$4,OR(TH!N1788="1111",TH!O1788="1111")),TH!D1788,""),"")</f>
        <v/>
      </c>
      <c r="B1788" s="62" t="str">
        <f t="shared" si="359"/>
        <v/>
      </c>
      <c r="C1788" s="63"/>
      <c r="D1788" s="63"/>
      <c r="E1788" s="63"/>
      <c r="F1788" s="66"/>
      <c r="G1788" s="66"/>
      <c r="H1788" s="71"/>
      <c r="I1788" s="405"/>
      <c r="J1788" s="408"/>
      <c r="K1788" s="398"/>
      <c r="L1788" s="405"/>
      <c r="M1788" s="64"/>
      <c r="N1788" s="65"/>
      <c r="O1788" s="65"/>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row>
    <row r="1789" spans="1:30" ht="15.75" customHeight="1">
      <c r="A1789" s="327" t="str">
        <f>IF(B1789&lt;&gt;"",IF(AND(B1789='IN-TC'!$S$4,OR(TH!N1789="1111",TH!O1789="1111")),TH!D1789,""),"")</f>
        <v/>
      </c>
      <c r="B1789" s="62" t="str">
        <f t="shared" si="359"/>
        <v/>
      </c>
      <c r="C1789" s="63"/>
      <c r="D1789" s="63"/>
      <c r="E1789" s="63"/>
      <c r="F1789" s="66"/>
      <c r="G1789" s="66"/>
      <c r="H1789" s="71"/>
      <c r="I1789" s="405"/>
      <c r="J1789" s="408"/>
      <c r="K1789" s="398"/>
      <c r="L1789" s="405"/>
      <c r="M1789" s="64"/>
      <c r="N1789" s="65"/>
      <c r="O1789" s="65"/>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
      </c>
      <c r="AC1789" s="81" t="str">
        <f>IF(AND(OR(LEFT(TH!N1789,2)="15",LEFT(TH!O1789,2)="15"),TK!$E$7=TH!F1789),"x","")</f>
        <v/>
      </c>
      <c r="AD1789" s="81" t="str">
        <f>IF(AND(N1789="1521",MONTH(C1789)='BK-NL'!$M$11),"x","")</f>
        <v/>
      </c>
    </row>
    <row r="1790" spans="1:30" ht="15.75" customHeight="1">
      <c r="A1790" s="327" t="str">
        <f>IF(B1790&lt;&gt;"",IF(AND(B1790='IN-TC'!$S$4,OR(TH!N1790="1111",TH!O1790="1111")),TH!D1790,""),"")</f>
        <v/>
      </c>
      <c r="B1790" s="62" t="str">
        <f t="shared" si="359"/>
        <v/>
      </c>
      <c r="C1790" s="63"/>
      <c r="D1790" s="63"/>
      <c r="E1790" s="63"/>
      <c r="F1790" s="66"/>
      <c r="G1790" s="66"/>
      <c r="H1790" s="71"/>
      <c r="I1790" s="405"/>
      <c r="J1790" s="408"/>
      <c r="K1790" s="398"/>
      <c r="L1790" s="405"/>
      <c r="M1790" s="64"/>
      <c r="N1790" s="65"/>
      <c r="O1790" s="65"/>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row>
    <row r="1791" spans="1:30" ht="15.75" customHeight="1">
      <c r="A1791" s="327" t="str">
        <f>IF(B1791&lt;&gt;"",IF(AND(B1791='IN-TC'!$S$4,OR(TH!N1791="1111",TH!O1791="1111")),TH!D1791,""),"")</f>
        <v/>
      </c>
      <c r="B1791" s="62" t="str">
        <f t="shared" si="359"/>
        <v/>
      </c>
      <c r="C1791" s="63"/>
      <c r="D1791" s="63"/>
      <c r="E1791" s="63"/>
      <c r="F1791" s="66"/>
      <c r="G1791" s="66"/>
      <c r="H1791" s="71"/>
      <c r="I1791" s="405"/>
      <c r="J1791" s="408"/>
      <c r="K1791" s="398"/>
      <c r="L1791" s="405"/>
      <c r="M1791" s="64"/>
      <c r="N1791" s="65"/>
      <c r="O1791" s="65"/>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
      </c>
      <c r="AC1791" s="81" t="str">
        <f>IF(AND(OR(LEFT(TH!N1791,2)="15",LEFT(TH!O1791,2)="15"),TK!$E$7=TH!F1791),"x","")</f>
        <v/>
      </c>
      <c r="AD1791" s="81" t="str">
        <f>IF(AND(N1791="1521",MONTH(C1791)='BK-NL'!$M$11),"x","")</f>
        <v/>
      </c>
    </row>
    <row r="1792" spans="1:30" ht="15.75" customHeight="1">
      <c r="A1792" s="327" t="str">
        <f>IF(B1792&lt;&gt;"",IF(AND(B1792='IN-TC'!$S$4,OR(TH!N1792="1111",TH!O1792="1111")),TH!D1792,""),"")</f>
        <v/>
      </c>
      <c r="B1792" s="62" t="str">
        <f t="shared" si="359"/>
        <v/>
      </c>
      <c r="C1792" s="63"/>
      <c r="D1792" s="63"/>
      <c r="E1792" s="63"/>
      <c r="F1792" s="66"/>
      <c r="G1792" s="66"/>
      <c r="H1792" s="71"/>
      <c r="I1792" s="405"/>
      <c r="J1792" s="408"/>
      <c r="K1792" s="398"/>
      <c r="L1792" s="405"/>
      <c r="M1792" s="64"/>
      <c r="N1792" s="65"/>
      <c r="O1792" s="65"/>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row>
    <row r="1793" spans="1:30" ht="15.75" customHeight="1">
      <c r="A1793" s="327" t="str">
        <f>IF(B1793&lt;&gt;"",IF(AND(B1793='IN-TC'!$S$4,OR(TH!N1793="1111",TH!O1793="1111")),TH!D1793,""),"")</f>
        <v/>
      </c>
      <c r="B1793" s="62" t="str">
        <f t="shared" si="359"/>
        <v/>
      </c>
      <c r="C1793" s="63"/>
      <c r="D1793" s="63"/>
      <c r="E1793" s="63"/>
      <c r="F1793" s="66"/>
      <c r="G1793" s="66"/>
      <c r="H1793" s="71"/>
      <c r="I1793" s="405"/>
      <c r="J1793" s="408"/>
      <c r="K1793" s="398"/>
      <c r="L1793" s="405"/>
      <c r="M1793" s="64"/>
      <c r="N1793" s="65"/>
      <c r="O1793" s="65"/>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row>
    <row r="1794" spans="1:30" ht="15.75" customHeight="1">
      <c r="A1794" s="327" t="str">
        <f>IF(B1794&lt;&gt;"",IF(AND(B1794='IN-TC'!$S$4,OR(TH!N1794="1111",TH!O1794="1111")),TH!D1794,""),"")</f>
        <v/>
      </c>
      <c r="B1794" s="62" t="str">
        <f t="shared" si="359"/>
        <v/>
      </c>
      <c r="C1794" s="63"/>
      <c r="D1794" s="63"/>
      <c r="E1794" s="63"/>
      <c r="F1794" s="66"/>
      <c r="G1794" s="66"/>
      <c r="H1794" s="71"/>
      <c r="I1794" s="405"/>
      <c r="J1794" s="408"/>
      <c r="K1794" s="398"/>
      <c r="L1794" s="405"/>
      <c r="M1794" s="64"/>
      <c r="N1794" s="65"/>
      <c r="O1794" s="65"/>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row>
    <row r="1795" spans="1:30" ht="15.75" customHeight="1">
      <c r="A1795" s="327" t="str">
        <f>IF(B1795&lt;&gt;"",IF(AND(B1795='IN-TC'!$S$4,OR(TH!N1795="1111",TH!O1795="1111")),TH!D1795,""),"")</f>
        <v/>
      </c>
      <c r="B1795" s="62" t="str">
        <f t="shared" si="359"/>
        <v/>
      </c>
      <c r="C1795" s="63"/>
      <c r="D1795" s="63"/>
      <c r="E1795" s="63"/>
      <c r="F1795" s="66"/>
      <c r="G1795" s="66"/>
      <c r="H1795" s="71"/>
      <c r="I1795" s="405"/>
      <c r="J1795" s="408"/>
      <c r="K1795" s="398"/>
      <c r="L1795" s="405"/>
      <c r="M1795" s="64"/>
      <c r="N1795" s="65"/>
      <c r="O1795" s="65"/>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
      </c>
      <c r="AC1795" s="81" t="str">
        <f>IF(AND(OR(LEFT(TH!N1795,2)="15",LEFT(TH!O1795,2)="15"),TK!$E$7=TH!F1795),"x","")</f>
        <v/>
      </c>
      <c r="AD1795" s="81" t="str">
        <f>IF(AND(N1795="1521",MONTH(C1795)='BK-NL'!$M$11),"x","")</f>
        <v/>
      </c>
    </row>
    <row r="1796" spans="1:30" ht="15.75" customHeight="1">
      <c r="A1796" s="327" t="str">
        <f>IF(B1796&lt;&gt;"",IF(AND(B1796='IN-TC'!$S$4,OR(TH!N1796="1111",TH!O1796="1111")),TH!D1796,""),"")</f>
        <v/>
      </c>
      <c r="B1796" s="62" t="str">
        <f t="shared" si="359"/>
        <v/>
      </c>
      <c r="C1796" s="63"/>
      <c r="D1796" s="63"/>
      <c r="E1796" s="63"/>
      <c r="F1796" s="66"/>
      <c r="G1796" s="66"/>
      <c r="H1796" s="71"/>
      <c r="I1796" s="407"/>
      <c r="J1796" s="408"/>
      <c r="K1796" s="400"/>
      <c r="L1796" s="407"/>
      <c r="M1796" s="64"/>
      <c r="N1796" s="65"/>
      <c r="O1796" s="65"/>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row>
    <row r="1797" spans="1:30" ht="15.75" customHeight="1">
      <c r="A1797" s="327" t="str">
        <f>IF(B1797&lt;&gt;"",IF(AND(B1797='IN-TC'!$S$4,OR(TH!N1797="1111",TH!O1797="1111")),TH!D1797,""),"")</f>
        <v/>
      </c>
      <c r="B1797" s="62" t="str">
        <f t="shared" si="359"/>
        <v/>
      </c>
      <c r="C1797" s="63"/>
      <c r="D1797" s="63"/>
      <c r="E1797" s="63"/>
      <c r="F1797" s="66"/>
      <c r="G1797" s="66"/>
      <c r="H1797" s="71"/>
      <c r="I1797" s="407"/>
      <c r="J1797" s="408"/>
      <c r="K1797" s="400"/>
      <c r="L1797" s="407"/>
      <c r="M1797" s="64"/>
      <c r="N1797" s="65"/>
      <c r="O1797" s="65"/>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
      </c>
      <c r="Y1797" s="81" t="str">
        <f>IF(AND(OR(N1797="131",O1797="131"),H1797='131-CT'!$H$9),"x","")</f>
        <v/>
      </c>
      <c r="Z1797" s="81"/>
      <c r="AA1797" s="81" t="str">
        <f>IF(AND(MONTH(E1797)='IN-NX'!$J$5,'IN-NX'!$D$7=D1797),"x","")</f>
        <v/>
      </c>
      <c r="AB1797" s="81" t="str">
        <f>IF(AND(OR(LEFT(TH!N1797,2)="15",LEFT(TH!O1797,2)="15"),LEFT(TH!O1797,3)&lt;&gt;"111",'152-CT'!$J$8=TH!F1797),"x","")</f>
        <v/>
      </c>
      <c r="AC1797" s="81" t="str">
        <f>IF(AND(OR(LEFT(TH!N1797,2)="15",LEFT(TH!O1797,2)="15"),TK!$E$7=TH!F1797),"x","")</f>
        <v/>
      </c>
      <c r="AD1797" s="81" t="str">
        <f>IF(AND(N1797="1521",MONTH(C1797)='BK-NL'!$M$11),"x","")</f>
        <v/>
      </c>
    </row>
    <row r="1798" spans="1:30" ht="15.75" customHeight="1">
      <c r="A1798" s="327" t="str">
        <f>IF(B1798&lt;&gt;"",IF(AND(B1798='IN-TC'!$S$4,OR(TH!N1798="1111",TH!O1798="1111")),TH!D1798,""),"")</f>
        <v/>
      </c>
      <c r="B1798" s="62" t="str">
        <f t="shared" si="357"/>
        <v/>
      </c>
      <c r="C1798" s="63"/>
      <c r="D1798" s="63"/>
      <c r="E1798" s="63"/>
      <c r="F1798" s="66"/>
      <c r="G1798" s="66"/>
      <c r="H1798" s="72"/>
      <c r="I1798" s="405"/>
      <c r="J1798" s="408"/>
      <c r="K1798" s="398"/>
      <c r="L1798" s="405"/>
      <c r="M1798" s="64"/>
      <c r="N1798" s="65"/>
      <c r="O1798" s="65"/>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
      </c>
      <c r="Y1798" s="81" t="str">
        <f>IF(AND(OR(N1798="131",O1798="131"),H1798='131-CT'!$H$9),"x","")</f>
        <v/>
      </c>
      <c r="Z1798" s="81"/>
      <c r="AA1798" s="81" t="str">
        <f>IF(AND(MONTH(E1798)='IN-NX'!$J$5,'IN-NX'!$D$7=D1798),"x","")</f>
        <v/>
      </c>
      <c r="AB1798" s="81" t="str">
        <f>IF(AND(OR(LEFT(TH!N1798,2)="15",LEFT(TH!O1798,2)="15"),LEFT(TH!O1798,3)&lt;&gt;"111",'152-CT'!$J$8=TH!F1798),"x","")</f>
        <v/>
      </c>
      <c r="AC1798" s="81" t="str">
        <f>IF(AND(OR(LEFT(TH!N1798,2)="15",LEFT(TH!O1798,2)="15"),TK!$E$7=TH!F1798),"x","")</f>
        <v/>
      </c>
      <c r="AD1798" s="81" t="str">
        <f>IF(AND(N1798="1521",MONTH(C1798)='BK-NL'!$M$11),"x","")</f>
        <v/>
      </c>
    </row>
    <row r="1799" spans="1:30" ht="15.75" customHeight="1">
      <c r="A1799" s="327" t="str">
        <f>IF(B1799&lt;&gt;"",IF(AND(B1799='IN-TC'!$S$4,OR(TH!N1799="1111",TH!O1799="1111")),TH!D1799,""),"")</f>
        <v/>
      </c>
      <c r="B1799" s="62" t="str">
        <f t="shared" si="357"/>
        <v/>
      </c>
      <c r="C1799" s="63"/>
      <c r="D1799" s="63"/>
      <c r="E1799" s="63"/>
      <c r="F1799" s="66"/>
      <c r="G1799" s="66"/>
      <c r="H1799" s="71"/>
      <c r="I1799" s="405"/>
      <c r="J1799" s="408"/>
      <c r="K1799" s="398"/>
      <c r="L1799" s="405"/>
      <c r="M1799" s="64"/>
      <c r="N1799" s="65"/>
      <c r="O1799" s="65"/>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
      </c>
      <c r="Y1799" s="81" t="str">
        <f>IF(AND(OR(N1799="131",O1799="131"),H1799='131-CT'!$H$9),"x","")</f>
        <v/>
      </c>
      <c r="Z1799" s="81"/>
      <c r="AA1799" s="81" t="str">
        <f>IF(AND(MONTH(E1799)='IN-NX'!$J$5,'IN-NX'!$D$7=D1799),"x","")</f>
        <v/>
      </c>
      <c r="AB1799" s="81" t="str">
        <f>IF(AND(OR(LEFT(TH!N1799,2)="15",LEFT(TH!O1799,2)="15"),LEFT(TH!O1799,3)&lt;&gt;"111",'152-CT'!$J$8=TH!F1799),"x","")</f>
        <v/>
      </c>
      <c r="AC1799" s="81" t="str">
        <f>IF(AND(OR(LEFT(TH!N1799,2)="15",LEFT(TH!O1799,2)="15"),TK!$E$7=TH!F1799),"x","")</f>
        <v/>
      </c>
      <c r="AD1799" s="81" t="str">
        <f>IF(AND(N1799="1521",MONTH(C1799)='BK-NL'!$M$11),"x","")</f>
        <v/>
      </c>
    </row>
    <row r="1800" spans="1:30" ht="15.75" customHeight="1">
      <c r="A1800" s="327" t="str">
        <f>IF(B1800&lt;&gt;"",IF(AND(B1800='IN-TC'!$S$4,OR(TH!N1800="1111",TH!O1800="1111")),TH!D1800,""),"")</f>
        <v/>
      </c>
      <c r="B1800" s="62" t="str">
        <f t="shared" si="357"/>
        <v/>
      </c>
      <c r="C1800" s="63"/>
      <c r="D1800" s="63"/>
      <c r="E1800" s="63"/>
      <c r="F1800" s="66"/>
      <c r="G1800" s="66"/>
      <c r="H1800" s="71"/>
      <c r="I1800" s="405"/>
      <c r="J1800" s="408"/>
      <c r="K1800" s="398"/>
      <c r="L1800" s="405"/>
      <c r="M1800" s="64"/>
      <c r="N1800" s="65"/>
      <c r="O1800" s="65"/>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
      </c>
      <c r="Y1800" s="81" t="str">
        <f>IF(AND(OR(N1800="131",O1800="131"),H1800='131-CT'!$H$9),"x","")</f>
        <v/>
      </c>
      <c r="Z1800" s="81"/>
      <c r="AA1800" s="81" t="str">
        <f>IF(AND(MONTH(E1800)='IN-NX'!$J$5,'IN-NX'!$D$7=D1800),"x","")</f>
        <v/>
      </c>
      <c r="AB1800" s="81" t="str">
        <f>IF(AND(OR(LEFT(TH!N1800,2)="15",LEFT(TH!O1800,2)="15"),LEFT(TH!O1800,3)&lt;&gt;"111",'152-CT'!$J$8=TH!F1800),"x","")</f>
        <v/>
      </c>
      <c r="AC1800" s="81" t="str">
        <f>IF(AND(OR(LEFT(TH!N1800,2)="15",LEFT(TH!O1800,2)="15"),TK!$E$7=TH!F1800),"x","")</f>
        <v/>
      </c>
      <c r="AD1800" s="81" t="str">
        <f>IF(AND(N1800="1521",MONTH(C1800)='BK-NL'!$M$11),"x","")</f>
        <v/>
      </c>
    </row>
    <row r="1801" spans="1:30" ht="15.75" customHeight="1">
      <c r="A1801" s="327" t="str">
        <f>IF(B1801&lt;&gt;"",IF(AND(B1801='IN-TC'!$S$4,OR(TH!N1801="1111",TH!O1801="1111")),TH!D1801,""),"")</f>
        <v/>
      </c>
      <c r="B1801" s="62" t="str">
        <f t="shared" si="357"/>
        <v/>
      </c>
      <c r="C1801" s="63"/>
      <c r="D1801" s="63"/>
      <c r="E1801" s="63"/>
      <c r="F1801" s="66"/>
      <c r="G1801" s="66"/>
      <c r="H1801" s="71"/>
      <c r="I1801" s="405"/>
      <c r="J1801" s="408"/>
      <c r="K1801" s="398"/>
      <c r="L1801" s="405"/>
      <c r="M1801" s="64"/>
      <c r="N1801" s="65"/>
      <c r="O1801" s="65"/>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row>
    <row r="1802" spans="1:30" ht="15.75" customHeight="1">
      <c r="A1802" s="327" t="str">
        <f>IF(B1802&lt;&gt;"",IF(AND(B1802='IN-TC'!$S$4,OR(TH!N1802="1111",TH!O1802="1111")),TH!D1802,""),"")</f>
        <v/>
      </c>
      <c r="B1802" s="62" t="str">
        <f t="shared" si="357"/>
        <v/>
      </c>
      <c r="C1802" s="63"/>
      <c r="D1802" s="63"/>
      <c r="E1802" s="63"/>
      <c r="F1802" s="66"/>
      <c r="G1802" s="66"/>
      <c r="H1802" s="71"/>
      <c r="I1802" s="405"/>
      <c r="J1802" s="408"/>
      <c r="K1802" s="398"/>
      <c r="L1802" s="405"/>
      <c r="M1802" s="64"/>
      <c r="N1802" s="65"/>
      <c r="O1802" s="65"/>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
      </c>
      <c r="Y1802" s="81" t="str">
        <f>IF(AND(OR(N1802="131",O1802="131"),H1802='131-CT'!$H$9),"x","")</f>
        <v/>
      </c>
      <c r="Z1802" s="81"/>
      <c r="AA1802" s="81" t="str">
        <f>IF(AND(MONTH(E1802)='IN-NX'!$J$5,'IN-NX'!$D$7=D1802),"x","")</f>
        <v/>
      </c>
      <c r="AB1802" s="81" t="str">
        <f>IF(AND(OR(LEFT(TH!N1802,2)="15",LEFT(TH!O1802,2)="15"),LEFT(TH!O1802,3)&lt;&gt;"111",'152-CT'!$J$8=TH!F1802),"x","")</f>
        <v/>
      </c>
      <c r="AC1802" s="81" t="str">
        <f>IF(AND(OR(LEFT(TH!N1802,2)="15",LEFT(TH!O1802,2)="15"),TK!$E$7=TH!F1802),"x","")</f>
        <v/>
      </c>
      <c r="AD1802" s="81" t="str">
        <f>IF(AND(N1802="1521",MONTH(C1802)='BK-NL'!$M$11),"x","")</f>
        <v/>
      </c>
    </row>
    <row r="1803" spans="1:30" ht="15.75" customHeight="1">
      <c r="A1803" s="327" t="str">
        <f>IF(B1803&lt;&gt;"",IF(AND(B1803='IN-TC'!$S$4,OR(TH!N1803="1111",TH!O1803="1111")),TH!D1803,""),"")</f>
        <v/>
      </c>
      <c r="B1803" s="62" t="str">
        <f t="shared" si="357"/>
        <v/>
      </c>
      <c r="C1803" s="63"/>
      <c r="D1803" s="63"/>
      <c r="E1803" s="63"/>
      <c r="F1803" s="66"/>
      <c r="G1803" s="66"/>
      <c r="H1803" s="71"/>
      <c r="I1803" s="405"/>
      <c r="J1803" s="408"/>
      <c r="K1803" s="398"/>
      <c r="L1803" s="405"/>
      <c r="M1803" s="64"/>
      <c r="N1803" s="65"/>
      <c r="O1803" s="65"/>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
      </c>
      <c r="Y1803" s="81" t="str">
        <f>IF(AND(OR(N1803="131",O1803="131"),H1803='131-CT'!$H$9),"x","")</f>
        <v/>
      </c>
      <c r="Z1803" s="81"/>
      <c r="AA1803" s="81" t="str">
        <f>IF(AND(MONTH(E1803)='IN-NX'!$J$5,'IN-NX'!$D$7=D1803),"x","")</f>
        <v/>
      </c>
      <c r="AB1803" s="81" t="str">
        <f>IF(AND(OR(LEFT(TH!N1803,2)="15",LEFT(TH!O1803,2)="15"),LEFT(TH!O1803,3)&lt;&gt;"111",'152-CT'!$J$8=TH!F1803),"x","")</f>
        <v/>
      </c>
      <c r="AC1803" s="81" t="str">
        <f>IF(AND(OR(LEFT(TH!N1803,2)="15",LEFT(TH!O1803,2)="15"),TK!$E$7=TH!F1803),"x","")</f>
        <v/>
      </c>
      <c r="AD1803" s="81" t="str">
        <f>IF(AND(N1803="1521",MONTH(C1803)='BK-NL'!$M$11),"x","")</f>
        <v/>
      </c>
    </row>
    <row r="1804" spans="1:30" ht="15.75" customHeight="1">
      <c r="A1804" s="327" t="str">
        <f>IF(B1804&lt;&gt;"",IF(AND(B1804='IN-TC'!$S$4,OR(TH!N1804="1111",TH!O1804="1111")),TH!D1804,""),"")</f>
        <v/>
      </c>
      <c r="B1804" s="62" t="str">
        <f t="shared" si="357"/>
        <v/>
      </c>
      <c r="C1804" s="63"/>
      <c r="D1804" s="63"/>
      <c r="E1804" s="63"/>
      <c r="F1804" s="66"/>
      <c r="G1804" s="66"/>
      <c r="H1804" s="71"/>
      <c r="I1804" s="405"/>
      <c r="J1804" s="408"/>
      <c r="K1804" s="398"/>
      <c r="L1804" s="405"/>
      <c r="M1804" s="64"/>
      <c r="N1804" s="65"/>
      <c r="O1804" s="65"/>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row>
    <row r="1805" spans="1:30" ht="15.75" customHeight="1">
      <c r="A1805" s="327" t="str">
        <f>IF(B1805&lt;&gt;"",IF(AND(B1805='IN-TC'!$S$4,OR(TH!N1805="1111",TH!O1805="1111")),TH!D1805,""),"")</f>
        <v/>
      </c>
      <c r="B1805" s="62" t="str">
        <f t="shared" si="357"/>
        <v/>
      </c>
      <c r="C1805" s="63"/>
      <c r="D1805" s="63"/>
      <c r="E1805" s="63"/>
      <c r="F1805" s="66"/>
      <c r="G1805" s="66"/>
      <c r="H1805" s="71"/>
      <c r="I1805" s="405"/>
      <c r="J1805" s="408"/>
      <c r="K1805" s="398"/>
      <c r="L1805" s="405"/>
      <c r="M1805" s="64"/>
      <c r="N1805" s="65"/>
      <c r="O1805" s="65"/>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
      </c>
      <c r="AC1805" s="81" t="str">
        <f>IF(AND(OR(LEFT(TH!N1805,2)="15",LEFT(TH!O1805,2)="15"),TK!$E$7=TH!F1805),"x","")</f>
        <v/>
      </c>
      <c r="AD1805" s="81" t="str">
        <f>IF(AND(N1805="1521",MONTH(C1805)='BK-NL'!$M$11),"x","")</f>
        <v/>
      </c>
    </row>
    <row r="1806" spans="1:30" ht="15.75" customHeight="1">
      <c r="A1806" s="327" t="str">
        <f>IF(B1806&lt;&gt;"",IF(AND(B1806='IN-TC'!$S$4,OR(TH!N1806="1111",TH!O1806="1111")),TH!D1806,""),"")</f>
        <v/>
      </c>
      <c r="B1806" s="62" t="str">
        <f t="shared" si="357"/>
        <v/>
      </c>
      <c r="C1806" s="63"/>
      <c r="D1806" s="63"/>
      <c r="E1806" s="63"/>
      <c r="F1806" s="66"/>
      <c r="G1806" s="66"/>
      <c r="H1806" s="72"/>
      <c r="I1806" s="405"/>
      <c r="J1806" s="408"/>
      <c r="K1806" s="398"/>
      <c r="L1806" s="405"/>
      <c r="M1806" s="64"/>
      <c r="N1806" s="65"/>
      <c r="O1806" s="65"/>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row>
    <row r="1807" spans="1:30" ht="15.75" customHeight="1">
      <c r="A1807" s="327" t="str">
        <f>IF(B1807&lt;&gt;"",IF(AND(B1807='IN-TC'!$S$4,OR(TH!N1807="1111",TH!O1807="1111")),TH!D1807,""),"")</f>
        <v/>
      </c>
      <c r="B1807" s="62" t="str">
        <f t="shared" si="357"/>
        <v/>
      </c>
      <c r="C1807" s="63"/>
      <c r="D1807" s="63"/>
      <c r="E1807" s="63"/>
      <c r="F1807" s="66"/>
      <c r="G1807" s="66"/>
      <c r="H1807" s="71"/>
      <c r="I1807" s="405"/>
      <c r="J1807" s="408"/>
      <c r="K1807" s="398"/>
      <c r="L1807" s="405"/>
      <c r="M1807" s="64"/>
      <c r="N1807" s="65"/>
      <c r="O1807" s="65"/>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
      </c>
      <c r="AC1807" s="81" t="str">
        <f>IF(AND(OR(LEFT(TH!N1807,2)="15",LEFT(TH!O1807,2)="15"),TK!$E$7=TH!F1807),"x","")</f>
        <v/>
      </c>
      <c r="AD1807" s="81" t="str">
        <f>IF(AND(N1807="1521",MONTH(C1807)='BK-NL'!$M$11),"x","")</f>
        <v/>
      </c>
    </row>
    <row r="1808" spans="1:30" ht="15.75" customHeight="1">
      <c r="A1808" s="327" t="str">
        <f>IF(B1808&lt;&gt;"",IF(AND(B1808='IN-TC'!$S$4,OR(TH!N1808="1111",TH!O1808="1111")),TH!D1808,""),"")</f>
        <v/>
      </c>
      <c r="B1808" s="62" t="str">
        <f t="shared" si="357"/>
        <v/>
      </c>
      <c r="C1808" s="63"/>
      <c r="D1808" s="63"/>
      <c r="E1808" s="63"/>
      <c r="F1808" s="66"/>
      <c r="G1808" s="66"/>
      <c r="H1808" s="71"/>
      <c r="I1808" s="407"/>
      <c r="J1808" s="408"/>
      <c r="K1808" s="400"/>
      <c r="L1808" s="407"/>
      <c r="M1808" s="64"/>
      <c r="N1808" s="65"/>
      <c r="O1808" s="65"/>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row>
    <row r="1809" spans="1:30" ht="15.75" customHeight="1">
      <c r="A1809" s="327" t="str">
        <f>IF(B1809&lt;&gt;"",IF(AND(B1809='IN-TC'!$S$4,OR(TH!N1809="1111",TH!O1809="1111")),TH!D1809,""),"")</f>
        <v/>
      </c>
      <c r="B1809" s="62" t="str">
        <f t="shared" si="357"/>
        <v/>
      </c>
      <c r="C1809" s="63"/>
      <c r="D1809" s="63"/>
      <c r="E1809" s="63"/>
      <c r="F1809" s="66"/>
      <c r="G1809" s="66"/>
      <c r="H1809" s="71"/>
      <c r="I1809" s="407"/>
      <c r="J1809" s="408"/>
      <c r="K1809" s="400"/>
      <c r="L1809" s="407"/>
      <c r="M1809" s="64"/>
      <c r="N1809" s="65"/>
      <c r="O1809" s="65"/>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
      </c>
      <c r="Y1809" s="81" t="str">
        <f>IF(AND(OR(N1809="131",O1809="131"),H1809='131-CT'!$H$9),"x","")</f>
        <v/>
      </c>
      <c r="Z1809" s="81"/>
      <c r="AA1809" s="81" t="str">
        <f>IF(AND(MONTH(E1809)='IN-NX'!$J$5,'IN-NX'!$D$7=D1809),"x","")</f>
        <v/>
      </c>
      <c r="AB1809" s="81" t="str">
        <f>IF(AND(OR(LEFT(TH!N1809,2)="15",LEFT(TH!O1809,2)="15"),LEFT(TH!O1809,3)&lt;&gt;"111",'152-CT'!$J$8=TH!F1809),"x","")</f>
        <v/>
      </c>
      <c r="AC1809" s="81" t="str">
        <f>IF(AND(OR(LEFT(TH!N1809,2)="15",LEFT(TH!O1809,2)="15"),TK!$E$7=TH!F1809),"x","")</f>
        <v/>
      </c>
      <c r="AD1809" s="81" t="str">
        <f>IF(AND(N1809="1521",MONTH(C1809)='BK-NL'!$M$11),"x","")</f>
        <v/>
      </c>
    </row>
    <row r="1810" spans="1:30" ht="15.75" customHeight="1">
      <c r="A1810" s="327" t="str">
        <f>IF(B1810&lt;&gt;"",IF(AND(B1810='IN-TC'!$S$4,OR(TH!N1810="1111",TH!O1810="1111")),TH!D1810,""),"")</f>
        <v/>
      </c>
      <c r="B1810" s="62" t="str">
        <f t="shared" si="357"/>
        <v/>
      </c>
      <c r="C1810" s="63"/>
      <c r="D1810" s="63"/>
      <c r="E1810" s="63"/>
      <c r="F1810" s="66"/>
      <c r="G1810" s="66"/>
      <c r="H1810" s="71"/>
      <c r="I1810" s="407"/>
      <c r="J1810" s="408"/>
      <c r="K1810" s="400"/>
      <c r="L1810" s="407"/>
      <c r="M1810" s="64"/>
      <c r="N1810" s="65"/>
      <c r="O1810" s="65"/>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row>
    <row r="1811" spans="1:30" ht="15.75" customHeight="1">
      <c r="A1811" s="327" t="str">
        <f>IF(B1811&lt;&gt;"",IF(AND(B1811='IN-TC'!$S$4,OR(TH!N1811="1111",TH!O1811="1111")),TH!D1811,""),"")</f>
        <v/>
      </c>
      <c r="B1811" s="62" t="str">
        <f t="shared" si="357"/>
        <v/>
      </c>
      <c r="C1811" s="63"/>
      <c r="D1811" s="63"/>
      <c r="E1811" s="63"/>
      <c r="F1811" s="66"/>
      <c r="G1811" s="66"/>
      <c r="H1811" s="72"/>
      <c r="I1811" s="405"/>
      <c r="J1811" s="408"/>
      <c r="K1811" s="398"/>
      <c r="L1811" s="405"/>
      <c r="M1811" s="64"/>
      <c r="N1811" s="65"/>
      <c r="O1811" s="65"/>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
      </c>
      <c r="Y1811" s="81" t="str">
        <f>IF(AND(OR(N1811="131",O1811="131"),H1811='131-CT'!$H$9),"x","")</f>
        <v/>
      </c>
      <c r="Z1811" s="81"/>
      <c r="AA1811" s="81" t="str">
        <f>IF(AND(MONTH(E1811)='IN-NX'!$J$5,'IN-NX'!$D$7=D1811),"x","")</f>
        <v/>
      </c>
      <c r="AB1811" s="81" t="str">
        <f>IF(AND(OR(LEFT(TH!N1811,2)="15",LEFT(TH!O1811,2)="15"),LEFT(TH!O1811,3)&lt;&gt;"111",'152-CT'!$J$8=TH!F1811),"x","")</f>
        <v/>
      </c>
      <c r="AC1811" s="81" t="str">
        <f>IF(AND(OR(LEFT(TH!N1811,2)="15",LEFT(TH!O1811,2)="15"),TK!$E$7=TH!F1811),"x","")</f>
        <v/>
      </c>
      <c r="AD1811" s="81" t="str">
        <f>IF(AND(N1811="1521",MONTH(C1811)='BK-NL'!$M$11),"x","")</f>
        <v/>
      </c>
    </row>
    <row r="1812" spans="1:30" ht="15.75" customHeight="1">
      <c r="A1812" s="327" t="str">
        <f>IF(B1812&lt;&gt;"",IF(AND(B1812='IN-TC'!$S$4,OR(TH!N1812="1111",TH!O1812="1111")),TH!D1812,""),"")</f>
        <v/>
      </c>
      <c r="B1812" s="62" t="str">
        <f t="shared" si="357"/>
        <v/>
      </c>
      <c r="C1812" s="63"/>
      <c r="D1812" s="63"/>
      <c r="E1812" s="63"/>
      <c r="F1812" s="66"/>
      <c r="G1812" s="66"/>
      <c r="H1812" s="71"/>
      <c r="I1812" s="405"/>
      <c r="J1812" s="408"/>
      <c r="K1812" s="398"/>
      <c r="L1812" s="405"/>
      <c r="M1812" s="64"/>
      <c r="N1812" s="65"/>
      <c r="O1812" s="65"/>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row>
    <row r="1813" spans="1:30" ht="15.75" customHeight="1">
      <c r="A1813" s="327" t="str">
        <f>IF(B1813&lt;&gt;"",IF(AND(B1813='IN-TC'!$S$4,OR(TH!N1813="1111",TH!O1813="1111")),TH!D1813,""),"")</f>
        <v/>
      </c>
      <c r="B1813" s="62" t="str">
        <f t="shared" si="357"/>
        <v/>
      </c>
      <c r="C1813" s="63"/>
      <c r="D1813" s="63"/>
      <c r="E1813" s="63"/>
      <c r="F1813" s="66"/>
      <c r="G1813" s="66"/>
      <c r="H1813" s="71"/>
      <c r="I1813" s="405"/>
      <c r="J1813" s="408"/>
      <c r="K1813" s="398"/>
      <c r="L1813" s="405"/>
      <c r="M1813" s="64"/>
      <c r="N1813" s="65"/>
      <c r="O1813" s="65"/>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row>
    <row r="1814" spans="1:30" ht="15.75" customHeight="1">
      <c r="A1814" s="327" t="str">
        <f>IF(B1814&lt;&gt;"",IF(AND(B1814='IN-TC'!$S$4,OR(TH!N1814="1111",TH!O1814="1111")),TH!D1814,""),"")</f>
        <v/>
      </c>
      <c r="B1814" s="62" t="str">
        <f t="shared" si="357"/>
        <v/>
      </c>
      <c r="C1814" s="63"/>
      <c r="D1814" s="63"/>
      <c r="E1814" s="63"/>
      <c r="F1814" s="66"/>
      <c r="G1814" s="66"/>
      <c r="H1814" s="71"/>
      <c r="I1814" s="405"/>
      <c r="J1814" s="408"/>
      <c r="K1814" s="398"/>
      <c r="L1814" s="405"/>
      <c r="M1814" s="64"/>
      <c r="N1814" s="65"/>
      <c r="O1814" s="65"/>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
      </c>
      <c r="AD1814" s="81" t="str">
        <f>IF(AND(N1814="1521",MONTH(C1814)='BK-NL'!$M$11),"x","")</f>
        <v/>
      </c>
    </row>
    <row r="1815" spans="1:30" ht="15.75" customHeight="1">
      <c r="A1815" s="327" t="str">
        <f>IF(B1815&lt;&gt;"",IF(AND(B1815='IN-TC'!$S$4,OR(TH!N1815="1111",TH!O1815="1111")),TH!D1815,""),"")</f>
        <v/>
      </c>
      <c r="B1815" s="62" t="str">
        <f t="shared" si="357"/>
        <v/>
      </c>
      <c r="C1815" s="63"/>
      <c r="D1815" s="63"/>
      <c r="E1815" s="63"/>
      <c r="F1815" s="66"/>
      <c r="G1815" s="66"/>
      <c r="H1815" s="71"/>
      <c r="I1815" s="405"/>
      <c r="J1815" s="408"/>
      <c r="K1815" s="398"/>
      <c r="L1815" s="405"/>
      <c r="M1815" s="64"/>
      <c r="N1815" s="65"/>
      <c r="O1815" s="65"/>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row>
    <row r="1816" spans="1:30" ht="15.75" customHeight="1">
      <c r="A1816" s="327" t="str">
        <f>IF(B1816&lt;&gt;"",IF(AND(B1816='IN-TC'!$S$4,OR(TH!N1816="1111",TH!O1816="1111")),TH!D1816,""),"")</f>
        <v/>
      </c>
      <c r="B1816" s="62" t="str">
        <f t="shared" si="357"/>
        <v/>
      </c>
      <c r="C1816" s="63"/>
      <c r="D1816" s="63"/>
      <c r="E1816" s="63"/>
      <c r="F1816" s="66"/>
      <c r="G1816" s="66"/>
      <c r="H1816" s="71"/>
      <c r="I1816" s="405"/>
      <c r="J1816" s="408"/>
      <c r="K1816" s="398"/>
      <c r="L1816" s="405"/>
      <c r="M1816" s="64"/>
      <c r="N1816" s="65"/>
      <c r="O1816" s="65"/>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row>
    <row r="1817" spans="1:30" ht="15.75" customHeight="1">
      <c r="A1817" s="327" t="str">
        <f>IF(B1817&lt;&gt;"",IF(AND(B1817='IN-TC'!$S$4,OR(TH!N1817="1111",TH!O1817="1111")),TH!D1817,""),"")</f>
        <v/>
      </c>
      <c r="B1817" s="62" t="str">
        <f t="shared" si="357"/>
        <v/>
      </c>
      <c r="C1817" s="63"/>
      <c r="D1817" s="63"/>
      <c r="E1817" s="63"/>
      <c r="F1817" s="66"/>
      <c r="G1817" s="66"/>
      <c r="H1817" s="71"/>
      <c r="I1817" s="405"/>
      <c r="J1817" s="408"/>
      <c r="K1817" s="398"/>
      <c r="L1817" s="405"/>
      <c r="M1817" s="64"/>
      <c r="N1817" s="65"/>
      <c r="O1817" s="65"/>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row>
    <row r="1818" spans="1:30" ht="15.75" customHeight="1">
      <c r="A1818" s="327" t="str">
        <f>IF(B1818&lt;&gt;"",IF(AND(B1818='IN-TC'!$S$4,OR(TH!N1818="1111",TH!O1818="1111")),TH!D1818,""),"")</f>
        <v/>
      </c>
      <c r="B1818" s="62" t="str">
        <f t="shared" si="357"/>
        <v/>
      </c>
      <c r="C1818" s="63"/>
      <c r="D1818" s="63"/>
      <c r="E1818" s="63"/>
      <c r="F1818" s="66"/>
      <c r="G1818" s="66"/>
      <c r="H1818" s="71"/>
      <c r="I1818" s="405"/>
      <c r="J1818" s="408"/>
      <c r="K1818" s="398"/>
      <c r="L1818" s="405"/>
      <c r="M1818" s="64"/>
      <c r="N1818" s="65"/>
      <c r="O1818" s="65"/>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
      </c>
      <c r="AC1818" s="81" t="str">
        <f>IF(AND(OR(LEFT(TH!N1818,2)="15",LEFT(TH!O1818,2)="15"),TK!$E$7=TH!F1818),"x","")</f>
        <v/>
      </c>
      <c r="AD1818" s="81" t="str">
        <f>IF(AND(N1818="1521",MONTH(C1818)='BK-NL'!$M$11),"x","")</f>
        <v/>
      </c>
    </row>
    <row r="1819" spans="1:30" ht="15.75" customHeight="1">
      <c r="A1819" s="327" t="str">
        <f>IF(B1819&lt;&gt;"",IF(AND(B1819='IN-TC'!$S$4,OR(TH!N1819="1111",TH!O1819="1111")),TH!D1819,""),"")</f>
        <v/>
      </c>
      <c r="B1819" s="62" t="str">
        <f t="shared" si="357"/>
        <v/>
      </c>
      <c r="C1819" s="63"/>
      <c r="D1819" s="63"/>
      <c r="E1819" s="63"/>
      <c r="F1819" s="66"/>
      <c r="G1819" s="66"/>
      <c r="H1819" s="71"/>
      <c r="I1819" s="405"/>
      <c r="J1819" s="408"/>
      <c r="K1819" s="398"/>
      <c r="L1819" s="405"/>
      <c r="M1819" s="64"/>
      <c r="N1819" s="65"/>
      <c r="O1819" s="65"/>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row>
    <row r="1820" spans="1:30" ht="15.75" customHeight="1">
      <c r="A1820" s="327" t="str">
        <f>IF(B1820&lt;&gt;"",IF(AND(B1820='IN-TC'!$S$4,OR(TH!N1820="1111",TH!O1820="1111")),TH!D1820,""),"")</f>
        <v/>
      </c>
      <c r="B1820" s="62" t="str">
        <f t="shared" si="357"/>
        <v/>
      </c>
      <c r="C1820" s="63"/>
      <c r="D1820" s="63"/>
      <c r="E1820" s="63"/>
      <c r="F1820" s="66"/>
      <c r="G1820" s="66"/>
      <c r="H1820" s="72"/>
      <c r="I1820" s="405"/>
      <c r="J1820" s="408"/>
      <c r="K1820" s="398"/>
      <c r="L1820" s="405"/>
      <c r="M1820" s="64"/>
      <c r="N1820" s="65"/>
      <c r="O1820" s="65"/>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
      </c>
      <c r="AC1820" s="81" t="str">
        <f>IF(AND(OR(LEFT(TH!N1820,2)="15",LEFT(TH!O1820,2)="15"),TK!$E$7=TH!F1820),"x","")</f>
        <v/>
      </c>
      <c r="AD1820" s="81" t="str">
        <f>IF(AND(N1820="1521",MONTH(C1820)='BK-NL'!$M$11),"x","")</f>
        <v/>
      </c>
    </row>
    <row r="1821" spans="1:30" ht="15.75" customHeight="1">
      <c r="A1821" s="327" t="str">
        <f>IF(B1821&lt;&gt;"",IF(AND(B1821='IN-TC'!$S$4,OR(TH!N1821="1111",TH!O1821="1111")),TH!D1821,""),"")</f>
        <v/>
      </c>
      <c r="B1821" s="62" t="str">
        <f t="shared" si="357"/>
        <v/>
      </c>
      <c r="C1821" s="63"/>
      <c r="D1821" s="63"/>
      <c r="E1821" s="63"/>
      <c r="F1821" s="66"/>
      <c r="G1821" s="66"/>
      <c r="H1821" s="71"/>
      <c r="I1821" s="405"/>
      <c r="J1821" s="408"/>
      <c r="K1821" s="398"/>
      <c r="L1821" s="405"/>
      <c r="M1821" s="64"/>
      <c r="N1821" s="65"/>
      <c r="O1821" s="65"/>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row>
    <row r="1822" spans="1:30" ht="15.75" customHeight="1">
      <c r="A1822" s="327" t="str">
        <f>IF(B1822&lt;&gt;"",IF(AND(B1822='IN-TC'!$S$4,OR(TH!N1822="1111",TH!O1822="1111")),TH!D1822,""),"")</f>
        <v/>
      </c>
      <c r="B1822" s="62" t="str">
        <f t="shared" si="357"/>
        <v/>
      </c>
      <c r="C1822" s="63"/>
      <c r="D1822" s="63"/>
      <c r="E1822" s="63"/>
      <c r="F1822" s="66"/>
      <c r="G1822" s="66"/>
      <c r="H1822" s="71"/>
      <c r="I1822" s="407"/>
      <c r="J1822" s="408"/>
      <c r="K1822" s="400"/>
      <c r="L1822" s="407"/>
      <c r="M1822" s="64"/>
      <c r="N1822" s="65"/>
      <c r="O1822" s="65"/>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
      </c>
      <c r="AC1822" s="81" t="str">
        <f>IF(AND(OR(LEFT(TH!N1822,2)="15",LEFT(TH!O1822,2)="15"),TK!$E$7=TH!F1822),"x","")</f>
        <v/>
      </c>
      <c r="AD1822" s="81" t="str">
        <f>IF(AND(N1822="1521",MONTH(C1822)='BK-NL'!$M$11),"x","")</f>
        <v/>
      </c>
    </row>
    <row r="1823" spans="1:30" ht="15.75" customHeight="1">
      <c r="A1823" s="327" t="str">
        <f>IF(B1823&lt;&gt;"",IF(AND(B1823='IN-TC'!$S$4,OR(TH!N1823="1111",TH!O1823="1111")),TH!D1823,""),"")</f>
        <v/>
      </c>
      <c r="B1823" s="62" t="str">
        <f t="shared" si="357"/>
        <v/>
      </c>
      <c r="C1823" s="63"/>
      <c r="D1823" s="63"/>
      <c r="E1823" s="63"/>
      <c r="F1823" s="66"/>
      <c r="G1823" s="66"/>
      <c r="H1823" s="71"/>
      <c r="I1823" s="407"/>
      <c r="J1823" s="408"/>
      <c r="K1823" s="400"/>
      <c r="L1823" s="407"/>
      <c r="M1823" s="64"/>
      <c r="N1823" s="65"/>
      <c r="O1823" s="65"/>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row>
    <row r="1824" spans="1:30" ht="15.75" customHeight="1">
      <c r="A1824" s="327" t="str">
        <f>IF(B1824&lt;&gt;"",IF(AND(B1824='IN-TC'!$S$4,OR(TH!N1824="1111",TH!O1824="1111")),TH!D1824,""),"")</f>
        <v/>
      </c>
      <c r="B1824" s="62" t="str">
        <f t="shared" si="357"/>
        <v/>
      </c>
      <c r="C1824" s="63"/>
      <c r="D1824" s="63"/>
      <c r="E1824" s="63"/>
      <c r="F1824" s="66"/>
      <c r="G1824" s="66"/>
      <c r="H1824" s="71"/>
      <c r="I1824" s="407"/>
      <c r="J1824" s="408"/>
      <c r="K1824" s="400"/>
      <c r="L1824" s="407"/>
      <c r="M1824" s="64"/>
      <c r="N1824" s="65"/>
      <c r="O1824" s="65"/>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row>
    <row r="1825" spans="1:30" ht="15.75" customHeight="1">
      <c r="A1825" s="327" t="str">
        <f>IF(B1825&lt;&gt;"",IF(AND(B1825='IN-TC'!$S$4,OR(TH!N1825="1111",TH!O1825="1111")),TH!D1825,""),"")</f>
        <v/>
      </c>
      <c r="B1825" s="62" t="str">
        <f t="shared" si="357"/>
        <v/>
      </c>
      <c r="C1825" s="63"/>
      <c r="D1825" s="63"/>
      <c r="E1825" s="63"/>
      <c r="F1825" s="66"/>
      <c r="G1825" s="66"/>
      <c r="H1825" s="71"/>
      <c r="I1825" s="405"/>
      <c r="J1825" s="408"/>
      <c r="K1825" s="398"/>
      <c r="L1825" s="405"/>
      <c r="M1825" s="64"/>
      <c r="N1825" s="65"/>
      <c r="O1825" s="65"/>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row>
    <row r="1826" spans="1:30" ht="15.75" customHeight="1">
      <c r="A1826" s="327" t="str">
        <f>IF(B1826&lt;&gt;"",IF(AND(B1826='IN-TC'!$S$4,OR(TH!N1826="1111",TH!O1826="1111")),TH!D1826,""),"")</f>
        <v/>
      </c>
      <c r="B1826" s="62" t="str">
        <f t="shared" si="357"/>
        <v/>
      </c>
      <c r="C1826" s="63"/>
      <c r="D1826" s="63"/>
      <c r="E1826" s="63"/>
      <c r="F1826" s="66"/>
      <c r="G1826" s="66"/>
      <c r="H1826" s="71"/>
      <c r="I1826" s="405"/>
      <c r="J1826" s="408"/>
      <c r="K1826" s="398"/>
      <c r="L1826" s="405"/>
      <c r="M1826" s="64"/>
      <c r="N1826" s="65"/>
      <c r="O1826" s="65"/>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row>
    <row r="1827" spans="1:30" ht="15.75" customHeight="1">
      <c r="A1827" s="327" t="str">
        <f>IF(B1827&lt;&gt;"",IF(AND(B1827='IN-TC'!$S$4,OR(TH!N1827="1111",TH!O1827="1111")),TH!D1827,""),"")</f>
        <v/>
      </c>
      <c r="B1827" s="62" t="str">
        <f t="shared" si="357"/>
        <v/>
      </c>
      <c r="C1827" s="63"/>
      <c r="D1827" s="63"/>
      <c r="E1827" s="63"/>
      <c r="F1827" s="66"/>
      <c r="G1827" s="66"/>
      <c r="H1827" s="71"/>
      <c r="I1827" s="405"/>
      <c r="J1827" s="408"/>
      <c r="K1827" s="398"/>
      <c r="L1827" s="405"/>
      <c r="M1827" s="64"/>
      <c r="N1827" s="65"/>
      <c r="O1827" s="65"/>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row>
    <row r="1828" spans="1:30" ht="15.75" customHeight="1">
      <c r="A1828" s="327" t="str">
        <f>IF(B1828&lt;&gt;"",IF(AND(B1828='IN-TC'!$S$4,OR(TH!N1828="1111",TH!O1828="1111")),TH!D1828,""),"")</f>
        <v/>
      </c>
      <c r="B1828" s="62" t="str">
        <f t="shared" si="357"/>
        <v/>
      </c>
      <c r="C1828" s="63"/>
      <c r="D1828" s="63"/>
      <c r="E1828" s="63"/>
      <c r="F1828" s="66"/>
      <c r="G1828" s="66"/>
      <c r="H1828" s="71"/>
      <c r="I1828" s="405"/>
      <c r="J1828" s="408"/>
      <c r="K1828" s="398"/>
      <c r="L1828" s="405"/>
      <c r="M1828" s="64"/>
      <c r="N1828" s="65"/>
      <c r="O1828" s="65"/>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row>
    <row r="1829" spans="1:30" ht="15.75" customHeight="1">
      <c r="A1829" s="327" t="str">
        <f>IF(B1829&lt;&gt;"",IF(AND(B1829='IN-TC'!$S$4,OR(TH!N1829="1111",TH!O1829="1111")),TH!D1829,""),"")</f>
        <v/>
      </c>
      <c r="B1829" s="62" t="str">
        <f t="shared" si="357"/>
        <v/>
      </c>
      <c r="C1829" s="63"/>
      <c r="D1829" s="63"/>
      <c r="E1829" s="63"/>
      <c r="F1829" s="66"/>
      <c r="G1829" s="66"/>
      <c r="H1829" s="71"/>
      <c r="I1829" s="405"/>
      <c r="J1829" s="408"/>
      <c r="K1829" s="398"/>
      <c r="L1829" s="405"/>
      <c r="M1829" s="64"/>
      <c r="N1829" s="65"/>
      <c r="O1829" s="65"/>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row>
    <row r="1830" spans="1:30" ht="15.75" customHeight="1">
      <c r="A1830" s="327" t="str">
        <f>IF(B1830&lt;&gt;"",IF(AND(B1830='IN-TC'!$S$4,OR(TH!N1830="1111",TH!O1830="1111")),TH!D1830,""),"")</f>
        <v/>
      </c>
      <c r="B1830" s="62" t="str">
        <f t="shared" si="357"/>
        <v/>
      </c>
      <c r="C1830" s="63"/>
      <c r="D1830" s="63"/>
      <c r="E1830" s="63"/>
      <c r="F1830" s="66"/>
      <c r="G1830" s="66"/>
      <c r="H1830" s="71"/>
      <c r="I1830" s="405"/>
      <c r="J1830" s="408"/>
      <c r="K1830" s="398"/>
      <c r="L1830" s="405"/>
      <c r="M1830" s="64"/>
      <c r="N1830" s="65"/>
      <c r="O1830" s="65"/>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row>
    <row r="1831" spans="1:30" ht="15.75" customHeight="1">
      <c r="A1831" s="327" t="str">
        <f>IF(B1831&lt;&gt;"",IF(AND(B1831='IN-TC'!$S$4,OR(TH!N1831="1111",TH!O1831="1111")),TH!D1831,""),"")</f>
        <v/>
      </c>
      <c r="B1831" s="62" t="str">
        <f t="shared" si="357"/>
        <v/>
      </c>
      <c r="C1831" s="63"/>
      <c r="D1831" s="63"/>
      <c r="E1831" s="63"/>
      <c r="F1831" s="66"/>
      <c r="G1831" s="66"/>
      <c r="H1831" s="71"/>
      <c r="I1831" s="405"/>
      <c r="J1831" s="408"/>
      <c r="K1831" s="398"/>
      <c r="L1831" s="405"/>
      <c r="M1831" s="64"/>
      <c r="N1831" s="65"/>
      <c r="O1831" s="65"/>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row>
    <row r="1832" spans="1:30" ht="15.75" customHeight="1">
      <c r="A1832" s="327" t="str">
        <f>IF(B1832&lt;&gt;"",IF(AND(B1832='IN-TC'!$S$4,OR(TH!N1832="1111",TH!O1832="1111")),TH!D1832,""),"")</f>
        <v/>
      </c>
      <c r="B1832" s="62" t="str">
        <f t="shared" si="357"/>
        <v/>
      </c>
      <c r="C1832" s="63"/>
      <c r="D1832" s="63"/>
      <c r="E1832" s="63"/>
      <c r="F1832" s="66"/>
      <c r="G1832" s="66"/>
      <c r="H1832" s="71"/>
      <c r="I1832" s="405"/>
      <c r="J1832" s="408"/>
      <c r="K1832" s="398"/>
      <c r="L1832" s="405"/>
      <c r="M1832" s="64"/>
      <c r="N1832" s="65"/>
      <c r="O1832" s="65"/>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0" ht="15.75" customHeight="1">
      <c r="A1833" s="327" t="str">
        <f>IF(B1833&lt;&gt;"",IF(AND(B1833='IN-TC'!$S$4,OR(TH!N1833="1111",TH!O1833="1111")),TH!D1833,""),"")</f>
        <v/>
      </c>
      <c r="B1833" s="62" t="str">
        <f t="shared" si="357"/>
        <v/>
      </c>
      <c r="C1833" s="63"/>
      <c r="D1833" s="63"/>
      <c r="E1833" s="63"/>
      <c r="F1833" s="66"/>
      <c r="G1833" s="66"/>
      <c r="H1833" s="71"/>
      <c r="I1833" s="405"/>
      <c r="J1833" s="408"/>
      <c r="K1833" s="398"/>
      <c r="L1833" s="405"/>
      <c r="M1833" s="64"/>
      <c r="N1833" s="65"/>
      <c r="O1833" s="65"/>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row>
    <row r="1834" spans="1:30" ht="15.75" customHeight="1">
      <c r="A1834" s="327" t="str">
        <f>IF(B1834&lt;&gt;"",IF(AND(B1834='IN-TC'!$S$4,OR(TH!N1834="1111",TH!O1834="1111")),TH!D1834,""),"")</f>
        <v/>
      </c>
      <c r="B1834" s="62" t="str">
        <f t="shared" si="357"/>
        <v/>
      </c>
      <c r="C1834" s="63"/>
      <c r="D1834" s="63"/>
      <c r="E1834" s="63"/>
      <c r="F1834" s="66"/>
      <c r="G1834" s="66"/>
      <c r="H1834" s="71"/>
      <c r="I1834" s="405"/>
      <c r="J1834" s="408"/>
      <c r="K1834" s="398"/>
      <c r="L1834" s="405"/>
      <c r="M1834" s="64"/>
      <c r="N1834" s="65"/>
      <c r="O1834" s="65"/>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
      </c>
      <c r="AD1834" s="81" t="str">
        <f>IF(AND(N1834="1521",MONTH(C1834)='BK-NL'!$M$11),"x","")</f>
        <v/>
      </c>
    </row>
    <row r="1835" spans="1:30" ht="15.75" customHeight="1">
      <c r="A1835" s="327" t="str">
        <f>IF(B1835&lt;&gt;"",IF(AND(B1835='IN-TC'!$S$4,OR(TH!N1835="1111",TH!O1835="1111")),TH!D1835,""),"")</f>
        <v/>
      </c>
      <c r="B1835" s="62" t="str">
        <f t="shared" si="357"/>
        <v/>
      </c>
      <c r="C1835" s="63"/>
      <c r="D1835" s="63"/>
      <c r="E1835" s="63"/>
      <c r="F1835" s="66"/>
      <c r="G1835" s="66"/>
      <c r="H1835" s="71"/>
      <c r="I1835" s="407"/>
      <c r="J1835" s="408"/>
      <c r="K1835" s="400"/>
      <c r="L1835" s="407"/>
      <c r="M1835" s="64"/>
      <c r="N1835" s="65"/>
      <c r="O1835" s="65"/>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0" ht="15.75" customHeight="1">
      <c r="A1836" s="327" t="str">
        <f>IF(B1836&lt;&gt;"",IF(AND(B1836='IN-TC'!$S$4,OR(TH!N1836="1111",TH!O1836="1111")),TH!D1836,""),"")</f>
        <v/>
      </c>
      <c r="B1836" s="62" t="str">
        <f t="shared" si="357"/>
        <v/>
      </c>
      <c r="C1836" s="63"/>
      <c r="D1836" s="63"/>
      <c r="E1836" s="63"/>
      <c r="F1836" s="66"/>
      <c r="G1836" s="66"/>
      <c r="H1836" s="71"/>
      <c r="I1836" s="407"/>
      <c r="J1836" s="408"/>
      <c r="K1836" s="400"/>
      <c r="L1836" s="407"/>
      <c r="M1836" s="64"/>
      <c r="N1836" s="65"/>
      <c r="O1836" s="65"/>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row>
    <row r="1837" spans="1:30" ht="15.75" customHeight="1">
      <c r="A1837" s="327" t="str">
        <f>IF(B1837&lt;&gt;"",IF(AND(B1837='IN-TC'!$S$4,OR(TH!N1837="1111",TH!O1837="1111")),TH!D1837,""),"")</f>
        <v/>
      </c>
      <c r="B1837" s="62" t="str">
        <f t="shared" si="357"/>
        <v/>
      </c>
      <c r="C1837" s="63"/>
      <c r="D1837" s="63"/>
      <c r="E1837" s="63"/>
      <c r="F1837" s="66"/>
      <c r="G1837" s="66"/>
      <c r="H1837" s="71"/>
      <c r="I1837" s="407"/>
      <c r="J1837" s="408"/>
      <c r="K1837" s="400"/>
      <c r="L1837" s="407"/>
      <c r="M1837" s="64"/>
      <c r="N1837" s="65"/>
      <c r="O1837" s="65"/>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row>
    <row r="1838" spans="1:30" ht="15.75" customHeight="1">
      <c r="A1838" s="327" t="str">
        <f>IF(B1838&lt;&gt;"",IF(AND(B1838='IN-TC'!$S$4,OR(TH!N1838="1111",TH!O1838="1111")),TH!D1838,""),"")</f>
        <v/>
      </c>
      <c r="B1838" s="62" t="str">
        <f t="shared" si="357"/>
        <v/>
      </c>
      <c r="C1838" s="63"/>
      <c r="D1838" s="63"/>
      <c r="E1838" s="63"/>
      <c r="F1838" s="66"/>
      <c r="G1838" s="66"/>
      <c r="H1838" s="71"/>
      <c r="I1838" s="405"/>
      <c r="J1838" s="408"/>
      <c r="K1838" s="398"/>
      <c r="L1838" s="405"/>
      <c r="M1838" s="64"/>
      <c r="N1838" s="65"/>
      <c r="O1838" s="65"/>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0" ht="15.75" customHeight="1">
      <c r="A1839" s="327" t="str">
        <f>IF(B1839&lt;&gt;"",IF(AND(B1839='IN-TC'!$S$4,OR(TH!N1839="1111",TH!O1839="1111")),TH!D1839,""),"")</f>
        <v/>
      </c>
      <c r="B1839" s="62" t="str">
        <f t="shared" si="357"/>
        <v/>
      </c>
      <c r="C1839" s="63"/>
      <c r="D1839" s="63"/>
      <c r="E1839" s="63"/>
      <c r="F1839" s="66"/>
      <c r="G1839" s="66"/>
      <c r="H1839" s="71"/>
      <c r="I1839" s="405"/>
      <c r="J1839" s="408"/>
      <c r="K1839" s="398"/>
      <c r="L1839" s="405"/>
      <c r="M1839" s="64"/>
      <c r="N1839" s="65"/>
      <c r="O1839" s="65"/>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
      </c>
      <c r="AD1839" s="81" t="str">
        <f>IF(AND(N1839="1521",MONTH(C1839)='BK-NL'!$M$11),"x","")</f>
        <v/>
      </c>
    </row>
    <row r="1840" spans="1:30" ht="15.75" customHeight="1">
      <c r="A1840" s="327" t="str">
        <f>IF(B1840&lt;&gt;"",IF(AND(B1840='IN-TC'!$S$4,OR(TH!N1840="1111",TH!O1840="1111")),TH!D1840,""),"")</f>
        <v/>
      </c>
      <c r="B1840" s="62" t="str">
        <f t="shared" si="357"/>
        <v/>
      </c>
      <c r="C1840" s="63"/>
      <c r="D1840" s="63"/>
      <c r="E1840" s="63"/>
      <c r="F1840" s="66"/>
      <c r="G1840" s="66"/>
      <c r="H1840" s="71"/>
      <c r="I1840" s="405"/>
      <c r="J1840" s="408"/>
      <c r="K1840" s="398"/>
      <c r="L1840" s="405"/>
      <c r="M1840" s="64"/>
      <c r="N1840" s="65"/>
      <c r="O1840" s="65"/>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
      </c>
      <c r="AC1840" s="81" t="str">
        <f>IF(AND(OR(LEFT(TH!N1840,2)="15",LEFT(TH!O1840,2)="15"),TK!$E$7=TH!F1840),"x","")</f>
        <v/>
      </c>
      <c r="AD1840" s="81" t="str">
        <f>IF(AND(N1840="1521",MONTH(C1840)='BK-NL'!$M$11),"x","")</f>
        <v/>
      </c>
    </row>
    <row r="1841" spans="1:30" ht="15.75" customHeight="1">
      <c r="A1841" s="327" t="str">
        <f>IF(B1841&lt;&gt;"",IF(AND(B1841='IN-TC'!$S$4,OR(TH!N1841="1111",TH!O1841="1111")),TH!D1841,""),"")</f>
        <v/>
      </c>
      <c r="B1841" s="62" t="str">
        <f t="shared" si="357"/>
        <v/>
      </c>
      <c r="C1841" s="63"/>
      <c r="D1841" s="63"/>
      <c r="E1841" s="63"/>
      <c r="F1841" s="66"/>
      <c r="G1841" s="66"/>
      <c r="H1841" s="71"/>
      <c r="I1841" s="405"/>
      <c r="J1841" s="408"/>
      <c r="K1841" s="398"/>
      <c r="L1841" s="405"/>
      <c r="M1841" s="64"/>
      <c r="N1841" s="65"/>
      <c r="O1841" s="65"/>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0" ht="15.75" customHeight="1">
      <c r="A1842" s="327" t="str">
        <f>IF(B1842&lt;&gt;"",IF(AND(B1842='IN-TC'!$S$4,OR(TH!N1842="1111",TH!O1842="1111")),TH!D1842,""),"")</f>
        <v/>
      </c>
      <c r="B1842" s="62" t="str">
        <f t="shared" si="357"/>
        <v/>
      </c>
      <c r="C1842" s="63"/>
      <c r="D1842" s="63"/>
      <c r="E1842" s="63"/>
      <c r="F1842" s="66"/>
      <c r="G1842" s="66"/>
      <c r="H1842" s="71"/>
      <c r="I1842" s="405"/>
      <c r="J1842" s="408"/>
      <c r="K1842" s="398"/>
      <c r="L1842" s="405"/>
      <c r="M1842" s="64"/>
      <c r="N1842" s="65"/>
      <c r="O1842" s="65"/>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row>
    <row r="1843" spans="1:30" ht="15.75" customHeight="1">
      <c r="A1843" s="327" t="str">
        <f>IF(B1843&lt;&gt;"",IF(AND(B1843='IN-TC'!$S$4,OR(TH!N1843="1111",TH!O1843="1111")),TH!D1843,""),"")</f>
        <v/>
      </c>
      <c r="B1843" s="62" t="str">
        <f t="shared" si="357"/>
        <v/>
      </c>
      <c r="C1843" s="63"/>
      <c r="D1843" s="63"/>
      <c r="E1843" s="63"/>
      <c r="F1843" s="66"/>
      <c r="G1843" s="66"/>
      <c r="H1843" s="71"/>
      <c r="I1843" s="405"/>
      <c r="J1843" s="408"/>
      <c r="K1843" s="398"/>
      <c r="L1843" s="405"/>
      <c r="M1843" s="64"/>
      <c r="N1843" s="65"/>
      <c r="O1843" s="65"/>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row>
    <row r="1844" spans="1:30" ht="15.75" customHeight="1">
      <c r="A1844" s="327" t="str">
        <f>IF(B1844&lt;&gt;"",IF(AND(B1844='IN-TC'!$S$4,OR(TH!N1844="1111",TH!O1844="1111")),TH!D1844,""),"")</f>
        <v/>
      </c>
      <c r="B1844" s="62" t="str">
        <f t="shared" si="357"/>
        <v/>
      </c>
      <c r="C1844" s="63"/>
      <c r="D1844" s="63"/>
      <c r="E1844" s="63"/>
      <c r="F1844" s="66"/>
      <c r="G1844" s="66"/>
      <c r="H1844" s="71"/>
      <c r="I1844" s="405"/>
      <c r="J1844" s="408"/>
      <c r="K1844" s="398"/>
      <c r="L1844" s="405"/>
      <c r="M1844" s="64"/>
      <c r="N1844" s="65"/>
      <c r="O1844" s="65"/>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0" ht="15.75" customHeight="1">
      <c r="A1845" s="327" t="str">
        <f>IF(B1845&lt;&gt;"",IF(AND(B1845='IN-TC'!$S$4,OR(TH!N1845="1111",TH!O1845="1111")),TH!D1845,""),"")</f>
        <v/>
      </c>
      <c r="B1845" s="62" t="str">
        <f t="shared" si="357"/>
        <v/>
      </c>
      <c r="C1845" s="63"/>
      <c r="D1845" s="63"/>
      <c r="E1845" s="63"/>
      <c r="F1845" s="66"/>
      <c r="G1845" s="66"/>
      <c r="H1845" s="71"/>
      <c r="I1845" s="405"/>
      <c r="J1845" s="408"/>
      <c r="K1845" s="398"/>
      <c r="L1845" s="405"/>
      <c r="M1845" s="64"/>
      <c r="N1845" s="65"/>
      <c r="O1845" s="65"/>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row>
    <row r="1846" spans="1:30" ht="15.75" customHeight="1">
      <c r="A1846" s="327" t="str">
        <f>IF(B1846&lt;&gt;"",IF(AND(B1846='IN-TC'!$S$4,OR(TH!N1846="1111",TH!O1846="1111")),TH!D1846,""),"")</f>
        <v/>
      </c>
      <c r="B1846" s="62" t="str">
        <f t="shared" si="357"/>
        <v/>
      </c>
      <c r="C1846" s="63"/>
      <c r="D1846" s="63"/>
      <c r="E1846" s="63"/>
      <c r="F1846" s="66"/>
      <c r="G1846" s="66"/>
      <c r="H1846" s="71"/>
      <c r="I1846" s="405"/>
      <c r="J1846" s="408"/>
      <c r="K1846" s="398"/>
      <c r="L1846" s="405"/>
      <c r="M1846" s="64"/>
      <c r="N1846" s="65"/>
      <c r="O1846" s="65"/>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
      </c>
      <c r="AC1846" s="81" t="str">
        <f>IF(AND(OR(LEFT(TH!N1846,2)="15",LEFT(TH!O1846,2)="15"),TK!$E$7=TH!F1846),"x","")</f>
        <v/>
      </c>
      <c r="AD1846" s="81" t="str">
        <f>IF(AND(N1846="1521",MONTH(C1846)='BK-NL'!$M$11),"x","")</f>
        <v/>
      </c>
    </row>
    <row r="1847" spans="1:30" ht="15.75" customHeight="1">
      <c r="A1847" s="327" t="str">
        <f>IF(B1847&lt;&gt;"",IF(AND(B1847='IN-TC'!$S$4,OR(TH!N1847="1111",TH!O1847="1111")),TH!D1847,""),"")</f>
        <v/>
      </c>
      <c r="B1847" s="62" t="str">
        <f t="shared" si="357"/>
        <v/>
      </c>
      <c r="C1847" s="63"/>
      <c r="D1847" s="63"/>
      <c r="E1847" s="63"/>
      <c r="F1847" s="66"/>
      <c r="G1847" s="66"/>
      <c r="H1847" s="71"/>
      <c r="I1847" s="407"/>
      <c r="J1847" s="408"/>
      <c r="K1847" s="400"/>
      <c r="L1847" s="407"/>
      <c r="M1847" s="64"/>
      <c r="N1847" s="65"/>
      <c r="O1847" s="65"/>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
      </c>
      <c r="AC1847" s="81" t="str">
        <f>IF(AND(OR(LEFT(TH!N1847,2)="15",LEFT(TH!O1847,2)="15"),TK!$E$7=TH!F1847),"x","")</f>
        <v/>
      </c>
      <c r="AD1847" s="81" t="str">
        <f>IF(AND(N1847="1521",MONTH(C1847)='BK-NL'!$M$11),"x","")</f>
        <v/>
      </c>
    </row>
    <row r="1848" spans="1:30" ht="15.75" customHeight="1">
      <c r="A1848" s="327" t="str">
        <f>IF(B1848&lt;&gt;"",IF(AND(B1848='IN-TC'!$S$4,OR(TH!N1848="1111",TH!O1848="1111")),TH!D1848,""),"")</f>
        <v/>
      </c>
      <c r="B1848" s="62" t="str">
        <f t="shared" si="357"/>
        <v/>
      </c>
      <c r="C1848" s="63"/>
      <c r="D1848" s="63"/>
      <c r="E1848" s="63"/>
      <c r="F1848" s="66"/>
      <c r="G1848" s="66"/>
      <c r="H1848" s="71"/>
      <c r="I1848" s="407"/>
      <c r="J1848" s="408"/>
      <c r="K1848" s="400"/>
      <c r="L1848" s="407"/>
      <c r="M1848" s="64"/>
      <c r="N1848" s="65"/>
      <c r="O1848" s="65"/>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0" ht="15.75" customHeight="1">
      <c r="A1849" s="327" t="str">
        <f>IF(B1849&lt;&gt;"",IF(AND(B1849='IN-TC'!$S$4,OR(TH!N1849="1111",TH!O1849="1111")),TH!D1849,""),"")</f>
        <v/>
      </c>
      <c r="B1849" s="62" t="str">
        <f t="shared" si="357"/>
        <v/>
      </c>
      <c r="C1849" s="63"/>
      <c r="D1849" s="63"/>
      <c r="E1849" s="63"/>
      <c r="F1849" s="66"/>
      <c r="G1849" s="66"/>
      <c r="H1849" s="71"/>
      <c r="I1849" s="405"/>
      <c r="J1849" s="408"/>
      <c r="K1849" s="398"/>
      <c r="L1849" s="405"/>
      <c r="M1849" s="64"/>
      <c r="N1849" s="65"/>
      <c r="O1849" s="65"/>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0" ht="15.75" customHeight="1">
      <c r="A1850" s="327" t="str">
        <f>IF(B1850&lt;&gt;"",IF(AND(B1850='IN-TC'!$S$4,OR(TH!N1850="1111",TH!O1850="1111")),TH!D1850,""),"")</f>
        <v/>
      </c>
      <c r="B1850" s="62" t="str">
        <f t="shared" si="357"/>
        <v/>
      </c>
      <c r="C1850" s="63"/>
      <c r="D1850" s="63"/>
      <c r="E1850" s="63"/>
      <c r="F1850" s="66"/>
      <c r="G1850" s="66"/>
      <c r="H1850" s="71"/>
      <c r="I1850" s="405"/>
      <c r="J1850" s="408"/>
      <c r="K1850" s="398"/>
      <c r="L1850" s="405"/>
      <c r="M1850" s="64"/>
      <c r="N1850" s="65"/>
      <c r="O1850" s="65"/>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
      </c>
      <c r="AD1850" s="81" t="str">
        <f>IF(AND(N1850="1521",MONTH(C1850)='BK-NL'!$M$11),"x","")</f>
        <v/>
      </c>
    </row>
    <row r="1851" spans="1:30" ht="15.75" customHeight="1">
      <c r="A1851" s="327" t="str">
        <f>IF(B1851&lt;&gt;"",IF(AND(B1851='IN-TC'!$S$4,OR(TH!N1851="1111",TH!O1851="1111")),TH!D1851,""),"")</f>
        <v/>
      </c>
      <c r="B1851" s="62" t="str">
        <f t="shared" si="357"/>
        <v/>
      </c>
      <c r="C1851" s="63"/>
      <c r="D1851" s="63"/>
      <c r="E1851" s="63"/>
      <c r="F1851" s="66"/>
      <c r="G1851" s="66"/>
      <c r="H1851" s="71"/>
      <c r="I1851" s="405"/>
      <c r="J1851" s="408"/>
      <c r="K1851" s="398"/>
      <c r="L1851" s="405"/>
      <c r="M1851" s="64"/>
      <c r="N1851" s="65"/>
      <c r="O1851" s="65"/>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0" ht="15.75" customHeight="1">
      <c r="A1852" s="327" t="str">
        <f>IF(B1852&lt;&gt;"",IF(AND(B1852='IN-TC'!$S$4,OR(TH!N1852="1111",TH!O1852="1111")),TH!D1852,""),"")</f>
        <v/>
      </c>
      <c r="B1852" s="62" t="str">
        <f t="shared" si="357"/>
        <v/>
      </c>
      <c r="C1852" s="63"/>
      <c r="D1852" s="63"/>
      <c r="E1852" s="63"/>
      <c r="F1852" s="66"/>
      <c r="G1852" s="66"/>
      <c r="H1852" s="71"/>
      <c r="I1852" s="405"/>
      <c r="J1852" s="408"/>
      <c r="K1852" s="398"/>
      <c r="L1852" s="405"/>
      <c r="M1852" s="64"/>
      <c r="N1852" s="65"/>
      <c r="O1852" s="65"/>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row>
    <row r="1853" spans="1:30" ht="15.75" customHeight="1">
      <c r="A1853" s="327" t="str">
        <f>IF(B1853&lt;&gt;"",IF(AND(B1853='IN-TC'!$S$4,OR(TH!N1853="1111",TH!O1853="1111")),TH!D1853,""),"")</f>
        <v/>
      </c>
      <c r="B1853" s="62" t="str">
        <f t="shared" si="357"/>
        <v/>
      </c>
      <c r="C1853" s="63"/>
      <c r="D1853" s="63"/>
      <c r="E1853" s="63"/>
      <c r="F1853" s="66"/>
      <c r="G1853" s="66"/>
      <c r="H1853" s="71"/>
      <c r="I1853" s="405"/>
      <c r="J1853" s="408"/>
      <c r="K1853" s="398"/>
      <c r="L1853" s="405"/>
      <c r="M1853" s="64"/>
      <c r="N1853" s="65"/>
      <c r="O1853" s="65"/>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row>
    <row r="1854" spans="1:30" ht="15.75" customHeight="1">
      <c r="A1854" s="327" t="str">
        <f>IF(B1854&lt;&gt;"",IF(AND(B1854='IN-TC'!$S$4,OR(TH!N1854="1111",TH!O1854="1111")),TH!D1854,""),"")</f>
        <v/>
      </c>
      <c r="B1854" s="62" t="str">
        <f t="shared" si="357"/>
        <v/>
      </c>
      <c r="C1854" s="63"/>
      <c r="D1854" s="63"/>
      <c r="E1854" s="63"/>
      <c r="F1854" s="66"/>
      <c r="G1854" s="66"/>
      <c r="H1854" s="71"/>
      <c r="I1854" s="405"/>
      <c r="J1854" s="408"/>
      <c r="K1854" s="398"/>
      <c r="L1854" s="405"/>
      <c r="M1854" s="64"/>
      <c r="N1854" s="65"/>
      <c r="O1854" s="65"/>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
      </c>
      <c r="AC1854" s="81" t="str">
        <f>IF(AND(OR(LEFT(TH!N1854,2)="15",LEFT(TH!O1854,2)="15"),TK!$E$7=TH!F1854),"x","")</f>
        <v/>
      </c>
      <c r="AD1854" s="81" t="str">
        <f>IF(AND(N1854="1521",MONTH(C1854)='BK-NL'!$M$11),"x","")</f>
        <v/>
      </c>
    </row>
    <row r="1855" spans="1:30" ht="15.75" customHeight="1">
      <c r="A1855" s="327" t="str">
        <f>IF(B1855&lt;&gt;"",IF(AND(B1855='IN-TC'!$S$4,OR(TH!N1855="1111",TH!O1855="1111")),TH!D1855,""),"")</f>
        <v/>
      </c>
      <c r="B1855" s="62" t="str">
        <f t="shared" si="357"/>
        <v/>
      </c>
      <c r="C1855" s="63"/>
      <c r="D1855" s="63"/>
      <c r="E1855" s="63"/>
      <c r="F1855" s="66"/>
      <c r="G1855" s="66"/>
      <c r="H1855" s="71"/>
      <c r="I1855" s="405"/>
      <c r="J1855" s="408"/>
      <c r="K1855" s="398"/>
      <c r="L1855" s="405"/>
      <c r="M1855" s="64"/>
      <c r="N1855" s="65"/>
      <c r="O1855" s="65"/>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
      </c>
      <c r="AC1855" s="81" t="str">
        <f>IF(AND(OR(LEFT(TH!N1855,2)="15",LEFT(TH!O1855,2)="15"),TK!$E$7=TH!F1855),"x","")</f>
        <v/>
      </c>
      <c r="AD1855" s="81" t="str">
        <f>IF(AND(N1855="1521",MONTH(C1855)='BK-NL'!$M$11),"x","")</f>
        <v/>
      </c>
    </row>
    <row r="1856" spans="1:30" ht="15.75" customHeight="1">
      <c r="A1856" s="327" t="str">
        <f>IF(B1856&lt;&gt;"",IF(AND(B1856='IN-TC'!$S$4,OR(TH!N1856="1111",TH!O1856="1111")),TH!D1856,""),"")</f>
        <v/>
      </c>
      <c r="B1856" s="62" t="str">
        <f t="shared" si="357"/>
        <v/>
      </c>
      <c r="C1856" s="63"/>
      <c r="D1856" s="63"/>
      <c r="E1856" s="63"/>
      <c r="F1856" s="66"/>
      <c r="G1856" s="66"/>
      <c r="H1856" s="71"/>
      <c r="I1856" s="405"/>
      <c r="J1856" s="408"/>
      <c r="K1856" s="398"/>
      <c r="L1856" s="405"/>
      <c r="M1856" s="64"/>
      <c r="N1856" s="65"/>
      <c r="O1856" s="65"/>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
      </c>
      <c r="AC1856" s="81" t="str">
        <f>IF(AND(OR(LEFT(TH!N1856,2)="15",LEFT(TH!O1856,2)="15"),TK!$E$7=TH!F1856),"x","")</f>
        <v/>
      </c>
      <c r="AD1856" s="81" t="str">
        <f>IF(AND(N1856="1521",MONTH(C1856)='BK-NL'!$M$11),"x","")</f>
        <v/>
      </c>
    </row>
    <row r="1857" spans="1:30" ht="15.75" customHeight="1">
      <c r="A1857" s="327" t="str">
        <f>IF(B1857&lt;&gt;"",IF(AND(B1857='IN-TC'!$S$4,OR(TH!N1857="1111",TH!O1857="1111")),TH!D1857,""),"")</f>
        <v/>
      </c>
      <c r="B1857" s="62" t="str">
        <f t="shared" si="357"/>
        <v/>
      </c>
      <c r="C1857" s="63"/>
      <c r="D1857" s="63"/>
      <c r="E1857" s="63"/>
      <c r="F1857" s="66"/>
      <c r="G1857" s="66"/>
      <c r="H1857" s="71"/>
      <c r="I1857" s="407"/>
      <c r="J1857" s="408"/>
      <c r="K1857" s="400"/>
      <c r="L1857" s="407"/>
      <c r="M1857" s="64"/>
      <c r="N1857" s="65"/>
      <c r="O1857" s="65"/>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
      </c>
      <c r="AC1857" s="81" t="str">
        <f>IF(AND(OR(LEFT(TH!N1857,2)="15",LEFT(TH!O1857,2)="15"),TK!$E$7=TH!F1857),"x","")</f>
        <v/>
      </c>
      <c r="AD1857" s="81" t="str">
        <f>IF(AND(N1857="1521",MONTH(C1857)='BK-NL'!$M$11),"x","")</f>
        <v/>
      </c>
    </row>
    <row r="1858" spans="1:30" ht="15.75" customHeight="1">
      <c r="A1858" s="327" t="str">
        <f>IF(B1858&lt;&gt;"",IF(AND(B1858='IN-TC'!$S$4,OR(TH!N1858="1111",TH!O1858="1111")),TH!D1858,""),"")</f>
        <v/>
      </c>
      <c r="B1858" s="62" t="str">
        <f t="shared" ref="B1858:B1940" si="360">IF(C1858&lt;&gt;"",MONTH(C1858),"")</f>
        <v/>
      </c>
      <c r="C1858" s="63"/>
      <c r="D1858" s="63"/>
      <c r="E1858" s="63"/>
      <c r="F1858" s="66"/>
      <c r="G1858" s="66"/>
      <c r="H1858" s="71"/>
      <c r="I1858" s="407"/>
      <c r="J1858" s="408"/>
      <c r="K1858" s="400"/>
      <c r="L1858" s="407"/>
      <c r="M1858" s="64"/>
      <c r="N1858" s="65"/>
      <c r="O1858" s="65"/>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
      </c>
      <c r="AC1858" s="81" t="str">
        <f>IF(AND(OR(LEFT(TH!N1858,2)="15",LEFT(TH!O1858,2)="15"),TK!$E$7=TH!F1858),"x","")</f>
        <v/>
      </c>
      <c r="AD1858" s="81" t="str">
        <f>IF(AND(N1858="1521",MONTH(C1858)='BK-NL'!$M$11),"x","")</f>
        <v/>
      </c>
    </row>
    <row r="1859" spans="1:30" ht="15.75" customHeight="1">
      <c r="A1859" s="327" t="str">
        <f>IF(B1859&lt;&gt;"",IF(AND(B1859='IN-TC'!$S$4,OR(TH!N1859="1111",TH!O1859="1111")),TH!D1859,""),"")</f>
        <v/>
      </c>
      <c r="B1859" s="62" t="str">
        <f t="shared" si="360"/>
        <v/>
      </c>
      <c r="C1859" s="63"/>
      <c r="D1859" s="63"/>
      <c r="E1859" s="63"/>
      <c r="F1859" s="66"/>
      <c r="G1859" s="66"/>
      <c r="H1859" s="71"/>
      <c r="I1859" s="405"/>
      <c r="J1859" s="408"/>
      <c r="K1859" s="398"/>
      <c r="L1859" s="405"/>
      <c r="M1859" s="64"/>
      <c r="N1859" s="65"/>
      <c r="O1859" s="65"/>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
      </c>
      <c r="AC1859" s="81" t="str">
        <f>IF(AND(OR(LEFT(TH!N1859,2)="15",LEFT(TH!O1859,2)="15"),TK!$E$7=TH!F1859),"x","")</f>
        <v/>
      </c>
      <c r="AD1859" s="81" t="str">
        <f>IF(AND(N1859="1521",MONTH(C1859)='BK-NL'!$M$11),"x","")</f>
        <v/>
      </c>
    </row>
    <row r="1860" spans="1:30" ht="15.75" customHeight="1">
      <c r="A1860" s="327" t="str">
        <f>IF(B1860&lt;&gt;"",IF(AND(B1860='IN-TC'!$S$4,OR(TH!N1860="1111",TH!O1860="1111")),TH!D1860,""),"")</f>
        <v/>
      </c>
      <c r="B1860" s="62" t="str">
        <f t="shared" si="360"/>
        <v/>
      </c>
      <c r="C1860" s="63"/>
      <c r="D1860" s="63"/>
      <c r="E1860" s="63"/>
      <c r="F1860" s="66"/>
      <c r="G1860" s="66"/>
      <c r="H1860" s="71"/>
      <c r="I1860" s="405"/>
      <c r="J1860" s="408"/>
      <c r="K1860" s="398"/>
      <c r="L1860" s="405"/>
      <c r="M1860" s="64"/>
      <c r="N1860" s="65"/>
      <c r="O1860" s="65"/>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
      </c>
      <c r="AC1860" s="81" t="str">
        <f>IF(AND(OR(LEFT(TH!N1860,2)="15",LEFT(TH!O1860,2)="15"),TK!$E$7=TH!F1860),"x","")</f>
        <v/>
      </c>
      <c r="AD1860" s="81" t="str">
        <f>IF(AND(N1860="1521",MONTH(C1860)='BK-NL'!$M$11),"x","")</f>
        <v/>
      </c>
    </row>
    <row r="1861" spans="1:30" ht="15.75" customHeight="1">
      <c r="A1861" s="327" t="str">
        <f>IF(B1861&lt;&gt;"",IF(AND(B1861='IN-TC'!$S$4,OR(TH!N1861="1111",TH!O1861="1111")),TH!D1861,""),"")</f>
        <v/>
      </c>
      <c r="B1861" s="62" t="str">
        <f t="shared" si="360"/>
        <v/>
      </c>
      <c r="C1861" s="63"/>
      <c r="D1861" s="63"/>
      <c r="E1861" s="63"/>
      <c r="F1861" s="66"/>
      <c r="G1861" s="66"/>
      <c r="H1861" s="71"/>
      <c r="I1861" s="405"/>
      <c r="J1861" s="408"/>
      <c r="K1861" s="398"/>
      <c r="L1861" s="405"/>
      <c r="M1861" s="64"/>
      <c r="N1861" s="65"/>
      <c r="O1861" s="65"/>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
      </c>
      <c r="AC1861" s="81" t="str">
        <f>IF(AND(OR(LEFT(TH!N1861,2)="15",LEFT(TH!O1861,2)="15"),TK!$E$7=TH!F1861),"x","")</f>
        <v/>
      </c>
      <c r="AD1861" s="81" t="str">
        <f>IF(AND(N1861="1521",MONTH(C1861)='BK-NL'!$M$11),"x","")</f>
        <v/>
      </c>
    </row>
    <row r="1862" spans="1:30" ht="15.75" customHeight="1">
      <c r="A1862" s="327" t="str">
        <f>IF(B1862&lt;&gt;"",IF(AND(B1862='IN-TC'!$S$4,OR(TH!N1862="1111",TH!O1862="1111")),TH!D1862,""),"")</f>
        <v/>
      </c>
      <c r="B1862" s="62" t="str">
        <f t="shared" si="360"/>
        <v/>
      </c>
      <c r="C1862" s="63"/>
      <c r="D1862" s="63"/>
      <c r="E1862" s="63"/>
      <c r="F1862" s="66"/>
      <c r="G1862" s="66"/>
      <c r="H1862" s="71"/>
      <c r="I1862" s="405"/>
      <c r="J1862" s="408"/>
      <c r="K1862" s="398"/>
      <c r="L1862" s="405"/>
      <c r="M1862" s="64"/>
      <c r="N1862" s="65"/>
      <c r="O1862" s="65"/>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
      </c>
      <c r="AC1862" s="81" t="str">
        <f>IF(AND(OR(LEFT(TH!N1862,2)="15",LEFT(TH!O1862,2)="15"),TK!$E$7=TH!F1862),"x","")</f>
        <v/>
      </c>
      <c r="AD1862" s="81" t="str">
        <f>IF(AND(N1862="1521",MONTH(C1862)='BK-NL'!$M$11),"x","")</f>
        <v/>
      </c>
    </row>
    <row r="1863" spans="1:30" ht="15.75" customHeight="1">
      <c r="A1863" s="327" t="str">
        <f>IF(B1863&lt;&gt;"",IF(AND(B1863='IN-TC'!$S$4,OR(TH!N1863="1111",TH!O1863="1111")),TH!D1863,""),"")</f>
        <v/>
      </c>
      <c r="B1863" s="62" t="str">
        <f t="shared" si="360"/>
        <v/>
      </c>
      <c r="C1863" s="63"/>
      <c r="D1863" s="63"/>
      <c r="E1863" s="63"/>
      <c r="F1863" s="66"/>
      <c r="G1863" s="66"/>
      <c r="H1863" s="71"/>
      <c r="I1863" s="405"/>
      <c r="J1863" s="408"/>
      <c r="K1863" s="398"/>
      <c r="L1863" s="405"/>
      <c r="M1863" s="64"/>
      <c r="N1863" s="65"/>
      <c r="O1863" s="65"/>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
      </c>
      <c r="AC1863" s="81" t="str">
        <f>IF(AND(OR(LEFT(TH!N1863,2)="15",LEFT(TH!O1863,2)="15"),TK!$E$7=TH!F1863),"x","")</f>
        <v/>
      </c>
      <c r="AD1863" s="81" t="str">
        <f>IF(AND(N1863="1521",MONTH(C1863)='BK-NL'!$M$11),"x","")</f>
        <v/>
      </c>
    </row>
    <row r="1864" spans="1:30" ht="15.75" customHeight="1">
      <c r="A1864" s="327" t="str">
        <f>IF(B1864&lt;&gt;"",IF(AND(B1864='IN-TC'!$S$4,OR(TH!N1864="1111",TH!O1864="1111")),TH!D1864,""),"")</f>
        <v/>
      </c>
      <c r="B1864" s="62" t="str">
        <f t="shared" si="360"/>
        <v/>
      </c>
      <c r="C1864" s="63"/>
      <c r="D1864" s="63"/>
      <c r="E1864" s="63"/>
      <c r="F1864" s="66"/>
      <c r="G1864" s="66"/>
      <c r="H1864" s="71"/>
      <c r="I1864" s="405"/>
      <c r="J1864" s="408"/>
      <c r="K1864" s="398"/>
      <c r="L1864" s="405"/>
      <c r="M1864" s="64"/>
      <c r="N1864" s="65"/>
      <c r="O1864" s="65"/>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
      </c>
      <c r="AC1864" s="81" t="str">
        <f>IF(AND(OR(LEFT(TH!N1864,2)="15",LEFT(TH!O1864,2)="15"),TK!$E$7=TH!F1864),"x","")</f>
        <v/>
      </c>
      <c r="AD1864" s="81" t="str">
        <f>IF(AND(N1864="1521",MONTH(C1864)='BK-NL'!$M$11),"x","")</f>
        <v/>
      </c>
    </row>
    <row r="1865" spans="1:30" ht="15.75" customHeight="1">
      <c r="A1865" s="327" t="str">
        <f>IF(B1865&lt;&gt;"",IF(AND(B1865='IN-TC'!$S$4,OR(TH!N1865="1111",TH!O1865="1111")),TH!D1865,""),"")</f>
        <v/>
      </c>
      <c r="B1865" s="62" t="str">
        <f t="shared" si="360"/>
        <v/>
      </c>
      <c r="C1865" s="63"/>
      <c r="D1865" s="63"/>
      <c r="E1865" s="63"/>
      <c r="F1865" s="66"/>
      <c r="G1865" s="66"/>
      <c r="H1865" s="71"/>
      <c r="I1865" s="405"/>
      <c r="J1865" s="408"/>
      <c r="K1865" s="398"/>
      <c r="L1865" s="405"/>
      <c r="M1865" s="64"/>
      <c r="N1865" s="65"/>
      <c r="O1865" s="65"/>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0" ht="15.75" customHeight="1">
      <c r="A1866" s="327"/>
      <c r="B1866" s="62" t="str">
        <f t="shared" si="360"/>
        <v/>
      </c>
      <c r="C1866" s="63"/>
      <c r="D1866" s="63"/>
      <c r="E1866" s="63"/>
      <c r="F1866" s="66"/>
      <c r="G1866" s="66"/>
      <c r="H1866" s="71"/>
      <c r="I1866" s="405"/>
      <c r="J1866" s="408"/>
      <c r="K1866" s="398"/>
      <c r="L1866" s="405"/>
      <c r="M1866" s="64"/>
      <c r="N1866" s="65"/>
      <c r="O1866" s="65"/>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
      </c>
      <c r="AC1866" s="81" t="str">
        <f>IF(AND(OR(LEFT(TH!N1866,2)="15",LEFT(TH!O1866,2)="15"),TK!$E$7=TH!F1866),"x","")</f>
        <v/>
      </c>
      <c r="AD1866" s="81" t="str">
        <f>IF(AND(N1866="1521",MONTH(C1866)='BK-NL'!$M$11),"x","")</f>
        <v/>
      </c>
    </row>
    <row r="1867" spans="1:30" ht="15.75" customHeight="1">
      <c r="A1867" s="327"/>
      <c r="B1867" s="62" t="str">
        <f t="shared" si="360"/>
        <v/>
      </c>
      <c r="C1867" s="63"/>
      <c r="D1867" s="63"/>
      <c r="E1867" s="63"/>
      <c r="F1867" s="66"/>
      <c r="G1867" s="66"/>
      <c r="H1867" s="71"/>
      <c r="I1867" s="405"/>
      <c r="J1867" s="408"/>
      <c r="K1867" s="398"/>
      <c r="L1867" s="405"/>
      <c r="M1867" s="64"/>
      <c r="N1867" s="65"/>
      <c r="O1867" s="65"/>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
      </c>
      <c r="AC1867" s="81" t="str">
        <f>IF(AND(OR(LEFT(TH!N1867,2)="15",LEFT(TH!O1867,2)="15"),TK!$E$7=TH!F1867),"x","")</f>
        <v/>
      </c>
      <c r="AD1867" s="81" t="str">
        <f>IF(AND(N1867="1521",MONTH(C1867)='BK-NL'!$M$11),"x","")</f>
        <v/>
      </c>
    </row>
    <row r="1868" spans="1:30" ht="15.75" customHeight="1">
      <c r="A1868" s="327"/>
      <c r="B1868" s="62" t="str">
        <f t="shared" si="360"/>
        <v/>
      </c>
      <c r="C1868" s="63"/>
      <c r="D1868" s="63"/>
      <c r="E1868" s="63"/>
      <c r="F1868" s="66"/>
      <c r="G1868" s="66"/>
      <c r="H1868" s="71"/>
      <c r="I1868" s="405"/>
      <c r="J1868" s="408"/>
      <c r="K1868" s="398"/>
      <c r="L1868" s="405"/>
      <c r="M1868" s="64"/>
      <c r="N1868" s="65"/>
      <c r="O1868" s="65"/>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
      </c>
      <c r="AC1868" s="81" t="str">
        <f>IF(AND(OR(LEFT(TH!N1868,2)="15",LEFT(TH!O1868,2)="15"),TK!$E$7=TH!F1868),"x","")</f>
        <v/>
      </c>
      <c r="AD1868" s="81" t="str">
        <f>IF(AND(N1868="1521",MONTH(C1868)='BK-NL'!$M$11),"x","")</f>
        <v/>
      </c>
    </row>
    <row r="1869" spans="1:30" ht="15.75" customHeight="1">
      <c r="A1869" s="327"/>
      <c r="B1869" s="62" t="str">
        <f t="shared" si="360"/>
        <v/>
      </c>
      <c r="C1869" s="63"/>
      <c r="D1869" s="63"/>
      <c r="E1869" s="63"/>
      <c r="F1869" s="66"/>
      <c r="G1869" s="66"/>
      <c r="H1869" s="71"/>
      <c r="I1869" s="405"/>
      <c r="J1869" s="408"/>
      <c r="K1869" s="398"/>
      <c r="L1869" s="405"/>
      <c r="M1869" s="64"/>
      <c r="N1869" s="65"/>
      <c r="O1869" s="65"/>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
      </c>
      <c r="AC1869" s="81" t="str">
        <f>IF(AND(OR(LEFT(TH!N1869,2)="15",LEFT(TH!O1869,2)="15"),TK!$E$7=TH!F1869),"x","")</f>
        <v/>
      </c>
      <c r="AD1869" s="81" t="str">
        <f>IF(AND(N1869="1521",MONTH(C1869)='BK-NL'!$M$11),"x","")</f>
        <v/>
      </c>
    </row>
    <row r="1870" spans="1:30" ht="15.75" customHeight="1">
      <c r="A1870" s="327" t="str">
        <f>IF(B1870&lt;&gt;"",IF(AND(B1870='IN-TC'!$S$4,OR(TH!N1870="1111",TH!O1870="1111")),TH!D1870,""),"")</f>
        <v/>
      </c>
      <c r="B1870" s="62" t="str">
        <f t="shared" si="360"/>
        <v/>
      </c>
      <c r="C1870" s="63"/>
      <c r="D1870" s="63"/>
      <c r="E1870" s="63"/>
      <c r="F1870" s="66"/>
      <c r="G1870" s="66"/>
      <c r="H1870" s="71"/>
      <c r="I1870" s="405"/>
      <c r="J1870" s="408"/>
      <c r="K1870" s="398"/>
      <c r="L1870" s="405"/>
      <c r="M1870" s="64"/>
      <c r="N1870" s="65"/>
      <c r="O1870" s="65"/>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
      </c>
      <c r="AD1870" s="81" t="str">
        <f>IF(AND(N1870="1521",MONTH(C1870)='BK-NL'!$M$11),"x","")</f>
        <v/>
      </c>
    </row>
    <row r="1871" spans="1:30" ht="15.75" customHeight="1">
      <c r="A1871" s="327" t="str">
        <f>IF(B1871&lt;&gt;"",IF(AND(B1871='IN-TC'!$S$4,OR(TH!N1871="1111",TH!O1871="1111")),TH!D1871,""),"")</f>
        <v/>
      </c>
      <c r="B1871" s="62" t="str">
        <f t="shared" si="360"/>
        <v/>
      </c>
      <c r="C1871" s="63"/>
      <c r="D1871" s="63"/>
      <c r="E1871" s="63"/>
      <c r="F1871" s="66"/>
      <c r="G1871" s="66"/>
      <c r="H1871" s="71"/>
      <c r="I1871" s="405"/>
      <c r="J1871" s="408"/>
      <c r="K1871" s="398"/>
      <c r="L1871" s="405"/>
      <c r="M1871" s="64"/>
      <c r="N1871" s="65"/>
      <c r="O1871" s="65"/>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0" ht="15.75" customHeight="1">
      <c r="A1872" s="327" t="str">
        <f>IF(B1872&lt;&gt;"",IF(AND(B1872='IN-TC'!$S$4,OR(TH!N1872="1111",TH!O1872="1111")),TH!D1872,""),"")</f>
        <v/>
      </c>
      <c r="B1872" s="62" t="str">
        <f t="shared" si="360"/>
        <v/>
      </c>
      <c r="C1872" s="63"/>
      <c r="D1872" s="63"/>
      <c r="E1872" s="63"/>
      <c r="F1872" s="66"/>
      <c r="G1872" s="66"/>
      <c r="H1872" s="71"/>
      <c r="I1872" s="407"/>
      <c r="J1872" s="408"/>
      <c r="K1872" s="400"/>
      <c r="L1872" s="407"/>
      <c r="M1872" s="64"/>
      <c r="N1872" s="65"/>
      <c r="O1872" s="65"/>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
      </c>
      <c r="AD1872" s="81" t="str">
        <f>IF(AND(N1872="1521",MONTH(C1872)='BK-NL'!$M$11),"x","")</f>
        <v/>
      </c>
    </row>
    <row r="1873" spans="1:30" ht="15.75" customHeight="1">
      <c r="A1873" s="327" t="str">
        <f>IF(B1873&lt;&gt;"",IF(AND(B1873='IN-TC'!$S$4,OR(TH!N1873="1111",TH!O1873="1111")),TH!D1873,""),"")</f>
        <v/>
      </c>
      <c r="B1873" s="62" t="str">
        <f t="shared" si="360"/>
        <v/>
      </c>
      <c r="C1873" s="63"/>
      <c r="D1873" s="63"/>
      <c r="E1873" s="63"/>
      <c r="F1873" s="66"/>
      <c r="G1873" s="66"/>
      <c r="H1873" s="71"/>
      <c r="I1873" s="407"/>
      <c r="J1873" s="408"/>
      <c r="K1873" s="400"/>
      <c r="L1873" s="407"/>
      <c r="M1873" s="64"/>
      <c r="N1873" s="65"/>
      <c r="O1873" s="65"/>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0" ht="15.75" customHeight="1">
      <c r="A1874" s="327" t="str">
        <f>IF(B1874&lt;&gt;"",IF(AND(B1874='IN-TC'!$S$4,OR(TH!N1874="1111",TH!O1874="1111")),TH!D1874,""),"")</f>
        <v/>
      </c>
      <c r="B1874" s="62" t="str">
        <f t="shared" si="360"/>
        <v/>
      </c>
      <c r="C1874" s="63"/>
      <c r="D1874" s="63"/>
      <c r="E1874" s="63"/>
      <c r="F1874" s="66"/>
      <c r="G1874" s="66"/>
      <c r="H1874" s="71"/>
      <c r="I1874" s="407"/>
      <c r="J1874" s="408"/>
      <c r="K1874" s="400"/>
      <c r="L1874" s="407"/>
      <c r="M1874" s="64"/>
      <c r="N1874" s="65"/>
      <c r="O1874" s="65"/>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
      </c>
      <c r="AC1874" s="81" t="str">
        <f>IF(AND(OR(LEFT(TH!N1874,2)="15",LEFT(TH!O1874,2)="15"),TK!$E$7=TH!F1874),"x","")</f>
        <v/>
      </c>
      <c r="AD1874" s="81" t="str">
        <f>IF(AND(N1874="1521",MONTH(C1874)='BK-NL'!$M$11),"x","")</f>
        <v/>
      </c>
    </row>
    <row r="1875" spans="1:30" ht="15.75" customHeight="1">
      <c r="A1875" s="327" t="str">
        <f>IF(B1875&lt;&gt;"",IF(AND(B1875='IN-TC'!$S$4,OR(TH!N1875="1111",TH!O1875="1111")),TH!D1875,""),"")</f>
        <v/>
      </c>
      <c r="B1875" s="62" t="str">
        <f t="shared" si="360"/>
        <v/>
      </c>
      <c r="C1875" s="63"/>
      <c r="D1875" s="63"/>
      <c r="E1875" s="63"/>
      <c r="F1875" s="66"/>
      <c r="G1875" s="66"/>
      <c r="H1875" s="71"/>
      <c r="I1875" s="405"/>
      <c r="J1875" s="408"/>
      <c r="K1875" s="398"/>
      <c r="L1875" s="405"/>
      <c r="M1875" s="64"/>
      <c r="N1875" s="65"/>
      <c r="O1875" s="65"/>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
      </c>
      <c r="AC1875" s="81" t="str">
        <f>IF(AND(OR(LEFT(TH!N1875,2)="15",LEFT(TH!O1875,2)="15"),TK!$E$7=TH!F1875),"x","")</f>
        <v/>
      </c>
      <c r="AD1875" s="81" t="str">
        <f>IF(AND(N1875="1521",MONTH(C1875)='BK-NL'!$M$11),"x","")</f>
        <v/>
      </c>
    </row>
    <row r="1876" spans="1:30" ht="15.75" customHeight="1">
      <c r="A1876" s="327" t="str">
        <f>IF(B1876&lt;&gt;"",IF(AND(B1876='IN-TC'!$S$4,OR(TH!N1876="1111",TH!O1876="1111")),TH!D1876,""),"")</f>
        <v/>
      </c>
      <c r="B1876" s="62" t="str">
        <f t="shared" si="360"/>
        <v/>
      </c>
      <c r="C1876" s="63"/>
      <c r="D1876" s="63"/>
      <c r="E1876" s="63"/>
      <c r="F1876" s="66"/>
      <c r="G1876" s="66"/>
      <c r="H1876" s="71"/>
      <c r="I1876" s="405"/>
      <c r="J1876" s="408"/>
      <c r="K1876" s="398"/>
      <c r="L1876" s="405"/>
      <c r="M1876" s="64"/>
      <c r="N1876" s="65"/>
      <c r="O1876" s="65"/>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
      </c>
      <c r="AC1876" s="81" t="str">
        <f>IF(AND(OR(LEFT(TH!N1876,2)="15",LEFT(TH!O1876,2)="15"),TK!$E$7=TH!F1876),"x","")</f>
        <v/>
      </c>
      <c r="AD1876" s="81" t="str">
        <f>IF(AND(N1876="1521",MONTH(C1876)='BK-NL'!$M$11),"x","")</f>
        <v/>
      </c>
    </row>
    <row r="1877" spans="1:30" ht="15.75" customHeight="1">
      <c r="A1877" s="327" t="str">
        <f>IF(B1877&lt;&gt;"",IF(AND(B1877='IN-TC'!$S$4,OR(TH!N1877="1111",TH!O1877="1111")),TH!D1877,""),"")</f>
        <v/>
      </c>
      <c r="B1877" s="62" t="str">
        <f t="shared" si="360"/>
        <v/>
      </c>
      <c r="C1877" s="63"/>
      <c r="D1877" s="63"/>
      <c r="E1877" s="63"/>
      <c r="F1877" s="66"/>
      <c r="G1877" s="66"/>
      <c r="H1877" s="71"/>
      <c r="I1877" s="405"/>
      <c r="J1877" s="408"/>
      <c r="K1877" s="398"/>
      <c r="L1877" s="405"/>
      <c r="M1877" s="64"/>
      <c r="N1877" s="65"/>
      <c r="O1877" s="65"/>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
      </c>
      <c r="AC1877" s="81" t="str">
        <f>IF(AND(OR(LEFT(TH!N1877,2)="15",LEFT(TH!O1877,2)="15"),TK!$E$7=TH!F1877),"x","")</f>
        <v/>
      </c>
      <c r="AD1877" s="81" t="str">
        <f>IF(AND(N1877="1521",MONTH(C1877)='BK-NL'!$M$11),"x","")</f>
        <v/>
      </c>
    </row>
    <row r="1878" spans="1:30" ht="15.75" customHeight="1">
      <c r="A1878" s="327" t="str">
        <f>IF(B1878&lt;&gt;"",IF(AND(B1878='IN-TC'!$S$4,OR(TH!N1878="1111",TH!O1878="1111")),TH!D1878,""),"")</f>
        <v/>
      </c>
      <c r="B1878" s="62" t="str">
        <f t="shared" si="360"/>
        <v/>
      </c>
      <c r="C1878" s="63"/>
      <c r="D1878" s="63"/>
      <c r="E1878" s="63"/>
      <c r="F1878" s="66"/>
      <c r="G1878" s="66"/>
      <c r="H1878" s="71"/>
      <c r="I1878" s="405"/>
      <c r="J1878" s="408"/>
      <c r="K1878" s="398"/>
      <c r="L1878" s="405"/>
      <c r="M1878" s="64"/>
      <c r="N1878" s="65"/>
      <c r="O1878" s="65"/>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
      </c>
      <c r="AC1878" s="81" t="str">
        <f>IF(AND(OR(LEFT(TH!N1878,2)="15",LEFT(TH!O1878,2)="15"),TK!$E$7=TH!F1878),"x","")</f>
        <v/>
      </c>
      <c r="AD1878" s="81" t="str">
        <f>IF(AND(N1878="1521",MONTH(C1878)='BK-NL'!$M$11),"x","")</f>
        <v/>
      </c>
    </row>
    <row r="1879" spans="1:30" ht="15.75" customHeight="1">
      <c r="A1879" s="327" t="str">
        <f>IF(B1879&lt;&gt;"",IF(AND(B1879='IN-TC'!$S$4,OR(TH!N1879="1111",TH!O1879="1111")),TH!D1879,""),"")</f>
        <v/>
      </c>
      <c r="B1879" s="62" t="str">
        <f t="shared" si="360"/>
        <v/>
      </c>
      <c r="C1879" s="63"/>
      <c r="D1879" s="63"/>
      <c r="E1879" s="63"/>
      <c r="F1879" s="66"/>
      <c r="G1879" s="66"/>
      <c r="H1879" s="71"/>
      <c r="I1879" s="405"/>
      <c r="J1879" s="408"/>
      <c r="K1879" s="398"/>
      <c r="L1879" s="405"/>
      <c r="M1879" s="64"/>
      <c r="N1879" s="65"/>
      <c r="O1879" s="65"/>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
      </c>
      <c r="Z1879" s="81"/>
      <c r="AA1879" s="81" t="str">
        <f>IF(AND(MONTH(E1879)='IN-NX'!$J$5,'IN-NX'!$D$7=D1879),"x","")</f>
        <v/>
      </c>
      <c r="AB1879" s="81" t="str">
        <f>IF(AND(OR(LEFT(TH!N1879,2)="15",LEFT(TH!O1879,2)="15"),LEFT(TH!O1879,3)&lt;&gt;"111",'152-CT'!$J$8=TH!F1879),"x","")</f>
        <v/>
      </c>
      <c r="AC1879" s="81" t="str">
        <f>IF(AND(OR(LEFT(TH!N1879,2)="15",LEFT(TH!O1879,2)="15"),TK!$E$7=TH!F1879),"x","")</f>
        <v/>
      </c>
      <c r="AD1879" s="81" t="str">
        <f>IF(AND(N1879="1521",MONTH(C1879)='BK-NL'!$M$11),"x","")</f>
        <v/>
      </c>
    </row>
    <row r="1880" spans="1:30" ht="15.75" customHeight="1">
      <c r="A1880" s="327" t="str">
        <f>IF(B1880&lt;&gt;"",IF(AND(B1880='IN-TC'!$S$4,OR(TH!N1880="1111",TH!O1880="1111")),TH!D1880,""),"")</f>
        <v/>
      </c>
      <c r="B1880" s="62" t="str">
        <f t="shared" si="360"/>
        <v/>
      </c>
      <c r="C1880" s="63"/>
      <c r="D1880" s="63"/>
      <c r="E1880" s="63"/>
      <c r="F1880" s="66"/>
      <c r="G1880" s="66"/>
      <c r="H1880" s="71"/>
      <c r="I1880" s="405"/>
      <c r="J1880" s="408"/>
      <c r="K1880" s="398"/>
      <c r="L1880" s="405"/>
      <c r="M1880" s="64"/>
      <c r="N1880" s="65"/>
      <c r="O1880" s="65"/>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
      </c>
      <c r="Z1880" s="81"/>
      <c r="AA1880" s="81" t="str">
        <f>IF(AND(MONTH(E1880)='IN-NX'!$J$5,'IN-NX'!$D$7=D1880),"x","")</f>
        <v/>
      </c>
      <c r="AB1880" s="81" t="str">
        <f>IF(AND(OR(LEFT(TH!N1880,2)="15",LEFT(TH!O1880,2)="15"),LEFT(TH!O1880,3)&lt;&gt;"111",'152-CT'!$J$8=TH!F1880),"x","")</f>
        <v/>
      </c>
      <c r="AC1880" s="81" t="str">
        <f>IF(AND(OR(LEFT(TH!N1880,2)="15",LEFT(TH!O1880,2)="15"),TK!$E$7=TH!F1880),"x","")</f>
        <v/>
      </c>
      <c r="AD1880" s="81" t="str">
        <f>IF(AND(N1880="1521",MONTH(C1880)='BK-NL'!$M$11),"x","")</f>
        <v/>
      </c>
    </row>
    <row r="1881" spans="1:30" ht="15.75" customHeight="1">
      <c r="A1881" s="327" t="str">
        <f>IF(B1881&lt;&gt;"",IF(AND(B1881='IN-TC'!$S$4,OR(TH!N1881="1111",TH!O1881="1111")),TH!D1881,""),"")</f>
        <v/>
      </c>
      <c r="B1881" s="62" t="str">
        <f t="shared" si="360"/>
        <v/>
      </c>
      <c r="C1881" s="63"/>
      <c r="D1881" s="63"/>
      <c r="E1881" s="63"/>
      <c r="F1881" s="66"/>
      <c r="G1881" s="66"/>
      <c r="H1881" s="71"/>
      <c r="I1881" s="407"/>
      <c r="J1881" s="408"/>
      <c r="K1881" s="400"/>
      <c r="L1881" s="407"/>
      <c r="M1881" s="64"/>
      <c r="N1881" s="65"/>
      <c r="O1881" s="65"/>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
      </c>
      <c r="AC1881" s="81" t="str">
        <f>IF(AND(OR(LEFT(TH!N1881,2)="15",LEFT(TH!O1881,2)="15"),TK!$E$7=TH!F1881),"x","")</f>
        <v/>
      </c>
      <c r="AD1881" s="81" t="str">
        <f>IF(AND(N1881="1521",MONTH(C1881)='BK-NL'!$M$11),"x","")</f>
        <v/>
      </c>
    </row>
    <row r="1882" spans="1:30" ht="15.75" customHeight="1">
      <c r="A1882" s="327" t="str">
        <f>IF(B1882&lt;&gt;"",IF(AND(B1882='IN-TC'!$S$4,OR(TH!N1882="1111",TH!O1882="1111")),TH!D1882,""),"")</f>
        <v/>
      </c>
      <c r="B1882" s="62" t="str">
        <f t="shared" si="360"/>
        <v/>
      </c>
      <c r="C1882" s="63"/>
      <c r="D1882" s="63"/>
      <c r="E1882" s="63"/>
      <c r="F1882" s="66"/>
      <c r="G1882" s="66"/>
      <c r="H1882" s="71"/>
      <c r="I1882" s="407"/>
      <c r="J1882" s="408"/>
      <c r="K1882" s="400"/>
      <c r="L1882" s="407"/>
      <c r="M1882" s="64"/>
      <c r="N1882" s="65"/>
      <c r="O1882" s="65"/>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
      </c>
      <c r="AC1882" s="81" t="str">
        <f>IF(AND(OR(LEFT(TH!N1882,2)="15",LEFT(TH!O1882,2)="15"),TK!$E$7=TH!F1882),"x","")</f>
        <v/>
      </c>
      <c r="AD1882" s="81" t="str">
        <f>IF(AND(N1882="1521",MONTH(C1882)='BK-NL'!$M$11),"x","")</f>
        <v/>
      </c>
    </row>
    <row r="1883" spans="1:30" ht="15.75" customHeight="1">
      <c r="A1883" s="327" t="str">
        <f>IF(B1883&lt;&gt;"",IF(AND(B1883='IN-TC'!$S$4,OR(TH!N1883="1111",TH!O1883="1111")),TH!D1883,""),"")</f>
        <v/>
      </c>
      <c r="B1883" s="62" t="str">
        <f t="shared" si="360"/>
        <v/>
      </c>
      <c r="C1883" s="63"/>
      <c r="D1883" s="63"/>
      <c r="E1883" s="63"/>
      <c r="F1883" s="66"/>
      <c r="G1883" s="66"/>
      <c r="H1883" s="71"/>
      <c r="I1883" s="405"/>
      <c r="J1883" s="408"/>
      <c r="K1883" s="398"/>
      <c r="L1883" s="405"/>
      <c r="M1883" s="64"/>
      <c r="N1883" s="65"/>
      <c r="O1883" s="65"/>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
      </c>
      <c r="AC1883" s="81" t="str">
        <f>IF(AND(OR(LEFT(TH!N1883,2)="15",LEFT(TH!O1883,2)="15"),TK!$E$7=TH!F1883),"x","")</f>
        <v/>
      </c>
      <c r="AD1883" s="81" t="str">
        <f>IF(AND(N1883="1521",MONTH(C1883)='BK-NL'!$M$11),"x","")</f>
        <v/>
      </c>
    </row>
    <row r="1884" spans="1:30" ht="15.75" customHeight="1">
      <c r="A1884" s="327" t="str">
        <f>IF(B1884&lt;&gt;"",IF(AND(B1884='IN-TC'!$S$4,OR(TH!N1884="1111",TH!O1884="1111")),TH!D1884,""),"")</f>
        <v/>
      </c>
      <c r="B1884" s="62" t="str">
        <f t="shared" si="360"/>
        <v/>
      </c>
      <c r="C1884" s="63"/>
      <c r="D1884" s="63"/>
      <c r="E1884" s="63"/>
      <c r="F1884" s="66"/>
      <c r="G1884" s="66"/>
      <c r="H1884" s="71"/>
      <c r="I1884" s="405"/>
      <c r="J1884" s="408"/>
      <c r="K1884" s="398"/>
      <c r="L1884" s="405"/>
      <c r="M1884" s="64"/>
      <c r="N1884" s="65"/>
      <c r="O1884" s="65"/>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
      </c>
      <c r="AC1884" s="81" t="str">
        <f>IF(AND(OR(LEFT(TH!N1884,2)="15",LEFT(TH!O1884,2)="15"),TK!$E$7=TH!F1884),"x","")</f>
        <v/>
      </c>
      <c r="AD1884" s="81" t="str">
        <f>IF(AND(N1884="1521",MONTH(C1884)='BK-NL'!$M$11),"x","")</f>
        <v/>
      </c>
    </row>
    <row r="1885" spans="1:30" ht="15.75" customHeight="1">
      <c r="A1885" s="327" t="str">
        <f>IF(B1885&lt;&gt;"",IF(AND(B1885='IN-TC'!$S$4,OR(TH!N1885="1111",TH!O1885="1111")),TH!D1885,""),"")</f>
        <v/>
      </c>
      <c r="B1885" s="62" t="str">
        <f t="shared" si="360"/>
        <v/>
      </c>
      <c r="C1885" s="63"/>
      <c r="D1885" s="63"/>
      <c r="E1885" s="63"/>
      <c r="F1885" s="66"/>
      <c r="G1885" s="66"/>
      <c r="H1885" s="71"/>
      <c r="I1885" s="405"/>
      <c r="J1885" s="408"/>
      <c r="K1885" s="398"/>
      <c r="L1885" s="405"/>
      <c r="M1885" s="64"/>
      <c r="N1885" s="65"/>
      <c r="O1885" s="65"/>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
      </c>
      <c r="AC1885" s="81" t="str">
        <f>IF(AND(OR(LEFT(TH!N1885,2)="15",LEFT(TH!O1885,2)="15"),TK!$E$7=TH!F1885),"x","")</f>
        <v/>
      </c>
      <c r="AD1885" s="81" t="str">
        <f>IF(AND(N1885="1521",MONTH(C1885)='BK-NL'!$M$11),"x","")</f>
        <v/>
      </c>
    </row>
    <row r="1886" spans="1:30" ht="15.75" customHeight="1">
      <c r="A1886" s="327" t="str">
        <f>IF(B1886&lt;&gt;"",IF(AND(B1886='IN-TC'!$S$4,OR(TH!N1886="1111",TH!O1886="1111")),TH!D1886,""),"")</f>
        <v/>
      </c>
      <c r="B1886" s="62" t="str">
        <f t="shared" si="360"/>
        <v/>
      </c>
      <c r="C1886" s="63"/>
      <c r="D1886" s="63"/>
      <c r="E1886" s="63"/>
      <c r="F1886" s="66"/>
      <c r="G1886" s="66"/>
      <c r="H1886" s="71"/>
      <c r="I1886" s="405"/>
      <c r="J1886" s="408"/>
      <c r="K1886" s="398"/>
      <c r="L1886" s="405"/>
      <c r="M1886" s="64"/>
      <c r="N1886" s="65"/>
      <c r="O1886" s="65"/>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row>
    <row r="1887" spans="1:30" ht="15.75" customHeight="1">
      <c r="A1887" s="327" t="str">
        <f>IF(B1887&lt;&gt;"",IF(AND(B1887='IN-TC'!$S$4,OR(TH!N1887="1111",TH!O1887="1111")),TH!D1887,""),"")</f>
        <v/>
      </c>
      <c r="B1887" s="62" t="str">
        <f t="shared" si="360"/>
        <v/>
      </c>
      <c r="C1887" s="63"/>
      <c r="D1887" s="63"/>
      <c r="E1887" s="63"/>
      <c r="F1887" s="66"/>
      <c r="G1887" s="66"/>
      <c r="H1887" s="71"/>
      <c r="I1887" s="405"/>
      <c r="J1887" s="408"/>
      <c r="K1887" s="398"/>
      <c r="L1887" s="405"/>
      <c r="M1887" s="64"/>
      <c r="N1887" s="65"/>
      <c r="O1887" s="65"/>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0" ht="15.75" customHeight="1">
      <c r="A1888" s="327" t="str">
        <f>IF(B1888&lt;&gt;"",IF(AND(B1888='IN-TC'!$S$4,OR(TH!N1888="1111",TH!O1888="1111")),TH!D1888,""),"")</f>
        <v/>
      </c>
      <c r="B1888" s="62" t="str">
        <f t="shared" si="360"/>
        <v/>
      </c>
      <c r="C1888" s="63"/>
      <c r="D1888" s="63"/>
      <c r="E1888" s="63"/>
      <c r="F1888" s="66"/>
      <c r="G1888" s="66"/>
      <c r="H1888" s="71"/>
      <c r="I1888" s="405"/>
      <c r="J1888" s="408"/>
      <c r="K1888" s="398"/>
      <c r="L1888" s="405"/>
      <c r="M1888" s="64"/>
      <c r="N1888" s="65"/>
      <c r="O1888" s="65"/>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
      </c>
      <c r="AC1888" s="81" t="str">
        <f>IF(AND(OR(LEFT(TH!N1888,2)="15",LEFT(TH!O1888,2)="15"),TK!$E$7=TH!F1888),"x","")</f>
        <v/>
      </c>
      <c r="AD1888" s="81" t="str">
        <f>IF(AND(N1888="1521",MONTH(C1888)='BK-NL'!$M$11),"x","")</f>
        <v/>
      </c>
    </row>
    <row r="1889" spans="1:30" ht="15.75" customHeight="1">
      <c r="A1889" s="327" t="str">
        <f>IF(B1889&lt;&gt;"",IF(AND(B1889='IN-TC'!$S$4,OR(TH!N1889="1111",TH!O1889="1111")),TH!D1889,""),"")</f>
        <v/>
      </c>
      <c r="B1889" s="62" t="str">
        <f t="shared" si="360"/>
        <v/>
      </c>
      <c r="C1889" s="63"/>
      <c r="D1889" s="63"/>
      <c r="E1889" s="63"/>
      <c r="F1889" s="66"/>
      <c r="G1889" s="66"/>
      <c r="H1889" s="71"/>
      <c r="I1889" s="405"/>
      <c r="J1889" s="408"/>
      <c r="K1889" s="398"/>
      <c r="L1889" s="405"/>
      <c r="M1889" s="64"/>
      <c r="N1889" s="65"/>
      <c r="O1889" s="65"/>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
      </c>
      <c r="AC1889" s="81" t="str">
        <f>IF(AND(OR(LEFT(TH!N1889,2)="15",LEFT(TH!O1889,2)="15"),TK!$E$7=TH!F1889),"x","")</f>
        <v/>
      </c>
      <c r="AD1889" s="81" t="str">
        <f>IF(AND(N1889="1521",MONTH(C1889)='BK-NL'!$M$11),"x","")</f>
        <v/>
      </c>
    </row>
    <row r="1890" spans="1:30" ht="15.75" customHeight="1">
      <c r="A1890" s="327" t="str">
        <f>IF(B1890&lt;&gt;"",IF(AND(B1890='IN-TC'!$S$4,OR(TH!N1890="1111",TH!O1890="1111")),TH!D1890,""),"")</f>
        <v/>
      </c>
      <c r="B1890" s="62" t="str">
        <f t="shared" si="360"/>
        <v/>
      </c>
      <c r="C1890" s="63"/>
      <c r="D1890" s="63"/>
      <c r="E1890" s="63"/>
      <c r="F1890" s="66"/>
      <c r="G1890" s="66"/>
      <c r="H1890" s="71"/>
      <c r="I1890" s="405"/>
      <c r="J1890" s="408"/>
      <c r="K1890" s="398"/>
      <c r="L1890" s="405"/>
      <c r="M1890" s="64"/>
      <c r="N1890" s="65"/>
      <c r="O1890" s="65"/>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0" ht="15.75" customHeight="1">
      <c r="A1891" s="327" t="str">
        <f>IF(B1891&lt;&gt;"",IF(AND(B1891='IN-TC'!$S$4,OR(TH!N1891="1111",TH!O1891="1111")),TH!D1891,""),"")</f>
        <v/>
      </c>
      <c r="B1891" s="62" t="str">
        <f t="shared" ref="B1891:B1898" si="361">IF(C1891&lt;&gt;"",MONTH(C1891),"")</f>
        <v/>
      </c>
      <c r="C1891" s="63"/>
      <c r="D1891" s="63"/>
      <c r="E1891" s="63"/>
      <c r="F1891" s="66"/>
      <c r="G1891" s="66"/>
      <c r="H1891" s="71"/>
      <c r="I1891" s="405"/>
      <c r="J1891" s="408"/>
      <c r="K1891" s="398"/>
      <c r="L1891" s="405"/>
      <c r="M1891" s="64"/>
      <c r="N1891" s="65"/>
      <c r="O1891" s="65"/>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
      </c>
      <c r="AD1891" s="81" t="str">
        <f>IF(AND(N1891="1521",MONTH(C1891)='BK-NL'!$M$11),"x","")</f>
        <v/>
      </c>
    </row>
    <row r="1892" spans="1:30" ht="15.75" customHeight="1">
      <c r="A1892" s="327" t="str">
        <f>IF(B1892&lt;&gt;"",IF(AND(B1892='IN-TC'!$S$4,OR(TH!N1892="1111",TH!O1892="1111")),TH!D1892,""),"")</f>
        <v/>
      </c>
      <c r="B1892" s="62" t="str">
        <f t="shared" si="361"/>
        <v/>
      </c>
      <c r="C1892" s="63"/>
      <c r="D1892" s="63"/>
      <c r="E1892" s="63"/>
      <c r="F1892" s="66"/>
      <c r="G1892" s="66"/>
      <c r="H1892" s="71"/>
      <c r="I1892" s="405"/>
      <c r="J1892" s="408"/>
      <c r="K1892" s="398"/>
      <c r="L1892" s="405"/>
      <c r="M1892" s="64"/>
      <c r="N1892" s="65"/>
      <c r="O1892" s="65"/>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
      </c>
      <c r="AD1892" s="81" t="str">
        <f>IF(AND(N1892="1521",MONTH(C1892)='BK-NL'!$M$11),"x","")</f>
        <v/>
      </c>
    </row>
    <row r="1893" spans="1:30" ht="15.75" customHeight="1">
      <c r="A1893" s="327" t="str">
        <f>IF(B1893&lt;&gt;"",IF(AND(B1893='IN-TC'!$S$4,OR(TH!N1893="1111",TH!O1893="1111")),TH!D1893,""),"")</f>
        <v/>
      </c>
      <c r="B1893" s="62" t="str">
        <f t="shared" si="361"/>
        <v/>
      </c>
      <c r="C1893" s="63"/>
      <c r="D1893" s="63"/>
      <c r="E1893" s="63"/>
      <c r="F1893" s="66"/>
      <c r="G1893" s="66"/>
      <c r="H1893" s="71"/>
      <c r="I1893" s="405"/>
      <c r="J1893" s="408"/>
      <c r="K1893" s="398"/>
      <c r="L1893" s="405"/>
      <c r="M1893" s="64"/>
      <c r="N1893" s="65"/>
      <c r="O1893" s="65"/>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0" ht="15.75" customHeight="1">
      <c r="A1894" s="327" t="str">
        <f>IF(B1894&lt;&gt;"",IF(AND(B1894='IN-TC'!$S$4,OR(TH!N1894="1111",TH!O1894="1111")),TH!D1894,""),"")</f>
        <v/>
      </c>
      <c r="B1894" s="62" t="str">
        <f t="shared" si="361"/>
        <v/>
      </c>
      <c r="C1894" s="63"/>
      <c r="D1894" s="63"/>
      <c r="E1894" s="63"/>
      <c r="F1894" s="66"/>
      <c r="G1894" s="66"/>
      <c r="H1894" s="71"/>
      <c r="I1894" s="405"/>
      <c r="J1894" s="408"/>
      <c r="K1894" s="398"/>
      <c r="L1894" s="405"/>
      <c r="M1894" s="64"/>
      <c r="N1894" s="65"/>
      <c r="O1894" s="65"/>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0" ht="15.75" customHeight="1">
      <c r="A1895" s="327"/>
      <c r="B1895" s="62" t="str">
        <f t="shared" si="361"/>
        <v/>
      </c>
      <c r="C1895" s="63"/>
      <c r="D1895" s="63"/>
      <c r="E1895" s="63"/>
      <c r="F1895" s="66"/>
      <c r="G1895" s="66"/>
      <c r="H1895" s="71"/>
      <c r="I1895" s="405"/>
      <c r="J1895" s="408"/>
      <c r="K1895" s="398"/>
      <c r="L1895" s="405"/>
      <c r="M1895" s="64"/>
      <c r="N1895" s="65"/>
      <c r="O1895" s="65"/>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0" ht="15.75" customHeight="1">
      <c r="A1896" s="327"/>
      <c r="B1896" s="62" t="str">
        <f t="shared" si="361"/>
        <v/>
      </c>
      <c r="C1896" s="63"/>
      <c r="D1896" s="63"/>
      <c r="E1896" s="63"/>
      <c r="F1896" s="66"/>
      <c r="G1896" s="66"/>
      <c r="H1896" s="71"/>
      <c r="I1896" s="405"/>
      <c r="J1896" s="408"/>
      <c r="K1896" s="398"/>
      <c r="L1896" s="405"/>
      <c r="M1896" s="64"/>
      <c r="N1896" s="65"/>
      <c r="O1896" s="65"/>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
      </c>
      <c r="Z1896" s="81"/>
      <c r="AA1896" s="81" t="str">
        <f>IF(AND(MONTH(E1896)='IN-NX'!$J$5,'IN-NX'!$D$7=D1896),"x","")</f>
        <v/>
      </c>
      <c r="AB1896" s="81" t="str">
        <f>IF(AND(OR(LEFT(TH!N1896,2)="15",LEFT(TH!O1896,2)="15"),LEFT(TH!O1896,3)&lt;&gt;"111",'152-CT'!$J$8=TH!F1896),"x","")</f>
        <v/>
      </c>
      <c r="AC1896" s="81" t="str">
        <f>IF(AND(OR(LEFT(TH!N1896,2)="15",LEFT(TH!O1896,2)="15"),TK!$E$7=TH!F1896),"x","")</f>
        <v/>
      </c>
      <c r="AD1896" s="81" t="str">
        <f>IF(AND(N1896="1521",MONTH(C1896)='BK-NL'!$M$11),"x","")</f>
        <v/>
      </c>
    </row>
    <row r="1897" spans="1:30" ht="15.75" customHeight="1">
      <c r="A1897" s="327"/>
      <c r="B1897" s="62" t="str">
        <f t="shared" si="361"/>
        <v/>
      </c>
      <c r="C1897" s="63"/>
      <c r="D1897" s="63"/>
      <c r="E1897" s="63"/>
      <c r="F1897" s="66"/>
      <c r="G1897" s="66"/>
      <c r="H1897" s="71"/>
      <c r="I1897" s="405"/>
      <c r="J1897" s="408"/>
      <c r="K1897" s="398"/>
      <c r="L1897" s="405"/>
      <c r="M1897" s="64"/>
      <c r="N1897" s="65"/>
      <c r="O1897" s="65"/>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
      </c>
      <c r="AC1897" s="81" t="str">
        <f>IF(AND(OR(LEFT(TH!N1897,2)="15",LEFT(TH!O1897,2)="15"),TK!$E$7=TH!F1897),"x","")</f>
        <v/>
      </c>
      <c r="AD1897" s="81" t="str">
        <f>IF(AND(N1897="1521",MONTH(C1897)='BK-NL'!$M$11),"x","")</f>
        <v/>
      </c>
    </row>
    <row r="1898" spans="1:30" ht="15.75" customHeight="1">
      <c r="A1898" s="327" t="str">
        <f>IF(B1898&lt;&gt;"",IF(AND(B1898='IN-TC'!$S$4,OR(TH!N1898="1111",TH!O1898="1111")),TH!D1898,""),"")</f>
        <v/>
      </c>
      <c r="B1898" s="62" t="str">
        <f t="shared" si="361"/>
        <v/>
      </c>
      <c r="C1898" s="63"/>
      <c r="D1898" s="63"/>
      <c r="E1898" s="63"/>
      <c r="F1898" s="66"/>
      <c r="G1898" s="66"/>
      <c r="H1898" s="71"/>
      <c r="I1898" s="405"/>
      <c r="J1898" s="408"/>
      <c r="K1898" s="398"/>
      <c r="L1898" s="405"/>
      <c r="M1898" s="64"/>
      <c r="N1898" s="65"/>
      <c r="O1898" s="65"/>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
      </c>
      <c r="AC1898" s="81" t="str">
        <f>IF(AND(OR(LEFT(TH!N1898,2)="15",LEFT(TH!O1898,2)="15"),TK!$E$7=TH!F1898),"x","")</f>
        <v/>
      </c>
      <c r="AD1898" s="81" t="str">
        <f>IF(AND(N1898="1521",MONTH(C1898)='BK-NL'!$M$11),"x","")</f>
        <v/>
      </c>
    </row>
    <row r="1899" spans="1:30" ht="15.75" customHeight="1">
      <c r="A1899" s="327" t="str">
        <f>IF(B1899&lt;&gt;"",IF(AND(B1899='IN-TC'!$S$4,OR(TH!N1899="1111",TH!O1899="1111")),TH!D1899,""),"")</f>
        <v/>
      </c>
      <c r="B1899" s="62" t="str">
        <f t="shared" si="360"/>
        <v/>
      </c>
      <c r="C1899" s="63"/>
      <c r="D1899" s="63"/>
      <c r="E1899" s="63"/>
      <c r="F1899" s="66"/>
      <c r="G1899" s="66"/>
      <c r="H1899" s="71"/>
      <c r="I1899" s="405"/>
      <c r="J1899" s="408"/>
      <c r="K1899" s="398"/>
      <c r="L1899" s="405"/>
      <c r="M1899" s="64"/>
      <c r="N1899" s="65"/>
      <c r="O1899" s="65"/>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row>
    <row r="1900" spans="1:30" ht="15.75" customHeight="1">
      <c r="A1900" s="327" t="str">
        <f>IF(B1900&lt;&gt;"",IF(AND(B1900='IN-TC'!$S$4,OR(TH!N1900="1111",TH!O1900="1111")),TH!D1900,""),"")</f>
        <v/>
      </c>
      <c r="B1900" s="62" t="str">
        <f t="shared" si="360"/>
        <v/>
      </c>
      <c r="C1900" s="63"/>
      <c r="D1900" s="63"/>
      <c r="E1900" s="63"/>
      <c r="F1900" s="66"/>
      <c r="G1900" s="66"/>
      <c r="H1900" s="71"/>
      <c r="I1900" s="405"/>
      <c r="J1900" s="408"/>
      <c r="K1900" s="398"/>
      <c r="L1900" s="405"/>
      <c r="M1900" s="64"/>
      <c r="N1900" s="65"/>
      <c r="O1900" s="65"/>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row>
    <row r="1901" spans="1:30" ht="15.75" customHeight="1">
      <c r="A1901" s="327" t="str">
        <f>IF(B1901&lt;&gt;"",IF(AND(B1901='IN-TC'!$S$4,OR(TH!N1901="1111",TH!O1901="1111")),TH!D1901,""),"")</f>
        <v/>
      </c>
      <c r="B1901" s="62" t="str">
        <f t="shared" si="360"/>
        <v/>
      </c>
      <c r="C1901" s="63"/>
      <c r="D1901" s="63"/>
      <c r="E1901" s="63"/>
      <c r="F1901" s="66"/>
      <c r="G1901" s="66"/>
      <c r="H1901" s="71"/>
      <c r="I1901" s="405"/>
      <c r="J1901" s="408"/>
      <c r="K1901" s="398"/>
      <c r="L1901" s="405"/>
      <c r="M1901" s="64"/>
      <c r="N1901" s="65"/>
      <c r="O1901" s="65"/>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
      </c>
      <c r="AC1901" s="81" t="str">
        <f>IF(AND(OR(LEFT(TH!N1901,2)="15",LEFT(TH!O1901,2)="15"),TK!$E$7=TH!F1901),"x","")</f>
        <v/>
      </c>
      <c r="AD1901" s="81" t="str">
        <f>IF(AND(N1901="1521",MONTH(C1901)='BK-NL'!$M$11),"x","")</f>
        <v/>
      </c>
    </row>
    <row r="1902" spans="1:30" ht="15.75" customHeight="1">
      <c r="A1902" s="327" t="str">
        <f>IF(B1902&lt;&gt;"",IF(AND(B1902='IN-TC'!$S$4,OR(TH!N1902="1111",TH!O1902="1111")),TH!D1902,""),"")</f>
        <v/>
      </c>
      <c r="B1902" s="62" t="str">
        <f t="shared" ref="B1902:B1905" si="362">IF(C1902&lt;&gt;"",MONTH(C1902),"")</f>
        <v/>
      </c>
      <c r="C1902" s="63"/>
      <c r="D1902" s="63"/>
      <c r="E1902" s="63"/>
      <c r="F1902" s="66"/>
      <c r="G1902" s="66"/>
      <c r="H1902" s="71"/>
      <c r="I1902" s="405"/>
      <c r="J1902" s="408"/>
      <c r="K1902" s="398"/>
      <c r="L1902" s="405"/>
      <c r="M1902" s="64"/>
      <c r="N1902" s="65"/>
      <c r="O1902" s="65"/>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
      </c>
      <c r="AC1902" s="81" t="str">
        <f>IF(AND(OR(LEFT(TH!N1902,2)="15",LEFT(TH!O1902,2)="15"),TK!$E$7=TH!F1902),"x","")</f>
        <v/>
      </c>
      <c r="AD1902" s="81" t="str">
        <f>IF(AND(N1902="1521",MONTH(C1902)='BK-NL'!$M$11),"x","")</f>
        <v/>
      </c>
    </row>
    <row r="1903" spans="1:30" ht="15.75" customHeight="1">
      <c r="A1903" s="327" t="str">
        <f>IF(B1903&lt;&gt;"",IF(AND(B1903='IN-TC'!$S$4,OR(TH!N1903="1111",TH!O1903="1111")),TH!D1903,""),"")</f>
        <v/>
      </c>
      <c r="B1903" s="62" t="str">
        <f t="shared" si="362"/>
        <v/>
      </c>
      <c r="C1903" s="63"/>
      <c r="D1903" s="63"/>
      <c r="E1903" s="63"/>
      <c r="F1903" s="66"/>
      <c r="G1903" s="66"/>
      <c r="H1903" s="71"/>
      <c r="I1903" s="405"/>
      <c r="J1903" s="408"/>
      <c r="K1903" s="398"/>
      <c r="L1903" s="405"/>
      <c r="M1903" s="64"/>
      <c r="N1903" s="65"/>
      <c r="O1903" s="65"/>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
      </c>
      <c r="AC1903" s="81" t="str">
        <f>IF(AND(OR(LEFT(TH!N1903,2)="15",LEFT(TH!O1903,2)="15"),TK!$E$7=TH!F1903),"x","")</f>
        <v/>
      </c>
      <c r="AD1903" s="81" t="str">
        <f>IF(AND(N1903="1521",MONTH(C1903)='BK-NL'!$M$11),"x","")</f>
        <v/>
      </c>
    </row>
    <row r="1904" spans="1:30" ht="15.75" customHeight="1">
      <c r="A1904" s="327" t="str">
        <f>IF(B1904&lt;&gt;"",IF(AND(B1904='IN-TC'!$S$4,OR(TH!N1904="1111",TH!O1904="1111")),TH!D1904,""),"")</f>
        <v/>
      </c>
      <c r="B1904" s="62" t="str">
        <f t="shared" si="362"/>
        <v/>
      </c>
      <c r="C1904" s="63"/>
      <c r="D1904" s="63"/>
      <c r="E1904" s="63"/>
      <c r="F1904" s="66"/>
      <c r="G1904" s="66"/>
      <c r="H1904" s="71"/>
      <c r="I1904" s="405"/>
      <c r="J1904" s="408"/>
      <c r="K1904" s="398"/>
      <c r="L1904" s="405"/>
      <c r="M1904" s="64"/>
      <c r="N1904" s="65"/>
      <c r="O1904" s="65"/>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
      </c>
      <c r="AC1904" s="81" t="str">
        <f>IF(AND(OR(LEFT(TH!N1904,2)="15",LEFT(TH!O1904,2)="15"),TK!$E$7=TH!F1904),"x","")</f>
        <v/>
      </c>
      <c r="AD1904" s="81" t="str">
        <f>IF(AND(N1904="1521",MONTH(C1904)='BK-NL'!$M$11),"x","")</f>
        <v/>
      </c>
    </row>
    <row r="1905" spans="1:30" ht="15.75" customHeight="1">
      <c r="A1905" s="327" t="str">
        <f>IF(B1905&lt;&gt;"",IF(AND(B1905='IN-TC'!$S$4,OR(TH!N1905="1111",TH!O1905="1111")),TH!D1905,""),"")</f>
        <v/>
      </c>
      <c r="B1905" s="62" t="str">
        <f t="shared" si="362"/>
        <v/>
      </c>
      <c r="C1905" s="63"/>
      <c r="D1905" s="63"/>
      <c r="E1905" s="63"/>
      <c r="F1905" s="66"/>
      <c r="G1905" s="66"/>
      <c r="H1905" s="71"/>
      <c r="I1905" s="405"/>
      <c r="J1905" s="408"/>
      <c r="K1905" s="398"/>
      <c r="L1905" s="405"/>
      <c r="M1905" s="64"/>
      <c r="N1905" s="65"/>
      <c r="O1905" s="65"/>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
      </c>
      <c r="AC1905" s="81" t="str">
        <f>IF(AND(OR(LEFT(TH!N1905,2)="15",LEFT(TH!O1905,2)="15"),TK!$E$7=TH!F1905),"x","")</f>
        <v/>
      </c>
      <c r="AD1905" s="81" t="str">
        <f>IF(AND(N1905="1521",MONTH(C1905)='BK-NL'!$M$11),"x","")</f>
        <v/>
      </c>
    </row>
    <row r="1906" spans="1:30" ht="15.75" customHeight="1">
      <c r="A1906" s="327" t="str">
        <f>IF(B1906&lt;&gt;"",IF(AND(B1906='IN-TC'!$S$4,OR(TH!N1906="1111",TH!O1906="1111")),TH!D1906,""),"")</f>
        <v/>
      </c>
      <c r="B1906" s="62" t="str">
        <f t="shared" si="360"/>
        <v/>
      </c>
      <c r="C1906" s="63"/>
      <c r="D1906" s="63"/>
      <c r="E1906" s="63"/>
      <c r="F1906" s="66"/>
      <c r="G1906" s="66"/>
      <c r="H1906" s="71"/>
      <c r="I1906" s="405"/>
      <c r="J1906" s="408"/>
      <c r="K1906" s="398"/>
      <c r="L1906" s="405"/>
      <c r="M1906" s="64"/>
      <c r="N1906" s="65"/>
      <c r="O1906" s="65"/>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
      </c>
      <c r="Z1906" s="81"/>
      <c r="AA1906" s="81" t="str">
        <f>IF(AND(MONTH(E1906)='IN-NX'!$J$5,'IN-NX'!$D$7=D1906),"x","")</f>
        <v/>
      </c>
      <c r="AB1906" s="81" t="str">
        <f>IF(AND(OR(LEFT(TH!N1906,2)="15",LEFT(TH!O1906,2)="15"),LEFT(TH!O1906,3)&lt;&gt;"111",'152-CT'!$J$8=TH!F1906),"x","")</f>
        <v/>
      </c>
      <c r="AC1906" s="81" t="str">
        <f>IF(AND(OR(LEFT(TH!N1906,2)="15",LEFT(TH!O1906,2)="15"),TK!$E$7=TH!F1906),"x","")</f>
        <v/>
      </c>
      <c r="AD1906" s="81" t="str">
        <f>IF(AND(N1906="1521",MONTH(C1906)='BK-NL'!$M$11),"x","")</f>
        <v/>
      </c>
    </row>
    <row r="1907" spans="1:30" ht="15.75" customHeight="1">
      <c r="A1907" s="327" t="str">
        <f>IF(B1907&lt;&gt;"",IF(AND(B1907='IN-TC'!$S$4,OR(TH!N1907="1111",TH!O1907="1111")),TH!D1907,""),"")</f>
        <v/>
      </c>
      <c r="B1907" s="62" t="str">
        <f t="shared" si="360"/>
        <v/>
      </c>
      <c r="C1907" s="63"/>
      <c r="D1907" s="63"/>
      <c r="E1907" s="63"/>
      <c r="F1907" s="66"/>
      <c r="G1907" s="66"/>
      <c r="H1907" s="71"/>
      <c r="I1907" s="405"/>
      <c r="J1907" s="408"/>
      <c r="K1907" s="398"/>
      <c r="L1907" s="405"/>
      <c r="M1907" s="64"/>
      <c r="N1907" s="65"/>
      <c r="O1907" s="65"/>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
      </c>
      <c r="Z1907" s="81"/>
      <c r="AA1907" s="81" t="str">
        <f>IF(AND(MONTH(E1907)='IN-NX'!$J$5,'IN-NX'!$D$7=D1907),"x","")</f>
        <v/>
      </c>
      <c r="AB1907" s="81" t="str">
        <f>IF(AND(OR(LEFT(TH!N1907,2)="15",LEFT(TH!O1907,2)="15"),LEFT(TH!O1907,3)&lt;&gt;"111",'152-CT'!$J$8=TH!F1907),"x","")</f>
        <v/>
      </c>
      <c r="AC1907" s="81" t="str">
        <f>IF(AND(OR(LEFT(TH!N1907,2)="15",LEFT(TH!O1907,2)="15"),TK!$E$7=TH!F1907),"x","")</f>
        <v/>
      </c>
      <c r="AD1907" s="81" t="str">
        <f>IF(AND(N1907="1521",MONTH(C1907)='BK-NL'!$M$11),"x","")</f>
        <v/>
      </c>
    </row>
    <row r="1908" spans="1:30" ht="15.75" customHeight="1">
      <c r="A1908" s="327" t="str">
        <f>IF(B1908&lt;&gt;"",IF(AND(B1908='IN-TC'!$S$4,OR(TH!N1908="1111",TH!O1908="1111")),TH!D1908,""),"")</f>
        <v/>
      </c>
      <c r="B1908" s="62" t="str">
        <f t="shared" si="360"/>
        <v/>
      </c>
      <c r="C1908" s="63"/>
      <c r="D1908" s="63"/>
      <c r="E1908" s="63"/>
      <c r="F1908" s="66"/>
      <c r="G1908" s="66"/>
      <c r="H1908" s="71"/>
      <c r="I1908" s="405"/>
      <c r="J1908" s="408"/>
      <c r="K1908" s="398"/>
      <c r="L1908" s="405"/>
      <c r="M1908" s="64"/>
      <c r="N1908" s="65"/>
      <c r="O1908" s="65"/>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
      </c>
      <c r="AC1908" s="81" t="str">
        <f>IF(AND(OR(LEFT(TH!N1908,2)="15",LEFT(TH!O1908,2)="15"),TK!$E$7=TH!F1908),"x","")</f>
        <v/>
      </c>
      <c r="AD1908" s="81" t="str">
        <f>IF(AND(N1908="1521",MONTH(C1908)='BK-NL'!$M$11),"x","")</f>
        <v/>
      </c>
    </row>
    <row r="1909" spans="1:30" ht="15.75" customHeight="1">
      <c r="A1909" s="327" t="str">
        <f>IF(B1909&lt;&gt;"",IF(AND(B1909='IN-TC'!$S$4,OR(TH!N1909="1111",TH!O1909="1111")),TH!D1909,""),"")</f>
        <v/>
      </c>
      <c r="B1909" s="62" t="str">
        <f t="shared" si="360"/>
        <v/>
      </c>
      <c r="C1909" s="63"/>
      <c r="D1909" s="63"/>
      <c r="E1909" s="63"/>
      <c r="F1909" s="66"/>
      <c r="G1909" s="66"/>
      <c r="H1909" s="71"/>
      <c r="I1909" s="405"/>
      <c r="J1909" s="408"/>
      <c r="K1909" s="398"/>
      <c r="L1909" s="405"/>
      <c r="M1909" s="64"/>
      <c r="N1909" s="65"/>
      <c r="O1909" s="65"/>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
      </c>
      <c r="AC1909" s="81" t="str">
        <f>IF(AND(OR(LEFT(TH!N1909,2)="15",LEFT(TH!O1909,2)="15"),TK!$E$7=TH!F1909),"x","")</f>
        <v/>
      </c>
      <c r="AD1909" s="81" t="str">
        <f>IF(AND(N1909="1521",MONTH(C1909)='BK-NL'!$M$11),"x","")</f>
        <v/>
      </c>
    </row>
    <row r="1910" spans="1:30" ht="15.75" customHeight="1">
      <c r="A1910" s="327" t="str">
        <f>IF(B1910&lt;&gt;"",IF(AND(B1910='IN-TC'!$S$4,OR(TH!N1910="1111",TH!O1910="1111")),TH!D1910,""),"")</f>
        <v/>
      </c>
      <c r="B1910" s="62" t="str">
        <f t="shared" ref="B1910" si="363">IF(C1910&lt;&gt;"",MONTH(C1910),"")</f>
        <v/>
      </c>
      <c r="C1910" s="63"/>
      <c r="D1910" s="63"/>
      <c r="E1910" s="63"/>
      <c r="F1910" s="66"/>
      <c r="G1910" s="66"/>
      <c r="H1910" s="71"/>
      <c r="I1910" s="405"/>
      <c r="J1910" s="408"/>
      <c r="K1910" s="398"/>
      <c r="L1910" s="405"/>
      <c r="M1910" s="64"/>
      <c r="N1910" s="65"/>
      <c r="O1910" s="65"/>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
      </c>
      <c r="AC1910" s="81" t="str">
        <f>IF(AND(OR(LEFT(TH!N1910,2)="15",LEFT(TH!O1910,2)="15"),TK!$E$7=TH!F1910),"x","")</f>
        <v/>
      </c>
      <c r="AD1910" s="81" t="str">
        <f>IF(AND(N1910="1521",MONTH(C1910)='BK-NL'!$M$11),"x","")</f>
        <v/>
      </c>
    </row>
    <row r="1911" spans="1:30" ht="15.75" customHeight="1">
      <c r="A1911" s="327" t="str">
        <f>IF(B1911&lt;&gt;"",IF(AND(B1911='IN-TC'!$S$4,OR(TH!N1911="1111",TH!O1911="1111")),TH!D1911,""),"")</f>
        <v/>
      </c>
      <c r="B1911" s="62" t="str">
        <f t="shared" ref="B1911:B1913" si="364">IF(C1911&lt;&gt;"",MONTH(C1911),"")</f>
        <v/>
      </c>
      <c r="C1911" s="63"/>
      <c r="D1911" s="63"/>
      <c r="E1911" s="63"/>
      <c r="F1911" s="66"/>
      <c r="G1911" s="66"/>
      <c r="H1911" s="71"/>
      <c r="I1911" s="405"/>
      <c r="J1911" s="408"/>
      <c r="K1911" s="398"/>
      <c r="L1911" s="405"/>
      <c r="M1911" s="64"/>
      <c r="N1911" s="65"/>
      <c r="O1911" s="65"/>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
      </c>
      <c r="AC1911" s="81" t="str">
        <f>IF(AND(OR(LEFT(TH!N1911,2)="15",LEFT(TH!O1911,2)="15"),TK!$E$7=TH!F1911),"x","")</f>
        <v/>
      </c>
      <c r="AD1911" s="81" t="str">
        <f>IF(AND(N1911="1521",MONTH(C1911)='BK-NL'!$M$11),"x","")</f>
        <v/>
      </c>
    </row>
    <row r="1912" spans="1:30" ht="15.75" customHeight="1">
      <c r="A1912" s="327" t="str">
        <f>IF(B1912&lt;&gt;"",IF(AND(B1912='IN-TC'!$S$4,OR(TH!N1912="1111",TH!O1912="1111")),TH!D1912,""),"")</f>
        <v/>
      </c>
      <c r="B1912" s="62" t="str">
        <f t="shared" si="364"/>
        <v/>
      </c>
      <c r="C1912" s="63"/>
      <c r="D1912" s="63"/>
      <c r="E1912" s="63"/>
      <c r="F1912" s="66"/>
      <c r="G1912" s="66"/>
      <c r="H1912" s="71"/>
      <c r="I1912" s="405"/>
      <c r="J1912" s="408"/>
      <c r="K1912" s="398"/>
      <c r="L1912" s="405"/>
      <c r="M1912" s="64"/>
      <c r="N1912" s="65"/>
      <c r="O1912" s="65"/>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
      </c>
      <c r="AC1912" s="81" t="str">
        <f>IF(AND(OR(LEFT(TH!N1912,2)="15",LEFT(TH!O1912,2)="15"),TK!$E$7=TH!F1912),"x","")</f>
        <v/>
      </c>
      <c r="AD1912" s="81" t="str">
        <f>IF(AND(N1912="1521",MONTH(C1912)='BK-NL'!$M$11),"x","")</f>
        <v/>
      </c>
    </row>
    <row r="1913" spans="1:30" ht="15.75" customHeight="1">
      <c r="A1913" s="327" t="str">
        <f>IF(B1913&lt;&gt;"",IF(AND(B1913='IN-TC'!$S$4,OR(TH!N1913="1111",TH!O1913="1111")),TH!D1913,""),"")</f>
        <v/>
      </c>
      <c r="B1913" s="62" t="str">
        <f t="shared" si="364"/>
        <v/>
      </c>
      <c r="C1913" s="63"/>
      <c r="D1913" s="63"/>
      <c r="E1913" s="63"/>
      <c r="F1913" s="66"/>
      <c r="G1913" s="66"/>
      <c r="H1913" s="71"/>
      <c r="I1913" s="405"/>
      <c r="J1913" s="408"/>
      <c r="K1913" s="398"/>
      <c r="L1913" s="405"/>
      <c r="M1913" s="64"/>
      <c r="N1913" s="65"/>
      <c r="O1913" s="65"/>
      <c r="P1913" s="81" t="str">
        <f>IF(AND('331-CT'!$E$7=TH!H1913,OR(N1913="331",O1913="331")),"x","")</f>
        <v/>
      </c>
      <c r="Q1913" s="81" t="str">
        <f>IF(AND(B1913='111'!$L$11,OR($N1913=$Q$7,$O1913=$Q$7)),"x","")</f>
        <v/>
      </c>
      <c r="R1913" s="81" t="str">
        <f>IF(AND($N1913=$Q$7,$B1913&lt;'111'!$L$11),"x","")</f>
        <v/>
      </c>
      <c r="S1913" s="81" t="str">
        <f>IF(AND($O1913=$Q$7,$B1913&lt;'111'!$L$11),"x","")</f>
        <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
      </c>
      <c r="AC1913" s="81" t="str">
        <f>IF(AND(OR(LEFT(TH!N1913,2)="15",LEFT(TH!O1913,2)="15"),TK!$E$7=TH!F1913),"x","")</f>
        <v/>
      </c>
      <c r="AD1913" s="81" t="str">
        <f>IF(AND(N1913="1521",MONTH(C1913)='BK-NL'!$M$11),"x","")</f>
        <v/>
      </c>
    </row>
    <row r="1914" spans="1:30" ht="15.75" customHeight="1">
      <c r="A1914" s="327" t="str">
        <f>IF(B1914&lt;&gt;"",IF(AND(B1914='IN-TC'!$S$4,OR(TH!N1914="1111",TH!O1914="1111")),TH!D1914,""),"")</f>
        <v/>
      </c>
      <c r="B1914" s="62" t="str">
        <f t="shared" si="360"/>
        <v/>
      </c>
      <c r="C1914" s="63"/>
      <c r="D1914" s="63"/>
      <c r="E1914" s="63"/>
      <c r="F1914" s="66"/>
      <c r="G1914" s="66"/>
      <c r="H1914" s="71"/>
      <c r="I1914" s="405"/>
      <c r="J1914" s="408"/>
      <c r="K1914" s="398"/>
      <c r="L1914" s="405"/>
      <c r="M1914" s="64"/>
      <c r="N1914" s="65"/>
      <c r="O1914" s="65"/>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
      </c>
      <c r="AC1914" s="81" t="str">
        <f>IF(AND(OR(LEFT(TH!N1914,2)="15",LEFT(TH!O1914,2)="15"),TK!$E$7=TH!F1914),"x","")</f>
        <v/>
      </c>
      <c r="AD1914" s="81" t="str">
        <f>IF(AND(N1914="1521",MONTH(C1914)='BK-NL'!$M$11),"x","")</f>
        <v/>
      </c>
    </row>
    <row r="1915" spans="1:30" ht="15.75" customHeight="1">
      <c r="A1915" s="327" t="str">
        <f>IF(B1915&lt;&gt;"",IF(AND(B1915='IN-TC'!$S$4,OR(TH!N1915="1111",TH!O1915="1111")),TH!D1915,""),"")</f>
        <v/>
      </c>
      <c r="B1915" s="62" t="str">
        <f t="shared" si="360"/>
        <v/>
      </c>
      <c r="C1915" s="63"/>
      <c r="D1915" s="63"/>
      <c r="E1915" s="63"/>
      <c r="F1915" s="66"/>
      <c r="G1915" s="66"/>
      <c r="H1915" s="71"/>
      <c r="I1915" s="407"/>
      <c r="J1915" s="408"/>
      <c r="K1915" s="400"/>
      <c r="L1915" s="407"/>
      <c r="M1915" s="64"/>
      <c r="N1915" s="65"/>
      <c r="O1915" s="65"/>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row>
    <row r="1916" spans="1:30" ht="15.75" customHeight="1">
      <c r="A1916" s="327" t="str">
        <f>IF(B1916&lt;&gt;"",IF(AND(B1916='IN-TC'!$S$4,OR(TH!N1916="1111",TH!O1916="1111")),TH!D1916,""),"")</f>
        <v/>
      </c>
      <c r="B1916" s="62" t="str">
        <f t="shared" si="360"/>
        <v/>
      </c>
      <c r="C1916" s="63"/>
      <c r="D1916" s="63"/>
      <c r="E1916" s="63"/>
      <c r="F1916" s="66"/>
      <c r="G1916" s="66"/>
      <c r="H1916" s="71"/>
      <c r="I1916" s="407"/>
      <c r="J1916" s="408"/>
      <c r="K1916" s="400"/>
      <c r="L1916" s="407"/>
      <c r="M1916" s="64"/>
      <c r="N1916" s="65"/>
      <c r="O1916" s="65"/>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row>
    <row r="1917" spans="1:30" ht="15.75" customHeight="1">
      <c r="A1917" s="327" t="str">
        <f>IF(B1917&lt;&gt;"",IF(AND(B1917='IN-TC'!$S$4,OR(TH!N1917="1111",TH!O1917="1111")),TH!D1917,""),"")</f>
        <v/>
      </c>
      <c r="B1917" s="62" t="str">
        <f t="shared" si="360"/>
        <v/>
      </c>
      <c r="C1917" s="63"/>
      <c r="D1917" s="63"/>
      <c r="E1917" s="63"/>
      <c r="F1917" s="66"/>
      <c r="G1917" s="66"/>
      <c r="H1917" s="71"/>
      <c r="I1917" s="407"/>
      <c r="J1917" s="408"/>
      <c r="K1917" s="400"/>
      <c r="L1917" s="407"/>
      <c r="M1917" s="64"/>
      <c r="N1917" s="65"/>
      <c r="O1917" s="65"/>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
      </c>
      <c r="AC1917" s="81" t="str">
        <f>IF(AND(OR(LEFT(TH!N1917,2)="15",LEFT(TH!O1917,2)="15"),TK!$E$7=TH!F1917),"x","")</f>
        <v/>
      </c>
      <c r="AD1917" s="81" t="str">
        <f>IF(AND(N1917="1521",MONTH(C1917)='BK-NL'!$M$11),"x","")</f>
        <v/>
      </c>
    </row>
    <row r="1918" spans="1:30" ht="15.75" customHeight="1">
      <c r="A1918" s="327" t="str">
        <f>IF(B1918&lt;&gt;"",IF(AND(B1918='IN-TC'!$S$4,OR(TH!N1918="1111",TH!O1918="1111")),TH!D1918,""),"")</f>
        <v/>
      </c>
      <c r="B1918" s="62" t="str">
        <f t="shared" si="360"/>
        <v/>
      </c>
      <c r="C1918" s="63"/>
      <c r="D1918" s="63"/>
      <c r="E1918" s="63"/>
      <c r="F1918" s="66"/>
      <c r="G1918" s="66"/>
      <c r="H1918" s="71"/>
      <c r="I1918" s="407"/>
      <c r="J1918" s="408"/>
      <c r="K1918" s="400"/>
      <c r="L1918" s="407"/>
      <c r="M1918" s="64"/>
      <c r="N1918" s="65"/>
      <c r="O1918" s="65"/>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row>
    <row r="1919" spans="1:30" ht="15.75" customHeight="1">
      <c r="A1919" s="327" t="str">
        <f>IF(B1919&lt;&gt;"",IF(AND(B1919='IN-TC'!$S$4,OR(TH!N1919="1111",TH!O1919="1111")),TH!D1919,""),"")</f>
        <v/>
      </c>
      <c r="B1919" s="62" t="str">
        <f t="shared" si="360"/>
        <v/>
      </c>
      <c r="C1919" s="63"/>
      <c r="D1919" s="63"/>
      <c r="E1919" s="63"/>
      <c r="F1919" s="66"/>
      <c r="G1919" s="66"/>
      <c r="H1919" s="71"/>
      <c r="I1919" s="405"/>
      <c r="J1919" s="408"/>
      <c r="K1919" s="398"/>
      <c r="L1919" s="405"/>
      <c r="M1919" s="64"/>
      <c r="N1919" s="65"/>
      <c r="O1919" s="65"/>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0" ht="15.75" customHeight="1">
      <c r="A1920" s="327" t="str">
        <f>IF(B1920&lt;&gt;"",IF(AND(B1920='IN-TC'!$S$4,OR(TH!N1920="1111",TH!O1920="1111")),TH!D1920,""),"")</f>
        <v/>
      </c>
      <c r="B1920" s="62" t="str">
        <f t="shared" si="360"/>
        <v/>
      </c>
      <c r="C1920" s="63"/>
      <c r="D1920" s="63"/>
      <c r="E1920" s="63"/>
      <c r="F1920" s="66"/>
      <c r="G1920" s="66"/>
      <c r="H1920" s="71"/>
      <c r="I1920" s="405"/>
      <c r="J1920" s="408"/>
      <c r="K1920" s="398"/>
      <c r="L1920" s="405"/>
      <c r="M1920" s="64"/>
      <c r="N1920" s="65"/>
      <c r="O1920" s="65"/>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0" ht="15.75" customHeight="1">
      <c r="A1921" s="327" t="str">
        <f>IF(B1921&lt;&gt;"",IF(AND(B1921='IN-TC'!$S$4,OR(TH!N1921="1111",TH!O1921="1111")),TH!D1921,""),"")</f>
        <v/>
      </c>
      <c r="B1921" s="62" t="str">
        <f t="shared" si="360"/>
        <v/>
      </c>
      <c r="C1921" s="63"/>
      <c r="D1921" s="63"/>
      <c r="E1921" s="63"/>
      <c r="F1921" s="66"/>
      <c r="G1921" s="66"/>
      <c r="H1921" s="71"/>
      <c r="I1921" s="405"/>
      <c r="J1921" s="408"/>
      <c r="K1921" s="398"/>
      <c r="L1921" s="405"/>
      <c r="M1921" s="64"/>
      <c r="N1921" s="65"/>
      <c r="O1921" s="65"/>
      <c r="P1921" s="81" t="str">
        <f>IF(AND('331-CT'!$E$7=TH!H1921,OR(N1921="331",O1921="331")),"x","")</f>
        <v/>
      </c>
      <c r="Q1921" s="81" t="str">
        <f>IF(AND(B1921='111'!$L$11,OR($N1921=$Q$7,$O1921=$Q$7)),"x","")</f>
        <v/>
      </c>
      <c r="R1921" s="81" t="str">
        <f>IF(AND($N1921=$Q$7,$B1921&lt;'111'!$L$11),"x","")</f>
        <v/>
      </c>
      <c r="S1921" s="81" t="str">
        <f>IF(AND($O1921=$Q$7,$B1921&lt;'111'!$L$11),"x","")</f>
        <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0" ht="15.75" customHeight="1">
      <c r="A1922" s="327" t="str">
        <f>IF(B1922&lt;&gt;"",IF(AND(B1922='IN-TC'!$S$4,OR(TH!N1922="1111",TH!O1922="1111")),TH!D1922,""),"")</f>
        <v/>
      </c>
      <c r="B1922" s="62" t="str">
        <f t="shared" si="360"/>
        <v/>
      </c>
      <c r="C1922" s="63"/>
      <c r="D1922" s="63"/>
      <c r="E1922" s="63"/>
      <c r="F1922" s="66"/>
      <c r="G1922" s="66"/>
      <c r="H1922" s="71"/>
      <c r="I1922" s="405"/>
      <c r="J1922" s="408"/>
      <c r="K1922" s="398"/>
      <c r="L1922" s="405"/>
      <c r="M1922" s="64"/>
      <c r="N1922" s="65"/>
      <c r="O1922" s="65"/>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
      </c>
      <c r="AC1922" s="81" t="str">
        <f>IF(AND(OR(LEFT(TH!N1922,2)="15",LEFT(TH!O1922,2)="15"),TK!$E$7=TH!F1922),"x","")</f>
        <v/>
      </c>
      <c r="AD1922" s="81" t="str">
        <f>IF(AND(N1922="1521",MONTH(C1922)='BK-NL'!$M$11),"x","")</f>
        <v/>
      </c>
    </row>
    <row r="1923" spans="1:30" ht="15.75" customHeight="1">
      <c r="A1923" s="327" t="str">
        <f>IF(B1923&lt;&gt;"",IF(AND(B1923='IN-TC'!$S$4,OR(TH!N1923="1111",TH!O1923="1111")),TH!D1923,""),"")</f>
        <v/>
      </c>
      <c r="B1923" s="62" t="str">
        <f t="shared" si="360"/>
        <v/>
      </c>
      <c r="C1923" s="63"/>
      <c r="D1923" s="63"/>
      <c r="E1923" s="63"/>
      <c r="F1923" s="66"/>
      <c r="G1923" s="66"/>
      <c r="H1923" s="71"/>
      <c r="I1923" s="405"/>
      <c r="J1923" s="408"/>
      <c r="K1923" s="398"/>
      <c r="L1923" s="405"/>
      <c r="M1923" s="64"/>
      <c r="N1923" s="65"/>
      <c r="O1923" s="65"/>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
      </c>
      <c r="AC1923" s="81" t="str">
        <f>IF(AND(OR(LEFT(TH!N1923,2)="15",LEFT(TH!O1923,2)="15"),TK!$E$7=TH!F1923),"x","")</f>
        <v/>
      </c>
      <c r="AD1923" s="81" t="str">
        <f>IF(AND(N1923="1521",MONTH(C1923)='BK-NL'!$M$11),"x","")</f>
        <v/>
      </c>
    </row>
    <row r="1924" spans="1:30" ht="15.75" customHeight="1">
      <c r="A1924" s="327" t="str">
        <f>IF(B1924&lt;&gt;"",IF(AND(B1924='IN-TC'!$S$4,OR(TH!N1924="1111",TH!O1924="1111")),TH!D1924,""),"")</f>
        <v/>
      </c>
      <c r="B1924" s="62" t="str">
        <f t="shared" si="360"/>
        <v/>
      </c>
      <c r="C1924" s="63"/>
      <c r="D1924" s="63"/>
      <c r="E1924" s="63"/>
      <c r="F1924" s="66"/>
      <c r="G1924" s="66"/>
      <c r="H1924" s="71"/>
      <c r="I1924" s="405"/>
      <c r="J1924" s="408"/>
      <c r="K1924" s="398"/>
      <c r="L1924" s="405"/>
      <c r="M1924" s="64"/>
      <c r="N1924" s="65"/>
      <c r="O1924" s="65"/>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0" ht="15.75" customHeight="1">
      <c r="A1925" s="327" t="str">
        <f>IF(B1925&lt;&gt;"",IF(AND(B1925='IN-TC'!$S$4,OR(TH!N1925="1111",TH!O1925="1111")),TH!D1925,""),"")</f>
        <v/>
      </c>
      <c r="B1925" s="62" t="str">
        <f t="shared" si="360"/>
        <v/>
      </c>
      <c r="C1925" s="63"/>
      <c r="D1925" s="63"/>
      <c r="E1925" s="63"/>
      <c r="F1925" s="66"/>
      <c r="G1925" s="66"/>
      <c r="H1925" s="71"/>
      <c r="I1925" s="405"/>
      <c r="J1925" s="408"/>
      <c r="K1925" s="398"/>
      <c r="L1925" s="405"/>
      <c r="M1925" s="64"/>
      <c r="N1925" s="65"/>
      <c r="O1925" s="65"/>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0" ht="15.75" customHeight="1">
      <c r="A1926" s="327" t="str">
        <f>IF(B1926&lt;&gt;"",IF(AND(B1926='IN-TC'!$S$4,OR(TH!N1926="1111",TH!O1926="1111")),TH!D1926,""),"")</f>
        <v/>
      </c>
      <c r="B1926" s="62" t="str">
        <f t="shared" si="360"/>
        <v/>
      </c>
      <c r="C1926" s="63"/>
      <c r="D1926" s="63"/>
      <c r="E1926" s="63"/>
      <c r="F1926" s="66"/>
      <c r="G1926" s="66"/>
      <c r="H1926" s="71"/>
      <c r="I1926" s="407"/>
      <c r="J1926" s="408"/>
      <c r="K1926" s="400"/>
      <c r="L1926" s="407"/>
      <c r="M1926" s="64"/>
      <c r="N1926" s="65"/>
      <c r="O1926" s="65"/>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
      </c>
      <c r="AC1926" s="81" t="str">
        <f>IF(AND(OR(LEFT(TH!N1926,2)="15",LEFT(TH!O1926,2)="15"),TK!$E$7=TH!F1926),"x","")</f>
        <v/>
      </c>
      <c r="AD1926" s="81" t="str">
        <f>IF(AND(N1926="1521",MONTH(C1926)='BK-NL'!$M$11),"x","")</f>
        <v/>
      </c>
    </row>
    <row r="1927" spans="1:30" ht="15.75" customHeight="1">
      <c r="A1927" s="327" t="str">
        <f>IF(B1927&lt;&gt;"",IF(AND(B1927='IN-TC'!$S$4,OR(TH!N1927="1111",TH!O1927="1111")),TH!D1927,""),"")</f>
        <v/>
      </c>
      <c r="B1927" s="62" t="str">
        <f t="shared" si="360"/>
        <v/>
      </c>
      <c r="C1927" s="63"/>
      <c r="D1927" s="63"/>
      <c r="E1927" s="63"/>
      <c r="F1927" s="66"/>
      <c r="G1927" s="66"/>
      <c r="H1927" s="71"/>
      <c r="I1927" s="407"/>
      <c r="J1927" s="408"/>
      <c r="K1927" s="400"/>
      <c r="L1927" s="407"/>
      <c r="M1927" s="64"/>
      <c r="N1927" s="65"/>
      <c r="O1927" s="65"/>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
      </c>
      <c r="AC1927" s="81" t="str">
        <f>IF(AND(OR(LEFT(TH!N1927,2)="15",LEFT(TH!O1927,2)="15"),TK!$E$7=TH!F1927),"x","")</f>
        <v/>
      </c>
      <c r="AD1927" s="81" t="str">
        <f>IF(AND(N1927="1521",MONTH(C1927)='BK-NL'!$M$11),"x","")</f>
        <v/>
      </c>
    </row>
    <row r="1928" spans="1:30" ht="15.75" customHeight="1">
      <c r="A1928" s="327" t="str">
        <f>IF(B1928&lt;&gt;"",IF(AND(B1928='IN-TC'!$S$4,OR(TH!N1928="1111",TH!O1928="1111")),TH!D1928,""),"")</f>
        <v/>
      </c>
      <c r="B1928" s="62" t="str">
        <f t="shared" si="360"/>
        <v/>
      </c>
      <c r="C1928" s="63"/>
      <c r="D1928" s="63"/>
      <c r="E1928" s="63"/>
      <c r="F1928" s="66"/>
      <c r="G1928" s="66"/>
      <c r="H1928" s="71"/>
      <c r="I1928" s="405"/>
      <c r="J1928" s="408"/>
      <c r="K1928" s="398"/>
      <c r="L1928" s="405"/>
      <c r="M1928" s="64"/>
      <c r="N1928" s="65"/>
      <c r="O1928" s="65"/>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row>
    <row r="1929" spans="1:30" ht="15.75" customHeight="1">
      <c r="A1929" s="327" t="str">
        <f>IF(B1929&lt;&gt;"",IF(AND(B1929='IN-TC'!$S$4,OR(TH!N1929="1111",TH!O1929="1111")),TH!D1929,""),"")</f>
        <v/>
      </c>
      <c r="B1929" s="62" t="str">
        <f t="shared" si="360"/>
        <v/>
      </c>
      <c r="C1929" s="63"/>
      <c r="D1929" s="63"/>
      <c r="E1929" s="63"/>
      <c r="F1929" s="66"/>
      <c r="G1929" s="66"/>
      <c r="H1929" s="71"/>
      <c r="I1929" s="405"/>
      <c r="J1929" s="408"/>
      <c r="K1929" s="398"/>
      <c r="L1929" s="405"/>
      <c r="M1929" s="64"/>
      <c r="N1929" s="65"/>
      <c r="O1929" s="65"/>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
      </c>
      <c r="AC1929" s="81" t="str">
        <f>IF(AND(OR(LEFT(TH!N1929,2)="15",LEFT(TH!O1929,2)="15"),TK!$E$7=TH!F1929),"x","")</f>
        <v/>
      </c>
      <c r="AD1929" s="81" t="str">
        <f>IF(AND(N1929="1521",MONTH(C1929)='BK-NL'!$M$11),"x","")</f>
        <v/>
      </c>
    </row>
    <row r="1930" spans="1:30" ht="15.75" customHeight="1">
      <c r="A1930" s="327" t="str">
        <f>IF(B1930&lt;&gt;"",IF(AND(B1930='IN-TC'!$S$4,OR(TH!N1930="1111",TH!O1930="1111")),TH!D1930,""),"")</f>
        <v/>
      </c>
      <c r="B1930" s="62" t="str">
        <f t="shared" si="360"/>
        <v/>
      </c>
      <c r="C1930" s="63"/>
      <c r="D1930" s="63"/>
      <c r="E1930" s="63"/>
      <c r="F1930" s="66"/>
      <c r="G1930" s="66"/>
      <c r="H1930" s="71"/>
      <c r="I1930" s="405"/>
      <c r="J1930" s="408"/>
      <c r="K1930" s="398"/>
      <c r="L1930" s="405"/>
      <c r="M1930" s="64"/>
      <c r="N1930" s="65"/>
      <c r="O1930" s="65"/>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
      </c>
      <c r="AC1930" s="81" t="str">
        <f>IF(AND(OR(LEFT(TH!N1930,2)="15",LEFT(TH!O1930,2)="15"),TK!$E$7=TH!F1930),"x","")</f>
        <v/>
      </c>
      <c r="AD1930" s="81" t="str">
        <f>IF(AND(N1930="1521",MONTH(C1930)='BK-NL'!$M$11),"x","")</f>
        <v/>
      </c>
    </row>
    <row r="1931" spans="1:30" ht="15.75" customHeight="1">
      <c r="A1931" s="327" t="str">
        <f>IF(B1931&lt;&gt;"",IF(AND(B1931='IN-TC'!$S$4,OR(TH!N1931="1111",TH!O1931="1111")),TH!D1931,""),"")</f>
        <v/>
      </c>
      <c r="B1931" s="62" t="str">
        <f t="shared" si="360"/>
        <v/>
      </c>
      <c r="C1931" s="63"/>
      <c r="D1931" s="63"/>
      <c r="E1931" s="63"/>
      <c r="F1931" s="66"/>
      <c r="G1931" s="66"/>
      <c r="H1931" s="71"/>
      <c r="I1931" s="407"/>
      <c r="J1931" s="408"/>
      <c r="K1931" s="400"/>
      <c r="L1931" s="407"/>
      <c r="M1931" s="64"/>
      <c r="N1931" s="65"/>
      <c r="O1931" s="65"/>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
      </c>
      <c r="AC1931" s="81" t="str">
        <f>IF(AND(OR(LEFT(TH!N1931,2)="15",LEFT(TH!O1931,2)="15"),TK!$E$7=TH!F1931),"x","")</f>
        <v/>
      </c>
      <c r="AD1931" s="81" t="str">
        <f>IF(AND(N1931="1521",MONTH(C1931)='BK-NL'!$M$11),"x","")</f>
        <v/>
      </c>
    </row>
    <row r="1932" spans="1:30" ht="15.75" customHeight="1">
      <c r="A1932" s="327" t="str">
        <f>IF(B1932&lt;&gt;"",IF(AND(B1932='IN-TC'!$S$4,OR(TH!N1932="1111",TH!O1932="1111")),TH!D1932,""),"")</f>
        <v/>
      </c>
      <c r="B1932" s="62" t="str">
        <f t="shared" si="360"/>
        <v/>
      </c>
      <c r="C1932" s="63"/>
      <c r="D1932" s="63"/>
      <c r="E1932" s="63"/>
      <c r="F1932" s="66"/>
      <c r="G1932" s="66"/>
      <c r="H1932" s="71"/>
      <c r="I1932" s="405"/>
      <c r="J1932" s="408"/>
      <c r="K1932" s="398"/>
      <c r="L1932" s="405"/>
      <c r="M1932" s="64"/>
      <c r="N1932" s="65"/>
      <c r="O1932" s="65"/>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
      </c>
      <c r="AC1932" s="81" t="str">
        <f>IF(AND(OR(LEFT(TH!N1932,2)="15",LEFT(TH!O1932,2)="15"),TK!$E$7=TH!F1932),"x","")</f>
        <v/>
      </c>
      <c r="AD1932" s="81" t="str">
        <f>IF(AND(N1932="1521",MONTH(C1932)='BK-NL'!$M$11),"x","")</f>
        <v/>
      </c>
    </row>
    <row r="1933" spans="1:30" ht="15.75" customHeight="1">
      <c r="A1933" s="327" t="str">
        <f>IF(B1933&lt;&gt;"",IF(AND(B1933='IN-TC'!$S$4,OR(TH!N1933="1111",TH!O1933="1111")),TH!D1933,""),"")</f>
        <v/>
      </c>
      <c r="B1933" s="62" t="str">
        <f t="shared" si="360"/>
        <v/>
      </c>
      <c r="C1933" s="63"/>
      <c r="D1933" s="63"/>
      <c r="E1933" s="63"/>
      <c r="F1933" s="66"/>
      <c r="G1933" s="66"/>
      <c r="H1933" s="71"/>
      <c r="I1933" s="405"/>
      <c r="J1933" s="408"/>
      <c r="K1933" s="398"/>
      <c r="L1933" s="405"/>
      <c r="M1933" s="64"/>
      <c r="N1933" s="65"/>
      <c r="O1933" s="65"/>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
      </c>
      <c r="AC1933" s="81" t="str">
        <f>IF(AND(OR(LEFT(TH!N1933,2)="15",LEFT(TH!O1933,2)="15"),TK!$E$7=TH!F1933),"x","")</f>
        <v/>
      </c>
      <c r="AD1933" s="81" t="str">
        <f>IF(AND(N1933="1521",MONTH(C1933)='BK-NL'!$M$11),"x","")</f>
        <v/>
      </c>
    </row>
    <row r="1934" spans="1:30" ht="15.75" customHeight="1">
      <c r="A1934" s="327" t="str">
        <f>IF(B1934&lt;&gt;"",IF(AND(B1934='IN-TC'!$S$4,OR(TH!N1934="1111",TH!O1934="1111")),TH!D1934,""),"")</f>
        <v/>
      </c>
      <c r="B1934" s="62" t="str">
        <f t="shared" si="360"/>
        <v/>
      </c>
      <c r="C1934" s="63"/>
      <c r="D1934" s="63"/>
      <c r="E1934" s="63"/>
      <c r="F1934" s="66"/>
      <c r="G1934" s="66"/>
      <c r="H1934" s="71"/>
      <c r="I1934" s="405"/>
      <c r="J1934" s="408"/>
      <c r="K1934" s="398"/>
      <c r="L1934" s="405"/>
      <c r="M1934" s="64"/>
      <c r="N1934" s="65"/>
      <c r="O1934" s="65"/>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
      </c>
      <c r="Z1934" s="81"/>
      <c r="AA1934" s="81" t="str">
        <f>IF(AND(MONTH(E1934)='IN-NX'!$J$5,'IN-NX'!$D$7=D1934),"x","")</f>
        <v/>
      </c>
      <c r="AB1934" s="81" t="str">
        <f>IF(AND(OR(LEFT(TH!N1934,2)="15",LEFT(TH!O1934,2)="15"),LEFT(TH!O1934,3)&lt;&gt;"111",'152-CT'!$J$8=TH!F1934),"x","")</f>
        <v/>
      </c>
      <c r="AC1934" s="81" t="str">
        <f>IF(AND(OR(LEFT(TH!N1934,2)="15",LEFT(TH!O1934,2)="15"),TK!$E$7=TH!F1934),"x","")</f>
        <v/>
      </c>
      <c r="AD1934" s="81" t="str">
        <f>IF(AND(N1934="1521",MONTH(C1934)='BK-NL'!$M$11),"x","")</f>
        <v/>
      </c>
    </row>
    <row r="1935" spans="1:30" ht="15.75" customHeight="1">
      <c r="A1935" s="327" t="str">
        <f>IF(B1935&lt;&gt;"",IF(AND(B1935='IN-TC'!$S$4,OR(TH!N1935="1111",TH!O1935="1111")),TH!D1935,""),"")</f>
        <v/>
      </c>
      <c r="B1935" s="62" t="str">
        <f t="shared" si="360"/>
        <v/>
      </c>
      <c r="C1935" s="63"/>
      <c r="D1935" s="63"/>
      <c r="E1935" s="63"/>
      <c r="F1935" s="66"/>
      <c r="G1935" s="66"/>
      <c r="H1935" s="72"/>
      <c r="I1935" s="405"/>
      <c r="J1935" s="408"/>
      <c r="K1935" s="398"/>
      <c r="L1935" s="405"/>
      <c r="M1935" s="64"/>
      <c r="N1935" s="65"/>
      <c r="O1935" s="65"/>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0" ht="15.75" customHeight="1">
      <c r="A1936" s="327" t="str">
        <f>IF(B1936&lt;&gt;"",IF(AND(B1936='IN-TC'!$S$4,OR(TH!N1936="1111",TH!O1936="1111")),TH!D1936,""),"")</f>
        <v/>
      </c>
      <c r="B1936" s="62" t="str">
        <f t="shared" si="360"/>
        <v/>
      </c>
      <c r="C1936" s="63"/>
      <c r="D1936" s="63"/>
      <c r="E1936" s="63"/>
      <c r="F1936" s="66"/>
      <c r="G1936" s="66"/>
      <c r="H1936" s="71"/>
      <c r="I1936" s="405"/>
      <c r="J1936" s="408"/>
      <c r="K1936" s="398"/>
      <c r="L1936" s="405"/>
      <c r="M1936" s="64"/>
      <c r="N1936" s="65"/>
      <c r="O1936" s="65"/>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row>
    <row r="1937" spans="1:30" ht="15.75" customHeight="1">
      <c r="A1937" s="327" t="str">
        <f>IF(B1937&lt;&gt;"",IF(AND(B1937='IN-TC'!$S$4,OR(TH!N1937="1111",TH!O1937="1111")),TH!D1937,""),"")</f>
        <v/>
      </c>
      <c r="B1937" s="62" t="str">
        <f t="shared" si="360"/>
        <v/>
      </c>
      <c r="C1937" s="63"/>
      <c r="D1937" s="63"/>
      <c r="E1937" s="63"/>
      <c r="F1937" s="66"/>
      <c r="G1937" s="66"/>
      <c r="H1937" s="71"/>
      <c r="I1937" s="405"/>
      <c r="J1937" s="408"/>
      <c r="K1937" s="398"/>
      <c r="L1937" s="405"/>
      <c r="M1937" s="64"/>
      <c r="N1937" s="65"/>
      <c r="O1937" s="65"/>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row>
    <row r="1938" spans="1:30" ht="15.75" customHeight="1">
      <c r="A1938" s="327" t="str">
        <f>IF(B1938&lt;&gt;"",IF(AND(B1938='IN-TC'!$S$4,OR(TH!N1938="1111",TH!O1938="1111")),TH!D1938,""),"")</f>
        <v/>
      </c>
      <c r="B1938" s="62" t="str">
        <f t="shared" si="360"/>
        <v/>
      </c>
      <c r="C1938" s="63"/>
      <c r="D1938" s="63"/>
      <c r="E1938" s="63"/>
      <c r="F1938" s="66"/>
      <c r="G1938" s="66"/>
      <c r="H1938" s="71"/>
      <c r="I1938" s="405"/>
      <c r="J1938" s="408"/>
      <c r="K1938" s="398"/>
      <c r="L1938" s="405"/>
      <c r="M1938" s="64"/>
      <c r="N1938" s="65"/>
      <c r="O1938" s="65"/>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0" ht="15.75" customHeight="1">
      <c r="A1939" s="327" t="str">
        <f>IF(B1939&lt;&gt;"",IF(AND(B1939='IN-TC'!$S$4,OR(TH!N1939="1111",TH!O1939="1111")),TH!D1939,""),"")</f>
        <v/>
      </c>
      <c r="B1939" s="62" t="str">
        <f t="shared" si="360"/>
        <v/>
      </c>
      <c r="C1939" s="63"/>
      <c r="D1939" s="63"/>
      <c r="E1939" s="63"/>
      <c r="F1939" s="66"/>
      <c r="G1939" s="66"/>
      <c r="H1939" s="72"/>
      <c r="I1939" s="405"/>
      <c r="J1939" s="408"/>
      <c r="K1939" s="398"/>
      <c r="L1939" s="405"/>
      <c r="M1939" s="64"/>
      <c r="N1939" s="65"/>
      <c r="O1939" s="65"/>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row>
    <row r="1940" spans="1:30" ht="15.75" customHeight="1">
      <c r="A1940" s="327" t="str">
        <f>IF(B1940&lt;&gt;"",IF(AND(B1940='IN-TC'!$S$4,OR(TH!N1940="1111",TH!O1940="1111")),TH!D1940,""),"")</f>
        <v/>
      </c>
      <c r="B1940" s="62" t="str">
        <f t="shared" si="360"/>
        <v/>
      </c>
      <c r="C1940" s="63"/>
      <c r="D1940" s="63"/>
      <c r="E1940" s="63"/>
      <c r="F1940" s="66"/>
      <c r="G1940" s="66"/>
      <c r="H1940" s="71"/>
      <c r="I1940" s="407"/>
      <c r="J1940" s="408"/>
      <c r="K1940" s="400"/>
      <c r="L1940" s="407"/>
      <c r="M1940" s="64"/>
      <c r="N1940" s="65"/>
      <c r="O1940" s="65"/>
      <c r="P1940" s="81" t="str">
        <f>IF(AND('331-CT'!$E$7=TH!H1940,OR(N1940="331",O1940="331")),"x","")</f>
        <v/>
      </c>
      <c r="Q1940" s="81" t="str">
        <f>IF(AND(B1940='111'!$L$11,OR($N1940=$Q$7,$O1940=$Q$7)),"x","")</f>
        <v/>
      </c>
      <c r="R1940" s="81" t="str">
        <f>IF(AND($N1940=$Q$7,$B1940&lt;'111'!$L$11),"x","")</f>
        <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row>
    <row r="1941" spans="1:30" ht="15.75" customHeight="1">
      <c r="A1941" s="327" t="str">
        <f>IF(B1941&lt;&gt;"",IF(AND(B1941='IN-TC'!$S$4,OR(TH!N1941="1111",TH!O1941="1111")),TH!D1941,""),"")</f>
        <v/>
      </c>
      <c r="B1941" s="62" t="str">
        <f t="shared" ref="B1941" si="365">IF(C1941&lt;&gt;"",MONTH(C1941),"")</f>
        <v/>
      </c>
      <c r="C1941" s="63"/>
      <c r="D1941" s="63"/>
      <c r="E1941" s="63"/>
      <c r="F1941" s="66"/>
      <c r="G1941" s="66"/>
      <c r="H1941" s="71"/>
      <c r="I1941" s="407"/>
      <c r="J1941" s="408"/>
      <c r="K1941" s="400"/>
      <c r="L1941" s="407"/>
      <c r="M1941" s="64"/>
      <c r="N1941" s="65"/>
      <c r="O1941" s="65"/>
      <c r="P1941" s="81" t="str">
        <f>IF(AND('331-CT'!$E$7=TH!H1941,OR(N1941="331",O1941="331")),"x","")</f>
        <v/>
      </c>
      <c r="Q1941" s="81" t="str">
        <f>IF(AND(B1941='111'!$L$11,OR($N1941=$Q$7,$O1941=$Q$7)),"x","")</f>
        <v/>
      </c>
      <c r="R1941" s="81" t="str">
        <f>IF(AND($N1941=$Q$7,$B1941&lt;'111'!$L$11),"x","")</f>
        <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
      </c>
      <c r="W1941" s="81" t="str">
        <f>IF(AND('341-CT'!$H$9=H1941,OR(LEFT(N1941,3)=$W$7,LEFT(O1941,3)=$W$7)),"x","")</f>
        <v/>
      </c>
      <c r="X1941" s="81" t="str">
        <f>IF(OR(TH!N1941=TH!$X$7,O1941=TH!$X$7),"x","")</f>
        <v/>
      </c>
      <c r="Y1941" s="81" t="str">
        <f>IF(AND(OR(N1941="131",O1941="131"),H1941='131-CT'!$H$9),"x","")</f>
        <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0" ht="15.75" customHeight="1">
      <c r="A1942" s="327" t="str">
        <f>IF(B1942&lt;&gt;"",IF(AND(B1942='IN-TC'!$S$4,OR(TH!N1942="1111",TH!O1942="1111")),TH!D1942,""),"")</f>
        <v/>
      </c>
      <c r="B1942" s="62" t="str">
        <f t="shared" ref="B1942:B2005" si="366">IF(C1942&lt;&gt;"",MONTH(C1942),"")</f>
        <v/>
      </c>
      <c r="C1942" s="63"/>
      <c r="D1942" s="63"/>
      <c r="E1942" s="63"/>
      <c r="F1942" s="66"/>
      <c r="G1942" s="66"/>
      <c r="H1942" s="71"/>
      <c r="I1942" s="405"/>
      <c r="J1942" s="408"/>
      <c r="K1942" s="398"/>
      <c r="L1942" s="405"/>
      <c r="M1942" s="64"/>
      <c r="N1942" s="65"/>
      <c r="O1942" s="65"/>
      <c r="P1942" s="81" t="str">
        <f>IF(AND('331-CT'!$E$7=TH!H1942,OR(N1942="331",O1942="331")),"x","")</f>
        <v/>
      </c>
      <c r="Q1942" s="81" t="str">
        <f>IF(AND(B1942='111'!$L$11,OR($N1942=$Q$7,$O1942=$Q$7)),"x","")</f>
        <v/>
      </c>
      <c r="R1942" s="81" t="str">
        <f>IF(AND($N1942=$Q$7,$B1942&lt;'111'!$L$11),"x","")</f>
        <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0" ht="15.75" customHeight="1">
      <c r="A1943" s="327" t="str">
        <f>IF(B1943&lt;&gt;"",IF(AND(B1943='IN-TC'!$S$4,OR(TH!N1943="1111",TH!O1943="1111")),TH!D1943,""),"")</f>
        <v/>
      </c>
      <c r="B1943" s="62" t="str">
        <f t="shared" si="366"/>
        <v/>
      </c>
      <c r="C1943" s="63"/>
      <c r="D1943" s="63"/>
      <c r="E1943" s="63"/>
      <c r="F1943" s="66"/>
      <c r="G1943" s="66"/>
      <c r="H1943" s="71"/>
      <c r="I1943" s="405"/>
      <c r="J1943" s="408"/>
      <c r="K1943" s="398"/>
      <c r="L1943" s="405"/>
      <c r="M1943" s="64"/>
      <c r="N1943" s="65"/>
      <c r="O1943" s="65"/>
      <c r="P1943" s="81" t="str">
        <f>IF(AND('331-CT'!$E$7=TH!H1943,OR(N1943="331",O1943="331")),"x","")</f>
        <v/>
      </c>
      <c r="Q1943" s="81" t="str">
        <f>IF(AND(B1943='111'!$L$11,OR($N1943=$Q$7,$O1943=$Q$7)),"x","")</f>
        <v/>
      </c>
      <c r="R1943" s="81" t="str">
        <f>IF(AND($N1943=$Q$7,$B1943&lt;'111'!$L$11),"x","")</f>
        <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0" ht="15.75" customHeight="1">
      <c r="A1944" s="327" t="str">
        <f>IF(B1944&lt;&gt;"",IF(AND(B1944='IN-TC'!$S$4,OR(TH!N1944="1111",TH!O1944="1111")),TH!D1944,""),"")</f>
        <v/>
      </c>
      <c r="B1944" s="62" t="str">
        <f t="shared" si="366"/>
        <v/>
      </c>
      <c r="C1944" s="63"/>
      <c r="D1944" s="63"/>
      <c r="E1944" s="63"/>
      <c r="F1944" s="66"/>
      <c r="G1944" s="66"/>
      <c r="H1944" s="71"/>
      <c r="I1944" s="405"/>
      <c r="J1944" s="408"/>
      <c r="K1944" s="398"/>
      <c r="L1944" s="405"/>
      <c r="M1944" s="64"/>
      <c r="N1944" s="65"/>
      <c r="O1944" s="65"/>
      <c r="P1944" s="81" t="str">
        <f>IF(AND('331-CT'!$E$7=TH!H1944,OR(N1944="331",O1944="331")),"x","")</f>
        <v/>
      </c>
      <c r="Q1944" s="81" t="str">
        <f>IF(AND(B1944='111'!$L$11,OR($N1944=$Q$7,$O1944=$Q$7)),"x","")</f>
        <v/>
      </c>
      <c r="R1944" s="81" t="str">
        <f>IF(AND($N1944=$Q$7,$B1944&lt;'111'!$L$11),"x","")</f>
        <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row>
    <row r="1945" spans="1:30" ht="15.75" customHeight="1">
      <c r="A1945" s="327" t="str">
        <f>IF(B1945&lt;&gt;"",IF(AND(B1945='IN-TC'!$S$4,OR(TH!N1945="1111",TH!O1945="1111")),TH!D1945,""),"")</f>
        <v/>
      </c>
      <c r="B1945" s="62" t="str">
        <f t="shared" si="366"/>
        <v/>
      </c>
      <c r="C1945" s="63"/>
      <c r="D1945" s="63"/>
      <c r="E1945" s="63"/>
      <c r="F1945" s="66"/>
      <c r="G1945" s="66"/>
      <c r="H1945" s="71"/>
      <c r="I1945" s="405"/>
      <c r="J1945" s="408"/>
      <c r="K1945" s="398"/>
      <c r="L1945" s="405"/>
      <c r="M1945" s="64"/>
      <c r="N1945" s="65"/>
      <c r="O1945" s="65"/>
      <c r="P1945" s="81" t="str">
        <f>IF(AND('331-CT'!$E$7=TH!H1945,OR(N1945="331",O1945="331")),"x","")</f>
        <v/>
      </c>
      <c r="Q1945" s="81" t="str">
        <f>IF(AND(B1945='111'!$L$11,OR($N1945=$Q$7,$O1945=$Q$7)),"x","")</f>
        <v/>
      </c>
      <c r="R1945" s="81" t="str">
        <f>IF(AND($N1945=$Q$7,$B1945&lt;'111'!$L$11),"x","")</f>
        <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row>
    <row r="1946" spans="1:30" ht="15.75" customHeight="1">
      <c r="A1946" s="327" t="str">
        <f>IF(B1946&lt;&gt;"",IF(AND(B1946='IN-TC'!$S$4,OR(TH!N1946="1111",TH!O1946="1111")),TH!D1946,""),"")</f>
        <v/>
      </c>
      <c r="B1946" s="62" t="str">
        <f t="shared" si="366"/>
        <v/>
      </c>
      <c r="C1946" s="63"/>
      <c r="D1946" s="63"/>
      <c r="E1946" s="63"/>
      <c r="F1946" s="66"/>
      <c r="G1946" s="66"/>
      <c r="H1946" s="71"/>
      <c r="I1946" s="405"/>
      <c r="J1946" s="408"/>
      <c r="K1946" s="398"/>
      <c r="L1946" s="405"/>
      <c r="M1946" s="64"/>
      <c r="N1946" s="65"/>
      <c r="O1946" s="65"/>
      <c r="P1946" s="81" t="str">
        <f>IF(AND('331-CT'!$E$7=TH!H1946,OR(N1946="331",O1946="331")),"x","")</f>
        <v/>
      </c>
      <c r="Q1946" s="81" t="str">
        <f>IF(AND(B1946='111'!$L$11,OR($N1946=$Q$7,$O1946=$Q$7)),"x","")</f>
        <v/>
      </c>
      <c r="R1946" s="81" t="str">
        <f>IF(AND($N1946=$Q$7,$B1946&lt;'111'!$L$11),"x","")</f>
        <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0" ht="15.75" customHeight="1">
      <c r="A1947" s="327" t="str">
        <f>IF(B1947&lt;&gt;"",IF(AND(B1947='IN-TC'!$S$4,OR(TH!N1947="1111",TH!O1947="1111")),TH!D1947,""),"")</f>
        <v/>
      </c>
      <c r="B1947" s="62" t="str">
        <f t="shared" si="366"/>
        <v/>
      </c>
      <c r="C1947" s="63"/>
      <c r="D1947" s="63"/>
      <c r="E1947" s="63"/>
      <c r="F1947" s="66"/>
      <c r="G1947" s="66"/>
      <c r="H1947" s="71"/>
      <c r="I1947" s="405"/>
      <c r="J1947" s="408"/>
      <c r="K1947" s="398"/>
      <c r="L1947" s="405"/>
      <c r="M1947" s="64"/>
      <c r="N1947" s="65"/>
      <c r="O1947" s="65"/>
      <c r="P1947" s="81" t="str">
        <f>IF(AND('331-CT'!$E$7=TH!H1947,OR(N1947="331",O1947="331")),"x","")</f>
        <v/>
      </c>
      <c r="Q1947" s="81" t="str">
        <f>IF(AND(B1947='111'!$L$11,OR($N1947=$Q$7,$O1947=$Q$7)),"x","")</f>
        <v/>
      </c>
      <c r="R1947" s="81" t="str">
        <f>IF(AND($N1947=$Q$7,$B1947&lt;'111'!$L$11),"x","")</f>
        <v/>
      </c>
      <c r="S1947" s="81" t="str">
        <f>IF(AND($O1947=$Q$7,$B1947&lt;'111'!$L$11),"x","")</f>
        <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0" ht="15.75" customHeight="1">
      <c r="A1948" s="327" t="str">
        <f>IF(B1948&lt;&gt;"",IF(AND(B1948='IN-TC'!$S$4,OR(TH!N1948="1111",TH!O1948="1111")),TH!D1948,""),"")</f>
        <v/>
      </c>
      <c r="B1948" s="62" t="str">
        <f t="shared" si="366"/>
        <v/>
      </c>
      <c r="C1948" s="63"/>
      <c r="D1948" s="63"/>
      <c r="E1948" s="63"/>
      <c r="F1948" s="66"/>
      <c r="G1948" s="66"/>
      <c r="H1948" s="71"/>
      <c r="I1948" s="405"/>
      <c r="J1948" s="408"/>
      <c r="K1948" s="398"/>
      <c r="L1948" s="405"/>
      <c r="M1948" s="64"/>
      <c r="N1948" s="65"/>
      <c r="O1948" s="65"/>
      <c r="P1948" s="81" t="str">
        <f>IF(AND('331-CT'!$E$7=TH!H1948,OR(N1948="331",O1948="331")),"x","")</f>
        <v/>
      </c>
      <c r="Q1948" s="81" t="str">
        <f>IF(AND(B1948='111'!$L$11,OR($N1948=$Q$7,$O1948=$Q$7)),"x","")</f>
        <v/>
      </c>
      <c r="R1948" s="81" t="str">
        <f>IF(AND($N1948=$Q$7,$B1948&lt;'111'!$L$11),"x","")</f>
        <v/>
      </c>
      <c r="S1948" s="81" t="str">
        <f>IF(AND($O1948=$Q$7,$B1948&lt;'111'!$L$11),"x","")</f>
        <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row>
    <row r="1949" spans="1:30" ht="15.75" customHeight="1">
      <c r="A1949" s="327" t="str">
        <f>IF(B1949&lt;&gt;"",IF(AND(B1949='IN-TC'!$S$4,OR(TH!N1949="1111",TH!O1949="1111")),TH!D1949,""),"")</f>
        <v/>
      </c>
      <c r="B1949" s="62" t="str">
        <f t="shared" si="366"/>
        <v/>
      </c>
      <c r="C1949" s="63"/>
      <c r="D1949" s="63"/>
      <c r="E1949" s="63"/>
      <c r="F1949" s="66"/>
      <c r="G1949" s="66"/>
      <c r="H1949" s="71"/>
      <c r="I1949" s="405"/>
      <c r="J1949" s="408"/>
      <c r="K1949" s="398"/>
      <c r="L1949" s="405"/>
      <c r="M1949" s="64"/>
      <c r="N1949" s="65"/>
      <c r="O1949" s="65"/>
      <c r="P1949" s="81" t="str">
        <f>IF(AND('331-CT'!$E$7=TH!H1949,OR(N1949="331",O1949="331")),"x","")</f>
        <v/>
      </c>
      <c r="Q1949" s="81" t="str">
        <f>IF(AND(B1949='111'!$L$11,OR($N1949=$Q$7,$O1949=$Q$7)),"x","")</f>
        <v/>
      </c>
      <c r="R1949" s="81" t="str">
        <f>IF(AND($N1949=$Q$7,$B1949&lt;'111'!$L$11),"x","")</f>
        <v/>
      </c>
      <c r="S1949" s="81" t="str">
        <f>IF(AND($O1949=$Q$7,$B1949&lt;'111'!$L$11),"x","")</f>
        <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row>
    <row r="1950" spans="1:30" ht="15.75" customHeight="1">
      <c r="A1950" s="327" t="str">
        <f>IF(B1950&lt;&gt;"",IF(AND(B1950='IN-TC'!$S$4,OR(TH!N1950="1111",TH!O1950="1111")),TH!D1950,""),"")</f>
        <v/>
      </c>
      <c r="B1950" s="62" t="str">
        <f t="shared" si="366"/>
        <v/>
      </c>
      <c r="C1950" s="63"/>
      <c r="D1950" s="63"/>
      <c r="E1950" s="63"/>
      <c r="F1950" s="66"/>
      <c r="G1950" s="66"/>
      <c r="H1950" s="71"/>
      <c r="I1950" s="405"/>
      <c r="J1950" s="408"/>
      <c r="K1950" s="398"/>
      <c r="L1950" s="405"/>
      <c r="M1950" s="64"/>
      <c r="N1950" s="65"/>
      <c r="O1950" s="65"/>
      <c r="P1950" s="81" t="str">
        <f>IF(AND('331-CT'!$E$7=TH!H1950,OR(N1950="331",O1950="331")),"x","")</f>
        <v/>
      </c>
      <c r="Q1950" s="81" t="str">
        <f>IF(AND(B1950='111'!$L$11,OR($N1950=$Q$7,$O1950=$Q$7)),"x","")</f>
        <v/>
      </c>
      <c r="R1950" s="81" t="str">
        <f>IF(AND($N1950=$Q$7,$B1950&lt;'111'!$L$11),"x","")</f>
        <v/>
      </c>
      <c r="S1950" s="81" t="str">
        <f>IF(AND($O1950=$Q$7,$B1950&lt;'111'!$L$11),"x","")</f>
        <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row>
    <row r="1951" spans="1:30" ht="15.75" customHeight="1">
      <c r="A1951" s="327" t="str">
        <f>IF(B1951&lt;&gt;"",IF(AND(B1951='IN-TC'!$S$4,OR(TH!N1951="1111",TH!O1951="1111")),TH!D1951,""),"")</f>
        <v/>
      </c>
      <c r="B1951" s="62" t="str">
        <f t="shared" si="366"/>
        <v/>
      </c>
      <c r="C1951" s="63"/>
      <c r="D1951" s="63"/>
      <c r="E1951" s="63"/>
      <c r="F1951" s="66"/>
      <c r="G1951" s="66"/>
      <c r="H1951" s="71"/>
      <c r="I1951" s="405"/>
      <c r="J1951" s="408"/>
      <c r="K1951" s="398"/>
      <c r="L1951" s="405"/>
      <c r="M1951" s="64"/>
      <c r="N1951" s="65"/>
      <c r="O1951" s="65"/>
      <c r="P1951" s="81" t="str">
        <f>IF(AND('331-CT'!$E$7=TH!H1951,OR(N1951="331",O1951="331")),"x","")</f>
        <v/>
      </c>
      <c r="Q1951" s="81" t="str">
        <f>IF(AND(B1951='111'!$L$11,OR($N1951=$Q$7,$O1951=$Q$7)),"x","")</f>
        <v/>
      </c>
      <c r="R1951" s="81" t="str">
        <f>IF(AND($N1951=$Q$7,$B1951&lt;'111'!$L$11),"x","")</f>
        <v/>
      </c>
      <c r="S1951" s="81" t="str">
        <f>IF(AND($O1951=$Q$7,$B1951&lt;'111'!$L$11),"x","")</f>
        <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row>
    <row r="1952" spans="1:30" ht="15.75" customHeight="1">
      <c r="A1952" s="327" t="str">
        <f>IF(B1952&lt;&gt;"",IF(AND(B1952='IN-TC'!$S$4,OR(TH!N1952="1111",TH!O1952="1111")),TH!D1952,""),"")</f>
        <v/>
      </c>
      <c r="B1952" s="62" t="str">
        <f t="shared" si="366"/>
        <v/>
      </c>
      <c r="C1952" s="63"/>
      <c r="D1952" s="63"/>
      <c r="E1952" s="63"/>
      <c r="F1952" s="66"/>
      <c r="G1952" s="66"/>
      <c r="H1952" s="71"/>
      <c r="I1952" s="405"/>
      <c r="J1952" s="408"/>
      <c r="K1952" s="398"/>
      <c r="L1952" s="405"/>
      <c r="M1952" s="64"/>
      <c r="N1952" s="65"/>
      <c r="O1952" s="65"/>
      <c r="P1952" s="81" t="str">
        <f>IF(AND('331-CT'!$E$7=TH!H1952,OR(N1952="331",O1952="331")),"x","")</f>
        <v/>
      </c>
      <c r="Q1952" s="81" t="str">
        <f>IF(AND(B1952='111'!$L$11,OR($N1952=$Q$7,$O1952=$Q$7)),"x","")</f>
        <v/>
      </c>
      <c r="R1952" s="81" t="str">
        <f>IF(AND($N1952=$Q$7,$B1952&lt;'111'!$L$11),"x","")</f>
        <v/>
      </c>
      <c r="S1952" s="81" t="str">
        <f>IF(AND($O1952=$Q$7,$B1952&lt;'111'!$L$11),"x","")</f>
        <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row>
    <row r="1953" spans="1:30" ht="15.75" customHeight="1">
      <c r="A1953" s="327" t="str">
        <f>IF(B1953&lt;&gt;"",IF(AND(B1953='IN-TC'!$S$4,OR(TH!N1953="1111",TH!O1953="1111")),TH!D1953,""),"")</f>
        <v/>
      </c>
      <c r="B1953" s="62" t="str">
        <f t="shared" si="366"/>
        <v/>
      </c>
      <c r="C1953" s="63"/>
      <c r="D1953" s="63"/>
      <c r="E1953" s="63"/>
      <c r="F1953" s="66"/>
      <c r="G1953" s="66"/>
      <c r="H1953" s="71"/>
      <c r="I1953" s="405"/>
      <c r="J1953" s="408"/>
      <c r="K1953" s="398"/>
      <c r="L1953" s="405"/>
      <c r="M1953" s="64"/>
      <c r="N1953" s="65"/>
      <c r="O1953" s="65"/>
      <c r="P1953" s="81" t="str">
        <f>IF(AND('331-CT'!$E$7=TH!H1953,OR(N1953="331",O1953="331")),"x","")</f>
        <v/>
      </c>
      <c r="Q1953" s="81" t="str">
        <f>IF(AND(B1953='111'!$L$11,OR($N1953=$Q$7,$O1953=$Q$7)),"x","")</f>
        <v/>
      </c>
      <c r="R1953" s="81" t="str">
        <f>IF(AND($N1953=$Q$7,$B1953&lt;'111'!$L$11),"x","")</f>
        <v/>
      </c>
      <c r="S1953" s="81" t="str">
        <f>IF(AND($O1953=$Q$7,$B1953&lt;'111'!$L$11),"x","")</f>
        <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
      </c>
      <c r="X1953" s="81" t="str">
        <f>IF(OR(TH!N1953=TH!$X$7,O1953=TH!$X$7),"x","")</f>
        <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row>
    <row r="1954" spans="1:30" ht="15.75" customHeight="1">
      <c r="A1954" s="327" t="str">
        <f>IF(B1954&lt;&gt;"",IF(AND(B1954='IN-TC'!$S$4,OR(TH!N1954="1111",TH!O1954="1111")),TH!D1954,""),"")</f>
        <v/>
      </c>
      <c r="B1954" s="62" t="str">
        <f t="shared" si="366"/>
        <v/>
      </c>
      <c r="C1954" s="63"/>
      <c r="D1954" s="63"/>
      <c r="E1954" s="63"/>
      <c r="F1954" s="66"/>
      <c r="G1954" s="66"/>
      <c r="H1954" s="71"/>
      <c r="I1954" s="405"/>
      <c r="J1954" s="408"/>
      <c r="K1954" s="398"/>
      <c r="L1954" s="405"/>
      <c r="M1954" s="64"/>
      <c r="N1954" s="65"/>
      <c r="O1954" s="65"/>
      <c r="P1954" s="81" t="str">
        <f>IF(AND('331-CT'!$E$7=TH!H1954,OR(N1954="331",O1954="331")),"x","")</f>
        <v/>
      </c>
      <c r="Q1954" s="81" t="str">
        <f>IF(AND(B1954='111'!$L$11,OR($N1954=$Q$7,$O1954=$Q$7)),"x","")</f>
        <v/>
      </c>
      <c r="R1954" s="81" t="str">
        <f>IF(AND($N1954=$Q$7,$B1954&lt;'111'!$L$11),"x","")</f>
        <v/>
      </c>
      <c r="S1954" s="81" t="str">
        <f>IF(AND($O1954=$Q$7,$B1954&lt;'111'!$L$11),"x","")</f>
        <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row>
    <row r="1955" spans="1:30" ht="15.75" customHeight="1">
      <c r="A1955" s="327" t="str">
        <f>IF(B1955&lt;&gt;"",IF(AND(B1955='IN-TC'!$S$4,OR(TH!N1955="1111",TH!O1955="1111")),TH!D1955,""),"")</f>
        <v/>
      </c>
      <c r="B1955" s="62" t="str">
        <f t="shared" si="366"/>
        <v/>
      </c>
      <c r="C1955" s="63"/>
      <c r="D1955" s="63"/>
      <c r="E1955" s="63"/>
      <c r="F1955" s="66"/>
      <c r="G1955" s="66"/>
      <c r="H1955" s="71"/>
      <c r="I1955" s="405"/>
      <c r="J1955" s="408"/>
      <c r="K1955" s="398"/>
      <c r="L1955" s="405"/>
      <c r="M1955" s="64"/>
      <c r="N1955" s="65"/>
      <c r="O1955" s="65"/>
      <c r="P1955" s="81" t="str">
        <f>IF(AND('331-CT'!$E$7=TH!H1955,OR(N1955="331",O1955="331")),"x","")</f>
        <v/>
      </c>
      <c r="Q1955" s="81" t="str">
        <f>IF(AND(B1955='111'!$L$11,OR($N1955=$Q$7,$O1955=$Q$7)),"x","")</f>
        <v/>
      </c>
      <c r="R1955" s="81" t="str">
        <f>IF(AND($N1955=$Q$7,$B1955&lt;'111'!$L$11),"x","")</f>
        <v/>
      </c>
      <c r="S1955" s="81" t="str">
        <f>IF(AND($O1955=$Q$7,$B1955&lt;'111'!$L$11),"x","")</f>
        <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0" ht="15.75" customHeight="1">
      <c r="A1956" s="327" t="str">
        <f>IF(B1956&lt;&gt;"",IF(AND(B1956='IN-TC'!$S$4,OR(TH!N1956="1111",TH!O1956="1111")),TH!D1956,""),"")</f>
        <v/>
      </c>
      <c r="B1956" s="62" t="str">
        <f t="shared" si="366"/>
        <v/>
      </c>
      <c r="C1956" s="63"/>
      <c r="D1956" s="63"/>
      <c r="E1956" s="63"/>
      <c r="F1956" s="66"/>
      <c r="G1956" s="66"/>
      <c r="H1956" s="71"/>
      <c r="I1956" s="405"/>
      <c r="J1956" s="408"/>
      <c r="K1956" s="398"/>
      <c r="L1956" s="405"/>
      <c r="M1956" s="64"/>
      <c r="N1956" s="65"/>
      <c r="O1956" s="65"/>
      <c r="P1956" s="81" t="str">
        <f>IF(AND('331-CT'!$E$7=TH!H1956,OR(N1956="331",O1956="331")),"x","")</f>
        <v/>
      </c>
      <c r="Q1956" s="81" t="str">
        <f>IF(AND(B1956='111'!$L$11,OR($N1956=$Q$7,$O1956=$Q$7)),"x","")</f>
        <v/>
      </c>
      <c r="R1956" s="81" t="str">
        <f>IF(AND($N1956=$Q$7,$B1956&lt;'111'!$L$11),"x","")</f>
        <v/>
      </c>
      <c r="S1956" s="81" t="str">
        <f>IF(AND($O1956=$Q$7,$B1956&lt;'111'!$L$11),"x","")</f>
        <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row>
    <row r="1957" spans="1:30" ht="15.75" customHeight="1">
      <c r="A1957" s="327" t="str">
        <f>IF(B1957&lt;&gt;"",IF(AND(B1957='IN-TC'!$S$4,OR(TH!N1957="1111",TH!O1957="1111")),TH!D1957,""),"")</f>
        <v/>
      </c>
      <c r="B1957" s="62" t="str">
        <f t="shared" si="366"/>
        <v/>
      </c>
      <c r="C1957" s="63"/>
      <c r="D1957" s="63"/>
      <c r="E1957" s="63"/>
      <c r="F1957" s="66"/>
      <c r="G1957" s="66"/>
      <c r="H1957" s="71"/>
      <c r="I1957" s="405"/>
      <c r="J1957" s="408"/>
      <c r="K1957" s="398"/>
      <c r="L1957" s="405"/>
      <c r="M1957" s="64"/>
      <c r="N1957" s="65"/>
      <c r="O1957" s="65"/>
      <c r="P1957" s="81" t="str">
        <f>IF(AND('331-CT'!$E$7=TH!H1957,OR(N1957="331",O1957="331")),"x","")</f>
        <v/>
      </c>
      <c r="Q1957" s="81" t="str">
        <f>IF(AND(B1957='111'!$L$11,OR($N1957=$Q$7,$O1957=$Q$7)),"x","")</f>
        <v/>
      </c>
      <c r="R1957" s="81" t="str">
        <f>IF(AND($N1957=$Q$7,$B1957&lt;'111'!$L$11),"x","")</f>
        <v/>
      </c>
      <c r="S1957" s="81" t="str">
        <f>IF(AND($O1957=$Q$7,$B1957&lt;'111'!$L$11),"x","")</f>
        <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row>
    <row r="1958" spans="1:30" ht="15.75" customHeight="1">
      <c r="A1958" s="327" t="str">
        <f>IF(B1958&lt;&gt;"",IF(AND(B1958='IN-TC'!$S$4,OR(TH!N1958="1111",TH!O1958="1111")),TH!D1958,""),"")</f>
        <v/>
      </c>
      <c r="B1958" s="62" t="str">
        <f t="shared" si="366"/>
        <v/>
      </c>
      <c r="C1958" s="63"/>
      <c r="D1958" s="63"/>
      <c r="E1958" s="63"/>
      <c r="F1958" s="66"/>
      <c r="G1958" s="66"/>
      <c r="H1958" s="71"/>
      <c r="I1958" s="405"/>
      <c r="J1958" s="408"/>
      <c r="K1958" s="398"/>
      <c r="L1958" s="405"/>
      <c r="M1958" s="64"/>
      <c r="N1958" s="65"/>
      <c r="O1958" s="65"/>
      <c r="P1958" s="81" t="str">
        <f>IF(AND('331-CT'!$E$7=TH!H1958,OR(N1958="331",O1958="331")),"x","")</f>
        <v/>
      </c>
      <c r="Q1958" s="81" t="str">
        <f>IF(AND(B1958='111'!$L$11,OR($N1958=$Q$7,$O1958=$Q$7)),"x","")</f>
        <v/>
      </c>
      <c r="R1958" s="81" t="str">
        <f>IF(AND($N1958=$Q$7,$B1958&lt;'111'!$L$11),"x","")</f>
        <v/>
      </c>
      <c r="S1958" s="81" t="str">
        <f>IF(AND($O1958=$Q$7,$B1958&lt;'111'!$L$11),"x","")</f>
        <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row>
    <row r="1959" spans="1:30" ht="15.75" customHeight="1">
      <c r="A1959" s="327" t="str">
        <f>IF(B1959&lt;&gt;"",IF(AND(B1959='IN-TC'!$S$4,OR(TH!N1959="1111",TH!O1959="1111")),TH!D1959,""),"")</f>
        <v/>
      </c>
      <c r="B1959" s="62" t="str">
        <f t="shared" si="366"/>
        <v/>
      </c>
      <c r="C1959" s="63"/>
      <c r="D1959" s="63"/>
      <c r="E1959" s="63"/>
      <c r="F1959" s="66"/>
      <c r="G1959" s="66"/>
      <c r="H1959" s="71"/>
      <c r="I1959" s="407"/>
      <c r="J1959" s="408"/>
      <c r="K1959" s="400"/>
      <c r="L1959" s="407"/>
      <c r="M1959" s="64"/>
      <c r="N1959" s="65"/>
      <c r="O1959" s="65"/>
      <c r="P1959" s="81" t="str">
        <f>IF(AND('331-CT'!$E$7=TH!H1959,OR(N1959="331",O1959="331")),"x","")</f>
        <v/>
      </c>
      <c r="Q1959" s="81" t="str">
        <f>IF(AND(B1959='111'!$L$11,OR($N1959=$Q$7,$O1959=$Q$7)),"x","")</f>
        <v/>
      </c>
      <c r="R1959" s="81" t="str">
        <f>IF(AND($N1959=$Q$7,$B1959&lt;'111'!$L$11),"x","")</f>
        <v/>
      </c>
      <c r="S1959" s="81" t="str">
        <f>IF(AND($O1959=$Q$7,$B1959&lt;'111'!$L$11),"x","")</f>
        <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0" ht="15.75" customHeight="1">
      <c r="A1960" s="327" t="str">
        <f>IF(B1960&lt;&gt;"",IF(AND(B1960='IN-TC'!$S$4,OR(TH!N1960="1111",TH!O1960="1111")),TH!D1960,""),"")</f>
        <v/>
      </c>
      <c r="B1960" s="62" t="str">
        <f t="shared" si="366"/>
        <v/>
      </c>
      <c r="C1960" s="63"/>
      <c r="D1960" s="63"/>
      <c r="E1960" s="63"/>
      <c r="F1960" s="66"/>
      <c r="G1960" s="66"/>
      <c r="H1960" s="71"/>
      <c r="I1960" s="407"/>
      <c r="J1960" s="408"/>
      <c r="K1960" s="400"/>
      <c r="L1960" s="407"/>
      <c r="M1960" s="64"/>
      <c r="N1960" s="65"/>
      <c r="O1960" s="65"/>
      <c r="P1960" s="81" t="str">
        <f>IF(AND('331-CT'!$E$7=TH!H1960,OR(N1960="331",O1960="331")),"x","")</f>
        <v/>
      </c>
      <c r="Q1960" s="81" t="str">
        <f>IF(AND(B1960='111'!$L$11,OR($N1960=$Q$7,$O1960=$Q$7)),"x","")</f>
        <v/>
      </c>
      <c r="R1960" s="81" t="str">
        <f>IF(AND($N1960=$Q$7,$B1960&lt;'111'!$L$11),"x","")</f>
        <v/>
      </c>
      <c r="S1960" s="81" t="str">
        <f>IF(AND($O1960=$Q$7,$B1960&lt;'111'!$L$11),"x","")</f>
        <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row>
    <row r="1961" spans="1:30" ht="15.75" customHeight="1">
      <c r="A1961" s="327" t="str">
        <f>IF(B1961&lt;&gt;"",IF(AND(B1961='IN-TC'!$S$4,OR(TH!N1961="1111",TH!O1961="1111")),TH!D1961,""),"")</f>
        <v/>
      </c>
      <c r="B1961" s="62" t="str">
        <f t="shared" si="366"/>
        <v/>
      </c>
      <c r="C1961" s="63"/>
      <c r="D1961" s="63"/>
      <c r="E1961" s="63"/>
      <c r="F1961" s="66"/>
      <c r="G1961" s="66"/>
      <c r="H1961" s="71"/>
      <c r="I1961" s="407"/>
      <c r="J1961" s="408"/>
      <c r="K1961" s="400"/>
      <c r="L1961" s="407"/>
      <c r="M1961" s="64"/>
      <c r="N1961" s="65"/>
      <c r="O1961" s="65"/>
      <c r="P1961" s="81" t="str">
        <f>IF(AND('331-CT'!$E$7=TH!H1961,OR(N1961="331",O1961="331")),"x","")</f>
        <v/>
      </c>
      <c r="Q1961" s="81" t="str">
        <f>IF(AND(B1961='111'!$L$11,OR($N1961=$Q$7,$O1961=$Q$7)),"x","")</f>
        <v/>
      </c>
      <c r="R1961" s="81" t="str">
        <f>IF(AND($N1961=$Q$7,$B1961&lt;'111'!$L$11),"x","")</f>
        <v/>
      </c>
      <c r="S1961" s="81" t="str">
        <f>IF(AND($O1961=$Q$7,$B1961&lt;'111'!$L$11),"x","")</f>
        <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
      </c>
      <c r="W1961" s="81" t="str">
        <f>IF(AND('341-CT'!$H$9=H1961,OR(LEFT(N1961,3)=$W$7,LEFT(O1961,3)=$W$7)),"x","")</f>
        <v/>
      </c>
      <c r="X1961" s="81" t="str">
        <f>IF(OR(TH!N1961=TH!$X$7,O1961=TH!$X$7),"x","")</f>
        <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row>
    <row r="1962" spans="1:30" ht="15.75" customHeight="1">
      <c r="A1962" s="327" t="str">
        <f>IF(B1962&lt;&gt;"",IF(AND(B1962='IN-TC'!$S$4,OR(TH!N1962="1111",TH!O1962="1111")),TH!D1962,""),"")</f>
        <v/>
      </c>
      <c r="B1962" s="62" t="str">
        <f t="shared" si="366"/>
        <v/>
      </c>
      <c r="C1962" s="63"/>
      <c r="D1962" s="63"/>
      <c r="E1962" s="63"/>
      <c r="F1962" s="66"/>
      <c r="G1962" s="66"/>
      <c r="H1962" s="71"/>
      <c r="I1962" s="407"/>
      <c r="J1962" s="408"/>
      <c r="K1962" s="400"/>
      <c r="L1962" s="407"/>
      <c r="M1962" s="64"/>
      <c r="N1962" s="65"/>
      <c r="O1962" s="65"/>
      <c r="P1962" s="81" t="str">
        <f>IF(AND('331-CT'!$E$7=TH!H1962,OR(N1962="331",O1962="331")),"x","")</f>
        <v/>
      </c>
      <c r="Q1962" s="81" t="str">
        <f>IF(AND(B1962='111'!$L$11,OR($N1962=$Q$7,$O1962=$Q$7)),"x","")</f>
        <v/>
      </c>
      <c r="R1962" s="81" t="str">
        <f>IF(AND($N1962=$Q$7,$B1962&lt;'111'!$L$11),"x","")</f>
        <v/>
      </c>
      <c r="S1962" s="81" t="str">
        <f>IF(AND($O1962=$Q$7,$B1962&lt;'111'!$L$11),"x","")</f>
        <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row>
    <row r="1963" spans="1:30" ht="15.75" customHeight="1">
      <c r="A1963" s="327"/>
      <c r="B1963" s="62" t="str">
        <f t="shared" si="366"/>
        <v/>
      </c>
      <c r="C1963" s="309"/>
      <c r="D1963" s="309"/>
      <c r="E1963" s="63"/>
      <c r="F1963" s="311"/>
      <c r="G1963" s="310"/>
      <c r="H1963" s="311"/>
      <c r="I1963" s="405"/>
      <c r="J1963" s="408"/>
      <c r="K1963" s="400"/>
      <c r="L1963" s="407"/>
      <c r="M1963" s="64"/>
      <c r="N1963" s="65"/>
      <c r="O1963" s="65"/>
      <c r="P1963" s="81" t="str">
        <f>IF(AND('331-CT'!$E$7=TH!H1963,OR(N1963="331",O1963="331")),"x","")</f>
        <v/>
      </c>
      <c r="Q1963" s="81" t="str">
        <f>IF(AND(B1963='111'!$L$11,OR($N1963=$Q$7,$O1963=$Q$7)),"x","")</f>
        <v/>
      </c>
      <c r="R1963" s="81" t="str">
        <f>IF(AND($N1963=$Q$7,$B1963&lt;'111'!$L$11),"x","")</f>
        <v/>
      </c>
      <c r="S1963" s="81" t="str">
        <f>IF(AND($O1963=$Q$7,$B1963&lt;'111'!$L$11),"x","")</f>
        <v/>
      </c>
      <c r="T1963" s="81" t="str">
        <f>IF(ISERROR(FIND('112'!$M$9,G1963,1)),"",IF((AND(FIND('112'!$M$9,G1963,1)&gt;=1,B1963='112'!$K$9,OR($N1963='112'!$I$6,$O1963='112'!$I$6))),"x",""))</f>
        <v/>
      </c>
      <c r="U1963" s="81" t="str">
        <f>IF(ISERROR(FIND('112'!$M$9,G1963,1)),"",IF((AND(LEFT(G1963,2)=LEFT('112'!$M$9,2),B1963&lt;'112'!$K$9,$N1963='112'!$I$6)),"x",""))</f>
        <v/>
      </c>
      <c r="V1963" s="81" t="str">
        <f>IF(ISERROR(FIND('112'!$M$9,G1963,1)),"",IF((AND(RIGHT(G1963,2)=RIGHT('112'!$M$9,2),B1963&lt;'112'!$K$9,$O1963='112'!$I$6)),"x",""))</f>
        <v/>
      </c>
      <c r="W1963" s="81" t="str">
        <f>IF(AND('341-CT'!$H$9=H1963,OR(LEFT(N1963,3)=$W$7,LEFT(O1963,3)=$W$7)),"x","")</f>
        <v/>
      </c>
      <c r="X1963" s="81" t="str">
        <f>IF(OR(TH!N1963=TH!$X$7,O1963=TH!$X$7),"x","")</f>
        <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row>
    <row r="1964" spans="1:30" ht="15.75" customHeight="1">
      <c r="A1964" s="327"/>
      <c r="B1964" s="62" t="str">
        <f t="shared" si="366"/>
        <v/>
      </c>
      <c r="C1964" s="309"/>
      <c r="D1964" s="309"/>
      <c r="E1964" s="63"/>
      <c r="F1964" s="311"/>
      <c r="G1964" s="310"/>
      <c r="H1964" s="311"/>
      <c r="I1964" s="405"/>
      <c r="J1964" s="408"/>
      <c r="K1964" s="400"/>
      <c r="L1964" s="407"/>
      <c r="M1964" s="64"/>
      <c r="N1964" s="65"/>
      <c r="O1964" s="65"/>
      <c r="P1964" s="81" t="str">
        <f>IF(AND('331-CT'!$E$7=TH!H1964,OR(N1964="331",O1964="331")),"x","")</f>
        <v/>
      </c>
      <c r="Q1964" s="81" t="str">
        <f>IF(AND(B1964='111'!$L$11,OR($N1964=$Q$7,$O1964=$Q$7)),"x","")</f>
        <v/>
      </c>
      <c r="R1964" s="81" t="str">
        <f>IF(AND($N1964=$Q$7,$B1964&lt;'111'!$L$11),"x","")</f>
        <v/>
      </c>
      <c r="S1964" s="81" t="str">
        <f>IF(AND($O1964=$Q$7,$B1964&lt;'111'!$L$11),"x","")</f>
        <v/>
      </c>
      <c r="T1964" s="81" t="str">
        <f>IF(ISERROR(FIND('112'!$M$9,G1964,1)),"",IF((AND(FIND('112'!$M$9,G1964,1)&gt;=1,B1964='112'!$K$9,OR($N1964='112'!$I$6,$O1964='112'!$I$6))),"x",""))</f>
        <v/>
      </c>
      <c r="U1964" s="81" t="str">
        <f>IF(ISERROR(FIND('112'!$M$9,G1964,1)),"",IF((AND(LEFT(G1964,2)=LEFT('112'!$M$9,2),B1964&lt;'112'!$K$9,$N1964='112'!$I$6)),"x",""))</f>
        <v/>
      </c>
      <c r="V1964" s="81" t="str">
        <f>IF(ISERROR(FIND('112'!$M$9,G1964,1)),"",IF((AND(RIGHT(G1964,2)=RIGHT('112'!$M$9,2),B1964&lt;'112'!$K$9,$O1964='112'!$I$6)),"x",""))</f>
        <v/>
      </c>
      <c r="W1964" s="81" t="str">
        <f>IF(AND('341-CT'!$H$9=H1964,OR(LEFT(N1964,3)=$W$7,LEFT(O1964,3)=$W$7)),"x","")</f>
        <v/>
      </c>
      <c r="X1964" s="81" t="str">
        <f>IF(OR(TH!N1964=TH!$X$7,O1964=TH!$X$7),"x","")</f>
        <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0" ht="15.75" customHeight="1">
      <c r="A1965" s="327"/>
      <c r="B1965" s="62" t="str">
        <f t="shared" si="366"/>
        <v/>
      </c>
      <c r="C1965" s="309"/>
      <c r="D1965" s="309"/>
      <c r="E1965" s="63"/>
      <c r="F1965" s="311"/>
      <c r="G1965" s="310"/>
      <c r="H1965" s="311"/>
      <c r="I1965" s="405"/>
      <c r="J1965" s="408"/>
      <c r="K1965" s="400"/>
      <c r="L1965" s="407"/>
      <c r="M1965" s="64"/>
      <c r="N1965" s="65"/>
      <c r="O1965" s="65"/>
      <c r="P1965" s="81" t="str">
        <f>IF(AND('331-CT'!$E$7=TH!H1965,OR(N1965="331",O1965="331")),"x","")</f>
        <v/>
      </c>
      <c r="Q1965" s="81" t="str">
        <f>IF(AND(B1965='111'!$L$11,OR($N1965=$Q$7,$O1965=$Q$7)),"x","")</f>
        <v/>
      </c>
      <c r="R1965" s="81" t="str">
        <f>IF(AND($N1965=$Q$7,$B1965&lt;'111'!$L$11),"x","")</f>
        <v/>
      </c>
      <c r="S1965" s="81" t="str">
        <f>IF(AND($O1965=$Q$7,$B1965&lt;'111'!$L$11),"x","")</f>
        <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0" ht="15.75" customHeight="1">
      <c r="A1966" s="327"/>
      <c r="B1966" s="62" t="str">
        <f t="shared" si="366"/>
        <v/>
      </c>
      <c r="C1966" s="309"/>
      <c r="D1966" s="309"/>
      <c r="E1966" s="63"/>
      <c r="F1966" s="311"/>
      <c r="G1966" s="310"/>
      <c r="H1966" s="311"/>
      <c r="I1966" s="405"/>
      <c r="J1966" s="408"/>
      <c r="K1966" s="400"/>
      <c r="L1966" s="407"/>
      <c r="M1966" s="64"/>
      <c r="N1966" s="65"/>
      <c r="O1966" s="65"/>
      <c r="P1966" s="81" t="str">
        <f>IF(AND('331-CT'!$E$7=TH!H1966,OR(N1966="331",O1966="331")),"x","")</f>
        <v/>
      </c>
      <c r="Q1966" s="81" t="str">
        <f>IF(AND(B1966='111'!$L$11,OR($N1966=$Q$7,$O1966=$Q$7)),"x","")</f>
        <v/>
      </c>
      <c r="R1966" s="81" t="str">
        <f>IF(AND($N1966=$Q$7,$B1966&lt;'111'!$L$11),"x","")</f>
        <v/>
      </c>
      <c r="S1966" s="81" t="str">
        <f>IF(AND($O1966=$Q$7,$B1966&lt;'111'!$L$11),"x","")</f>
        <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0" ht="15.75" customHeight="1">
      <c r="A1967" s="327"/>
      <c r="B1967" s="62" t="str">
        <f t="shared" si="366"/>
        <v/>
      </c>
      <c r="C1967" s="309"/>
      <c r="D1967" s="309"/>
      <c r="E1967" s="63"/>
      <c r="F1967" s="311"/>
      <c r="G1967" s="310"/>
      <c r="H1967" s="311"/>
      <c r="I1967" s="405"/>
      <c r="J1967" s="408"/>
      <c r="K1967" s="400"/>
      <c r="L1967" s="407"/>
      <c r="M1967" s="64"/>
      <c r="N1967" s="65"/>
      <c r="O1967" s="65"/>
      <c r="P1967" s="81" t="str">
        <f>IF(AND('331-CT'!$E$7=TH!H1967,OR(N1967="331",O1967="331")),"x","")</f>
        <v/>
      </c>
      <c r="Q1967" s="81" t="str">
        <f>IF(AND(B1967='111'!$L$11,OR($N1967=$Q$7,$O1967=$Q$7)),"x","")</f>
        <v/>
      </c>
      <c r="R1967" s="81" t="str">
        <f>IF(AND($N1967=$Q$7,$B1967&lt;'111'!$L$11),"x","")</f>
        <v/>
      </c>
      <c r="S1967" s="81" t="str">
        <f>IF(AND($O1967=$Q$7,$B1967&lt;'111'!$L$11),"x","")</f>
        <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row>
    <row r="1968" spans="1:30" ht="15.75" customHeight="1">
      <c r="A1968" s="327"/>
      <c r="B1968" s="62" t="str">
        <f t="shared" si="366"/>
        <v/>
      </c>
      <c r="C1968" s="309"/>
      <c r="D1968" s="309"/>
      <c r="E1968" s="63"/>
      <c r="F1968" s="311"/>
      <c r="G1968" s="310"/>
      <c r="H1968" s="311"/>
      <c r="I1968" s="405"/>
      <c r="J1968" s="408"/>
      <c r="K1968" s="400"/>
      <c r="L1968" s="407"/>
      <c r="M1968" s="64"/>
      <c r="N1968" s="65"/>
      <c r="O1968" s="65"/>
      <c r="P1968" s="81" t="str">
        <f>IF(AND('331-CT'!$E$7=TH!H1968,OR(N1968="331",O1968="331")),"x","")</f>
        <v/>
      </c>
      <c r="Q1968" s="81" t="str">
        <f>IF(AND(B1968='111'!$L$11,OR($N1968=$Q$7,$O1968=$Q$7)),"x","")</f>
        <v/>
      </c>
      <c r="R1968" s="81" t="str">
        <f>IF(AND($N1968=$Q$7,$B1968&lt;'111'!$L$11),"x","")</f>
        <v/>
      </c>
      <c r="S1968" s="81" t="str">
        <f>IF(AND($O1968=$Q$7,$B1968&lt;'111'!$L$11),"x","")</f>
        <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row>
    <row r="1969" spans="1:30" ht="15.75" customHeight="1">
      <c r="A1969" s="327"/>
      <c r="B1969" s="62" t="str">
        <f t="shared" si="366"/>
        <v/>
      </c>
      <c r="C1969" s="309"/>
      <c r="D1969" s="309"/>
      <c r="E1969" s="63"/>
      <c r="F1969" s="311"/>
      <c r="G1969" s="310"/>
      <c r="H1969" s="311"/>
      <c r="I1969" s="405"/>
      <c r="J1969" s="408"/>
      <c r="K1969" s="400"/>
      <c r="L1969" s="407"/>
      <c r="M1969" s="64"/>
      <c r="N1969" s="65"/>
      <c r="O1969" s="65"/>
      <c r="P1969" s="81" t="str">
        <f>IF(AND('331-CT'!$E$7=TH!H1969,OR(N1969="331",O1969="331")),"x","")</f>
        <v/>
      </c>
      <c r="Q1969" s="81" t="str">
        <f>IF(AND(B1969='111'!$L$11,OR($N1969=$Q$7,$O1969=$Q$7)),"x","")</f>
        <v/>
      </c>
      <c r="R1969" s="81" t="str">
        <f>IF(AND($N1969=$Q$7,$B1969&lt;'111'!$L$11),"x","")</f>
        <v/>
      </c>
      <c r="S1969" s="81" t="str">
        <f>IF(AND($O1969=$Q$7,$B1969&lt;'111'!$L$11),"x","")</f>
        <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row>
    <row r="1970" spans="1:30" ht="15.75" customHeight="1">
      <c r="A1970" s="327"/>
      <c r="B1970" s="62" t="str">
        <f t="shared" si="366"/>
        <v/>
      </c>
      <c r="C1970" s="309"/>
      <c r="D1970" s="309"/>
      <c r="E1970" s="63"/>
      <c r="F1970" s="311"/>
      <c r="G1970" s="310"/>
      <c r="H1970" s="311"/>
      <c r="I1970" s="405"/>
      <c r="J1970" s="408"/>
      <c r="K1970" s="400"/>
      <c r="L1970" s="407"/>
      <c r="M1970" s="64"/>
      <c r="N1970" s="65"/>
      <c r="O1970" s="65"/>
      <c r="P1970" s="81" t="str">
        <f>IF(AND('331-CT'!$E$7=TH!H1970,OR(N1970="331",O1970="331")),"x","")</f>
        <v/>
      </c>
      <c r="Q1970" s="81" t="str">
        <f>IF(AND(B1970='111'!$L$11,OR($N1970=$Q$7,$O1970=$Q$7)),"x","")</f>
        <v/>
      </c>
      <c r="R1970" s="81" t="str">
        <f>IF(AND($N1970=$Q$7,$B1970&lt;'111'!$L$11),"x","")</f>
        <v/>
      </c>
      <c r="S1970" s="81" t="str">
        <f>IF(AND($O1970=$Q$7,$B1970&lt;'111'!$L$11),"x","")</f>
        <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row>
    <row r="1971" spans="1:30" ht="15.75" customHeight="1">
      <c r="A1971" s="327"/>
      <c r="B1971" s="62" t="str">
        <f t="shared" si="366"/>
        <v/>
      </c>
      <c r="C1971" s="309"/>
      <c r="D1971" s="309"/>
      <c r="E1971" s="63"/>
      <c r="F1971" s="311"/>
      <c r="G1971" s="310"/>
      <c r="H1971" s="311"/>
      <c r="I1971" s="405"/>
      <c r="J1971" s="408"/>
      <c r="K1971" s="400"/>
      <c r="L1971" s="407"/>
      <c r="M1971" s="64"/>
      <c r="N1971" s="65"/>
      <c r="O1971" s="65"/>
      <c r="P1971" s="81" t="str">
        <f>IF(AND('331-CT'!$E$7=TH!H1971,OR(N1971="331",O1971="331")),"x","")</f>
        <v/>
      </c>
      <c r="Q1971" s="81" t="str">
        <f>IF(AND(B1971='111'!$L$11,OR($N1971=$Q$7,$O1971=$Q$7)),"x","")</f>
        <v/>
      </c>
      <c r="R1971" s="81" t="str">
        <f>IF(AND($N1971=$Q$7,$B1971&lt;'111'!$L$11),"x","")</f>
        <v/>
      </c>
      <c r="S1971" s="81" t="str">
        <f>IF(AND($O1971=$Q$7,$B1971&lt;'111'!$L$11),"x","")</f>
        <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row>
    <row r="1972" spans="1:30" ht="15.75" customHeight="1">
      <c r="A1972" s="327"/>
      <c r="B1972" s="62" t="str">
        <f t="shared" si="366"/>
        <v/>
      </c>
      <c r="C1972" s="309"/>
      <c r="D1972" s="309"/>
      <c r="E1972" s="63"/>
      <c r="F1972" s="311"/>
      <c r="G1972" s="310"/>
      <c r="H1972" s="311"/>
      <c r="I1972" s="405"/>
      <c r="J1972" s="408"/>
      <c r="K1972" s="400"/>
      <c r="L1972" s="407"/>
      <c r="M1972" s="64"/>
      <c r="N1972" s="65"/>
      <c r="O1972" s="65"/>
      <c r="P1972" s="81" t="str">
        <f>IF(AND('331-CT'!$E$7=TH!H1972,OR(N1972="331",O1972="331")),"x","")</f>
        <v/>
      </c>
      <c r="Q1972" s="81" t="str">
        <f>IF(AND(B1972='111'!$L$11,OR($N1972=$Q$7,$O1972=$Q$7)),"x","")</f>
        <v/>
      </c>
      <c r="R1972" s="81" t="str">
        <f>IF(AND($N1972=$Q$7,$B1972&lt;'111'!$L$11),"x","")</f>
        <v/>
      </c>
      <c r="S1972" s="81" t="str">
        <f>IF(AND($O1972=$Q$7,$B1972&lt;'111'!$L$11),"x","")</f>
        <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row>
    <row r="1973" spans="1:30" ht="15.75" customHeight="1">
      <c r="A1973" s="327"/>
      <c r="B1973" s="62" t="str">
        <f t="shared" si="366"/>
        <v/>
      </c>
      <c r="C1973" s="309"/>
      <c r="D1973" s="309"/>
      <c r="E1973" s="63"/>
      <c r="F1973" s="311"/>
      <c r="G1973" s="310"/>
      <c r="H1973" s="311"/>
      <c r="I1973" s="405"/>
      <c r="J1973" s="408"/>
      <c r="K1973" s="400"/>
      <c r="L1973" s="407"/>
      <c r="M1973" s="64"/>
      <c r="N1973" s="65"/>
      <c r="O1973" s="65"/>
      <c r="P1973" s="81" t="str">
        <f>IF(AND('331-CT'!$E$7=TH!H1973,OR(N1973="331",O1973="331")),"x","")</f>
        <v/>
      </c>
      <c r="Q1973" s="81" t="str">
        <f>IF(AND(B1973='111'!$L$11,OR($N1973=$Q$7,$O1973=$Q$7)),"x","")</f>
        <v/>
      </c>
      <c r="R1973" s="81" t="str">
        <f>IF(AND($N1973=$Q$7,$B1973&lt;'111'!$L$11),"x","")</f>
        <v/>
      </c>
      <c r="S1973" s="81" t="str">
        <f>IF(AND($O1973=$Q$7,$B1973&lt;'111'!$L$11),"x","")</f>
        <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row>
    <row r="1974" spans="1:30" ht="15.75" customHeight="1">
      <c r="A1974" s="327"/>
      <c r="B1974" s="62" t="str">
        <f t="shared" si="366"/>
        <v/>
      </c>
      <c r="C1974" s="309"/>
      <c r="D1974" s="309"/>
      <c r="E1974" s="63"/>
      <c r="F1974" s="311"/>
      <c r="G1974" s="310"/>
      <c r="H1974" s="311"/>
      <c r="I1974" s="405"/>
      <c r="J1974" s="408"/>
      <c r="K1974" s="400"/>
      <c r="L1974" s="407"/>
      <c r="M1974" s="64"/>
      <c r="N1974" s="65"/>
      <c r="O1974" s="65"/>
      <c r="P1974" s="81" t="str">
        <f>IF(AND('331-CT'!$E$7=TH!H1974,OR(N1974="331",O1974="331")),"x","")</f>
        <v/>
      </c>
      <c r="Q1974" s="81" t="str">
        <f>IF(AND(B1974='111'!$L$11,OR($N1974=$Q$7,$O1974=$Q$7)),"x","")</f>
        <v/>
      </c>
      <c r="R1974" s="81" t="str">
        <f>IF(AND($N1974=$Q$7,$B1974&lt;'111'!$L$11),"x","")</f>
        <v/>
      </c>
      <c r="S1974" s="81" t="str">
        <f>IF(AND($O1974=$Q$7,$B1974&lt;'111'!$L$11),"x","")</f>
        <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row>
    <row r="1975" spans="1:30" ht="15.75" customHeight="1">
      <c r="A1975" s="327"/>
      <c r="B1975" s="62" t="str">
        <f t="shared" si="366"/>
        <v/>
      </c>
      <c r="C1975" s="309"/>
      <c r="D1975" s="309"/>
      <c r="E1975" s="63"/>
      <c r="F1975" s="311"/>
      <c r="G1975" s="310"/>
      <c r="H1975" s="311"/>
      <c r="I1975" s="405"/>
      <c r="J1975" s="408"/>
      <c r="K1975" s="400"/>
      <c r="L1975" s="407"/>
      <c r="M1975" s="64"/>
      <c r="N1975" s="65"/>
      <c r="O1975" s="65"/>
      <c r="P1975" s="81" t="str">
        <f>IF(AND('331-CT'!$E$7=TH!H1975,OR(N1975="331",O1975="331")),"x","")</f>
        <v/>
      </c>
      <c r="Q1975" s="81" t="str">
        <f>IF(AND(B1975='111'!$L$11,OR($N1975=$Q$7,$O1975=$Q$7)),"x","")</f>
        <v/>
      </c>
      <c r="R1975" s="81" t="str">
        <f>IF(AND($N1975=$Q$7,$B1975&lt;'111'!$L$11),"x","")</f>
        <v/>
      </c>
      <c r="S1975" s="81" t="str">
        <f>IF(AND($O1975=$Q$7,$B1975&lt;'111'!$L$11),"x","")</f>
        <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row>
    <row r="1976" spans="1:30" ht="15.75" customHeight="1">
      <c r="A1976" s="327"/>
      <c r="B1976" s="62" t="str">
        <f t="shared" si="366"/>
        <v/>
      </c>
      <c r="C1976" s="309"/>
      <c r="D1976" s="309"/>
      <c r="E1976" s="63"/>
      <c r="F1976" s="311"/>
      <c r="G1976" s="310"/>
      <c r="H1976" s="311"/>
      <c r="I1976" s="405"/>
      <c r="J1976" s="408"/>
      <c r="K1976" s="400"/>
      <c r="L1976" s="407"/>
      <c r="M1976" s="64"/>
      <c r="N1976" s="65"/>
      <c r="O1976" s="65"/>
      <c r="P1976" s="81" t="str">
        <f>IF(AND('331-CT'!$E$7=TH!H1976,OR(N1976="331",O1976="331")),"x","")</f>
        <v/>
      </c>
      <c r="Q1976" s="81" t="str">
        <f>IF(AND(B1976='111'!$L$11,OR($N1976=$Q$7,$O1976=$Q$7)),"x","")</f>
        <v/>
      </c>
      <c r="R1976" s="81" t="str">
        <f>IF(AND($N1976=$Q$7,$B1976&lt;'111'!$L$11),"x","")</f>
        <v/>
      </c>
      <c r="S1976" s="81" t="str">
        <f>IF(AND($O1976=$Q$7,$B1976&lt;'111'!$L$11),"x","")</f>
        <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row>
    <row r="1977" spans="1:30" ht="15.75" customHeight="1">
      <c r="A1977" s="327"/>
      <c r="B1977" s="62" t="str">
        <f t="shared" si="366"/>
        <v/>
      </c>
      <c r="C1977" s="309"/>
      <c r="D1977" s="309"/>
      <c r="E1977" s="63"/>
      <c r="F1977" s="311"/>
      <c r="G1977" s="310"/>
      <c r="H1977" s="311"/>
      <c r="I1977" s="405"/>
      <c r="J1977" s="408"/>
      <c r="K1977" s="400"/>
      <c r="L1977" s="407"/>
      <c r="M1977" s="64"/>
      <c r="N1977" s="65"/>
      <c r="O1977" s="65"/>
      <c r="P1977" s="81" t="str">
        <f>IF(AND('331-CT'!$E$7=TH!H1977,OR(N1977="331",O1977="331")),"x","")</f>
        <v/>
      </c>
      <c r="Q1977" s="81" t="str">
        <f>IF(AND(B1977='111'!$L$11,OR($N1977=$Q$7,$O1977=$Q$7)),"x","")</f>
        <v/>
      </c>
      <c r="R1977" s="81" t="str">
        <f>IF(AND($N1977=$Q$7,$B1977&lt;'111'!$L$11),"x","")</f>
        <v/>
      </c>
      <c r="S1977" s="81" t="str">
        <f>IF(AND($O1977=$Q$7,$B1977&lt;'111'!$L$11),"x","")</f>
        <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
      </c>
      <c r="X1977" s="81" t="str">
        <f>IF(OR(TH!N1977=TH!$X$7,O1977=TH!$X$7),"x","")</f>
        <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row>
    <row r="1978" spans="1:30" ht="15.75" customHeight="1">
      <c r="A1978" s="327"/>
      <c r="B1978" s="62" t="str">
        <f t="shared" si="366"/>
        <v/>
      </c>
      <c r="C1978" s="309"/>
      <c r="D1978" s="309"/>
      <c r="E1978" s="63"/>
      <c r="F1978" s="311"/>
      <c r="G1978" s="310"/>
      <c r="H1978" s="311"/>
      <c r="I1978" s="405"/>
      <c r="J1978" s="408"/>
      <c r="K1978" s="400"/>
      <c r="L1978" s="407"/>
      <c r="M1978" s="64"/>
      <c r="N1978" s="65"/>
      <c r="O1978" s="65"/>
      <c r="P1978" s="81" t="str">
        <f>IF(AND('331-CT'!$E$7=TH!H1978,OR(N1978="331",O1978="331")),"x","")</f>
        <v/>
      </c>
      <c r="Q1978" s="81" t="str">
        <f>IF(AND(B1978='111'!$L$11,OR($N1978=$Q$7,$O1978=$Q$7)),"x","")</f>
        <v/>
      </c>
      <c r="R1978" s="81" t="str">
        <f>IF(AND($N1978=$Q$7,$B1978&lt;'111'!$L$11),"x","")</f>
        <v/>
      </c>
      <c r="S1978" s="81" t="str">
        <f>IF(AND($O1978=$Q$7,$B1978&lt;'111'!$L$11),"x","")</f>
        <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row>
    <row r="1979" spans="1:30" ht="15.75" customHeight="1">
      <c r="A1979" s="327"/>
      <c r="B1979" s="62" t="str">
        <f t="shared" si="366"/>
        <v/>
      </c>
      <c r="C1979" s="309"/>
      <c r="D1979" s="309"/>
      <c r="E1979" s="63"/>
      <c r="F1979" s="311"/>
      <c r="G1979" s="310"/>
      <c r="H1979" s="311"/>
      <c r="I1979" s="405"/>
      <c r="J1979" s="408"/>
      <c r="K1979" s="400"/>
      <c r="L1979" s="407"/>
      <c r="M1979" s="64"/>
      <c r="N1979" s="65"/>
      <c r="O1979" s="65"/>
      <c r="P1979" s="81" t="str">
        <f>IF(AND('331-CT'!$E$7=TH!H1979,OR(N1979="331",O1979="331")),"x","")</f>
        <v/>
      </c>
      <c r="Q1979" s="81" t="str">
        <f>IF(AND(B1979='111'!$L$11,OR($N1979=$Q$7,$O1979=$Q$7)),"x","")</f>
        <v/>
      </c>
      <c r="R1979" s="81" t="str">
        <f>IF(AND($N1979=$Q$7,$B1979&lt;'111'!$L$11),"x","")</f>
        <v/>
      </c>
      <c r="S1979" s="81" t="str">
        <f>IF(AND($O1979=$Q$7,$B1979&lt;'111'!$L$11),"x","")</f>
        <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row>
    <row r="1980" spans="1:30" ht="15.75" customHeight="1">
      <c r="A1980" s="327"/>
      <c r="B1980" s="62" t="str">
        <f t="shared" si="366"/>
        <v/>
      </c>
      <c r="C1980" s="309"/>
      <c r="D1980" s="309"/>
      <c r="E1980" s="63"/>
      <c r="F1980" s="311"/>
      <c r="G1980" s="310"/>
      <c r="H1980" s="311"/>
      <c r="I1980" s="405"/>
      <c r="J1980" s="408"/>
      <c r="K1980" s="400"/>
      <c r="L1980" s="407"/>
      <c r="M1980" s="64"/>
      <c r="N1980" s="65"/>
      <c r="O1980" s="65"/>
      <c r="P1980" s="81" t="str">
        <f>IF(AND('331-CT'!$E$7=TH!H1980,OR(N1980="331",O1980="331")),"x","")</f>
        <v/>
      </c>
      <c r="Q1980" s="81" t="str">
        <f>IF(AND(B1980='111'!$L$11,OR($N1980=$Q$7,$O1980=$Q$7)),"x","")</f>
        <v/>
      </c>
      <c r="R1980" s="81" t="str">
        <f>IF(AND($N1980=$Q$7,$B1980&lt;'111'!$L$11),"x","")</f>
        <v/>
      </c>
      <c r="S1980" s="81" t="str">
        <f>IF(AND($O1980=$Q$7,$B1980&lt;'111'!$L$11),"x","")</f>
        <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row>
    <row r="1981" spans="1:30" ht="15.75" customHeight="1">
      <c r="A1981" s="327"/>
      <c r="B1981" s="62" t="str">
        <f t="shared" si="366"/>
        <v/>
      </c>
      <c r="C1981" s="309"/>
      <c r="D1981" s="309"/>
      <c r="E1981" s="63"/>
      <c r="F1981" s="311"/>
      <c r="G1981" s="310"/>
      <c r="H1981" s="311"/>
      <c r="I1981" s="405"/>
      <c r="J1981" s="408"/>
      <c r="K1981" s="400"/>
      <c r="L1981" s="407"/>
      <c r="M1981" s="64"/>
      <c r="N1981" s="65"/>
      <c r="O1981" s="65"/>
      <c r="P1981" s="81" t="str">
        <f>IF(AND('331-CT'!$E$7=TH!H1981,OR(N1981="331",O1981="331")),"x","")</f>
        <v/>
      </c>
      <c r="Q1981" s="81" t="str">
        <f>IF(AND(B1981='111'!$L$11,OR($N1981=$Q$7,$O1981=$Q$7)),"x","")</f>
        <v/>
      </c>
      <c r="R1981" s="81" t="str">
        <f>IF(AND($N1981=$Q$7,$B1981&lt;'111'!$L$11),"x","")</f>
        <v/>
      </c>
      <c r="S1981" s="81" t="str">
        <f>IF(AND($O1981=$Q$7,$B1981&lt;'111'!$L$11),"x","")</f>
        <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row>
    <row r="1982" spans="1:30" ht="15.75" customHeight="1">
      <c r="A1982" s="327"/>
      <c r="B1982" s="62" t="str">
        <f t="shared" si="366"/>
        <v/>
      </c>
      <c r="C1982" s="309"/>
      <c r="D1982" s="309"/>
      <c r="E1982" s="63"/>
      <c r="F1982" s="311"/>
      <c r="G1982" s="310"/>
      <c r="H1982" s="311"/>
      <c r="I1982" s="405"/>
      <c r="J1982" s="408"/>
      <c r="K1982" s="400"/>
      <c r="L1982" s="407"/>
      <c r="M1982" s="64"/>
      <c r="N1982" s="65"/>
      <c r="O1982" s="65"/>
      <c r="P1982" s="81" t="str">
        <f>IF(AND('331-CT'!$E$7=TH!H1982,OR(N1982="331",O1982="331")),"x","")</f>
        <v/>
      </c>
      <c r="Q1982" s="81" t="str">
        <f>IF(AND(B1982='111'!$L$11,OR($N1982=$Q$7,$O1982=$Q$7)),"x","")</f>
        <v/>
      </c>
      <c r="R1982" s="81" t="str">
        <f>IF(AND($N1982=$Q$7,$B1982&lt;'111'!$L$11),"x","")</f>
        <v/>
      </c>
      <c r="S1982" s="81" t="str">
        <f>IF(AND($O1982=$Q$7,$B1982&lt;'111'!$L$11),"x","")</f>
        <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row>
    <row r="1983" spans="1:30" ht="15.75" customHeight="1">
      <c r="A1983" s="327"/>
      <c r="B1983" s="62" t="str">
        <f t="shared" si="366"/>
        <v/>
      </c>
      <c r="C1983" s="309"/>
      <c r="D1983" s="309"/>
      <c r="E1983" s="63"/>
      <c r="F1983" s="311"/>
      <c r="G1983" s="310"/>
      <c r="H1983" s="311"/>
      <c r="I1983" s="405"/>
      <c r="J1983" s="408"/>
      <c r="K1983" s="400"/>
      <c r="L1983" s="407"/>
      <c r="M1983" s="64"/>
      <c r="N1983" s="65"/>
      <c r="O1983" s="65"/>
      <c r="P1983" s="81" t="str">
        <f>IF(AND('331-CT'!$E$7=TH!H1983,OR(N1983="331",O1983="331")),"x","")</f>
        <v/>
      </c>
      <c r="Q1983" s="81" t="str">
        <f>IF(AND(B1983='111'!$L$11,OR($N1983=$Q$7,$O1983=$Q$7)),"x","")</f>
        <v/>
      </c>
      <c r="R1983" s="81" t="str">
        <f>IF(AND($N1983=$Q$7,$B1983&lt;'111'!$L$11),"x","")</f>
        <v/>
      </c>
      <c r="S1983" s="81" t="str">
        <f>IF(AND($O1983=$Q$7,$B1983&lt;'111'!$L$11),"x","")</f>
        <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row>
    <row r="1984" spans="1:30" ht="15.75" customHeight="1">
      <c r="A1984" s="327"/>
      <c r="B1984" s="62" t="str">
        <f t="shared" si="366"/>
        <v/>
      </c>
      <c r="C1984" s="309"/>
      <c r="D1984" s="309"/>
      <c r="E1984" s="63"/>
      <c r="F1984" s="311"/>
      <c r="G1984" s="310"/>
      <c r="H1984" s="311"/>
      <c r="I1984" s="405"/>
      <c r="J1984" s="408"/>
      <c r="K1984" s="400"/>
      <c r="L1984" s="407"/>
      <c r="M1984" s="64"/>
      <c r="N1984" s="65"/>
      <c r="O1984" s="65"/>
      <c r="P1984" s="81" t="str">
        <f>IF(AND('331-CT'!$E$7=TH!H1984,OR(N1984="331",O1984="331")),"x","")</f>
        <v/>
      </c>
      <c r="Q1984" s="81" t="str">
        <f>IF(AND(B1984='111'!$L$11,OR($N1984=$Q$7,$O1984=$Q$7)),"x","")</f>
        <v/>
      </c>
      <c r="R1984" s="81" t="str">
        <f>IF(AND($N1984=$Q$7,$B1984&lt;'111'!$L$11),"x","")</f>
        <v/>
      </c>
      <c r="S1984" s="81" t="str">
        <f>IF(AND($O1984=$Q$7,$B1984&lt;'111'!$L$11),"x","")</f>
        <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row>
    <row r="1985" spans="1:30" ht="15.75" customHeight="1">
      <c r="A1985" s="327"/>
      <c r="B1985" s="62" t="str">
        <f t="shared" si="366"/>
        <v/>
      </c>
      <c r="C1985" s="309"/>
      <c r="D1985" s="309"/>
      <c r="E1985" s="63"/>
      <c r="F1985" s="311"/>
      <c r="G1985" s="310"/>
      <c r="H1985" s="311"/>
      <c r="I1985" s="405"/>
      <c r="J1985" s="408"/>
      <c r="K1985" s="400"/>
      <c r="L1985" s="407"/>
      <c r="M1985" s="64"/>
      <c r="N1985" s="65"/>
      <c r="O1985" s="65"/>
      <c r="P1985" s="81" t="str">
        <f>IF(AND('331-CT'!$E$7=TH!H1985,OR(N1985="331",O1985="331")),"x","")</f>
        <v/>
      </c>
      <c r="Q1985" s="81" t="str">
        <f>IF(AND(B1985='111'!$L$11,OR($N1985=$Q$7,$O1985=$Q$7)),"x","")</f>
        <v/>
      </c>
      <c r="R1985" s="81" t="str">
        <f>IF(AND($N1985=$Q$7,$B1985&lt;'111'!$L$11),"x","")</f>
        <v/>
      </c>
      <c r="S1985" s="81" t="str">
        <f>IF(AND($O1985=$Q$7,$B1985&lt;'111'!$L$11),"x","")</f>
        <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0" ht="15.75" customHeight="1">
      <c r="A1986" s="327"/>
      <c r="B1986" s="62" t="str">
        <f t="shared" si="366"/>
        <v/>
      </c>
      <c r="C1986" s="309"/>
      <c r="D1986" s="309"/>
      <c r="E1986" s="63"/>
      <c r="F1986" s="311"/>
      <c r="G1986" s="310"/>
      <c r="H1986" s="311"/>
      <c r="I1986" s="405"/>
      <c r="J1986" s="408"/>
      <c r="K1986" s="400"/>
      <c r="L1986" s="407"/>
      <c r="M1986" s="64"/>
      <c r="N1986" s="65"/>
      <c r="O1986" s="65"/>
      <c r="P1986" s="81" t="str">
        <f>IF(AND('331-CT'!$E$7=TH!H1986,OR(N1986="331",O1986="331")),"x","")</f>
        <v/>
      </c>
      <c r="Q1986" s="81" t="str">
        <f>IF(AND(B1986='111'!$L$11,OR($N1986=$Q$7,$O1986=$Q$7)),"x","")</f>
        <v/>
      </c>
      <c r="R1986" s="81" t="str">
        <f>IF(AND($N1986=$Q$7,$B1986&lt;'111'!$L$11),"x","")</f>
        <v/>
      </c>
      <c r="S1986" s="81" t="str">
        <f>IF(AND($O1986=$Q$7,$B1986&lt;'111'!$L$11),"x","")</f>
        <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row>
    <row r="1987" spans="1:30" ht="15.75" customHeight="1">
      <c r="A1987" s="327"/>
      <c r="B1987" s="62" t="str">
        <f t="shared" si="366"/>
        <v/>
      </c>
      <c r="C1987" s="309"/>
      <c r="D1987" s="309"/>
      <c r="E1987" s="63"/>
      <c r="F1987" s="311"/>
      <c r="G1987" s="310"/>
      <c r="H1987" s="311"/>
      <c r="I1987" s="405"/>
      <c r="J1987" s="408"/>
      <c r="K1987" s="400"/>
      <c r="L1987" s="407"/>
      <c r="M1987" s="64"/>
      <c r="N1987" s="65"/>
      <c r="O1987" s="65"/>
      <c r="P1987" s="81" t="str">
        <f>IF(AND('331-CT'!$E$7=TH!H1987,OR(N1987="331",O1987="331")),"x","")</f>
        <v/>
      </c>
      <c r="Q1987" s="81" t="str">
        <f>IF(AND(B1987='111'!$L$11,OR($N1987=$Q$7,$O1987=$Q$7)),"x","")</f>
        <v/>
      </c>
      <c r="R1987" s="81" t="str">
        <f>IF(AND($N1987=$Q$7,$B1987&lt;'111'!$L$11),"x","")</f>
        <v/>
      </c>
      <c r="S1987" s="81" t="str">
        <f>IF(AND($O1987=$Q$7,$B1987&lt;'111'!$L$11),"x","")</f>
        <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row>
    <row r="1988" spans="1:30" ht="15.75" customHeight="1">
      <c r="A1988" s="327"/>
      <c r="B1988" s="62" t="str">
        <f t="shared" si="366"/>
        <v/>
      </c>
      <c r="C1988" s="309"/>
      <c r="D1988" s="309"/>
      <c r="E1988" s="63"/>
      <c r="F1988" s="311"/>
      <c r="G1988" s="310"/>
      <c r="H1988" s="311"/>
      <c r="I1988" s="405"/>
      <c r="J1988" s="408"/>
      <c r="K1988" s="400"/>
      <c r="L1988" s="407"/>
      <c r="M1988" s="64"/>
      <c r="N1988" s="65"/>
      <c r="O1988" s="65"/>
      <c r="P1988" s="81" t="str">
        <f>IF(AND('331-CT'!$E$7=TH!H1988,OR(N1988="331",O1988="331")),"x","")</f>
        <v/>
      </c>
      <c r="Q1988" s="81" t="str">
        <f>IF(AND(B1988='111'!$L$11,OR($N1988=$Q$7,$O1988=$Q$7)),"x","")</f>
        <v/>
      </c>
      <c r="R1988" s="81" t="str">
        <f>IF(AND($N1988=$Q$7,$B1988&lt;'111'!$L$11),"x","")</f>
        <v/>
      </c>
      <c r="S1988" s="81" t="str">
        <f>IF(AND($O1988=$Q$7,$B1988&lt;'111'!$L$11),"x","")</f>
        <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row>
    <row r="1989" spans="1:30" ht="15.75" customHeight="1">
      <c r="A1989" s="327"/>
      <c r="B1989" s="62" t="str">
        <f t="shared" si="366"/>
        <v/>
      </c>
      <c r="C1989" s="309"/>
      <c r="D1989" s="309"/>
      <c r="E1989" s="63"/>
      <c r="F1989" s="311"/>
      <c r="G1989" s="310"/>
      <c r="H1989" s="311"/>
      <c r="I1989" s="405"/>
      <c r="J1989" s="408"/>
      <c r="K1989" s="400"/>
      <c r="L1989" s="407"/>
      <c r="M1989" s="64"/>
      <c r="N1989" s="65"/>
      <c r="O1989" s="65"/>
      <c r="P1989" s="81" t="str">
        <f>IF(AND('331-CT'!$E$7=TH!H1989,OR(N1989="331",O1989="331")),"x","")</f>
        <v/>
      </c>
      <c r="Q1989" s="81" t="str">
        <f>IF(AND(B1989='111'!$L$11,OR($N1989=$Q$7,$O1989=$Q$7)),"x","")</f>
        <v/>
      </c>
      <c r="R1989" s="81" t="str">
        <f>IF(AND($N1989=$Q$7,$B1989&lt;'111'!$L$11),"x","")</f>
        <v/>
      </c>
      <c r="S1989" s="81" t="str">
        <f>IF(AND($O1989=$Q$7,$B1989&lt;'111'!$L$11),"x","")</f>
        <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row>
    <row r="1990" spans="1:30" ht="15.75" customHeight="1">
      <c r="A1990" s="327"/>
      <c r="B1990" s="62" t="str">
        <f t="shared" si="366"/>
        <v/>
      </c>
      <c r="C1990" s="309"/>
      <c r="D1990" s="309"/>
      <c r="E1990" s="63"/>
      <c r="F1990" s="311"/>
      <c r="G1990" s="310"/>
      <c r="H1990" s="311"/>
      <c r="I1990" s="405"/>
      <c r="J1990" s="408"/>
      <c r="K1990" s="400"/>
      <c r="L1990" s="407"/>
      <c r="M1990" s="64"/>
      <c r="N1990" s="65"/>
      <c r="O1990" s="65"/>
      <c r="P1990" s="81" t="str">
        <f>IF(AND('331-CT'!$E$7=TH!H1990,OR(N1990="331",O1990="331")),"x","")</f>
        <v/>
      </c>
      <c r="Q1990" s="81" t="str">
        <f>IF(AND(B1990='111'!$L$11,OR($N1990=$Q$7,$O1990=$Q$7)),"x","")</f>
        <v/>
      </c>
      <c r="R1990" s="81" t="str">
        <f>IF(AND($N1990=$Q$7,$B1990&lt;'111'!$L$11),"x","")</f>
        <v/>
      </c>
      <c r="S1990" s="81" t="str">
        <f>IF(AND($O1990=$Q$7,$B1990&lt;'111'!$L$11),"x","")</f>
        <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row>
    <row r="1991" spans="1:30" ht="15.75" customHeight="1">
      <c r="A1991" s="327"/>
      <c r="B1991" s="62" t="str">
        <f t="shared" si="366"/>
        <v/>
      </c>
      <c r="C1991" s="309"/>
      <c r="D1991" s="309"/>
      <c r="E1991" s="63"/>
      <c r="F1991" s="311"/>
      <c r="G1991" s="310"/>
      <c r="H1991" s="311"/>
      <c r="I1991" s="405"/>
      <c r="J1991" s="408"/>
      <c r="K1991" s="400"/>
      <c r="L1991" s="407"/>
      <c r="M1991" s="64"/>
      <c r="N1991" s="65"/>
      <c r="O1991" s="65"/>
      <c r="P1991" s="81" t="str">
        <f>IF(AND('331-CT'!$E$7=TH!H1991,OR(N1991="331",O1991="331")),"x","")</f>
        <v/>
      </c>
      <c r="Q1991" s="81" t="str">
        <f>IF(AND(B1991='111'!$L$11,OR($N1991=$Q$7,$O1991=$Q$7)),"x","")</f>
        <v/>
      </c>
      <c r="R1991" s="81" t="str">
        <f>IF(AND($N1991=$Q$7,$B1991&lt;'111'!$L$11),"x","")</f>
        <v/>
      </c>
      <c r="S1991" s="81" t="str">
        <f>IF(AND($O1991=$Q$7,$B1991&lt;'111'!$L$11),"x","")</f>
        <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row>
    <row r="1992" spans="1:30" ht="15.75" customHeight="1">
      <c r="A1992" s="327"/>
      <c r="B1992" s="62" t="str">
        <f t="shared" si="366"/>
        <v/>
      </c>
      <c r="C1992" s="309"/>
      <c r="D1992" s="309"/>
      <c r="E1992" s="63"/>
      <c r="F1992" s="311"/>
      <c r="G1992" s="310"/>
      <c r="H1992" s="311"/>
      <c r="I1992" s="405"/>
      <c r="J1992" s="408"/>
      <c r="K1992" s="400"/>
      <c r="L1992" s="407"/>
      <c r="M1992" s="64"/>
      <c r="N1992" s="65"/>
      <c r="O1992" s="65"/>
      <c r="P1992" s="81" t="str">
        <f>IF(AND('331-CT'!$E$7=TH!H1992,OR(N1992="331",O1992="331")),"x","")</f>
        <v/>
      </c>
      <c r="Q1992" s="81" t="str">
        <f>IF(AND(B1992='111'!$L$11,OR($N1992=$Q$7,$O1992=$Q$7)),"x","")</f>
        <v/>
      </c>
      <c r="R1992" s="81" t="str">
        <f>IF(AND($N1992=$Q$7,$B1992&lt;'111'!$L$11),"x","")</f>
        <v/>
      </c>
      <c r="S1992" s="81" t="str">
        <f>IF(AND($O1992=$Q$7,$B1992&lt;'111'!$L$11),"x","")</f>
        <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row>
    <row r="1993" spans="1:30" ht="15.75" customHeight="1">
      <c r="A1993" s="327"/>
      <c r="B1993" s="62" t="str">
        <f t="shared" si="366"/>
        <v/>
      </c>
      <c r="C1993" s="309"/>
      <c r="D1993" s="309"/>
      <c r="E1993" s="63"/>
      <c r="F1993" s="311"/>
      <c r="G1993" s="310"/>
      <c r="H1993" s="311"/>
      <c r="I1993" s="405"/>
      <c r="J1993" s="408"/>
      <c r="K1993" s="400"/>
      <c r="L1993" s="407"/>
      <c r="M1993" s="64"/>
      <c r="N1993" s="65"/>
      <c r="O1993" s="65"/>
      <c r="P1993" s="81" t="str">
        <f>IF(AND('331-CT'!$E$7=TH!H1993,OR(N1993="331",O1993="331")),"x","")</f>
        <v/>
      </c>
      <c r="Q1993" s="81" t="str">
        <f>IF(AND(B1993='111'!$L$11,OR($N1993=$Q$7,$O1993=$Q$7)),"x","")</f>
        <v/>
      </c>
      <c r="R1993" s="81" t="str">
        <f>IF(AND($N1993=$Q$7,$B1993&lt;'111'!$L$11),"x","")</f>
        <v/>
      </c>
      <c r="S1993" s="81" t="str">
        <f>IF(AND($O1993=$Q$7,$B1993&lt;'111'!$L$11),"x","")</f>
        <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row>
    <row r="1994" spans="1:30" ht="15.75" customHeight="1">
      <c r="A1994" s="327"/>
      <c r="B1994" s="62" t="str">
        <f t="shared" si="366"/>
        <v/>
      </c>
      <c r="C1994" s="309"/>
      <c r="D1994" s="309"/>
      <c r="E1994" s="63"/>
      <c r="F1994" s="311"/>
      <c r="G1994" s="310"/>
      <c r="H1994" s="311"/>
      <c r="I1994" s="405"/>
      <c r="J1994" s="408"/>
      <c r="K1994" s="400"/>
      <c r="L1994" s="407"/>
      <c r="M1994" s="64"/>
      <c r="N1994" s="65"/>
      <c r="O1994" s="65"/>
      <c r="P1994" s="81" t="str">
        <f>IF(AND('331-CT'!$E$7=TH!H1994,OR(N1994="331",O1994="331")),"x","")</f>
        <v/>
      </c>
      <c r="Q1994" s="81" t="str">
        <f>IF(AND(B1994='111'!$L$11,OR($N1994=$Q$7,$O1994=$Q$7)),"x","")</f>
        <v/>
      </c>
      <c r="R1994" s="81" t="str">
        <f>IF(AND($N1994=$Q$7,$B1994&lt;'111'!$L$11),"x","")</f>
        <v/>
      </c>
      <c r="S1994" s="81" t="str">
        <f>IF(AND($O1994=$Q$7,$B1994&lt;'111'!$L$11),"x","")</f>
        <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row>
    <row r="1995" spans="1:30" ht="15.75" customHeight="1">
      <c r="A1995" s="327"/>
      <c r="B1995" s="62" t="str">
        <f t="shared" si="366"/>
        <v/>
      </c>
      <c r="C1995" s="309"/>
      <c r="D1995" s="309"/>
      <c r="E1995" s="63"/>
      <c r="F1995" s="311"/>
      <c r="G1995" s="310"/>
      <c r="H1995" s="311"/>
      <c r="I1995" s="405"/>
      <c r="J1995" s="408"/>
      <c r="K1995" s="400"/>
      <c r="L1995" s="407"/>
      <c r="M1995" s="64"/>
      <c r="N1995" s="65"/>
      <c r="O1995" s="65"/>
      <c r="P1995" s="81" t="str">
        <f>IF(AND('331-CT'!$E$7=TH!H1995,OR(N1995="331",O1995="331")),"x","")</f>
        <v/>
      </c>
      <c r="Q1995" s="81" t="str">
        <f>IF(AND(B1995='111'!$L$11,OR($N1995=$Q$7,$O1995=$Q$7)),"x","")</f>
        <v/>
      </c>
      <c r="R1995" s="81" t="str">
        <f>IF(AND($N1995=$Q$7,$B1995&lt;'111'!$L$11),"x","")</f>
        <v/>
      </c>
      <c r="S1995" s="81" t="str">
        <f>IF(AND($O1995=$Q$7,$B1995&lt;'111'!$L$11),"x","")</f>
        <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row>
    <row r="1996" spans="1:30" ht="15.75" customHeight="1">
      <c r="A1996" s="327"/>
      <c r="B1996" s="62" t="str">
        <f t="shared" si="366"/>
        <v/>
      </c>
      <c r="C1996" s="309"/>
      <c r="D1996" s="309"/>
      <c r="E1996" s="63"/>
      <c r="F1996" s="311"/>
      <c r="G1996" s="310"/>
      <c r="H1996" s="311"/>
      <c r="I1996" s="405"/>
      <c r="J1996" s="408"/>
      <c r="K1996" s="400"/>
      <c r="L1996" s="407"/>
      <c r="M1996" s="64"/>
      <c r="N1996" s="65"/>
      <c r="O1996" s="65"/>
      <c r="P1996" s="81" t="str">
        <f>IF(AND('331-CT'!$E$7=TH!H1996,OR(N1996="331",O1996="331")),"x","")</f>
        <v/>
      </c>
      <c r="Q1996" s="81" t="str">
        <f>IF(AND(B1996='111'!$L$11,OR($N1996=$Q$7,$O1996=$Q$7)),"x","")</f>
        <v/>
      </c>
      <c r="R1996" s="81" t="str">
        <f>IF(AND($N1996=$Q$7,$B1996&lt;'111'!$L$11),"x","")</f>
        <v/>
      </c>
      <c r="S1996" s="81" t="str">
        <f>IF(AND($O1996=$Q$7,$B1996&lt;'111'!$L$11),"x","")</f>
        <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row>
    <row r="1997" spans="1:30" ht="15.75" customHeight="1">
      <c r="A1997" s="327"/>
      <c r="B1997" s="62" t="str">
        <f t="shared" si="366"/>
        <v/>
      </c>
      <c r="C1997" s="309"/>
      <c r="D1997" s="309"/>
      <c r="E1997" s="63"/>
      <c r="F1997" s="311"/>
      <c r="G1997" s="310"/>
      <c r="H1997" s="311"/>
      <c r="I1997" s="405"/>
      <c r="J1997" s="408"/>
      <c r="K1997" s="400"/>
      <c r="L1997" s="407"/>
      <c r="M1997" s="64"/>
      <c r="N1997" s="65"/>
      <c r="O1997" s="65"/>
      <c r="P1997" s="81" t="str">
        <f>IF(AND('331-CT'!$E$7=TH!H1997,OR(N1997="331",O1997="331")),"x","")</f>
        <v/>
      </c>
      <c r="Q1997" s="81" t="str">
        <f>IF(AND(B1997='111'!$L$11,OR($N1997=$Q$7,$O1997=$Q$7)),"x","")</f>
        <v/>
      </c>
      <c r="R1997" s="81" t="str">
        <f>IF(AND($N1997=$Q$7,$B1997&lt;'111'!$L$11),"x","")</f>
        <v/>
      </c>
      <c r="S1997" s="81" t="str">
        <f>IF(AND($O1997=$Q$7,$B1997&lt;'111'!$L$11),"x","")</f>
        <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row>
    <row r="1998" spans="1:30" ht="15.75" customHeight="1">
      <c r="A1998" s="327"/>
      <c r="B1998" s="62" t="str">
        <f t="shared" si="366"/>
        <v/>
      </c>
      <c r="C1998" s="309"/>
      <c r="D1998" s="309"/>
      <c r="E1998" s="63"/>
      <c r="F1998" s="311"/>
      <c r="G1998" s="310"/>
      <c r="H1998" s="311"/>
      <c r="I1998" s="405"/>
      <c r="J1998" s="408"/>
      <c r="K1998" s="400"/>
      <c r="L1998" s="407"/>
      <c r="M1998" s="64"/>
      <c r="N1998" s="65"/>
      <c r="O1998" s="65"/>
      <c r="P1998" s="81" t="str">
        <f>IF(AND('331-CT'!$E$7=TH!H1998,OR(N1998="331",O1998="331")),"x","")</f>
        <v/>
      </c>
      <c r="Q1998" s="81" t="str">
        <f>IF(AND(B1998='111'!$L$11,OR($N1998=$Q$7,$O1998=$Q$7)),"x","")</f>
        <v/>
      </c>
      <c r="R1998" s="81" t="str">
        <f>IF(AND($N1998=$Q$7,$B1998&lt;'111'!$L$11),"x","")</f>
        <v/>
      </c>
      <c r="S1998" s="81" t="str">
        <f>IF(AND($O1998=$Q$7,$B1998&lt;'111'!$L$11),"x","")</f>
        <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row>
    <row r="1999" spans="1:30" ht="15.75" customHeight="1">
      <c r="A1999" s="327"/>
      <c r="B1999" s="62" t="str">
        <f t="shared" si="366"/>
        <v/>
      </c>
      <c r="C1999" s="309"/>
      <c r="D1999" s="309"/>
      <c r="E1999" s="63"/>
      <c r="F1999" s="311"/>
      <c r="G1999" s="310"/>
      <c r="H1999" s="311"/>
      <c r="I1999" s="405"/>
      <c r="J1999" s="408"/>
      <c r="K1999" s="400"/>
      <c r="L1999" s="407"/>
      <c r="M1999" s="64"/>
      <c r="N1999" s="65"/>
      <c r="O1999" s="65"/>
      <c r="P1999" s="81" t="str">
        <f>IF(AND('331-CT'!$E$7=TH!H1999,OR(N1999="331",O1999="331")),"x","")</f>
        <v/>
      </c>
      <c r="Q1999" s="81" t="str">
        <f>IF(AND(B1999='111'!$L$11,OR($N1999=$Q$7,$O1999=$Q$7)),"x","")</f>
        <v/>
      </c>
      <c r="R1999" s="81" t="str">
        <f>IF(AND($N1999=$Q$7,$B1999&lt;'111'!$L$11),"x","")</f>
        <v/>
      </c>
      <c r="S1999" s="81" t="str">
        <f>IF(AND($O1999=$Q$7,$B1999&lt;'111'!$L$11),"x","")</f>
        <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row>
    <row r="2000" spans="1:30" ht="15.75" customHeight="1">
      <c r="A2000" s="327"/>
      <c r="B2000" s="62" t="str">
        <f t="shared" si="366"/>
        <v/>
      </c>
      <c r="C2000" s="309"/>
      <c r="D2000" s="309"/>
      <c r="E2000" s="63"/>
      <c r="F2000" s="311"/>
      <c r="G2000" s="310"/>
      <c r="H2000" s="311"/>
      <c r="I2000" s="405"/>
      <c r="J2000" s="408"/>
      <c r="K2000" s="400"/>
      <c r="L2000" s="407"/>
      <c r="M2000" s="64"/>
      <c r="N2000" s="65"/>
      <c r="O2000" s="65"/>
      <c r="P2000" s="81" t="str">
        <f>IF(AND('331-CT'!$E$7=TH!H2000,OR(N2000="331",O2000="331")),"x","")</f>
        <v/>
      </c>
      <c r="Q2000" s="81" t="str">
        <f>IF(AND(B2000='111'!$L$11,OR($N2000=$Q$7,$O2000=$Q$7)),"x","")</f>
        <v/>
      </c>
      <c r="R2000" s="81" t="str">
        <f>IF(AND($N2000=$Q$7,$B2000&lt;'111'!$L$11),"x","")</f>
        <v/>
      </c>
      <c r="S2000" s="81" t="str">
        <f>IF(AND($O2000=$Q$7,$B2000&lt;'111'!$L$11),"x","")</f>
        <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row>
    <row r="2001" spans="1:30" ht="15.75" customHeight="1">
      <c r="A2001" s="327"/>
      <c r="B2001" s="62" t="str">
        <f t="shared" si="366"/>
        <v/>
      </c>
      <c r="C2001" s="309"/>
      <c r="D2001" s="309"/>
      <c r="E2001" s="63"/>
      <c r="F2001" s="311"/>
      <c r="G2001" s="310"/>
      <c r="H2001" s="311"/>
      <c r="I2001" s="405"/>
      <c r="J2001" s="408"/>
      <c r="K2001" s="400"/>
      <c r="L2001" s="407"/>
      <c r="M2001" s="64"/>
      <c r="N2001" s="65"/>
      <c r="O2001" s="65"/>
      <c r="P2001" s="81" t="str">
        <f>IF(AND('331-CT'!$E$7=TH!H2001,OR(N2001="331",O2001="331")),"x","")</f>
        <v/>
      </c>
      <c r="Q2001" s="81" t="str">
        <f>IF(AND(B2001='111'!$L$11,OR($N2001=$Q$7,$O2001=$Q$7)),"x","")</f>
        <v/>
      </c>
      <c r="R2001" s="81" t="str">
        <f>IF(AND($N2001=$Q$7,$B2001&lt;'111'!$L$11),"x","")</f>
        <v/>
      </c>
      <c r="S2001" s="81" t="str">
        <f>IF(AND($O2001=$Q$7,$B2001&lt;'111'!$L$11),"x","")</f>
        <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row>
    <row r="2002" spans="1:30" ht="15.75" customHeight="1">
      <c r="A2002" s="327"/>
      <c r="B2002" s="62" t="str">
        <f t="shared" si="366"/>
        <v/>
      </c>
      <c r="C2002" s="309"/>
      <c r="D2002" s="309"/>
      <c r="E2002" s="63"/>
      <c r="F2002" s="311"/>
      <c r="G2002" s="310"/>
      <c r="H2002" s="311"/>
      <c r="I2002" s="405"/>
      <c r="J2002" s="408"/>
      <c r="K2002" s="400"/>
      <c r="L2002" s="407"/>
      <c r="M2002" s="64"/>
      <c r="N2002" s="65"/>
      <c r="O2002" s="65"/>
      <c r="P2002" s="81" t="str">
        <f>IF(AND('331-CT'!$E$7=TH!H2002,OR(N2002="331",O2002="331")),"x","")</f>
        <v/>
      </c>
      <c r="Q2002" s="81" t="str">
        <f>IF(AND(B2002='111'!$L$11,OR($N2002=$Q$7,$O2002=$Q$7)),"x","")</f>
        <v/>
      </c>
      <c r="R2002" s="81" t="str">
        <f>IF(AND($N2002=$Q$7,$B2002&lt;'111'!$L$11),"x","")</f>
        <v/>
      </c>
      <c r="S2002" s="81" t="str">
        <f>IF(AND($O2002=$Q$7,$B2002&lt;'111'!$L$11),"x","")</f>
        <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row>
    <row r="2003" spans="1:30" ht="15.75" customHeight="1">
      <c r="A2003" s="327"/>
      <c r="B2003" s="62" t="str">
        <f t="shared" si="366"/>
        <v/>
      </c>
      <c r="C2003" s="309"/>
      <c r="D2003" s="309"/>
      <c r="E2003" s="63"/>
      <c r="F2003" s="311"/>
      <c r="G2003" s="310"/>
      <c r="H2003" s="311"/>
      <c r="I2003" s="405"/>
      <c r="J2003" s="408"/>
      <c r="K2003" s="400"/>
      <c r="L2003" s="407"/>
      <c r="M2003" s="64"/>
      <c r="N2003" s="65"/>
      <c r="O2003" s="65"/>
      <c r="P2003" s="81" t="str">
        <f>IF(AND('331-CT'!$E$7=TH!H2003,OR(N2003="331",O2003="331")),"x","")</f>
        <v/>
      </c>
      <c r="Q2003" s="81" t="str">
        <f>IF(AND(B2003='111'!$L$11,OR($N2003=$Q$7,$O2003=$Q$7)),"x","")</f>
        <v/>
      </c>
      <c r="R2003" s="81" t="str">
        <f>IF(AND($N2003=$Q$7,$B2003&lt;'111'!$L$11),"x","")</f>
        <v/>
      </c>
      <c r="S2003" s="81" t="str">
        <f>IF(AND($O2003=$Q$7,$B2003&lt;'111'!$L$11),"x","")</f>
        <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row>
    <row r="2004" spans="1:30" ht="15.75" customHeight="1">
      <c r="A2004" s="327"/>
      <c r="B2004" s="62" t="str">
        <f t="shared" si="366"/>
        <v/>
      </c>
      <c r="C2004" s="309"/>
      <c r="D2004" s="309"/>
      <c r="E2004" s="63"/>
      <c r="F2004" s="311"/>
      <c r="G2004" s="310"/>
      <c r="H2004" s="311"/>
      <c r="I2004" s="405"/>
      <c r="J2004" s="408"/>
      <c r="K2004" s="400"/>
      <c r="L2004" s="407"/>
      <c r="M2004" s="64"/>
      <c r="N2004" s="65"/>
      <c r="O2004" s="65"/>
      <c r="P2004" s="81" t="str">
        <f>IF(AND('331-CT'!$E$7=TH!H2004,OR(N2004="331",O2004="331")),"x","")</f>
        <v/>
      </c>
      <c r="Q2004" s="81" t="str">
        <f>IF(AND(B2004='111'!$L$11,OR($N2004=$Q$7,$O2004=$Q$7)),"x","")</f>
        <v/>
      </c>
      <c r="R2004" s="81" t="str">
        <f>IF(AND($N2004=$Q$7,$B2004&lt;'111'!$L$11),"x","")</f>
        <v/>
      </c>
      <c r="S2004" s="81" t="str">
        <f>IF(AND($O2004=$Q$7,$B2004&lt;'111'!$L$11),"x","")</f>
        <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row>
    <row r="2005" spans="1:30" ht="15.75" customHeight="1">
      <c r="A2005" s="327"/>
      <c r="B2005" s="62" t="str">
        <f t="shared" si="366"/>
        <v/>
      </c>
      <c r="C2005" s="309"/>
      <c r="D2005" s="309"/>
      <c r="E2005" s="63"/>
      <c r="F2005" s="311"/>
      <c r="G2005" s="310"/>
      <c r="H2005" s="311"/>
      <c r="I2005" s="405"/>
      <c r="J2005" s="408"/>
      <c r="K2005" s="400"/>
      <c r="L2005" s="407"/>
      <c r="M2005" s="64"/>
      <c r="N2005" s="65"/>
      <c r="O2005" s="65"/>
      <c r="P2005" s="81" t="str">
        <f>IF(AND('331-CT'!$E$7=TH!H2005,OR(N2005="331",O2005="331")),"x","")</f>
        <v/>
      </c>
      <c r="Q2005" s="81" t="str">
        <f>IF(AND(B2005='111'!$L$11,OR($N2005=$Q$7,$O2005=$Q$7)),"x","")</f>
        <v/>
      </c>
      <c r="R2005" s="81" t="str">
        <f>IF(AND($N2005=$Q$7,$B2005&lt;'111'!$L$11),"x","")</f>
        <v/>
      </c>
      <c r="S2005" s="81" t="str">
        <f>IF(AND($O2005=$Q$7,$B2005&lt;'111'!$L$11),"x","")</f>
        <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row>
    <row r="2006" spans="1:30" ht="15.75" customHeight="1">
      <c r="A2006" s="327"/>
      <c r="B2006" s="62" t="str">
        <f t="shared" ref="B2006:B2069" si="367">IF(C2006&lt;&gt;"",MONTH(C2006),"")</f>
        <v/>
      </c>
      <c r="C2006" s="309"/>
      <c r="D2006" s="309"/>
      <c r="E2006" s="63"/>
      <c r="F2006" s="311"/>
      <c r="G2006" s="310"/>
      <c r="H2006" s="311"/>
      <c r="I2006" s="405"/>
      <c r="J2006" s="408"/>
      <c r="K2006" s="400"/>
      <c r="L2006" s="407"/>
      <c r="M2006" s="64"/>
      <c r="N2006" s="65"/>
      <c r="O2006" s="65"/>
      <c r="P2006" s="81" t="str">
        <f>IF(AND('331-CT'!$E$7=TH!H2006,OR(N2006="331",O2006="331")),"x","")</f>
        <v/>
      </c>
      <c r="Q2006" s="81" t="str">
        <f>IF(AND(B2006='111'!$L$11,OR($N2006=$Q$7,$O2006=$Q$7)),"x","")</f>
        <v/>
      </c>
      <c r="R2006" s="81" t="str">
        <f>IF(AND($N2006=$Q$7,$B2006&lt;'111'!$L$11),"x","")</f>
        <v/>
      </c>
      <c r="S2006" s="81" t="str">
        <f>IF(AND($O2006=$Q$7,$B2006&lt;'111'!$L$11),"x","")</f>
        <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row>
    <row r="2007" spans="1:30" ht="15.75" customHeight="1">
      <c r="A2007" s="327"/>
      <c r="B2007" s="62" t="str">
        <f t="shared" si="367"/>
        <v/>
      </c>
      <c r="C2007" s="309"/>
      <c r="D2007" s="309"/>
      <c r="E2007" s="63"/>
      <c r="F2007" s="311"/>
      <c r="G2007" s="310"/>
      <c r="H2007" s="311"/>
      <c r="I2007" s="405"/>
      <c r="J2007" s="408"/>
      <c r="K2007" s="400"/>
      <c r="L2007" s="407"/>
      <c r="M2007" s="64"/>
      <c r="N2007" s="65"/>
      <c r="O2007" s="65"/>
      <c r="P2007" s="81" t="str">
        <f>IF(AND('331-CT'!$E$7=TH!H2007,OR(N2007="331",O2007="331")),"x","")</f>
        <v/>
      </c>
      <c r="Q2007" s="81" t="str">
        <f>IF(AND(B2007='111'!$L$11,OR($N2007=$Q$7,$O2007=$Q$7)),"x","")</f>
        <v/>
      </c>
      <c r="R2007" s="81" t="str">
        <f>IF(AND($N2007=$Q$7,$B2007&lt;'111'!$L$11),"x","")</f>
        <v/>
      </c>
      <c r="S2007" s="81" t="str">
        <f>IF(AND($O2007=$Q$7,$B2007&lt;'111'!$L$11),"x","")</f>
        <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row>
    <row r="2008" spans="1:30" ht="15.75" customHeight="1">
      <c r="A2008" s="327"/>
      <c r="B2008" s="62" t="str">
        <f t="shared" si="367"/>
        <v/>
      </c>
      <c r="C2008" s="309"/>
      <c r="D2008" s="309"/>
      <c r="E2008" s="63"/>
      <c r="F2008" s="311"/>
      <c r="G2008" s="310"/>
      <c r="H2008" s="311"/>
      <c r="I2008" s="405"/>
      <c r="J2008" s="408"/>
      <c r="K2008" s="400"/>
      <c r="L2008" s="407"/>
      <c r="M2008" s="64"/>
      <c r="N2008" s="65"/>
      <c r="O2008" s="65"/>
      <c r="P2008" s="81" t="str">
        <f>IF(AND('331-CT'!$E$7=TH!H2008,OR(N2008="331",O2008="331")),"x","")</f>
        <v/>
      </c>
      <c r="Q2008" s="81" t="str">
        <f>IF(AND(B2008='111'!$L$11,OR($N2008=$Q$7,$O2008=$Q$7)),"x","")</f>
        <v/>
      </c>
      <c r="R2008" s="81" t="str">
        <f>IF(AND($N2008=$Q$7,$B2008&lt;'111'!$L$11),"x","")</f>
        <v/>
      </c>
      <c r="S2008" s="81" t="str">
        <f>IF(AND($O2008=$Q$7,$B2008&lt;'111'!$L$11),"x","")</f>
        <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row>
    <row r="2009" spans="1:30" ht="15.75" customHeight="1">
      <c r="A2009" s="327"/>
      <c r="B2009" s="62" t="str">
        <f t="shared" si="367"/>
        <v/>
      </c>
      <c r="C2009" s="309"/>
      <c r="D2009" s="309"/>
      <c r="E2009" s="63"/>
      <c r="F2009" s="311"/>
      <c r="G2009" s="310"/>
      <c r="H2009" s="311"/>
      <c r="I2009" s="405"/>
      <c r="J2009" s="408"/>
      <c r="K2009" s="400"/>
      <c r="L2009" s="407"/>
      <c r="M2009" s="64"/>
      <c r="N2009" s="65"/>
      <c r="O2009" s="65"/>
      <c r="P2009" s="81" t="str">
        <f>IF(AND('331-CT'!$E$7=TH!H2009,OR(N2009="331",O2009="331")),"x","")</f>
        <v/>
      </c>
      <c r="Q2009" s="81" t="str">
        <f>IF(AND(B2009='111'!$L$11,OR($N2009=$Q$7,$O2009=$Q$7)),"x","")</f>
        <v/>
      </c>
      <c r="R2009" s="81" t="str">
        <f>IF(AND($N2009=$Q$7,$B2009&lt;'111'!$L$11),"x","")</f>
        <v/>
      </c>
      <c r="S2009" s="81" t="str">
        <f>IF(AND($O2009=$Q$7,$B2009&lt;'111'!$L$11),"x","")</f>
        <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row>
    <row r="2010" spans="1:30" ht="15.75" customHeight="1">
      <c r="A2010" s="327"/>
      <c r="B2010" s="62" t="str">
        <f t="shared" si="367"/>
        <v/>
      </c>
      <c r="C2010" s="309"/>
      <c r="D2010" s="309"/>
      <c r="E2010" s="63"/>
      <c r="F2010" s="311"/>
      <c r="G2010" s="310"/>
      <c r="H2010" s="311"/>
      <c r="I2010" s="405"/>
      <c r="J2010" s="408"/>
      <c r="K2010" s="400"/>
      <c r="L2010" s="407"/>
      <c r="M2010" s="64"/>
      <c r="N2010" s="65"/>
      <c r="O2010" s="65"/>
      <c r="P2010" s="81" t="str">
        <f>IF(AND('331-CT'!$E$7=TH!H2010,OR(N2010="331",O2010="331")),"x","")</f>
        <v/>
      </c>
      <c r="Q2010" s="81" t="str">
        <f>IF(AND(B2010='111'!$L$11,OR($N2010=$Q$7,$O2010=$Q$7)),"x","")</f>
        <v/>
      </c>
      <c r="R2010" s="81" t="str">
        <f>IF(AND($N2010=$Q$7,$B2010&lt;'111'!$L$11),"x","")</f>
        <v/>
      </c>
      <c r="S2010" s="81" t="str">
        <f>IF(AND($O2010=$Q$7,$B2010&lt;'111'!$L$11),"x","")</f>
        <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
      </c>
      <c r="W2010" s="81" t="str">
        <f>IF(AND('341-CT'!$H$9=H2010,OR(LEFT(N2010,3)=$W$7,LEFT(O2010,3)=$W$7)),"x","")</f>
        <v/>
      </c>
      <c r="X2010" s="81" t="str">
        <f>IF(OR(TH!N2010=TH!$X$7,O2010=TH!$X$7),"x","")</f>
        <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row>
    <row r="2011" spans="1:30" ht="15.75" customHeight="1">
      <c r="A2011" s="327"/>
      <c r="B2011" s="62" t="str">
        <f t="shared" si="367"/>
        <v/>
      </c>
      <c r="C2011" s="309"/>
      <c r="D2011" s="309"/>
      <c r="E2011" s="63"/>
      <c r="F2011" s="311"/>
      <c r="G2011" s="310"/>
      <c r="H2011" s="311"/>
      <c r="I2011" s="405"/>
      <c r="J2011" s="408"/>
      <c r="K2011" s="400"/>
      <c r="L2011" s="407"/>
      <c r="M2011" s="64"/>
      <c r="N2011" s="65"/>
      <c r="O2011" s="65"/>
      <c r="P2011" s="81" t="str">
        <f>IF(AND('331-CT'!$E$7=TH!H2011,OR(N2011="331",O2011="331")),"x","")</f>
        <v/>
      </c>
      <c r="Q2011" s="81" t="str">
        <f>IF(AND(B2011='111'!$L$11,OR($N2011=$Q$7,$O2011=$Q$7)),"x","")</f>
        <v/>
      </c>
      <c r="R2011" s="81" t="str">
        <f>IF(AND($N2011=$Q$7,$B2011&lt;'111'!$L$11),"x","")</f>
        <v/>
      </c>
      <c r="S2011" s="81" t="str">
        <f>IF(AND($O2011=$Q$7,$B2011&lt;'111'!$L$11),"x","")</f>
        <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row>
    <row r="2012" spans="1:30" ht="15.75" customHeight="1">
      <c r="A2012" s="327"/>
      <c r="B2012" s="62" t="str">
        <f t="shared" si="367"/>
        <v/>
      </c>
      <c r="C2012" s="309"/>
      <c r="D2012" s="309"/>
      <c r="E2012" s="63"/>
      <c r="F2012" s="311"/>
      <c r="G2012" s="310"/>
      <c r="H2012" s="311"/>
      <c r="I2012" s="405"/>
      <c r="J2012" s="408"/>
      <c r="K2012" s="400"/>
      <c r="L2012" s="407"/>
      <c r="M2012" s="64"/>
      <c r="N2012" s="65"/>
      <c r="O2012" s="65"/>
      <c r="P2012" s="81" t="str">
        <f>IF(AND('331-CT'!$E$7=TH!H2012,OR(N2012="331",O2012="331")),"x","")</f>
        <v/>
      </c>
      <c r="Q2012" s="81" t="str">
        <f>IF(AND(B2012='111'!$L$11,OR($N2012=$Q$7,$O2012=$Q$7)),"x","")</f>
        <v/>
      </c>
      <c r="R2012" s="81" t="str">
        <f>IF(AND($N2012=$Q$7,$B2012&lt;'111'!$L$11),"x","")</f>
        <v/>
      </c>
      <c r="S2012" s="81" t="str">
        <f>IF(AND($O2012=$Q$7,$B2012&lt;'111'!$L$11),"x","")</f>
        <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row>
    <row r="2013" spans="1:30" ht="15.75" customHeight="1">
      <c r="A2013" s="327"/>
      <c r="B2013" s="62" t="str">
        <f t="shared" si="367"/>
        <v/>
      </c>
      <c r="C2013" s="309"/>
      <c r="D2013" s="309"/>
      <c r="E2013" s="63"/>
      <c r="F2013" s="311"/>
      <c r="G2013" s="310"/>
      <c r="H2013" s="311"/>
      <c r="I2013" s="405"/>
      <c r="J2013" s="408"/>
      <c r="K2013" s="400"/>
      <c r="L2013" s="407"/>
      <c r="M2013" s="64"/>
      <c r="N2013" s="65"/>
      <c r="O2013" s="65"/>
      <c r="P2013" s="81" t="str">
        <f>IF(AND('331-CT'!$E$7=TH!H2013,OR(N2013="331",O2013="331")),"x","")</f>
        <v/>
      </c>
      <c r="Q2013" s="81" t="str">
        <f>IF(AND(B2013='111'!$L$11,OR($N2013=$Q$7,$O2013=$Q$7)),"x","")</f>
        <v/>
      </c>
      <c r="R2013" s="81" t="str">
        <f>IF(AND($N2013=$Q$7,$B2013&lt;'111'!$L$11),"x","")</f>
        <v/>
      </c>
      <c r="S2013" s="81" t="str">
        <f>IF(AND($O2013=$Q$7,$B2013&lt;'111'!$L$11),"x","")</f>
        <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row>
    <row r="2014" spans="1:30" ht="15.75" customHeight="1">
      <c r="A2014" s="327"/>
      <c r="B2014" s="62" t="str">
        <f t="shared" si="367"/>
        <v/>
      </c>
      <c r="C2014" s="309"/>
      <c r="D2014" s="309"/>
      <c r="E2014" s="63"/>
      <c r="F2014" s="311"/>
      <c r="G2014" s="310"/>
      <c r="H2014" s="311"/>
      <c r="I2014" s="405"/>
      <c r="J2014" s="408"/>
      <c r="K2014" s="400"/>
      <c r="L2014" s="407"/>
      <c r="M2014" s="64"/>
      <c r="N2014" s="65"/>
      <c r="O2014" s="65"/>
      <c r="P2014" s="81" t="str">
        <f>IF(AND('331-CT'!$E$7=TH!H2014,OR(N2014="331",O2014="331")),"x","")</f>
        <v/>
      </c>
      <c r="Q2014" s="81" t="str">
        <f>IF(AND(B2014='111'!$L$11,OR($N2014=$Q$7,$O2014=$Q$7)),"x","")</f>
        <v/>
      </c>
      <c r="R2014" s="81" t="str">
        <f>IF(AND($N2014=$Q$7,$B2014&lt;'111'!$L$11),"x","")</f>
        <v/>
      </c>
      <c r="S2014" s="81" t="str">
        <f>IF(AND($O2014=$Q$7,$B2014&lt;'111'!$L$11),"x","")</f>
        <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row>
    <row r="2015" spans="1:30" ht="15.75" customHeight="1">
      <c r="A2015" s="327"/>
      <c r="B2015" s="62" t="str">
        <f t="shared" si="367"/>
        <v/>
      </c>
      <c r="C2015" s="309"/>
      <c r="D2015" s="309"/>
      <c r="E2015" s="63"/>
      <c r="F2015" s="311"/>
      <c r="G2015" s="310"/>
      <c r="H2015" s="311"/>
      <c r="I2015" s="405"/>
      <c r="J2015" s="408"/>
      <c r="K2015" s="400"/>
      <c r="L2015" s="407"/>
      <c r="M2015" s="64"/>
      <c r="N2015" s="65"/>
      <c r="O2015" s="65"/>
      <c r="P2015" s="81" t="str">
        <f>IF(AND('331-CT'!$E$7=TH!H2015,OR(N2015="331",O2015="331")),"x","")</f>
        <v/>
      </c>
      <c r="Q2015" s="81" t="str">
        <f>IF(AND(B2015='111'!$L$11,OR($N2015=$Q$7,$O2015=$Q$7)),"x","")</f>
        <v/>
      </c>
      <c r="R2015" s="81" t="str">
        <f>IF(AND($N2015=$Q$7,$B2015&lt;'111'!$L$11),"x","")</f>
        <v/>
      </c>
      <c r="S2015" s="81" t="str">
        <f>IF(AND($O2015=$Q$7,$B2015&lt;'111'!$L$11),"x","")</f>
        <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row>
    <row r="2016" spans="1:30" ht="15.75" customHeight="1">
      <c r="A2016" s="327"/>
      <c r="B2016" s="62" t="str">
        <f t="shared" si="367"/>
        <v/>
      </c>
      <c r="C2016" s="309"/>
      <c r="D2016" s="309"/>
      <c r="E2016" s="63"/>
      <c r="F2016" s="311"/>
      <c r="G2016" s="310"/>
      <c r="H2016" s="311"/>
      <c r="I2016" s="405"/>
      <c r="J2016" s="408"/>
      <c r="K2016" s="400"/>
      <c r="L2016" s="407"/>
      <c r="M2016" s="64"/>
      <c r="N2016" s="65"/>
      <c r="O2016" s="65"/>
      <c r="P2016" s="81" t="str">
        <f>IF(AND('331-CT'!$E$7=TH!H2016,OR(N2016="331",O2016="331")),"x","")</f>
        <v/>
      </c>
      <c r="Q2016" s="81" t="str">
        <f>IF(AND(B2016='111'!$L$11,OR($N2016=$Q$7,$O2016=$Q$7)),"x","")</f>
        <v/>
      </c>
      <c r="R2016" s="81" t="str">
        <f>IF(AND($N2016=$Q$7,$B2016&lt;'111'!$L$11),"x","")</f>
        <v/>
      </c>
      <c r="S2016" s="81" t="str">
        <f>IF(AND($O2016=$Q$7,$B2016&lt;'111'!$L$11),"x","")</f>
        <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
      </c>
      <c r="W2016" s="81" t="str">
        <f>IF(AND('341-CT'!$H$9=H2016,OR(LEFT(N2016,3)=$W$7,LEFT(O2016,3)=$W$7)),"x","")</f>
        <v/>
      </c>
      <c r="X2016" s="81" t="str">
        <f>IF(OR(TH!N2016=TH!$X$7,O2016=TH!$X$7),"x","")</f>
        <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row>
    <row r="2017" spans="1:30" ht="15.75" customHeight="1">
      <c r="A2017" s="327"/>
      <c r="B2017" s="62" t="str">
        <f t="shared" si="367"/>
        <v/>
      </c>
      <c r="C2017" s="309"/>
      <c r="D2017" s="309"/>
      <c r="E2017" s="63"/>
      <c r="F2017" s="311"/>
      <c r="G2017" s="310"/>
      <c r="H2017" s="311"/>
      <c r="I2017" s="405"/>
      <c r="J2017" s="408"/>
      <c r="K2017" s="400"/>
      <c r="L2017" s="407"/>
      <c r="M2017" s="64"/>
      <c r="N2017" s="65"/>
      <c r="O2017" s="65"/>
      <c r="P2017" s="81" t="str">
        <f>IF(AND('331-CT'!$E$7=TH!H2017,OR(N2017="331",O2017="331")),"x","")</f>
        <v/>
      </c>
      <c r="Q2017" s="81" t="str">
        <f>IF(AND(B2017='111'!$L$11,OR($N2017=$Q$7,$O2017=$Q$7)),"x","")</f>
        <v/>
      </c>
      <c r="R2017" s="81" t="str">
        <f>IF(AND($N2017=$Q$7,$B2017&lt;'111'!$L$11),"x","")</f>
        <v/>
      </c>
      <c r="S2017" s="81" t="str">
        <f>IF(AND($O2017=$Q$7,$B2017&lt;'111'!$L$11),"x","")</f>
        <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row>
    <row r="2018" spans="1:30" ht="15.75" customHeight="1">
      <c r="A2018" s="327"/>
      <c r="B2018" s="62" t="str">
        <f t="shared" si="367"/>
        <v/>
      </c>
      <c r="C2018" s="309"/>
      <c r="D2018" s="309"/>
      <c r="E2018" s="63"/>
      <c r="F2018" s="311"/>
      <c r="G2018" s="310"/>
      <c r="H2018" s="311"/>
      <c r="I2018" s="405"/>
      <c r="J2018" s="408"/>
      <c r="K2018" s="400"/>
      <c r="L2018" s="407"/>
      <c r="M2018" s="64"/>
      <c r="N2018" s="65"/>
      <c r="O2018" s="65"/>
      <c r="P2018" s="81" t="str">
        <f>IF(AND('331-CT'!$E$7=TH!H2018,OR(N2018="331",O2018="331")),"x","")</f>
        <v/>
      </c>
      <c r="Q2018" s="81" t="str">
        <f>IF(AND(B2018='111'!$L$11,OR($N2018=$Q$7,$O2018=$Q$7)),"x","")</f>
        <v/>
      </c>
      <c r="R2018" s="81" t="str">
        <f>IF(AND($N2018=$Q$7,$B2018&lt;'111'!$L$11),"x","")</f>
        <v/>
      </c>
      <c r="S2018" s="81" t="str">
        <f>IF(AND($O2018=$Q$7,$B2018&lt;'111'!$L$11),"x","")</f>
        <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row>
    <row r="2019" spans="1:30" ht="15.75" customHeight="1">
      <c r="A2019" s="327"/>
      <c r="B2019" s="62" t="str">
        <f t="shared" si="367"/>
        <v/>
      </c>
      <c r="C2019" s="309"/>
      <c r="D2019" s="309"/>
      <c r="E2019" s="63"/>
      <c r="F2019" s="311"/>
      <c r="G2019" s="310"/>
      <c r="H2019" s="311"/>
      <c r="I2019" s="405"/>
      <c r="J2019" s="408"/>
      <c r="K2019" s="400"/>
      <c r="L2019" s="407"/>
      <c r="M2019" s="64"/>
      <c r="N2019" s="65"/>
      <c r="O2019" s="65"/>
      <c r="P2019" s="81" t="str">
        <f>IF(AND('331-CT'!$E$7=TH!H2019,OR(N2019="331",O2019="331")),"x","")</f>
        <v/>
      </c>
      <c r="Q2019" s="81" t="str">
        <f>IF(AND(B2019='111'!$L$11,OR($N2019=$Q$7,$O2019=$Q$7)),"x","")</f>
        <v/>
      </c>
      <c r="R2019" s="81" t="str">
        <f>IF(AND($N2019=$Q$7,$B2019&lt;'111'!$L$11),"x","")</f>
        <v/>
      </c>
      <c r="S2019" s="81" t="str">
        <f>IF(AND($O2019=$Q$7,$B2019&lt;'111'!$L$11),"x","")</f>
        <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row>
    <row r="2020" spans="1:30" ht="15.75" customHeight="1">
      <c r="A2020" s="327"/>
      <c r="B2020" s="62" t="str">
        <f t="shared" si="367"/>
        <v/>
      </c>
      <c r="C2020" s="309"/>
      <c r="D2020" s="309"/>
      <c r="E2020" s="63"/>
      <c r="F2020" s="311"/>
      <c r="G2020" s="310"/>
      <c r="H2020" s="311"/>
      <c r="I2020" s="405"/>
      <c r="J2020" s="408"/>
      <c r="K2020" s="400"/>
      <c r="L2020" s="407"/>
      <c r="M2020" s="64"/>
      <c r="N2020" s="65"/>
      <c r="O2020" s="65"/>
      <c r="P2020" s="81" t="str">
        <f>IF(AND('331-CT'!$E$7=TH!H2020,OR(N2020="331",O2020="331")),"x","")</f>
        <v/>
      </c>
      <c r="Q2020" s="81" t="str">
        <f>IF(AND(B2020='111'!$L$11,OR($N2020=$Q$7,$O2020=$Q$7)),"x","")</f>
        <v/>
      </c>
      <c r="R2020" s="81" t="str">
        <f>IF(AND($N2020=$Q$7,$B2020&lt;'111'!$L$11),"x","")</f>
        <v/>
      </c>
      <c r="S2020" s="81" t="str">
        <f>IF(AND($O2020=$Q$7,$B2020&lt;'111'!$L$11),"x","")</f>
        <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row>
    <row r="2021" spans="1:30" ht="15.75" customHeight="1">
      <c r="A2021" s="327"/>
      <c r="B2021" s="62" t="str">
        <f t="shared" si="367"/>
        <v/>
      </c>
      <c r="C2021" s="309"/>
      <c r="D2021" s="309"/>
      <c r="E2021" s="63"/>
      <c r="F2021" s="311"/>
      <c r="G2021" s="310"/>
      <c r="H2021" s="311"/>
      <c r="I2021" s="405"/>
      <c r="J2021" s="408"/>
      <c r="K2021" s="400"/>
      <c r="L2021" s="407"/>
      <c r="M2021" s="64"/>
      <c r="N2021" s="65"/>
      <c r="O2021" s="65"/>
      <c r="P2021" s="81" t="str">
        <f>IF(AND('331-CT'!$E$7=TH!H2021,OR(N2021="331",O2021="331")),"x","")</f>
        <v/>
      </c>
      <c r="Q2021" s="81" t="str">
        <f>IF(AND(B2021='111'!$L$11,OR($N2021=$Q$7,$O2021=$Q$7)),"x","")</f>
        <v/>
      </c>
      <c r="R2021" s="81" t="str">
        <f>IF(AND($N2021=$Q$7,$B2021&lt;'111'!$L$11),"x","")</f>
        <v/>
      </c>
      <c r="S2021" s="81" t="str">
        <f>IF(AND($O2021=$Q$7,$B2021&lt;'111'!$L$11),"x","")</f>
        <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row>
    <row r="2022" spans="1:30" ht="15.75" customHeight="1">
      <c r="A2022" s="327"/>
      <c r="B2022" s="62" t="str">
        <f t="shared" si="367"/>
        <v/>
      </c>
      <c r="C2022" s="309"/>
      <c r="D2022" s="309"/>
      <c r="E2022" s="63"/>
      <c r="F2022" s="311"/>
      <c r="G2022" s="310"/>
      <c r="H2022" s="311"/>
      <c r="I2022" s="405"/>
      <c r="J2022" s="408"/>
      <c r="K2022" s="400"/>
      <c r="L2022" s="407"/>
      <c r="M2022" s="64"/>
      <c r="N2022" s="65"/>
      <c r="O2022" s="65"/>
      <c r="P2022" s="81" t="str">
        <f>IF(AND('331-CT'!$E$7=TH!H2022,OR(N2022="331",O2022="331")),"x","")</f>
        <v/>
      </c>
      <c r="Q2022" s="81" t="str">
        <f>IF(AND(B2022='111'!$L$11,OR($N2022=$Q$7,$O2022=$Q$7)),"x","")</f>
        <v/>
      </c>
      <c r="R2022" s="81" t="str">
        <f>IF(AND($N2022=$Q$7,$B2022&lt;'111'!$L$11),"x","")</f>
        <v/>
      </c>
      <c r="S2022" s="81" t="str">
        <f>IF(AND($O2022=$Q$7,$B2022&lt;'111'!$L$11),"x","")</f>
        <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row>
    <row r="2023" spans="1:30" ht="15.75" customHeight="1">
      <c r="A2023" s="327"/>
      <c r="B2023" s="62" t="str">
        <f t="shared" si="367"/>
        <v/>
      </c>
      <c r="C2023" s="309"/>
      <c r="D2023" s="309"/>
      <c r="E2023" s="63"/>
      <c r="F2023" s="311"/>
      <c r="G2023" s="310"/>
      <c r="H2023" s="311"/>
      <c r="I2023" s="405"/>
      <c r="J2023" s="408"/>
      <c r="K2023" s="400"/>
      <c r="L2023" s="407"/>
      <c r="M2023" s="64"/>
      <c r="N2023" s="65"/>
      <c r="O2023" s="65"/>
      <c r="P2023" s="81" t="str">
        <f>IF(AND('331-CT'!$E$7=TH!H2023,OR(N2023="331",O2023="331")),"x","")</f>
        <v/>
      </c>
      <c r="Q2023" s="81" t="str">
        <f>IF(AND(B2023='111'!$L$11,OR($N2023=$Q$7,$O2023=$Q$7)),"x","")</f>
        <v/>
      </c>
      <c r="R2023" s="81" t="str">
        <f>IF(AND($N2023=$Q$7,$B2023&lt;'111'!$L$11),"x","")</f>
        <v/>
      </c>
      <c r="S2023" s="81" t="str">
        <f>IF(AND($O2023=$Q$7,$B2023&lt;'111'!$L$11),"x","")</f>
        <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row>
    <row r="2024" spans="1:30" ht="15.75" customHeight="1">
      <c r="A2024" s="327"/>
      <c r="B2024" s="62" t="str">
        <f t="shared" si="367"/>
        <v/>
      </c>
      <c r="C2024" s="309"/>
      <c r="D2024" s="309"/>
      <c r="E2024" s="63"/>
      <c r="F2024" s="311"/>
      <c r="G2024" s="310"/>
      <c r="H2024" s="311"/>
      <c r="I2024" s="405"/>
      <c r="J2024" s="408"/>
      <c r="K2024" s="400"/>
      <c r="L2024" s="407"/>
      <c r="M2024" s="64"/>
      <c r="N2024" s="65"/>
      <c r="O2024" s="65"/>
      <c r="P2024" s="81" t="str">
        <f>IF(AND('331-CT'!$E$7=TH!H2024,OR(N2024="331",O2024="331")),"x","")</f>
        <v/>
      </c>
      <c r="Q2024" s="81" t="str">
        <f>IF(AND(B2024='111'!$L$11,OR($N2024=$Q$7,$O2024=$Q$7)),"x","")</f>
        <v/>
      </c>
      <c r="R2024" s="81" t="str">
        <f>IF(AND($N2024=$Q$7,$B2024&lt;'111'!$L$11),"x","")</f>
        <v/>
      </c>
      <c r="S2024" s="81" t="str">
        <f>IF(AND($O2024=$Q$7,$B2024&lt;'111'!$L$11),"x","")</f>
        <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row>
    <row r="2025" spans="1:30" ht="15.75" customHeight="1">
      <c r="A2025" s="327"/>
      <c r="B2025" s="62" t="str">
        <f t="shared" si="367"/>
        <v/>
      </c>
      <c r="C2025" s="309"/>
      <c r="D2025" s="309"/>
      <c r="E2025" s="63"/>
      <c r="F2025" s="311"/>
      <c r="G2025" s="310"/>
      <c r="H2025" s="311"/>
      <c r="I2025" s="405"/>
      <c r="J2025" s="408"/>
      <c r="K2025" s="400"/>
      <c r="L2025" s="407"/>
      <c r="M2025" s="64"/>
      <c r="N2025" s="65"/>
      <c r="O2025" s="65"/>
      <c r="P2025" s="81" t="str">
        <f>IF(AND('331-CT'!$E$7=TH!H2025,OR(N2025="331",O2025="331")),"x","")</f>
        <v/>
      </c>
      <c r="Q2025" s="81" t="str">
        <f>IF(AND(B2025='111'!$L$11,OR($N2025=$Q$7,$O2025=$Q$7)),"x","")</f>
        <v/>
      </c>
      <c r="R2025" s="81" t="str">
        <f>IF(AND($N2025=$Q$7,$B2025&lt;'111'!$L$11),"x","")</f>
        <v/>
      </c>
      <c r="S2025" s="81" t="str">
        <f>IF(AND($O2025=$Q$7,$B2025&lt;'111'!$L$11),"x","")</f>
        <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row>
    <row r="2026" spans="1:30" ht="15.75" customHeight="1">
      <c r="A2026" s="327"/>
      <c r="B2026" s="62" t="str">
        <f t="shared" si="367"/>
        <v/>
      </c>
      <c r="C2026" s="309"/>
      <c r="D2026" s="309"/>
      <c r="E2026" s="63"/>
      <c r="F2026" s="311"/>
      <c r="G2026" s="310"/>
      <c r="H2026" s="311"/>
      <c r="I2026" s="405"/>
      <c r="J2026" s="408"/>
      <c r="K2026" s="400"/>
      <c r="L2026" s="407"/>
      <c r="M2026" s="64"/>
      <c r="N2026" s="65"/>
      <c r="O2026" s="65"/>
      <c r="P2026" s="81" t="str">
        <f>IF(AND('331-CT'!$E$7=TH!H2026,OR(N2026="331",O2026="331")),"x","")</f>
        <v/>
      </c>
      <c r="Q2026" s="81" t="str">
        <f>IF(AND(B2026='111'!$L$11,OR($N2026=$Q$7,$O2026=$Q$7)),"x","")</f>
        <v/>
      </c>
      <c r="R2026" s="81" t="str">
        <f>IF(AND($N2026=$Q$7,$B2026&lt;'111'!$L$11),"x","")</f>
        <v/>
      </c>
      <c r="S2026" s="81" t="str">
        <f>IF(AND($O2026=$Q$7,$B2026&lt;'111'!$L$11),"x","")</f>
        <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row>
    <row r="2027" spans="1:30" ht="15.75" customHeight="1">
      <c r="A2027" s="327"/>
      <c r="B2027" s="62" t="str">
        <f t="shared" si="367"/>
        <v/>
      </c>
      <c r="C2027" s="309"/>
      <c r="D2027" s="309"/>
      <c r="E2027" s="63"/>
      <c r="F2027" s="311"/>
      <c r="G2027" s="310"/>
      <c r="H2027" s="311"/>
      <c r="I2027" s="405"/>
      <c r="J2027" s="408"/>
      <c r="K2027" s="400"/>
      <c r="L2027" s="407"/>
      <c r="M2027" s="64"/>
      <c r="N2027" s="65"/>
      <c r="O2027" s="65"/>
      <c r="P2027" s="81" t="str">
        <f>IF(AND('331-CT'!$E$7=TH!H2027,OR(N2027="331",O2027="331")),"x","")</f>
        <v/>
      </c>
      <c r="Q2027" s="81" t="str">
        <f>IF(AND(B2027='111'!$L$11,OR($N2027=$Q$7,$O2027=$Q$7)),"x","")</f>
        <v/>
      </c>
      <c r="R2027" s="81" t="str">
        <f>IF(AND($N2027=$Q$7,$B2027&lt;'111'!$L$11),"x","")</f>
        <v/>
      </c>
      <c r="S2027" s="81" t="str">
        <f>IF(AND($O2027=$Q$7,$B2027&lt;'111'!$L$11),"x","")</f>
        <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row>
    <row r="2028" spans="1:30" ht="15.75" customHeight="1">
      <c r="A2028" s="327"/>
      <c r="B2028" s="62" t="str">
        <f t="shared" si="367"/>
        <v/>
      </c>
      <c r="C2028" s="309"/>
      <c r="D2028" s="309"/>
      <c r="E2028" s="63"/>
      <c r="F2028" s="311"/>
      <c r="G2028" s="310"/>
      <c r="H2028" s="311"/>
      <c r="I2028" s="405"/>
      <c r="J2028" s="408"/>
      <c r="K2028" s="400"/>
      <c r="L2028" s="407"/>
      <c r="M2028" s="64"/>
      <c r="N2028" s="65"/>
      <c r="O2028" s="65"/>
      <c r="P2028" s="81" t="str">
        <f>IF(AND('331-CT'!$E$7=TH!H2028,OR(N2028="331",O2028="331")),"x","")</f>
        <v/>
      </c>
      <c r="Q2028" s="81" t="str">
        <f>IF(AND(B2028='111'!$L$11,OR($N2028=$Q$7,$O2028=$Q$7)),"x","")</f>
        <v/>
      </c>
      <c r="R2028" s="81" t="str">
        <f>IF(AND($N2028=$Q$7,$B2028&lt;'111'!$L$11),"x","")</f>
        <v/>
      </c>
      <c r="S2028" s="81" t="str">
        <f>IF(AND($O2028=$Q$7,$B2028&lt;'111'!$L$11),"x","")</f>
        <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row>
    <row r="2029" spans="1:30" ht="15.75" customHeight="1">
      <c r="A2029" s="327"/>
      <c r="B2029" s="62" t="str">
        <f t="shared" si="367"/>
        <v/>
      </c>
      <c r="C2029" s="309"/>
      <c r="D2029" s="309"/>
      <c r="E2029" s="63"/>
      <c r="F2029" s="311"/>
      <c r="G2029" s="310"/>
      <c r="H2029" s="311"/>
      <c r="I2029" s="405"/>
      <c r="J2029" s="408"/>
      <c r="K2029" s="400"/>
      <c r="L2029" s="407"/>
      <c r="M2029" s="64"/>
      <c r="N2029" s="65"/>
      <c r="O2029" s="65"/>
      <c r="P2029" s="81" t="str">
        <f>IF(AND('331-CT'!$E$7=TH!H2029,OR(N2029="331",O2029="331")),"x","")</f>
        <v/>
      </c>
      <c r="Q2029" s="81" t="str">
        <f>IF(AND(B2029='111'!$L$11,OR($N2029=$Q$7,$O2029=$Q$7)),"x","")</f>
        <v/>
      </c>
      <c r="R2029" s="81" t="str">
        <f>IF(AND($N2029=$Q$7,$B2029&lt;'111'!$L$11),"x","")</f>
        <v/>
      </c>
      <c r="S2029" s="81" t="str">
        <f>IF(AND($O2029=$Q$7,$B2029&lt;'111'!$L$11),"x","")</f>
        <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row>
    <row r="2030" spans="1:30" ht="15.75" customHeight="1">
      <c r="A2030" s="327"/>
      <c r="B2030" s="62" t="str">
        <f t="shared" si="367"/>
        <v/>
      </c>
      <c r="C2030" s="309"/>
      <c r="D2030" s="309"/>
      <c r="E2030" s="63"/>
      <c r="F2030" s="311"/>
      <c r="G2030" s="310"/>
      <c r="H2030" s="311"/>
      <c r="I2030" s="405"/>
      <c r="J2030" s="408"/>
      <c r="K2030" s="400"/>
      <c r="L2030" s="407"/>
      <c r="M2030" s="64"/>
      <c r="N2030" s="65"/>
      <c r="O2030" s="65"/>
      <c r="P2030" s="81" t="str">
        <f>IF(AND('331-CT'!$E$7=TH!H2030,OR(N2030="331",O2030="331")),"x","")</f>
        <v/>
      </c>
      <c r="Q2030" s="81" t="str">
        <f>IF(AND(B2030='111'!$L$11,OR($N2030=$Q$7,$O2030=$Q$7)),"x","")</f>
        <v/>
      </c>
      <c r="R2030" s="81" t="str">
        <f>IF(AND($N2030=$Q$7,$B2030&lt;'111'!$L$11),"x","")</f>
        <v/>
      </c>
      <c r="S2030" s="81" t="str">
        <f>IF(AND($O2030=$Q$7,$B2030&lt;'111'!$L$11),"x","")</f>
        <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row>
    <row r="2031" spans="1:30" ht="15.75" customHeight="1">
      <c r="A2031" s="327"/>
      <c r="B2031" s="62" t="str">
        <f t="shared" si="367"/>
        <v/>
      </c>
      <c r="C2031" s="309"/>
      <c r="D2031" s="309"/>
      <c r="E2031" s="63"/>
      <c r="F2031" s="311"/>
      <c r="G2031" s="310"/>
      <c r="H2031" s="311"/>
      <c r="I2031" s="405"/>
      <c r="J2031" s="408"/>
      <c r="K2031" s="400"/>
      <c r="L2031" s="407"/>
      <c r="M2031" s="64"/>
      <c r="N2031" s="65"/>
      <c r="O2031" s="65"/>
      <c r="P2031" s="81" t="str">
        <f>IF(AND('331-CT'!$E$7=TH!H2031,OR(N2031="331",O2031="331")),"x","")</f>
        <v/>
      </c>
      <c r="Q2031" s="81" t="str">
        <f>IF(AND(B2031='111'!$L$11,OR($N2031=$Q$7,$O2031=$Q$7)),"x","")</f>
        <v/>
      </c>
      <c r="R2031" s="81" t="str">
        <f>IF(AND($N2031=$Q$7,$B2031&lt;'111'!$L$11),"x","")</f>
        <v/>
      </c>
      <c r="S2031" s="81" t="str">
        <f>IF(AND($O2031=$Q$7,$B2031&lt;'111'!$L$11),"x","")</f>
        <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row>
    <row r="2032" spans="1:30" ht="15.75" customHeight="1">
      <c r="A2032" s="327"/>
      <c r="B2032" s="62" t="str">
        <f t="shared" si="367"/>
        <v/>
      </c>
      <c r="C2032" s="309"/>
      <c r="D2032" s="309"/>
      <c r="E2032" s="63"/>
      <c r="F2032" s="311"/>
      <c r="G2032" s="310"/>
      <c r="H2032" s="311"/>
      <c r="I2032" s="405"/>
      <c r="J2032" s="408"/>
      <c r="K2032" s="400"/>
      <c r="L2032" s="407"/>
      <c r="M2032" s="64"/>
      <c r="N2032" s="65"/>
      <c r="O2032" s="65"/>
      <c r="P2032" s="81" t="str">
        <f>IF(AND('331-CT'!$E$7=TH!H2032,OR(N2032="331",O2032="331")),"x","")</f>
        <v/>
      </c>
      <c r="Q2032" s="81" t="str">
        <f>IF(AND(B2032='111'!$L$11,OR($N2032=$Q$7,$O2032=$Q$7)),"x","")</f>
        <v/>
      </c>
      <c r="R2032" s="81" t="str">
        <f>IF(AND($N2032=$Q$7,$B2032&lt;'111'!$L$11),"x","")</f>
        <v/>
      </c>
      <c r="S2032" s="81" t="str">
        <f>IF(AND($O2032=$Q$7,$B2032&lt;'111'!$L$11),"x","")</f>
        <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row>
    <row r="2033" spans="1:30" ht="15.75" customHeight="1">
      <c r="A2033" s="327"/>
      <c r="B2033" s="62" t="str">
        <f t="shared" si="367"/>
        <v/>
      </c>
      <c r="C2033" s="309"/>
      <c r="D2033" s="309"/>
      <c r="E2033" s="63"/>
      <c r="F2033" s="311"/>
      <c r="G2033" s="310"/>
      <c r="H2033" s="311"/>
      <c r="I2033" s="405"/>
      <c r="J2033" s="408"/>
      <c r="K2033" s="400"/>
      <c r="L2033" s="407"/>
      <c r="M2033" s="64"/>
      <c r="N2033" s="65"/>
      <c r="O2033" s="65"/>
      <c r="P2033" s="81" t="str">
        <f>IF(AND('331-CT'!$E$7=TH!H2033,OR(N2033="331",O2033="331")),"x","")</f>
        <v/>
      </c>
      <c r="Q2033" s="81" t="str">
        <f>IF(AND(B2033='111'!$L$11,OR($N2033=$Q$7,$O2033=$Q$7)),"x","")</f>
        <v/>
      </c>
      <c r="R2033" s="81" t="str">
        <f>IF(AND($N2033=$Q$7,$B2033&lt;'111'!$L$11),"x","")</f>
        <v/>
      </c>
      <c r="S2033" s="81" t="str">
        <f>IF(AND($O2033=$Q$7,$B2033&lt;'111'!$L$11),"x","")</f>
        <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row>
    <row r="2034" spans="1:30" ht="15.75" customHeight="1">
      <c r="A2034" s="327"/>
      <c r="B2034" s="62" t="str">
        <f t="shared" si="367"/>
        <v/>
      </c>
      <c r="C2034" s="309"/>
      <c r="D2034" s="309"/>
      <c r="E2034" s="63"/>
      <c r="F2034" s="311"/>
      <c r="G2034" s="310"/>
      <c r="H2034" s="311"/>
      <c r="I2034" s="405"/>
      <c r="J2034" s="408"/>
      <c r="K2034" s="400"/>
      <c r="L2034" s="407"/>
      <c r="M2034" s="64"/>
      <c r="N2034" s="65"/>
      <c r="O2034" s="65"/>
      <c r="P2034" s="81" t="str">
        <f>IF(AND('331-CT'!$E$7=TH!H2034,OR(N2034="331",O2034="331")),"x","")</f>
        <v/>
      </c>
      <c r="Q2034" s="81" t="str">
        <f>IF(AND(B2034='111'!$L$11,OR($N2034=$Q$7,$O2034=$Q$7)),"x","")</f>
        <v/>
      </c>
      <c r="R2034" s="81" t="str">
        <f>IF(AND($N2034=$Q$7,$B2034&lt;'111'!$L$11),"x","")</f>
        <v/>
      </c>
      <c r="S2034" s="81" t="str">
        <f>IF(AND($O2034=$Q$7,$B2034&lt;'111'!$L$11),"x","")</f>
        <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row>
    <row r="2035" spans="1:30" ht="15.75" customHeight="1">
      <c r="A2035" s="327"/>
      <c r="B2035" s="62" t="str">
        <f t="shared" si="367"/>
        <v/>
      </c>
      <c r="C2035" s="309"/>
      <c r="D2035" s="309"/>
      <c r="E2035" s="63"/>
      <c r="F2035" s="311"/>
      <c r="G2035" s="310"/>
      <c r="H2035" s="311"/>
      <c r="I2035" s="405"/>
      <c r="J2035" s="408"/>
      <c r="K2035" s="400"/>
      <c r="L2035" s="407"/>
      <c r="M2035" s="64"/>
      <c r="N2035" s="65"/>
      <c r="O2035" s="65"/>
      <c r="P2035" s="81" t="str">
        <f>IF(AND('331-CT'!$E$7=TH!H2035,OR(N2035="331",O2035="331")),"x","")</f>
        <v/>
      </c>
      <c r="Q2035" s="81" t="str">
        <f>IF(AND(B2035='111'!$L$11,OR($N2035=$Q$7,$O2035=$Q$7)),"x","")</f>
        <v/>
      </c>
      <c r="R2035" s="81" t="str">
        <f>IF(AND($N2035=$Q$7,$B2035&lt;'111'!$L$11),"x","")</f>
        <v/>
      </c>
      <c r="S2035" s="81" t="str">
        <f>IF(AND($O2035=$Q$7,$B2035&lt;'111'!$L$11),"x","")</f>
        <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row>
    <row r="2036" spans="1:30" ht="15.75" customHeight="1">
      <c r="A2036" s="327"/>
      <c r="B2036" s="62" t="str">
        <f t="shared" si="367"/>
        <v/>
      </c>
      <c r="C2036" s="309"/>
      <c r="D2036" s="309"/>
      <c r="E2036" s="63"/>
      <c r="F2036" s="311"/>
      <c r="G2036" s="310"/>
      <c r="H2036" s="311"/>
      <c r="I2036" s="405"/>
      <c r="J2036" s="408"/>
      <c r="K2036" s="400"/>
      <c r="L2036" s="407"/>
      <c r="M2036" s="64"/>
      <c r="N2036" s="65"/>
      <c r="O2036" s="65"/>
      <c r="P2036" s="81" t="str">
        <f>IF(AND('331-CT'!$E$7=TH!H2036,OR(N2036="331",O2036="331")),"x","")</f>
        <v/>
      </c>
      <c r="Q2036" s="81" t="str">
        <f>IF(AND(B2036='111'!$L$11,OR($N2036=$Q$7,$O2036=$Q$7)),"x","")</f>
        <v/>
      </c>
      <c r="R2036" s="81" t="str">
        <f>IF(AND($N2036=$Q$7,$B2036&lt;'111'!$L$11),"x","")</f>
        <v/>
      </c>
      <c r="S2036" s="81" t="str">
        <f>IF(AND($O2036=$Q$7,$B2036&lt;'111'!$L$11),"x","")</f>
        <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row>
    <row r="2037" spans="1:30" ht="15.75" customHeight="1">
      <c r="A2037" s="327"/>
      <c r="B2037" s="62" t="str">
        <f t="shared" si="367"/>
        <v/>
      </c>
      <c r="C2037" s="309"/>
      <c r="D2037" s="309"/>
      <c r="E2037" s="63"/>
      <c r="F2037" s="311"/>
      <c r="G2037" s="310"/>
      <c r="H2037" s="311"/>
      <c r="I2037" s="405"/>
      <c r="J2037" s="408"/>
      <c r="K2037" s="400"/>
      <c r="L2037" s="407"/>
      <c r="M2037" s="64"/>
      <c r="N2037" s="65"/>
      <c r="O2037" s="65"/>
      <c r="P2037" s="81" t="str">
        <f>IF(AND('331-CT'!$E$7=TH!H2037,OR(N2037="331",O2037="331")),"x","")</f>
        <v/>
      </c>
      <c r="Q2037" s="81" t="str">
        <f>IF(AND(B2037='111'!$L$11,OR($N2037=$Q$7,$O2037=$Q$7)),"x","")</f>
        <v/>
      </c>
      <c r="R2037" s="81" t="str">
        <f>IF(AND($N2037=$Q$7,$B2037&lt;'111'!$L$11),"x","")</f>
        <v/>
      </c>
      <c r="S2037" s="81" t="str">
        <f>IF(AND($O2037=$Q$7,$B2037&lt;'111'!$L$11),"x","")</f>
        <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row>
    <row r="2038" spans="1:30" ht="15.75" customHeight="1">
      <c r="A2038" s="327"/>
      <c r="B2038" s="62" t="str">
        <f t="shared" si="367"/>
        <v/>
      </c>
      <c r="C2038" s="309"/>
      <c r="D2038" s="309"/>
      <c r="E2038" s="63"/>
      <c r="F2038" s="311"/>
      <c r="G2038" s="310"/>
      <c r="H2038" s="311"/>
      <c r="I2038" s="405"/>
      <c r="J2038" s="408"/>
      <c r="K2038" s="400"/>
      <c r="L2038" s="407"/>
      <c r="M2038" s="64"/>
      <c r="N2038" s="65"/>
      <c r="O2038" s="65"/>
      <c r="P2038" s="81" t="str">
        <f>IF(AND('331-CT'!$E$7=TH!H2038,OR(N2038="331",O2038="331")),"x","")</f>
        <v/>
      </c>
      <c r="Q2038" s="81" t="str">
        <f>IF(AND(B2038='111'!$L$11,OR($N2038=$Q$7,$O2038=$Q$7)),"x","")</f>
        <v/>
      </c>
      <c r="R2038" s="81" t="str">
        <f>IF(AND($N2038=$Q$7,$B2038&lt;'111'!$L$11),"x","")</f>
        <v/>
      </c>
      <c r="S2038" s="81" t="str">
        <f>IF(AND($O2038=$Q$7,$B2038&lt;'111'!$L$11),"x","")</f>
        <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row>
    <row r="2039" spans="1:30" ht="15.75" customHeight="1">
      <c r="A2039" s="327"/>
      <c r="B2039" s="62" t="str">
        <f t="shared" si="367"/>
        <v/>
      </c>
      <c r="C2039" s="309"/>
      <c r="D2039" s="309"/>
      <c r="E2039" s="63"/>
      <c r="F2039" s="311"/>
      <c r="G2039" s="310"/>
      <c r="H2039" s="311"/>
      <c r="I2039" s="405"/>
      <c r="J2039" s="408"/>
      <c r="K2039" s="400"/>
      <c r="L2039" s="407"/>
      <c r="M2039" s="64"/>
      <c r="N2039" s="65"/>
      <c r="O2039" s="65"/>
      <c r="P2039" s="81" t="str">
        <f>IF(AND('331-CT'!$E$7=TH!H2039,OR(N2039="331",O2039="331")),"x","")</f>
        <v/>
      </c>
      <c r="Q2039" s="81" t="str">
        <f>IF(AND(B2039='111'!$L$11,OR($N2039=$Q$7,$O2039=$Q$7)),"x","")</f>
        <v/>
      </c>
      <c r="R2039" s="81" t="str">
        <f>IF(AND($N2039=$Q$7,$B2039&lt;'111'!$L$11),"x","")</f>
        <v/>
      </c>
      <c r="S2039" s="81" t="str">
        <f>IF(AND($O2039=$Q$7,$B2039&lt;'111'!$L$11),"x","")</f>
        <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row>
    <row r="2040" spans="1:30" ht="15.75" customHeight="1">
      <c r="A2040" s="327"/>
      <c r="B2040" s="62" t="str">
        <f t="shared" si="367"/>
        <v/>
      </c>
      <c r="C2040" s="309"/>
      <c r="D2040" s="309"/>
      <c r="E2040" s="63"/>
      <c r="F2040" s="311"/>
      <c r="G2040" s="310"/>
      <c r="H2040" s="311"/>
      <c r="I2040" s="405"/>
      <c r="J2040" s="408"/>
      <c r="K2040" s="400"/>
      <c r="L2040" s="407"/>
      <c r="M2040" s="64"/>
      <c r="N2040" s="65"/>
      <c r="O2040" s="65"/>
      <c r="P2040" s="81" t="str">
        <f>IF(AND('331-CT'!$E$7=TH!H2040,OR(N2040="331",O2040="331")),"x","")</f>
        <v/>
      </c>
      <c r="Q2040" s="81" t="str">
        <f>IF(AND(B2040='111'!$L$11,OR($N2040=$Q$7,$O2040=$Q$7)),"x","")</f>
        <v/>
      </c>
      <c r="R2040" s="81" t="str">
        <f>IF(AND($N2040=$Q$7,$B2040&lt;'111'!$L$11),"x","")</f>
        <v/>
      </c>
      <c r="S2040" s="81" t="str">
        <f>IF(AND($O2040=$Q$7,$B2040&lt;'111'!$L$11),"x","")</f>
        <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row>
    <row r="2041" spans="1:30" ht="15.75" customHeight="1">
      <c r="A2041" s="327"/>
      <c r="B2041" s="62" t="str">
        <f t="shared" si="367"/>
        <v/>
      </c>
      <c r="C2041" s="309"/>
      <c r="D2041" s="309"/>
      <c r="E2041" s="63"/>
      <c r="F2041" s="311"/>
      <c r="G2041" s="310"/>
      <c r="H2041" s="311"/>
      <c r="I2041" s="405"/>
      <c r="J2041" s="408"/>
      <c r="K2041" s="400"/>
      <c r="L2041" s="407"/>
      <c r="M2041" s="64"/>
      <c r="N2041" s="65"/>
      <c r="O2041" s="65"/>
      <c r="P2041" s="81" t="str">
        <f>IF(AND('331-CT'!$E$7=TH!H2041,OR(N2041="331",O2041="331")),"x","")</f>
        <v/>
      </c>
      <c r="Q2041" s="81" t="str">
        <f>IF(AND(B2041='111'!$L$11,OR($N2041=$Q$7,$O2041=$Q$7)),"x","")</f>
        <v/>
      </c>
      <c r="R2041" s="81" t="str">
        <f>IF(AND($N2041=$Q$7,$B2041&lt;'111'!$L$11),"x","")</f>
        <v/>
      </c>
      <c r="S2041" s="81" t="str">
        <f>IF(AND($O2041=$Q$7,$B2041&lt;'111'!$L$11),"x","")</f>
        <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row>
    <row r="2042" spans="1:30" ht="15.75" customHeight="1">
      <c r="A2042" s="327"/>
      <c r="B2042" s="62" t="str">
        <f t="shared" si="367"/>
        <v/>
      </c>
      <c r="C2042" s="309"/>
      <c r="D2042" s="309"/>
      <c r="E2042" s="63"/>
      <c r="F2042" s="311"/>
      <c r="G2042" s="310"/>
      <c r="H2042" s="311"/>
      <c r="I2042" s="405"/>
      <c r="J2042" s="408"/>
      <c r="K2042" s="400"/>
      <c r="L2042" s="407"/>
      <c r="M2042" s="64"/>
      <c r="N2042" s="65"/>
      <c r="O2042" s="65"/>
      <c r="P2042" s="81" t="str">
        <f>IF(AND('331-CT'!$E$7=TH!H2042,OR(N2042="331",O2042="331")),"x","")</f>
        <v/>
      </c>
      <c r="Q2042" s="81" t="str">
        <f>IF(AND(B2042='111'!$L$11,OR($N2042=$Q$7,$O2042=$Q$7)),"x","")</f>
        <v/>
      </c>
      <c r="R2042" s="81" t="str">
        <f>IF(AND($N2042=$Q$7,$B2042&lt;'111'!$L$11),"x","")</f>
        <v/>
      </c>
      <c r="S2042" s="81" t="str">
        <f>IF(AND($O2042=$Q$7,$B2042&lt;'111'!$L$11),"x","")</f>
        <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row>
    <row r="2043" spans="1:30" ht="15.75" customHeight="1">
      <c r="A2043" s="327"/>
      <c r="B2043" s="62" t="str">
        <f t="shared" si="367"/>
        <v/>
      </c>
      <c r="C2043" s="309"/>
      <c r="D2043" s="309"/>
      <c r="E2043" s="63"/>
      <c r="F2043" s="311"/>
      <c r="G2043" s="310"/>
      <c r="H2043" s="311"/>
      <c r="I2043" s="405"/>
      <c r="J2043" s="408"/>
      <c r="K2043" s="400"/>
      <c r="L2043" s="407"/>
      <c r="M2043" s="64"/>
      <c r="N2043" s="65"/>
      <c r="O2043" s="65"/>
      <c r="P2043" s="81" t="str">
        <f>IF(AND('331-CT'!$E$7=TH!H2043,OR(N2043="331",O2043="331")),"x","")</f>
        <v/>
      </c>
      <c r="Q2043" s="81" t="str">
        <f>IF(AND(B2043='111'!$L$11,OR($N2043=$Q$7,$O2043=$Q$7)),"x","")</f>
        <v/>
      </c>
      <c r="R2043" s="81" t="str">
        <f>IF(AND($N2043=$Q$7,$B2043&lt;'111'!$L$11),"x","")</f>
        <v/>
      </c>
      <c r="S2043" s="81" t="str">
        <f>IF(AND($O2043=$Q$7,$B2043&lt;'111'!$L$11),"x","")</f>
        <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row>
    <row r="2044" spans="1:30" ht="15.75" customHeight="1">
      <c r="A2044" s="327"/>
      <c r="B2044" s="62" t="str">
        <f t="shared" si="367"/>
        <v/>
      </c>
      <c r="C2044" s="309"/>
      <c r="D2044" s="309"/>
      <c r="E2044" s="63"/>
      <c r="F2044" s="311"/>
      <c r="G2044" s="310"/>
      <c r="H2044" s="311"/>
      <c r="I2044" s="405"/>
      <c r="J2044" s="408"/>
      <c r="K2044" s="400"/>
      <c r="L2044" s="407"/>
      <c r="M2044" s="64"/>
      <c r="N2044" s="65"/>
      <c r="O2044" s="65"/>
      <c r="P2044" s="81" t="str">
        <f>IF(AND('331-CT'!$E$7=TH!H2044,OR(N2044="331",O2044="331")),"x","")</f>
        <v/>
      </c>
      <c r="Q2044" s="81" t="str">
        <f>IF(AND(B2044='111'!$L$11,OR($N2044=$Q$7,$O2044=$Q$7)),"x","")</f>
        <v/>
      </c>
      <c r="R2044" s="81" t="str">
        <f>IF(AND($N2044=$Q$7,$B2044&lt;'111'!$L$11),"x","")</f>
        <v/>
      </c>
      <c r="S2044" s="81" t="str">
        <f>IF(AND($O2044=$Q$7,$B2044&lt;'111'!$L$11),"x","")</f>
        <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row>
    <row r="2045" spans="1:30" ht="15.75" customHeight="1">
      <c r="A2045" s="327"/>
      <c r="B2045" s="62" t="str">
        <f t="shared" si="367"/>
        <v/>
      </c>
      <c r="C2045" s="309"/>
      <c r="D2045" s="309"/>
      <c r="E2045" s="63"/>
      <c r="F2045" s="311"/>
      <c r="G2045" s="310"/>
      <c r="H2045" s="311"/>
      <c r="I2045" s="405"/>
      <c r="J2045" s="408"/>
      <c r="K2045" s="400"/>
      <c r="L2045" s="407"/>
      <c r="M2045" s="64"/>
      <c r="N2045" s="65"/>
      <c r="O2045" s="65"/>
      <c r="P2045" s="81" t="str">
        <f>IF(AND('331-CT'!$E$7=TH!H2045,OR(N2045="331",O2045="331")),"x","")</f>
        <v/>
      </c>
      <c r="Q2045" s="81" t="str">
        <f>IF(AND(B2045='111'!$L$11,OR($N2045=$Q$7,$O2045=$Q$7)),"x","")</f>
        <v/>
      </c>
      <c r="R2045" s="81" t="str">
        <f>IF(AND($N2045=$Q$7,$B2045&lt;'111'!$L$11),"x","")</f>
        <v/>
      </c>
      <c r="S2045" s="81" t="str">
        <f>IF(AND($O2045=$Q$7,$B2045&lt;'111'!$L$11),"x","")</f>
        <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row>
    <row r="2046" spans="1:30" ht="15.75" customHeight="1">
      <c r="A2046" s="327"/>
      <c r="B2046" s="62" t="str">
        <f t="shared" si="367"/>
        <v/>
      </c>
      <c r="C2046" s="309"/>
      <c r="D2046" s="309"/>
      <c r="E2046" s="63"/>
      <c r="F2046" s="311"/>
      <c r="G2046" s="310"/>
      <c r="H2046" s="311"/>
      <c r="I2046" s="405"/>
      <c r="J2046" s="408"/>
      <c r="K2046" s="400"/>
      <c r="L2046" s="407"/>
      <c r="M2046" s="64"/>
      <c r="N2046" s="65"/>
      <c r="O2046" s="65"/>
      <c r="P2046" s="81" t="str">
        <f>IF(AND('331-CT'!$E$7=TH!H2046,OR(N2046="331",O2046="331")),"x","")</f>
        <v/>
      </c>
      <c r="Q2046" s="81" t="str">
        <f>IF(AND(B2046='111'!$L$11,OR($N2046=$Q$7,$O2046=$Q$7)),"x","")</f>
        <v/>
      </c>
      <c r="R2046" s="81" t="str">
        <f>IF(AND($N2046=$Q$7,$B2046&lt;'111'!$L$11),"x","")</f>
        <v/>
      </c>
      <c r="S2046" s="81" t="str">
        <f>IF(AND($O2046=$Q$7,$B2046&lt;'111'!$L$11),"x","")</f>
        <v/>
      </c>
      <c r="T2046" s="81" t="str">
        <f>IF(ISERROR(FIND('112'!$M$9,G2046,1)),"",IF((AND(FIND('112'!$M$9,G2046,1)&gt;=1,B2046='112'!$K$9,OR($N2046='112'!$I$6,$O2046='112'!$I$6))),"x",""))</f>
        <v/>
      </c>
      <c r="U2046" s="81" t="str">
        <f>IF(ISERROR(FIND('112'!$M$9,G2046,1)),"",IF((AND(LEFT(G2046,2)=LEFT('112'!$M$9,2),B2046&lt;'112'!$K$9,$N2046='112'!$I$6)),"x",""))</f>
        <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row>
    <row r="2047" spans="1:30" ht="15.75" customHeight="1">
      <c r="A2047" s="327"/>
      <c r="B2047" s="62" t="str">
        <f t="shared" si="367"/>
        <v/>
      </c>
      <c r="C2047" s="63"/>
      <c r="D2047" s="63"/>
      <c r="E2047" s="63"/>
      <c r="F2047" s="66"/>
      <c r="G2047" s="66"/>
      <c r="H2047" s="71"/>
      <c r="I2047" s="407"/>
      <c r="J2047" s="408"/>
      <c r="K2047" s="400"/>
      <c r="L2047" s="407"/>
      <c r="M2047" s="64"/>
      <c r="N2047" s="65"/>
      <c r="O2047" s="65"/>
      <c r="P2047" s="81" t="str">
        <f>IF(AND('331-CT'!$E$7=TH!H2047,OR(N2047="331",O2047="331")),"x","")</f>
        <v/>
      </c>
      <c r="Q2047" s="81" t="str">
        <f>IF(AND(B2047='111'!$L$11,OR($N2047=$Q$7,$O2047=$Q$7)),"x","")</f>
        <v/>
      </c>
      <c r="R2047" s="81" t="str">
        <f>IF(AND($N2047=$Q$7,$B2047&lt;'111'!$L$11),"x","")</f>
        <v/>
      </c>
      <c r="S2047" s="81" t="str">
        <f>IF(AND($O2047=$Q$7,$B2047&lt;'111'!$L$11),"x","")</f>
        <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row>
    <row r="2048" spans="1:30" ht="15.75" customHeight="1">
      <c r="A2048" s="327"/>
      <c r="B2048" s="62" t="str">
        <f t="shared" si="367"/>
        <v/>
      </c>
      <c r="C2048" s="63"/>
      <c r="D2048" s="63"/>
      <c r="E2048" s="63"/>
      <c r="F2048" s="66"/>
      <c r="G2048" s="66"/>
      <c r="H2048" s="71"/>
      <c r="I2048" s="407"/>
      <c r="J2048" s="408"/>
      <c r="K2048" s="400"/>
      <c r="L2048" s="407"/>
      <c r="M2048" s="64"/>
      <c r="N2048" s="65"/>
      <c r="O2048" s="65"/>
      <c r="P2048" s="81" t="str">
        <f>IF(AND('331-CT'!$E$7=TH!H2048,OR(N2048="331",O2048="331")),"x","")</f>
        <v/>
      </c>
      <c r="Q2048" s="81" t="str">
        <f>IF(AND(B2048='111'!$L$11,OR($N2048=$Q$7,$O2048=$Q$7)),"x","")</f>
        <v/>
      </c>
      <c r="R2048" s="81" t="str">
        <f>IF(AND($N2048=$Q$7,$B2048&lt;'111'!$L$11),"x","")</f>
        <v/>
      </c>
      <c r="S2048" s="81" t="str">
        <f>IF(AND($O2048=$Q$7,$B2048&lt;'111'!$L$11),"x","")</f>
        <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row>
    <row r="2049" spans="1:30" ht="15.75" customHeight="1">
      <c r="A2049" s="327"/>
      <c r="B2049" s="62" t="str">
        <f t="shared" si="367"/>
        <v/>
      </c>
      <c r="C2049" s="63"/>
      <c r="D2049" s="63"/>
      <c r="E2049" s="63"/>
      <c r="F2049" s="66"/>
      <c r="G2049" s="66"/>
      <c r="H2049" s="71"/>
      <c r="I2049" s="407"/>
      <c r="J2049" s="408"/>
      <c r="K2049" s="400"/>
      <c r="L2049" s="407"/>
      <c r="M2049" s="64"/>
      <c r="N2049" s="65"/>
      <c r="O2049" s="65"/>
      <c r="P2049" s="81" t="str">
        <f>IF(AND('331-CT'!$E$7=TH!H2049,OR(N2049="331",O2049="331")),"x","")</f>
        <v/>
      </c>
      <c r="Q2049" s="81" t="str">
        <f>IF(AND(B2049='111'!$L$11,OR($N2049=$Q$7,$O2049=$Q$7)),"x","")</f>
        <v/>
      </c>
      <c r="R2049" s="81" t="str">
        <f>IF(AND($N2049=$Q$7,$B2049&lt;'111'!$L$11),"x","")</f>
        <v/>
      </c>
      <c r="S2049" s="81" t="str">
        <f>IF(AND($O2049=$Q$7,$B2049&lt;'111'!$L$11),"x","")</f>
        <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row>
    <row r="2050" spans="1:30" ht="15.75" customHeight="1">
      <c r="A2050" s="327"/>
      <c r="B2050" s="62" t="str">
        <f t="shared" si="367"/>
        <v/>
      </c>
      <c r="C2050" s="63"/>
      <c r="D2050" s="63"/>
      <c r="E2050" s="63"/>
      <c r="F2050" s="66"/>
      <c r="G2050" s="66"/>
      <c r="H2050" s="71"/>
      <c r="I2050" s="407"/>
      <c r="J2050" s="408"/>
      <c r="K2050" s="400"/>
      <c r="L2050" s="407"/>
      <c r="M2050" s="64"/>
      <c r="N2050" s="65"/>
      <c r="O2050" s="65"/>
      <c r="P2050" s="81" t="str">
        <f>IF(AND('331-CT'!$E$7=TH!H2050,OR(N2050="331",O2050="331")),"x","")</f>
        <v/>
      </c>
      <c r="Q2050" s="81" t="str">
        <f>IF(AND(B2050='111'!$L$11,OR($N2050=$Q$7,$O2050=$Q$7)),"x","")</f>
        <v/>
      </c>
      <c r="R2050" s="81" t="str">
        <f>IF(AND($N2050=$Q$7,$B2050&lt;'111'!$L$11),"x","")</f>
        <v/>
      </c>
      <c r="S2050" s="81" t="str">
        <f>IF(AND($O2050=$Q$7,$B2050&lt;'111'!$L$11),"x","")</f>
        <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row>
    <row r="2051" spans="1:30" ht="15.75" customHeight="1">
      <c r="A2051" s="327"/>
      <c r="B2051" s="62" t="str">
        <f t="shared" si="367"/>
        <v/>
      </c>
      <c r="C2051" s="63"/>
      <c r="D2051" s="63"/>
      <c r="E2051" s="63"/>
      <c r="F2051" s="66"/>
      <c r="G2051" s="66"/>
      <c r="H2051" s="71"/>
      <c r="I2051" s="407"/>
      <c r="J2051" s="408"/>
      <c r="K2051" s="400"/>
      <c r="L2051" s="407"/>
      <c r="M2051" s="64"/>
      <c r="N2051" s="65"/>
      <c r="O2051" s="65"/>
      <c r="P2051" s="81" t="str">
        <f>IF(AND('331-CT'!$E$7=TH!H2051,OR(N2051="331",O2051="331")),"x","")</f>
        <v/>
      </c>
      <c r="Q2051" s="81" t="str">
        <f>IF(AND(B2051='111'!$L$11,OR($N2051=$Q$7,$O2051=$Q$7)),"x","")</f>
        <v/>
      </c>
      <c r="R2051" s="81" t="str">
        <f>IF(AND($N2051=$Q$7,$B2051&lt;'111'!$L$11),"x","")</f>
        <v/>
      </c>
      <c r="S2051" s="81" t="str">
        <f>IF(AND($O2051=$Q$7,$B2051&lt;'111'!$L$11),"x","")</f>
        <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row>
    <row r="2052" spans="1:30" ht="15.75" customHeight="1">
      <c r="A2052" s="327" t="str">
        <f>IF(B2052&lt;&gt;"",IF(AND(B2052='IN-TC'!$S$4,OR(TH!N2052="1111",TH!O2052="1111")),TH!D2052,""),"")</f>
        <v/>
      </c>
      <c r="B2052" s="62" t="str">
        <f t="shared" si="367"/>
        <v/>
      </c>
      <c r="C2052" s="63"/>
      <c r="D2052" s="63"/>
      <c r="E2052" s="63"/>
      <c r="F2052" s="71"/>
      <c r="G2052" s="66"/>
      <c r="H2052" s="71"/>
      <c r="I2052" s="405"/>
      <c r="J2052" s="405"/>
      <c r="K2052" s="398"/>
      <c r="L2052" s="405"/>
      <c r="M2052" s="64"/>
      <c r="N2052" s="65"/>
      <c r="O2052" s="65"/>
      <c r="P2052" s="81" t="str">
        <f>IF(AND('331-CT'!$E$7=TH!H2052,OR(N2052="331",O2052="331")),"x","")</f>
        <v/>
      </c>
      <c r="Q2052" s="81" t="str">
        <f>IF(AND(B2052='111'!$L$11,OR($N2052=$Q$7,$O2052=$Q$7)),"x","")</f>
        <v/>
      </c>
      <c r="R2052" s="81" t="str">
        <f>IF(AND($N2052=$Q$7,$B2052&lt;'111'!$L$11),"x","")</f>
        <v/>
      </c>
      <c r="S2052" s="81" t="str">
        <f>IF(AND($O2052=$Q$7,$B2052&lt;'111'!$L$11),"x","")</f>
        <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row>
    <row r="2053" spans="1:30" ht="15.75" customHeight="1">
      <c r="A2053" s="327" t="str">
        <f>IF(B2053&lt;&gt;"",IF(AND(B2053='IN-TC'!$S$4,OR(TH!N2053="1111",TH!O2053="1111")),TH!D2053,""),"")</f>
        <v/>
      </c>
      <c r="B2053" s="62" t="str">
        <f t="shared" si="367"/>
        <v/>
      </c>
      <c r="C2053" s="63"/>
      <c r="D2053" s="63"/>
      <c r="E2053" s="63"/>
      <c r="F2053" s="71"/>
      <c r="G2053" s="66"/>
      <c r="H2053" s="71"/>
      <c r="I2053" s="405"/>
      <c r="J2053" s="405"/>
      <c r="K2053" s="398"/>
      <c r="L2053" s="405"/>
      <c r="M2053" s="64"/>
      <c r="N2053" s="65"/>
      <c r="O2053" s="65"/>
      <c r="P2053" s="81" t="str">
        <f>IF(AND('331-CT'!$E$7=TH!H2053,OR(N2053="331",O2053="331")),"x","")</f>
        <v/>
      </c>
      <c r="Q2053" s="81" t="str">
        <f>IF(AND(B2053='111'!$L$11,OR($N2053=$Q$7,$O2053=$Q$7)),"x","")</f>
        <v/>
      </c>
      <c r="R2053" s="81" t="str">
        <f>IF(AND($N2053=$Q$7,$B2053&lt;'111'!$L$11),"x","")</f>
        <v/>
      </c>
      <c r="S2053" s="81" t="str">
        <f>IF(AND($O2053=$Q$7,$B2053&lt;'111'!$L$11),"x","")</f>
        <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row>
    <row r="2054" spans="1:30" ht="15.75" customHeight="1">
      <c r="A2054" s="327" t="str">
        <f>IF(B2054&lt;&gt;"",IF(AND(B2054='IN-TC'!$S$4,OR(TH!N2054="1111",TH!O2054="1111")),TH!D2054,""),"")</f>
        <v/>
      </c>
      <c r="B2054" s="62" t="str">
        <f t="shared" si="367"/>
        <v/>
      </c>
      <c r="C2054" s="63"/>
      <c r="D2054" s="63"/>
      <c r="E2054" s="63"/>
      <c r="F2054" s="71"/>
      <c r="G2054" s="66"/>
      <c r="H2054" s="71"/>
      <c r="I2054" s="405"/>
      <c r="J2054" s="405"/>
      <c r="K2054" s="398"/>
      <c r="L2054" s="405"/>
      <c r="M2054" s="64"/>
      <c r="N2054" s="65"/>
      <c r="O2054" s="65"/>
      <c r="P2054" s="81" t="str">
        <f>IF(AND('331-CT'!$E$7=TH!H2054,OR(N2054="331",O2054="331")),"x","")</f>
        <v/>
      </c>
      <c r="Q2054" s="81" t="str">
        <f>IF(AND(B2054='111'!$L$11,OR($N2054=$Q$7,$O2054=$Q$7)),"x","")</f>
        <v/>
      </c>
      <c r="R2054" s="81" t="str">
        <f>IF(AND($N2054=$Q$7,$B2054&lt;'111'!$L$11),"x","")</f>
        <v/>
      </c>
      <c r="S2054" s="81" t="str">
        <f>IF(AND($O2054=$Q$7,$B2054&lt;'111'!$L$11),"x","")</f>
        <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row>
    <row r="2055" spans="1:30" ht="15.75" customHeight="1">
      <c r="A2055" s="327" t="str">
        <f>IF(B2055&lt;&gt;"",IF(AND(B2055='IN-TC'!$S$4,OR(TH!N2055="1111",TH!O2055="1111")),TH!D2055,""),"")</f>
        <v/>
      </c>
      <c r="B2055" s="62" t="str">
        <f t="shared" si="367"/>
        <v/>
      </c>
      <c r="C2055" s="63"/>
      <c r="D2055" s="63"/>
      <c r="E2055" s="63"/>
      <c r="F2055" s="71"/>
      <c r="G2055" s="66"/>
      <c r="H2055" s="71"/>
      <c r="I2055" s="405"/>
      <c r="J2055" s="405"/>
      <c r="K2055" s="398"/>
      <c r="L2055" s="405"/>
      <c r="M2055" s="64"/>
      <c r="N2055" s="65"/>
      <c r="O2055" s="65"/>
      <c r="P2055" s="81" t="str">
        <f>IF(AND('331-CT'!$E$7=TH!H2055,OR(N2055="331",O2055="331")),"x","")</f>
        <v/>
      </c>
      <c r="Q2055" s="81" t="str">
        <f>IF(AND(B2055='111'!$L$11,OR($N2055=$Q$7,$O2055=$Q$7)),"x","")</f>
        <v/>
      </c>
      <c r="R2055" s="81" t="str">
        <f>IF(AND($N2055=$Q$7,$B2055&lt;'111'!$L$11),"x","")</f>
        <v/>
      </c>
      <c r="S2055" s="81" t="str">
        <f>IF(AND($O2055=$Q$7,$B2055&lt;'111'!$L$11),"x","")</f>
        <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row>
    <row r="2056" spans="1:30" ht="15.75" customHeight="1">
      <c r="A2056" s="327" t="str">
        <f>IF(B2056&lt;&gt;"",IF(AND(B2056='IN-TC'!$S$4,OR(TH!N2056="1111",TH!O2056="1111")),TH!D2056,""),"")</f>
        <v/>
      </c>
      <c r="B2056" s="62" t="str">
        <f t="shared" si="367"/>
        <v/>
      </c>
      <c r="C2056" s="63"/>
      <c r="D2056" s="63"/>
      <c r="E2056" s="63"/>
      <c r="F2056" s="71"/>
      <c r="G2056" s="66"/>
      <c r="H2056" s="71"/>
      <c r="I2056" s="405"/>
      <c r="J2056" s="405"/>
      <c r="K2056" s="398"/>
      <c r="L2056" s="405"/>
      <c r="M2056" s="64"/>
      <c r="N2056" s="65"/>
      <c r="O2056" s="65"/>
      <c r="P2056" s="81" t="str">
        <f>IF(AND('331-CT'!$E$7=TH!H2056,OR(N2056="331",O2056="331")),"x","")</f>
        <v/>
      </c>
      <c r="Q2056" s="81" t="str">
        <f>IF(AND(B2056='111'!$L$11,OR($N2056=$Q$7,$O2056=$Q$7)),"x","")</f>
        <v/>
      </c>
      <c r="R2056" s="81" t="str">
        <f>IF(AND($N2056=$Q$7,$B2056&lt;'111'!$L$11),"x","")</f>
        <v/>
      </c>
      <c r="S2056" s="81" t="str">
        <f>IF(AND($O2056=$Q$7,$B2056&lt;'111'!$L$11),"x","")</f>
        <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row>
    <row r="2057" spans="1:30" ht="15.75" customHeight="1">
      <c r="A2057" s="327" t="str">
        <f>IF(B2057&lt;&gt;"",IF(AND(B2057='IN-TC'!$S$4,OR(TH!N2057="1111",TH!O2057="1111")),TH!D2057,""),"")</f>
        <v/>
      </c>
      <c r="B2057" s="62" t="str">
        <f t="shared" si="367"/>
        <v/>
      </c>
      <c r="C2057" s="63"/>
      <c r="D2057" s="63"/>
      <c r="E2057" s="63"/>
      <c r="F2057" s="71"/>
      <c r="G2057" s="66"/>
      <c r="H2057" s="71"/>
      <c r="I2057" s="405"/>
      <c r="J2057" s="405"/>
      <c r="K2057" s="398"/>
      <c r="L2057" s="405"/>
      <c r="M2057" s="64"/>
      <c r="N2057" s="65"/>
      <c r="O2057" s="65"/>
      <c r="P2057" s="81" t="str">
        <f>IF(AND('331-CT'!$E$7=TH!H2057,OR(N2057="331",O2057="331")),"x","")</f>
        <v/>
      </c>
      <c r="Q2057" s="81" t="str">
        <f>IF(AND(B2057='111'!$L$11,OR($N2057=$Q$7,$O2057=$Q$7)),"x","")</f>
        <v/>
      </c>
      <c r="R2057" s="81" t="str">
        <f>IF(AND($N2057=$Q$7,$B2057&lt;'111'!$L$11),"x","")</f>
        <v/>
      </c>
      <c r="S2057" s="81" t="str">
        <f>IF(AND($O2057=$Q$7,$B2057&lt;'111'!$L$11),"x","")</f>
        <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row>
    <row r="2058" spans="1:30" ht="15.75" customHeight="1">
      <c r="A2058" s="327" t="str">
        <f>IF(B2058&lt;&gt;"",IF(AND(B2058='IN-TC'!$S$4,OR(TH!N2058="1111",TH!O2058="1111")),TH!D2058,""),"")</f>
        <v/>
      </c>
      <c r="B2058" s="62" t="str">
        <f t="shared" si="367"/>
        <v/>
      </c>
      <c r="C2058" s="63"/>
      <c r="D2058" s="63"/>
      <c r="E2058" s="63"/>
      <c r="F2058" s="71"/>
      <c r="G2058" s="66"/>
      <c r="H2058" s="71"/>
      <c r="I2058" s="405"/>
      <c r="J2058" s="405"/>
      <c r="K2058" s="398"/>
      <c r="L2058" s="405"/>
      <c r="M2058" s="64"/>
      <c r="N2058" s="65"/>
      <c r="O2058" s="65"/>
      <c r="P2058" s="81" t="str">
        <f>IF(AND('331-CT'!$E$7=TH!H2058,OR(N2058="331",O2058="331")),"x","")</f>
        <v/>
      </c>
      <c r="Q2058" s="81" t="str">
        <f>IF(AND(B2058='111'!$L$11,OR($N2058=$Q$7,$O2058=$Q$7)),"x","")</f>
        <v/>
      </c>
      <c r="R2058" s="81" t="str">
        <f>IF(AND($N2058=$Q$7,$B2058&lt;'111'!$L$11),"x","")</f>
        <v/>
      </c>
      <c r="S2058" s="81" t="str">
        <f>IF(AND($O2058=$Q$7,$B2058&lt;'111'!$L$11),"x","")</f>
        <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row>
    <row r="2059" spans="1:30" ht="15.75" customHeight="1">
      <c r="A2059" s="327" t="str">
        <f>IF(B2059&lt;&gt;"",IF(AND(B2059='IN-TC'!$S$4,OR(TH!N2059="1111",TH!O2059="1111")),TH!D2059,""),"")</f>
        <v/>
      </c>
      <c r="B2059" s="62" t="str">
        <f t="shared" si="367"/>
        <v/>
      </c>
      <c r="C2059" s="63"/>
      <c r="D2059" s="63"/>
      <c r="E2059" s="63"/>
      <c r="F2059" s="71"/>
      <c r="G2059" s="66"/>
      <c r="H2059" s="71"/>
      <c r="I2059" s="405"/>
      <c r="J2059" s="405"/>
      <c r="K2059" s="398"/>
      <c r="L2059" s="405"/>
      <c r="M2059" s="64"/>
      <c r="N2059" s="65"/>
      <c r="O2059" s="65"/>
      <c r="P2059" s="81" t="str">
        <f>IF(AND('331-CT'!$E$7=TH!H2059,OR(N2059="331",O2059="331")),"x","")</f>
        <v/>
      </c>
      <c r="Q2059" s="81" t="str">
        <f>IF(AND(B2059='111'!$L$11,OR($N2059=$Q$7,$O2059=$Q$7)),"x","")</f>
        <v/>
      </c>
      <c r="R2059" s="81" t="str">
        <f>IF(AND($N2059=$Q$7,$B2059&lt;'111'!$L$11),"x","")</f>
        <v/>
      </c>
      <c r="S2059" s="81" t="str">
        <f>IF(AND($O2059=$Q$7,$B2059&lt;'111'!$L$11),"x","")</f>
        <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row>
    <row r="2060" spans="1:30" ht="15.75" customHeight="1">
      <c r="A2060" s="327" t="str">
        <f>IF(B2060&lt;&gt;"",IF(AND(B2060='IN-TC'!$S$4,OR(TH!N2060="1111",TH!O2060="1111")),TH!D2060,""),"")</f>
        <v/>
      </c>
      <c r="B2060" s="62" t="str">
        <f t="shared" si="367"/>
        <v/>
      </c>
      <c r="C2060" s="63"/>
      <c r="D2060" s="63"/>
      <c r="E2060" s="63"/>
      <c r="F2060" s="71"/>
      <c r="G2060" s="66"/>
      <c r="H2060" s="71"/>
      <c r="I2060" s="405"/>
      <c r="J2060" s="405"/>
      <c r="K2060" s="398"/>
      <c r="L2060" s="405"/>
      <c r="M2060" s="64"/>
      <c r="N2060" s="65"/>
      <c r="O2060" s="65"/>
      <c r="P2060" s="81" t="str">
        <f>IF(AND('331-CT'!$E$7=TH!H2060,OR(N2060="331",O2060="331")),"x","")</f>
        <v/>
      </c>
      <c r="Q2060" s="81" t="str">
        <f>IF(AND(B2060='111'!$L$11,OR($N2060=$Q$7,$O2060=$Q$7)),"x","")</f>
        <v/>
      </c>
      <c r="R2060" s="81" t="str">
        <f>IF(AND($N2060=$Q$7,$B2060&lt;'111'!$L$11),"x","")</f>
        <v/>
      </c>
      <c r="S2060" s="81" t="str">
        <f>IF(AND($O2060=$Q$7,$B2060&lt;'111'!$L$11),"x","")</f>
        <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row>
    <row r="2061" spans="1:30" ht="15.75" customHeight="1">
      <c r="A2061" s="327" t="str">
        <f>IF(B2061&lt;&gt;"",IF(AND(B2061='IN-TC'!$S$4,OR(TH!N2061="1111",TH!O2061="1111")),TH!D2061,""),"")</f>
        <v/>
      </c>
      <c r="B2061" s="62" t="str">
        <f t="shared" si="367"/>
        <v/>
      </c>
      <c r="C2061" s="63"/>
      <c r="D2061" s="63"/>
      <c r="E2061" s="63"/>
      <c r="F2061" s="71"/>
      <c r="G2061" s="66"/>
      <c r="H2061" s="71"/>
      <c r="I2061" s="405"/>
      <c r="J2061" s="405"/>
      <c r="K2061" s="398"/>
      <c r="L2061" s="405"/>
      <c r="M2061" s="64"/>
      <c r="N2061" s="65"/>
      <c r="O2061" s="65"/>
      <c r="P2061" s="81" t="str">
        <f>IF(AND('331-CT'!$E$7=TH!H2061,OR(N2061="331",O2061="331")),"x","")</f>
        <v/>
      </c>
      <c r="Q2061" s="81" t="str">
        <f>IF(AND(B2061='111'!$L$11,OR($N2061=$Q$7,$O2061=$Q$7)),"x","")</f>
        <v/>
      </c>
      <c r="R2061" s="81" t="str">
        <f>IF(AND($N2061=$Q$7,$B2061&lt;'111'!$L$11),"x","")</f>
        <v/>
      </c>
      <c r="S2061" s="81" t="str">
        <f>IF(AND($O2061=$Q$7,$B2061&lt;'111'!$L$11),"x","")</f>
        <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row>
    <row r="2062" spans="1:30" ht="15.75" customHeight="1">
      <c r="A2062" s="327" t="str">
        <f>IF(B2062&lt;&gt;"",IF(AND(B2062='IN-TC'!$S$4,OR(TH!N2062="1111",TH!O2062="1111")),TH!D2062,""),"")</f>
        <v/>
      </c>
      <c r="B2062" s="62" t="str">
        <f t="shared" si="367"/>
        <v/>
      </c>
      <c r="C2062" s="63"/>
      <c r="D2062" s="63"/>
      <c r="E2062" s="63"/>
      <c r="F2062" s="71"/>
      <c r="G2062" s="66"/>
      <c r="H2062" s="71"/>
      <c r="I2062" s="405"/>
      <c r="J2062" s="405"/>
      <c r="K2062" s="398"/>
      <c r="L2062" s="405"/>
      <c r="M2062" s="64"/>
      <c r="N2062" s="65"/>
      <c r="O2062" s="65"/>
      <c r="P2062" s="81" t="str">
        <f>IF(AND('331-CT'!$E$7=TH!H2062,OR(N2062="331",O2062="331")),"x","")</f>
        <v/>
      </c>
      <c r="Q2062" s="81" t="str">
        <f>IF(AND(B2062='111'!$L$11,OR($N2062=$Q$7,$O2062=$Q$7)),"x","")</f>
        <v/>
      </c>
      <c r="R2062" s="81" t="str">
        <f>IF(AND($N2062=$Q$7,$B2062&lt;'111'!$L$11),"x","")</f>
        <v/>
      </c>
      <c r="S2062" s="81" t="str">
        <f>IF(AND($O2062=$Q$7,$B2062&lt;'111'!$L$11),"x","")</f>
        <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row>
    <row r="2063" spans="1:30" ht="15.75" customHeight="1">
      <c r="A2063" s="327" t="str">
        <f>IF(B2063&lt;&gt;"",IF(AND(B2063='IN-TC'!$S$4,OR(TH!N2063="1111",TH!O2063="1111")),TH!D2063,""),"")</f>
        <v/>
      </c>
      <c r="B2063" s="62" t="str">
        <f t="shared" si="367"/>
        <v/>
      </c>
      <c r="C2063" s="63"/>
      <c r="D2063" s="63"/>
      <c r="E2063" s="63"/>
      <c r="F2063" s="71"/>
      <c r="G2063" s="66"/>
      <c r="H2063" s="71"/>
      <c r="I2063" s="405"/>
      <c r="J2063" s="405"/>
      <c r="K2063" s="398"/>
      <c r="L2063" s="405"/>
      <c r="M2063" s="64"/>
      <c r="N2063" s="65"/>
      <c r="O2063" s="65"/>
      <c r="P2063" s="81" t="str">
        <f>IF(AND('331-CT'!$E$7=TH!H2063,OR(N2063="331",O2063="331")),"x","")</f>
        <v/>
      </c>
      <c r="Q2063" s="81" t="str">
        <f>IF(AND(B2063='111'!$L$11,OR($N2063=$Q$7,$O2063=$Q$7)),"x","")</f>
        <v/>
      </c>
      <c r="R2063" s="81" t="str">
        <f>IF(AND($N2063=$Q$7,$B2063&lt;'111'!$L$11),"x","")</f>
        <v/>
      </c>
      <c r="S2063" s="81" t="str">
        <f>IF(AND($O2063=$Q$7,$B2063&lt;'111'!$L$11),"x","")</f>
        <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row>
    <row r="2064" spans="1:30" ht="15.75" customHeight="1">
      <c r="A2064" s="327" t="str">
        <f>IF(B2064&lt;&gt;"",IF(AND(B2064='IN-TC'!$S$4,OR(TH!N2064="1111",TH!O2064="1111")),TH!D2064,""),"")</f>
        <v/>
      </c>
      <c r="B2064" s="62" t="str">
        <f t="shared" si="367"/>
        <v/>
      </c>
      <c r="C2064" s="63"/>
      <c r="D2064" s="63"/>
      <c r="E2064" s="63"/>
      <c r="F2064" s="71"/>
      <c r="G2064" s="66"/>
      <c r="H2064" s="71"/>
      <c r="I2064" s="405"/>
      <c r="J2064" s="405"/>
      <c r="K2064" s="398"/>
      <c r="L2064" s="405"/>
      <c r="M2064" s="64"/>
      <c r="N2064" s="65"/>
      <c r="O2064" s="65"/>
      <c r="P2064" s="81" t="str">
        <f>IF(AND('331-CT'!$E$7=TH!H2064,OR(N2064="331",O2064="331")),"x","")</f>
        <v/>
      </c>
      <c r="Q2064" s="81" t="str">
        <f>IF(AND(B2064='111'!$L$11,OR($N2064=$Q$7,$O2064=$Q$7)),"x","")</f>
        <v/>
      </c>
      <c r="R2064" s="81" t="str">
        <f>IF(AND($N2064=$Q$7,$B2064&lt;'111'!$L$11),"x","")</f>
        <v/>
      </c>
      <c r="S2064" s="81" t="str">
        <f>IF(AND($O2064=$Q$7,$B2064&lt;'111'!$L$11),"x","")</f>
        <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row>
    <row r="2065" spans="1:30" ht="15.75" customHeight="1">
      <c r="A2065" s="327" t="str">
        <f>IF(B2065&lt;&gt;"",IF(AND(B2065='IN-TC'!$S$4,OR(TH!N2065="1111",TH!O2065="1111")),TH!D2065,""),"")</f>
        <v/>
      </c>
      <c r="B2065" s="62" t="str">
        <f t="shared" si="367"/>
        <v/>
      </c>
      <c r="C2065" s="63"/>
      <c r="D2065" s="63"/>
      <c r="E2065" s="63"/>
      <c r="F2065" s="71"/>
      <c r="G2065" s="66"/>
      <c r="H2065" s="71"/>
      <c r="I2065" s="405"/>
      <c r="J2065" s="405"/>
      <c r="K2065" s="398"/>
      <c r="L2065" s="405"/>
      <c r="M2065" s="64"/>
      <c r="N2065" s="65"/>
      <c r="O2065" s="65"/>
      <c r="P2065" s="81" t="str">
        <f>IF(AND('331-CT'!$E$7=TH!H2065,OR(N2065="331",O2065="331")),"x","")</f>
        <v/>
      </c>
      <c r="Q2065" s="81" t="str">
        <f>IF(AND(B2065='111'!$L$11,OR($N2065=$Q$7,$O2065=$Q$7)),"x","")</f>
        <v/>
      </c>
      <c r="R2065" s="81" t="str">
        <f>IF(AND($N2065=$Q$7,$B2065&lt;'111'!$L$11),"x","")</f>
        <v/>
      </c>
      <c r="S2065" s="81" t="str">
        <f>IF(AND($O2065=$Q$7,$B2065&lt;'111'!$L$11),"x","")</f>
        <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row>
    <row r="2066" spans="1:30" ht="15.75" customHeight="1">
      <c r="A2066" s="327" t="str">
        <f>IF(B2066&lt;&gt;"",IF(AND(B2066='IN-TC'!$S$4,OR(TH!N2066="1111",TH!O2066="1111")),TH!D2066,""),"")</f>
        <v/>
      </c>
      <c r="B2066" s="62" t="str">
        <f t="shared" si="367"/>
        <v/>
      </c>
      <c r="C2066" s="63"/>
      <c r="D2066" s="63"/>
      <c r="E2066" s="63"/>
      <c r="F2066" s="71"/>
      <c r="G2066" s="66"/>
      <c r="H2066" s="71"/>
      <c r="I2066" s="405"/>
      <c r="J2066" s="405"/>
      <c r="K2066" s="398"/>
      <c r="L2066" s="405"/>
      <c r="M2066" s="64"/>
      <c r="N2066" s="65"/>
      <c r="O2066" s="65"/>
      <c r="P2066" s="81" t="str">
        <f>IF(AND('331-CT'!$E$7=TH!H2066,OR(N2066="331",O2066="331")),"x","")</f>
        <v/>
      </c>
      <c r="Q2066" s="81" t="str">
        <f>IF(AND(B2066='111'!$L$11,OR($N2066=$Q$7,$O2066=$Q$7)),"x","")</f>
        <v/>
      </c>
      <c r="R2066" s="81" t="str">
        <f>IF(AND($N2066=$Q$7,$B2066&lt;'111'!$L$11),"x","")</f>
        <v/>
      </c>
      <c r="S2066" s="81" t="str">
        <f>IF(AND($O2066=$Q$7,$B2066&lt;'111'!$L$11),"x","")</f>
        <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row>
    <row r="2067" spans="1:30" ht="15.75" customHeight="1">
      <c r="A2067" s="327" t="str">
        <f>IF(B2067&lt;&gt;"",IF(AND(B2067='IN-TC'!$S$4,OR(TH!N2067="1111",TH!O2067="1111")),TH!D2067,""),"")</f>
        <v/>
      </c>
      <c r="B2067" s="62" t="str">
        <f t="shared" si="367"/>
        <v/>
      </c>
      <c r="C2067" s="63"/>
      <c r="D2067" s="63"/>
      <c r="E2067" s="63"/>
      <c r="F2067" s="71"/>
      <c r="G2067" s="66"/>
      <c r="H2067" s="71"/>
      <c r="I2067" s="405"/>
      <c r="J2067" s="405"/>
      <c r="K2067" s="398"/>
      <c r="L2067" s="405"/>
      <c r="M2067" s="64"/>
      <c r="N2067" s="65"/>
      <c r="O2067" s="65"/>
      <c r="P2067" s="81" t="str">
        <f>IF(AND('331-CT'!$E$7=TH!H2067,OR(N2067="331",O2067="331")),"x","")</f>
        <v/>
      </c>
      <c r="Q2067" s="81" t="str">
        <f>IF(AND(B2067='111'!$L$11,OR($N2067=$Q$7,$O2067=$Q$7)),"x","")</f>
        <v/>
      </c>
      <c r="R2067" s="81" t="str">
        <f>IF(AND($N2067=$Q$7,$B2067&lt;'111'!$L$11),"x","")</f>
        <v/>
      </c>
      <c r="S2067" s="81" t="str">
        <f>IF(AND($O2067=$Q$7,$B2067&lt;'111'!$L$11),"x","")</f>
        <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row>
    <row r="2068" spans="1:30" ht="15.75" customHeight="1">
      <c r="A2068" s="327" t="str">
        <f>IF(B2068&lt;&gt;"",IF(AND(B2068='IN-TC'!$S$4,OR(TH!N2068="1111",TH!O2068="1111")),TH!D2068,""),"")</f>
        <v/>
      </c>
      <c r="B2068" s="62" t="str">
        <f t="shared" si="367"/>
        <v/>
      </c>
      <c r="C2068" s="63"/>
      <c r="D2068" s="63"/>
      <c r="E2068" s="63"/>
      <c r="F2068" s="71"/>
      <c r="G2068" s="66"/>
      <c r="H2068" s="71"/>
      <c r="I2068" s="405"/>
      <c r="J2068" s="405"/>
      <c r="K2068" s="398"/>
      <c r="L2068" s="405"/>
      <c r="M2068" s="64"/>
      <c r="N2068" s="1047"/>
      <c r="O2068" s="65"/>
      <c r="P2068" s="81" t="str">
        <f>IF(AND('331-CT'!$E$7=TH!H2068,OR(N2068="331",O2068="331")),"x","")</f>
        <v/>
      </c>
      <c r="Q2068" s="81" t="str">
        <f>IF(AND(B2068='111'!$L$11,OR($N2068=$Q$7,$O2068=$Q$7)),"x","")</f>
        <v/>
      </c>
      <c r="R2068" s="81" t="str">
        <f>IF(AND($N2068=$Q$7,$B2068&lt;'111'!$L$11),"x","")</f>
        <v/>
      </c>
      <c r="S2068" s="81" t="str">
        <f>IF(AND($O2068=$Q$7,$B2068&lt;'111'!$L$11),"x","")</f>
        <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row>
    <row r="2069" spans="1:30" ht="15.75" customHeight="1">
      <c r="A2069" s="327" t="str">
        <f>IF(B2069&lt;&gt;"",IF(AND(B2069='IN-TC'!$S$4,OR(TH!N2069="1111",TH!O2069="1111")),TH!D2069,""),"")</f>
        <v/>
      </c>
      <c r="B2069" s="62" t="str">
        <f t="shared" si="367"/>
        <v/>
      </c>
      <c r="C2069" s="63"/>
      <c r="D2069" s="63"/>
      <c r="E2069" s="63"/>
      <c r="F2069" s="71"/>
      <c r="G2069" s="66"/>
      <c r="H2069" s="71"/>
      <c r="I2069" s="405"/>
      <c r="J2069" s="405"/>
      <c r="K2069" s="398"/>
      <c r="L2069" s="405"/>
      <c r="M2069" s="64"/>
      <c r="N2069" s="65"/>
      <c r="O2069" s="65"/>
      <c r="P2069" s="81" t="str">
        <f>IF(AND('331-CT'!$E$7=TH!H2069,OR(N2069="331",O2069="331")),"x","")</f>
        <v/>
      </c>
      <c r="Q2069" s="81" t="str">
        <f>IF(AND(B2069='111'!$L$11,OR($N2069=$Q$7,$O2069=$Q$7)),"x","")</f>
        <v/>
      </c>
      <c r="R2069" s="81" t="str">
        <f>IF(AND($N2069=$Q$7,$B2069&lt;'111'!$L$11),"x","")</f>
        <v/>
      </c>
      <c r="S2069" s="81" t="str">
        <f>IF(AND($O2069=$Q$7,$B2069&lt;'111'!$L$11),"x","")</f>
        <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row>
    <row r="2070" spans="1:30" ht="15.75" customHeight="1">
      <c r="A2070" s="327" t="str">
        <f>IF(B2070&lt;&gt;"",IF(AND(B2070='IN-TC'!$S$4,OR(TH!N2070="1111",TH!O2070="1111")),TH!D2070,""),"")</f>
        <v/>
      </c>
      <c r="B2070" s="62" t="str">
        <f t="shared" ref="B2070:B2133" si="368">IF(C2070&lt;&gt;"",MONTH(C2070),"")</f>
        <v/>
      </c>
      <c r="C2070" s="63"/>
      <c r="D2070" s="63"/>
      <c r="E2070" s="63"/>
      <c r="F2070" s="71"/>
      <c r="G2070" s="66"/>
      <c r="H2070" s="71"/>
      <c r="I2070" s="405"/>
      <c r="J2070" s="405"/>
      <c r="K2070" s="398"/>
      <c r="L2070" s="405"/>
      <c r="M2070" s="64"/>
      <c r="N2070" s="65"/>
      <c r="O2070" s="65"/>
      <c r="P2070" s="81" t="str">
        <f>IF(AND('331-CT'!$E$7=TH!H2070,OR(N2070="331",O2070="331")),"x","")</f>
        <v/>
      </c>
      <c r="Q2070" s="81" t="str">
        <f>IF(AND(B2070='111'!$L$11,OR($N2070=$Q$7,$O2070=$Q$7)),"x","")</f>
        <v/>
      </c>
      <c r="R2070" s="81" t="str">
        <f>IF(AND($N2070=$Q$7,$B2070&lt;'111'!$L$11),"x","")</f>
        <v/>
      </c>
      <c r="S2070" s="81" t="str">
        <f>IF(AND($O2070=$Q$7,$B2070&lt;'111'!$L$11),"x","")</f>
        <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row>
    <row r="2071" spans="1:30" ht="15.75" customHeight="1">
      <c r="A2071" s="327" t="str">
        <f>IF(B2071&lt;&gt;"",IF(AND(B2071='IN-TC'!$S$4,OR(TH!N2071="1111",TH!O2071="1111")),TH!D2071,""),"")</f>
        <v/>
      </c>
      <c r="B2071" s="62" t="str">
        <f t="shared" si="368"/>
        <v/>
      </c>
      <c r="C2071" s="63"/>
      <c r="D2071" s="63"/>
      <c r="E2071" s="63"/>
      <c r="F2071" s="71"/>
      <c r="G2071" s="816"/>
      <c r="H2071" s="71"/>
      <c r="I2071" s="405"/>
      <c r="J2071" s="405"/>
      <c r="K2071" s="398"/>
      <c r="L2071" s="405"/>
      <c r="M2071" s="64"/>
      <c r="N2071" s="65"/>
      <c r="O2071" s="65"/>
      <c r="P2071" s="81" t="str">
        <f>IF(AND('331-CT'!$E$7=TH!H2071,OR(N2071="331",O2071="331")),"x","")</f>
        <v/>
      </c>
      <c r="Q2071" s="81" t="str">
        <f>IF(AND(B2071='111'!$L$11,OR($N2071=$Q$7,$O2071=$Q$7)),"x","")</f>
        <v/>
      </c>
      <c r="R2071" s="81" t="str">
        <f>IF(AND($N2071=$Q$7,$B2071&lt;'111'!$L$11),"x","")</f>
        <v/>
      </c>
      <c r="S2071" s="81" t="str">
        <f>IF(AND($O2071=$Q$7,$B2071&lt;'111'!$L$11),"x","")</f>
        <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row>
    <row r="2072" spans="1:30" ht="15.75" customHeight="1">
      <c r="A2072" s="327" t="str">
        <f>IF(B2072&lt;&gt;"",IF(AND(B2072='IN-TC'!$S$4,OR(TH!N2072="1111",TH!O2072="1111")),TH!D2072,""),"")</f>
        <v/>
      </c>
      <c r="B2072" s="62" t="str">
        <f t="shared" si="368"/>
        <v/>
      </c>
      <c r="C2072" s="63"/>
      <c r="D2072" s="63"/>
      <c r="E2072" s="63"/>
      <c r="F2072" s="71"/>
      <c r="G2072" s="816"/>
      <c r="H2072" s="71"/>
      <c r="I2072" s="405"/>
      <c r="J2072" s="405"/>
      <c r="K2072" s="398"/>
      <c r="L2072" s="405"/>
      <c r="M2072" s="64"/>
      <c r="N2072" s="65"/>
      <c r="O2072" s="65"/>
      <c r="P2072" s="81" t="str">
        <f>IF(AND('331-CT'!$E$7=TH!H2072,OR(N2072="331",O2072="331")),"x","")</f>
        <v/>
      </c>
      <c r="Q2072" s="81" t="str">
        <f>IF(AND(B2072='111'!$L$11,OR($N2072=$Q$7,$O2072=$Q$7)),"x","")</f>
        <v/>
      </c>
      <c r="R2072" s="81" t="str">
        <f>IF(AND($N2072=$Q$7,$B2072&lt;'111'!$L$11),"x","")</f>
        <v/>
      </c>
      <c r="S2072" s="81" t="str">
        <f>IF(AND($O2072=$Q$7,$B2072&lt;'111'!$L$11),"x","")</f>
        <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row>
    <row r="2073" spans="1:30" ht="15.75" customHeight="1">
      <c r="A2073" s="327" t="str">
        <f>IF(B2073&lt;&gt;"",IF(AND(B2073='IN-TC'!$S$4,OR(TH!N2073="1111",TH!O2073="1111")),TH!D2073,""),"")</f>
        <v/>
      </c>
      <c r="B2073" s="62" t="str">
        <f t="shared" si="368"/>
        <v/>
      </c>
      <c r="C2073" s="63"/>
      <c r="D2073" s="63"/>
      <c r="E2073" s="63"/>
      <c r="F2073" s="71"/>
      <c r="G2073" s="66"/>
      <c r="H2073" s="71"/>
      <c r="I2073" s="405"/>
      <c r="J2073" s="405"/>
      <c r="K2073" s="398"/>
      <c r="L2073" s="405"/>
      <c r="M2073" s="64"/>
      <c r="N2073" s="1047"/>
      <c r="O2073" s="65"/>
      <c r="P2073" s="81" t="str">
        <f>IF(AND('331-CT'!$E$7=TH!H2073,OR(N2073="331",O2073="331")),"x","")</f>
        <v/>
      </c>
      <c r="Q2073" s="81" t="str">
        <f>IF(AND(B2073='111'!$L$11,OR($N2073=$Q$7,$O2073=$Q$7)),"x","")</f>
        <v/>
      </c>
      <c r="R2073" s="81" t="str">
        <f>IF(AND($N2073=$Q$7,$B2073&lt;'111'!$L$11),"x","")</f>
        <v/>
      </c>
      <c r="S2073" s="81" t="str">
        <f>IF(AND($O2073=$Q$7,$B2073&lt;'111'!$L$11),"x","")</f>
        <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row>
    <row r="2074" spans="1:30" ht="15.75" customHeight="1">
      <c r="A2074" s="327" t="str">
        <f>IF(B2074&lt;&gt;"",IF(AND(B2074='IN-TC'!$S$4,OR(TH!N2074="1111",TH!O2074="1111")),TH!D2074,""),"")</f>
        <v/>
      </c>
      <c r="B2074" s="62" t="str">
        <f t="shared" si="368"/>
        <v/>
      </c>
      <c r="C2074" s="63"/>
      <c r="D2074" s="63"/>
      <c r="E2074" s="63"/>
      <c r="F2074" s="71"/>
      <c r="G2074" s="66"/>
      <c r="H2074" s="71"/>
      <c r="I2074" s="405"/>
      <c r="J2074" s="405"/>
      <c r="K2074" s="398"/>
      <c r="L2074" s="405"/>
      <c r="M2074" s="64"/>
      <c r="N2074" s="65"/>
      <c r="O2074" s="65"/>
      <c r="P2074" s="81" t="str">
        <f>IF(AND('331-CT'!$E$7=TH!H2074,OR(N2074="331",O2074="331")),"x","")</f>
        <v/>
      </c>
      <c r="Q2074" s="81" t="str">
        <f>IF(AND(B2074='111'!$L$11,OR($N2074=$Q$7,$O2074=$Q$7)),"x","")</f>
        <v/>
      </c>
      <c r="R2074" s="81" t="str">
        <f>IF(AND($N2074=$Q$7,$B2074&lt;'111'!$L$11),"x","")</f>
        <v/>
      </c>
      <c r="S2074" s="81" t="str">
        <f>IF(AND($O2074=$Q$7,$B2074&lt;'111'!$L$11),"x","")</f>
        <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row>
    <row r="2075" spans="1:30" ht="15.75" customHeight="1">
      <c r="A2075" s="327" t="str">
        <f>IF(B2075&lt;&gt;"",IF(AND(B2075='IN-TC'!$S$4,OR(TH!N2075="1111",TH!O2075="1111")),TH!D2075,""),"")</f>
        <v/>
      </c>
      <c r="B2075" s="62" t="str">
        <f t="shared" si="368"/>
        <v/>
      </c>
      <c r="C2075" s="63"/>
      <c r="D2075" s="63"/>
      <c r="E2075" s="63"/>
      <c r="F2075" s="71"/>
      <c r="G2075" s="66"/>
      <c r="H2075" s="71"/>
      <c r="I2075" s="405"/>
      <c r="J2075" s="405"/>
      <c r="K2075" s="398"/>
      <c r="L2075" s="405"/>
      <c r="M2075" s="64"/>
      <c r="N2075" s="65"/>
      <c r="O2075" s="65"/>
      <c r="P2075" s="81" t="str">
        <f>IF(AND('331-CT'!$E$7=TH!H2075,OR(N2075="331",O2075="331")),"x","")</f>
        <v/>
      </c>
      <c r="Q2075" s="81" t="str">
        <f>IF(AND(B2075='111'!$L$11,OR($N2075=$Q$7,$O2075=$Q$7)),"x","")</f>
        <v/>
      </c>
      <c r="R2075" s="81" t="str">
        <f>IF(AND($N2075=$Q$7,$B2075&lt;'111'!$L$11),"x","")</f>
        <v/>
      </c>
      <c r="S2075" s="81" t="str">
        <f>IF(AND($O2075=$Q$7,$B2075&lt;'111'!$L$11),"x","")</f>
        <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row>
    <row r="2076" spans="1:30" ht="15.75" customHeight="1">
      <c r="A2076" s="327" t="str">
        <f>IF(B2076&lt;&gt;"",IF(AND(B2076='IN-TC'!$S$4,OR(TH!N2076="1111",TH!O2076="1111")),TH!D2076,""),"")</f>
        <v/>
      </c>
      <c r="B2076" s="62" t="str">
        <f t="shared" si="368"/>
        <v/>
      </c>
      <c r="C2076" s="63"/>
      <c r="D2076" s="63"/>
      <c r="E2076" s="63"/>
      <c r="F2076" s="71"/>
      <c r="G2076" s="816"/>
      <c r="H2076" s="71"/>
      <c r="I2076" s="405"/>
      <c r="J2076" s="405"/>
      <c r="K2076" s="398"/>
      <c r="L2076" s="405"/>
      <c r="M2076" s="64"/>
      <c r="N2076" s="65"/>
      <c r="O2076" s="65"/>
      <c r="P2076" s="81" t="str">
        <f>IF(AND('331-CT'!$E$7=TH!H2076,OR(N2076="331",O2076="331")),"x","")</f>
        <v/>
      </c>
      <c r="Q2076" s="81" t="str">
        <f>IF(AND(B2076='111'!$L$11,OR($N2076=$Q$7,$O2076=$Q$7)),"x","")</f>
        <v/>
      </c>
      <c r="R2076" s="81" t="str">
        <f>IF(AND($N2076=$Q$7,$B2076&lt;'111'!$L$11),"x","")</f>
        <v/>
      </c>
      <c r="S2076" s="81" t="str">
        <f>IF(AND($O2076=$Q$7,$B2076&lt;'111'!$L$11),"x","")</f>
        <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row>
    <row r="2077" spans="1:30" ht="15.75" customHeight="1">
      <c r="A2077" s="327" t="str">
        <f>IF(B2077&lt;&gt;"",IF(AND(B2077='IN-TC'!$S$4,OR(TH!N2077="1111",TH!O2077="1111")),TH!D2077,""),"")</f>
        <v/>
      </c>
      <c r="B2077" s="62" t="str">
        <f t="shared" si="368"/>
        <v/>
      </c>
      <c r="C2077" s="309"/>
      <c r="D2077" s="309"/>
      <c r="E2077" s="309"/>
      <c r="F2077" s="71"/>
      <c r="G2077" s="819"/>
      <c r="H2077" s="311"/>
      <c r="I2077" s="405"/>
      <c r="J2077" s="405"/>
      <c r="K2077" s="398"/>
      <c r="L2077" s="405"/>
      <c r="M2077" s="64"/>
      <c r="N2077" s="65"/>
      <c r="O2077" s="65"/>
      <c r="P2077" s="81" t="str">
        <f>IF(AND('331-CT'!$E$7=TH!H2077,OR(N2077="331",O2077="331")),"x","")</f>
        <v/>
      </c>
      <c r="Q2077" s="81" t="str">
        <f>IF(AND(B2077='111'!$L$11,OR($N2077=$Q$7,$O2077=$Q$7)),"x","")</f>
        <v/>
      </c>
      <c r="R2077" s="81" t="str">
        <f>IF(AND($N2077=$Q$7,$B2077&lt;'111'!$L$11),"x","")</f>
        <v/>
      </c>
      <c r="S2077" s="81" t="str">
        <f>IF(AND($O2077=$Q$7,$B2077&lt;'111'!$L$11),"x","")</f>
        <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row>
    <row r="2078" spans="1:30" ht="15.75" customHeight="1">
      <c r="A2078" s="327" t="str">
        <f>IF(B2078&lt;&gt;"",IF(AND(B2078='IN-TC'!$S$4,OR(TH!N2078="1111",TH!O2078="1111")),TH!D2078,""),"")</f>
        <v/>
      </c>
      <c r="B2078" s="62" t="str">
        <f t="shared" si="368"/>
        <v/>
      </c>
      <c r="C2078" s="309"/>
      <c r="D2078" s="309"/>
      <c r="E2078" s="309"/>
      <c r="F2078" s="71"/>
      <c r="G2078" s="819"/>
      <c r="H2078" s="311"/>
      <c r="I2078" s="405"/>
      <c r="J2078" s="405"/>
      <c r="K2078" s="398"/>
      <c r="L2078" s="405"/>
      <c r="M2078" s="64"/>
      <c r="N2078" s="65"/>
      <c r="O2078" s="65"/>
      <c r="P2078" s="81" t="str">
        <f>IF(AND('331-CT'!$E$7=TH!H2078,OR(N2078="331",O2078="331")),"x","")</f>
        <v/>
      </c>
      <c r="Q2078" s="81" t="str">
        <f>IF(AND(B2078='111'!$L$11,OR($N2078=$Q$7,$O2078=$Q$7)),"x","")</f>
        <v/>
      </c>
      <c r="R2078" s="81" t="str">
        <f>IF(AND($N2078=$Q$7,$B2078&lt;'111'!$L$11),"x","")</f>
        <v/>
      </c>
      <c r="S2078" s="81" t="str">
        <f>IF(AND($O2078=$Q$7,$B2078&lt;'111'!$L$11),"x","")</f>
        <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row>
    <row r="2079" spans="1:30" ht="15.75" customHeight="1">
      <c r="A2079" s="327" t="str">
        <f>IF(B2079&lt;&gt;"",IF(AND(B2079='IN-TC'!$S$4,OR(TH!N2079="1111",TH!O2079="1111")),TH!D2079,""),"")</f>
        <v/>
      </c>
      <c r="B2079" s="62" t="str">
        <f t="shared" si="368"/>
        <v/>
      </c>
      <c r="C2079" s="309"/>
      <c r="D2079" s="309"/>
      <c r="E2079" s="309"/>
      <c r="F2079" s="71"/>
      <c r="G2079" s="819"/>
      <c r="H2079" s="311"/>
      <c r="I2079" s="405"/>
      <c r="J2079" s="405"/>
      <c r="K2079" s="398"/>
      <c r="L2079" s="405"/>
      <c r="M2079" s="64"/>
      <c r="N2079" s="312"/>
      <c r="O2079" s="65"/>
      <c r="P2079" s="81" t="str">
        <f>IF(AND('331-CT'!$E$7=TH!H2079,OR(N2079="331",O2079="331")),"x","")</f>
        <v/>
      </c>
      <c r="Q2079" s="81" t="str">
        <f>IF(AND(B2079='111'!$L$11,OR($N2079=$Q$7,$O2079=$Q$7)),"x","")</f>
        <v/>
      </c>
      <c r="R2079" s="81" t="str">
        <f>IF(AND($N2079=$Q$7,$B2079&lt;'111'!$L$11),"x","")</f>
        <v/>
      </c>
      <c r="S2079" s="81" t="str">
        <f>IF(AND($O2079=$Q$7,$B2079&lt;'111'!$L$11),"x","")</f>
        <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row>
    <row r="2080" spans="1:30" ht="15.75" customHeight="1">
      <c r="A2080" s="327" t="str">
        <f>IF(B2080&lt;&gt;"",IF(AND(B2080='IN-TC'!$S$4,OR(TH!N2080="1111",TH!O2080="1111")),TH!D2080,""),"")</f>
        <v/>
      </c>
      <c r="B2080" s="62" t="str">
        <f t="shared" si="368"/>
        <v/>
      </c>
      <c r="C2080" s="309"/>
      <c r="D2080" s="309"/>
      <c r="E2080" s="309"/>
      <c r="F2080" s="71"/>
      <c r="G2080" s="819"/>
      <c r="H2080" s="311"/>
      <c r="I2080" s="405"/>
      <c r="J2080" s="405"/>
      <c r="K2080" s="398"/>
      <c r="L2080" s="405"/>
      <c r="M2080" s="64"/>
      <c r="N2080" s="65"/>
      <c r="O2080" s="65"/>
      <c r="P2080" s="81" t="str">
        <f>IF(AND('331-CT'!$E$7=TH!H2080,OR(N2080="331",O2080="331")),"x","")</f>
        <v/>
      </c>
      <c r="Q2080" s="81" t="str">
        <f>IF(AND(B2080='111'!$L$11,OR($N2080=$Q$7,$O2080=$Q$7)),"x","")</f>
        <v/>
      </c>
      <c r="R2080" s="81" t="str">
        <f>IF(AND($N2080=$Q$7,$B2080&lt;'111'!$L$11),"x","")</f>
        <v/>
      </c>
      <c r="S2080" s="81" t="str">
        <f>IF(AND($O2080=$Q$7,$B2080&lt;'111'!$L$11),"x","")</f>
        <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row>
    <row r="2081" spans="1:30" ht="15.75" customHeight="1">
      <c r="A2081" s="327" t="str">
        <f>IF(B2081&lt;&gt;"",IF(AND(B2081='IN-TC'!$S$4,OR(TH!N2081="1111",TH!O2081="1111")),TH!D2081,""),"")</f>
        <v/>
      </c>
      <c r="B2081" s="62" t="str">
        <f t="shared" si="368"/>
        <v/>
      </c>
      <c r="C2081" s="309"/>
      <c r="D2081" s="309"/>
      <c r="E2081" s="309"/>
      <c r="F2081" s="71"/>
      <c r="G2081" s="819"/>
      <c r="H2081" s="311"/>
      <c r="I2081" s="405"/>
      <c r="J2081" s="405"/>
      <c r="K2081" s="398"/>
      <c r="L2081" s="405"/>
      <c r="M2081" s="64"/>
      <c r="N2081" s="312"/>
      <c r="O2081" s="65"/>
      <c r="P2081" s="81" t="str">
        <f>IF(AND('331-CT'!$E$7=TH!H2081,OR(N2081="331",O2081="331")),"x","")</f>
        <v/>
      </c>
      <c r="Q2081" s="81" t="str">
        <f>IF(AND(B2081='111'!$L$11,OR($N2081=$Q$7,$O2081=$Q$7)),"x","")</f>
        <v/>
      </c>
      <c r="R2081" s="81" t="str">
        <f>IF(AND($N2081=$Q$7,$B2081&lt;'111'!$L$11),"x","")</f>
        <v/>
      </c>
      <c r="S2081" s="81" t="str">
        <f>IF(AND($O2081=$Q$7,$B2081&lt;'111'!$L$11),"x","")</f>
        <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row>
    <row r="2082" spans="1:30" ht="15.75" customHeight="1">
      <c r="A2082" s="327" t="str">
        <f>IF(B2082&lt;&gt;"",IF(AND(B2082='IN-TC'!$S$4,OR(TH!N2082="1111",TH!O2082="1111")),TH!D2082,""),"")</f>
        <v/>
      </c>
      <c r="B2082" s="62" t="str">
        <f t="shared" si="368"/>
        <v/>
      </c>
      <c r="C2082" s="309"/>
      <c r="D2082" s="309"/>
      <c r="E2082" s="309"/>
      <c r="F2082" s="71"/>
      <c r="G2082" s="819"/>
      <c r="H2082" s="311"/>
      <c r="I2082" s="405"/>
      <c r="J2082" s="405"/>
      <c r="K2082" s="398"/>
      <c r="L2082" s="405"/>
      <c r="M2082" s="64"/>
      <c r="N2082" s="312"/>
      <c r="O2082" s="65"/>
      <c r="P2082" s="81" t="str">
        <f>IF(AND('331-CT'!$E$7=TH!H2082,OR(N2082="331",O2082="331")),"x","")</f>
        <v/>
      </c>
      <c r="Q2082" s="81" t="str">
        <f>IF(AND(B2082='111'!$L$11,OR($N2082=$Q$7,$O2082=$Q$7)),"x","")</f>
        <v/>
      </c>
      <c r="R2082" s="81" t="str">
        <f>IF(AND($N2082=$Q$7,$B2082&lt;'111'!$L$11),"x","")</f>
        <v/>
      </c>
      <c r="S2082" s="81" t="str">
        <f>IF(AND($O2082=$Q$7,$B2082&lt;'111'!$L$11),"x","")</f>
        <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row>
    <row r="2083" spans="1:30" ht="15.75" customHeight="1">
      <c r="A2083" s="327" t="str">
        <f>IF(B2083&lt;&gt;"",IF(AND(B2083='IN-TC'!$S$4,OR(TH!N2083="1111",TH!O2083="1111")),TH!D2083,""),"")</f>
        <v/>
      </c>
      <c r="B2083" s="62" t="str">
        <f t="shared" si="368"/>
        <v/>
      </c>
      <c r="C2083" s="309"/>
      <c r="D2083" s="309"/>
      <c r="E2083" s="309"/>
      <c r="F2083" s="71"/>
      <c r="G2083" s="819"/>
      <c r="H2083" s="311"/>
      <c r="I2083" s="405"/>
      <c r="J2083" s="405"/>
      <c r="K2083" s="398"/>
      <c r="L2083" s="405"/>
      <c r="M2083" s="64"/>
      <c r="N2083" s="312"/>
      <c r="O2083" s="65"/>
      <c r="P2083" s="81" t="str">
        <f>IF(AND('331-CT'!$E$7=TH!H2083,OR(N2083="331",O2083="331")),"x","")</f>
        <v/>
      </c>
      <c r="Q2083" s="81" t="str">
        <f>IF(AND(B2083='111'!$L$11,OR($N2083=$Q$7,$O2083=$Q$7)),"x","")</f>
        <v/>
      </c>
      <c r="R2083" s="81" t="str">
        <f>IF(AND($N2083=$Q$7,$B2083&lt;'111'!$L$11),"x","")</f>
        <v/>
      </c>
      <c r="S2083" s="81" t="str">
        <f>IF(AND($O2083=$Q$7,$B2083&lt;'111'!$L$11),"x","")</f>
        <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row>
    <row r="2084" spans="1:30" ht="15.75" customHeight="1">
      <c r="A2084" s="327" t="str">
        <f>IF(B2084&lt;&gt;"",IF(AND(B2084='IN-TC'!$S$4,OR(TH!N2084="1111",TH!O2084="1111")),TH!D2084,""),"")</f>
        <v/>
      </c>
      <c r="B2084" s="62" t="str">
        <f t="shared" si="368"/>
        <v/>
      </c>
      <c r="C2084" s="309"/>
      <c r="D2084" s="309"/>
      <c r="E2084" s="309"/>
      <c r="F2084" s="71"/>
      <c r="G2084" s="819"/>
      <c r="H2084" s="311"/>
      <c r="I2084" s="405"/>
      <c r="J2084" s="405"/>
      <c r="K2084" s="398"/>
      <c r="L2084" s="405"/>
      <c r="M2084" s="64"/>
      <c r="N2084" s="312"/>
      <c r="O2084" s="65"/>
      <c r="P2084" s="81" t="str">
        <f>IF(AND('331-CT'!$E$7=TH!H2084,OR(N2084="331",O2084="331")),"x","")</f>
        <v/>
      </c>
      <c r="Q2084" s="81" t="str">
        <f>IF(AND(B2084='111'!$L$11,OR($N2084=$Q$7,$O2084=$Q$7)),"x","")</f>
        <v/>
      </c>
      <c r="R2084" s="81" t="str">
        <f>IF(AND($N2084=$Q$7,$B2084&lt;'111'!$L$11),"x","")</f>
        <v/>
      </c>
      <c r="S2084" s="81" t="str">
        <f>IF(AND($O2084=$Q$7,$B2084&lt;'111'!$L$11),"x","")</f>
        <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row>
    <row r="2085" spans="1:30" ht="15.75" customHeight="1">
      <c r="A2085" s="327" t="str">
        <f>IF(B2085&lt;&gt;"",IF(AND(B2085='IN-TC'!$S$4,OR(TH!N2085="1111",TH!O2085="1111")),TH!D2085,""),"")</f>
        <v/>
      </c>
      <c r="B2085" s="62" t="str">
        <f t="shared" si="368"/>
        <v/>
      </c>
      <c r="C2085" s="309"/>
      <c r="D2085" s="309"/>
      <c r="E2085" s="309"/>
      <c r="F2085" s="71"/>
      <c r="G2085" s="819"/>
      <c r="H2085" s="311"/>
      <c r="I2085" s="405"/>
      <c r="J2085" s="405"/>
      <c r="K2085" s="398"/>
      <c r="L2085" s="405"/>
      <c r="M2085" s="64"/>
      <c r="N2085" s="312"/>
      <c r="O2085" s="65"/>
      <c r="P2085" s="81" t="str">
        <f>IF(AND('331-CT'!$E$7=TH!H2085,OR(N2085="331",O2085="331")),"x","")</f>
        <v/>
      </c>
      <c r="Q2085" s="81" t="str">
        <f>IF(AND(B2085='111'!$L$11,OR($N2085=$Q$7,$O2085=$Q$7)),"x","")</f>
        <v/>
      </c>
      <c r="R2085" s="81" t="str">
        <f>IF(AND($N2085=$Q$7,$B2085&lt;'111'!$L$11),"x","")</f>
        <v/>
      </c>
      <c r="S2085" s="81" t="str">
        <f>IF(AND($O2085=$Q$7,$B2085&lt;'111'!$L$11),"x","")</f>
        <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row>
    <row r="2086" spans="1:30" ht="15.75" customHeight="1">
      <c r="A2086" s="327" t="str">
        <f>IF(B2086&lt;&gt;"",IF(AND(B2086='IN-TC'!$S$4,OR(TH!N2086="1111",TH!O2086="1111")),TH!D2086,""),"")</f>
        <v/>
      </c>
      <c r="B2086" s="62" t="str">
        <f t="shared" si="368"/>
        <v/>
      </c>
      <c r="C2086" s="309"/>
      <c r="D2086" s="309"/>
      <c r="E2086" s="309"/>
      <c r="F2086" s="71"/>
      <c r="G2086" s="310"/>
      <c r="H2086" s="311"/>
      <c r="I2086" s="405"/>
      <c r="J2086" s="405"/>
      <c r="K2086" s="398"/>
      <c r="L2086" s="405"/>
      <c r="M2086" s="64"/>
      <c r="N2086" s="312"/>
      <c r="O2086" s="65"/>
      <c r="P2086" s="81" t="str">
        <f>IF(AND('331-CT'!$E$7=TH!H2086,OR(N2086="331",O2086="331")),"x","")</f>
        <v/>
      </c>
      <c r="Q2086" s="81" t="str">
        <f>IF(AND(B2086='111'!$L$11,OR($N2086=$Q$7,$O2086=$Q$7)),"x","")</f>
        <v/>
      </c>
      <c r="R2086" s="81" t="str">
        <f>IF(AND($N2086=$Q$7,$B2086&lt;'111'!$L$11),"x","")</f>
        <v/>
      </c>
      <c r="S2086" s="81" t="str">
        <f>IF(AND($O2086=$Q$7,$B2086&lt;'111'!$L$11),"x","")</f>
        <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row>
    <row r="2087" spans="1:30" ht="15.75" customHeight="1">
      <c r="A2087" s="327" t="str">
        <f>IF(B2087&lt;&gt;"",IF(AND(B2087='IN-TC'!$S$4,OR(TH!N2087="1111",TH!O2087="1111")),TH!D2087,""),"")</f>
        <v/>
      </c>
      <c r="B2087" s="62" t="str">
        <f t="shared" si="368"/>
        <v/>
      </c>
      <c r="C2087" s="309"/>
      <c r="D2087" s="309"/>
      <c r="E2087" s="309"/>
      <c r="F2087" s="71"/>
      <c r="G2087" s="310"/>
      <c r="H2087" s="311"/>
      <c r="I2087" s="405"/>
      <c r="J2087" s="405"/>
      <c r="K2087" s="398"/>
      <c r="L2087" s="405"/>
      <c r="M2087" s="64"/>
      <c r="N2087" s="312"/>
      <c r="O2087" s="65"/>
      <c r="P2087" s="81" t="str">
        <f>IF(AND('331-CT'!$E$7=TH!H2087,OR(N2087="331",O2087="331")),"x","")</f>
        <v/>
      </c>
      <c r="Q2087" s="81" t="str">
        <f>IF(AND(B2087='111'!$L$11,OR($N2087=$Q$7,$O2087=$Q$7)),"x","")</f>
        <v/>
      </c>
      <c r="R2087" s="81" t="str">
        <f>IF(AND($N2087=$Q$7,$B2087&lt;'111'!$L$11),"x","")</f>
        <v/>
      </c>
      <c r="S2087" s="81" t="str">
        <f>IF(AND($O2087=$Q$7,$B2087&lt;'111'!$L$11),"x","")</f>
        <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row>
    <row r="2088" spans="1:30" ht="15.75" customHeight="1">
      <c r="A2088" s="327" t="str">
        <f>IF(B2088&lt;&gt;"",IF(AND(B2088='IN-TC'!$S$4,OR(TH!N2088="1111",TH!O2088="1111")),TH!D2088,""),"")</f>
        <v/>
      </c>
      <c r="B2088" s="62" t="str">
        <f t="shared" si="368"/>
        <v/>
      </c>
      <c r="C2088" s="309"/>
      <c r="D2088" s="309"/>
      <c r="E2088" s="309"/>
      <c r="F2088" s="71"/>
      <c r="G2088" s="819"/>
      <c r="H2088" s="311"/>
      <c r="I2088" s="405"/>
      <c r="J2088" s="405"/>
      <c r="K2088" s="398"/>
      <c r="L2088" s="405"/>
      <c r="M2088" s="64"/>
      <c r="N2088" s="312"/>
      <c r="O2088" s="65"/>
      <c r="P2088" s="81" t="str">
        <f>IF(AND('331-CT'!$E$7=TH!H2088,OR(N2088="331",O2088="331")),"x","")</f>
        <v/>
      </c>
      <c r="Q2088" s="81" t="str">
        <f>IF(AND(B2088='111'!$L$11,OR($N2088=$Q$7,$O2088=$Q$7)),"x","")</f>
        <v/>
      </c>
      <c r="R2088" s="81" t="str">
        <f>IF(AND($N2088=$Q$7,$B2088&lt;'111'!$L$11),"x","")</f>
        <v/>
      </c>
      <c r="S2088" s="81" t="str">
        <f>IF(AND($O2088=$Q$7,$B2088&lt;'111'!$L$11),"x","")</f>
        <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row>
    <row r="2089" spans="1:30" ht="15.75" customHeight="1">
      <c r="A2089" s="327" t="str">
        <f>IF(B2089&lt;&gt;"",IF(AND(B2089='IN-TC'!$S$4,OR(TH!N2089="1111",TH!O2089="1111")),TH!D2089,""),"")</f>
        <v/>
      </c>
      <c r="B2089" s="62" t="str">
        <f t="shared" si="368"/>
        <v/>
      </c>
      <c r="C2089" s="309"/>
      <c r="D2089" s="309"/>
      <c r="E2089" s="309"/>
      <c r="F2089" s="71"/>
      <c r="G2089" s="819"/>
      <c r="H2089" s="311"/>
      <c r="I2089" s="405"/>
      <c r="J2089" s="405"/>
      <c r="K2089" s="398"/>
      <c r="L2089" s="405"/>
      <c r="M2089" s="64"/>
      <c r="N2089" s="312"/>
      <c r="O2089" s="65"/>
      <c r="P2089" s="81" t="str">
        <f>IF(AND('331-CT'!$E$7=TH!H2089,OR(N2089="331",O2089="331")),"x","")</f>
        <v/>
      </c>
      <c r="Q2089" s="81" t="str">
        <f>IF(AND(B2089='111'!$L$11,OR($N2089=$Q$7,$O2089=$Q$7)),"x","")</f>
        <v/>
      </c>
      <c r="R2089" s="81" t="str">
        <f>IF(AND($N2089=$Q$7,$B2089&lt;'111'!$L$11),"x","")</f>
        <v/>
      </c>
      <c r="S2089" s="81" t="str">
        <f>IF(AND($O2089=$Q$7,$B2089&lt;'111'!$L$11),"x","")</f>
        <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row>
    <row r="2090" spans="1:30" ht="15.75" customHeight="1">
      <c r="A2090" s="327" t="str">
        <f>IF(B2090&lt;&gt;"",IF(AND(B2090='IN-TC'!$S$4,OR(TH!N2090="1111",TH!O2090="1111")),TH!D2090,""),"")</f>
        <v/>
      </c>
      <c r="B2090" s="62" t="str">
        <f t="shared" si="368"/>
        <v/>
      </c>
      <c r="C2090" s="309"/>
      <c r="D2090" s="309"/>
      <c r="E2090" s="309"/>
      <c r="F2090" s="71"/>
      <c r="G2090" s="819"/>
      <c r="H2090" s="311"/>
      <c r="I2090" s="405"/>
      <c r="J2090" s="405"/>
      <c r="K2090" s="398"/>
      <c r="L2090" s="405"/>
      <c r="M2090" s="64"/>
      <c r="N2090" s="312"/>
      <c r="O2090" s="65"/>
      <c r="P2090" s="81" t="str">
        <f>IF(AND('331-CT'!$E$7=TH!H2090,OR(N2090="331",O2090="331")),"x","")</f>
        <v/>
      </c>
      <c r="Q2090" s="81" t="str">
        <f>IF(AND(B2090='111'!$L$11,OR($N2090=$Q$7,$O2090=$Q$7)),"x","")</f>
        <v/>
      </c>
      <c r="R2090" s="81" t="str">
        <f>IF(AND($N2090=$Q$7,$B2090&lt;'111'!$L$11),"x","")</f>
        <v/>
      </c>
      <c r="S2090" s="81" t="str">
        <f>IF(AND($O2090=$Q$7,$B2090&lt;'111'!$L$11),"x","")</f>
        <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row>
    <row r="2091" spans="1:30" ht="15.75" customHeight="1">
      <c r="A2091" s="327" t="str">
        <f>IF(B2091&lt;&gt;"",IF(AND(B2091='IN-TC'!$S$4,OR(TH!N2091="1111",TH!O2091="1111")),TH!D2091,""),"")</f>
        <v/>
      </c>
      <c r="B2091" s="62" t="str">
        <f t="shared" si="368"/>
        <v/>
      </c>
      <c r="C2091" s="309"/>
      <c r="D2091" s="309"/>
      <c r="E2091" s="309"/>
      <c r="F2091" s="71"/>
      <c r="G2091" s="819"/>
      <c r="H2091" s="311"/>
      <c r="I2091" s="405"/>
      <c r="J2091" s="405"/>
      <c r="K2091" s="398"/>
      <c r="L2091" s="405"/>
      <c r="M2091" s="64"/>
      <c r="N2091" s="312"/>
      <c r="O2091" s="65"/>
      <c r="P2091" s="81" t="str">
        <f>IF(AND('331-CT'!$E$7=TH!H2091,OR(N2091="331",O2091="331")),"x","")</f>
        <v/>
      </c>
      <c r="Q2091" s="81" t="str">
        <f>IF(AND(B2091='111'!$L$11,OR($N2091=$Q$7,$O2091=$Q$7)),"x","")</f>
        <v/>
      </c>
      <c r="R2091" s="81" t="str">
        <f>IF(AND($N2091=$Q$7,$B2091&lt;'111'!$L$11),"x","")</f>
        <v/>
      </c>
      <c r="S2091" s="81" t="str">
        <f>IF(AND($O2091=$Q$7,$B2091&lt;'111'!$L$11),"x","")</f>
        <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
      </c>
      <c r="Y2091" s="81" t="str">
        <f>IF(AND(OR(N2091="131",O2091="131"),H2091='131-CT'!$H$9),"x","")</f>
        <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row>
    <row r="2092" spans="1:30" ht="15.75" customHeight="1">
      <c r="A2092" s="327" t="str">
        <f>IF(B2092&lt;&gt;"",IF(AND(B2092='IN-TC'!$S$4,OR(TH!N2092="1111",TH!O2092="1111")),TH!D2092,""),"")</f>
        <v/>
      </c>
      <c r="B2092" s="62" t="str">
        <f t="shared" si="368"/>
        <v/>
      </c>
      <c r="C2092" s="309"/>
      <c r="D2092" s="309"/>
      <c r="E2092" s="309"/>
      <c r="F2092" s="71"/>
      <c r="G2092" s="819"/>
      <c r="H2092" s="311"/>
      <c r="I2092" s="405"/>
      <c r="J2092" s="405"/>
      <c r="K2092" s="398"/>
      <c r="L2092" s="405"/>
      <c r="M2092" s="64"/>
      <c r="N2092" s="312"/>
      <c r="O2092" s="65"/>
      <c r="P2092" s="81" t="str">
        <f>IF(AND('331-CT'!$E$7=TH!H2092,OR(N2092="331",O2092="331")),"x","")</f>
        <v/>
      </c>
      <c r="Q2092" s="81" t="str">
        <f>IF(AND(B2092='111'!$L$11,OR($N2092=$Q$7,$O2092=$Q$7)),"x","")</f>
        <v/>
      </c>
      <c r="R2092" s="81" t="str">
        <f>IF(AND($N2092=$Q$7,$B2092&lt;'111'!$L$11),"x","")</f>
        <v/>
      </c>
      <c r="S2092" s="81" t="str">
        <f>IF(AND($O2092=$Q$7,$B2092&lt;'111'!$L$11),"x","")</f>
        <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row>
    <row r="2093" spans="1:30" ht="15.75" customHeight="1">
      <c r="A2093" s="327" t="str">
        <f>IF(B2093&lt;&gt;"",IF(AND(B2093='IN-TC'!$S$4,OR(TH!N2093="1111",TH!O2093="1111")),TH!D2093,""),"")</f>
        <v/>
      </c>
      <c r="B2093" s="62" t="str">
        <f t="shared" si="368"/>
        <v/>
      </c>
      <c r="C2093" s="309"/>
      <c r="D2093" s="309"/>
      <c r="E2093" s="309"/>
      <c r="F2093" s="71"/>
      <c r="G2093" s="819"/>
      <c r="H2093" s="311"/>
      <c r="I2093" s="405"/>
      <c r="J2093" s="405"/>
      <c r="K2093" s="398"/>
      <c r="L2093" s="405"/>
      <c r="M2093" s="64"/>
      <c r="N2093" s="312"/>
      <c r="O2093" s="65"/>
      <c r="P2093" s="81" t="str">
        <f>IF(AND('331-CT'!$E$7=TH!H2093,OR(N2093="331",O2093="331")),"x","")</f>
        <v/>
      </c>
      <c r="Q2093" s="81" t="str">
        <f>IF(AND(B2093='111'!$L$11,OR($N2093=$Q$7,$O2093=$Q$7)),"x","")</f>
        <v/>
      </c>
      <c r="R2093" s="81" t="str">
        <f>IF(AND($N2093=$Q$7,$B2093&lt;'111'!$L$11),"x","")</f>
        <v/>
      </c>
      <c r="S2093" s="81" t="str">
        <f>IF(AND($O2093=$Q$7,$B2093&lt;'111'!$L$11),"x","")</f>
        <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row>
    <row r="2094" spans="1:30" ht="15.75" customHeight="1">
      <c r="A2094" s="327" t="str">
        <f>IF(B2094&lt;&gt;"",IF(AND(B2094='IN-TC'!$S$4,OR(TH!N2094="1111",TH!O2094="1111")),TH!D2094,""),"")</f>
        <v/>
      </c>
      <c r="B2094" s="62" t="str">
        <f t="shared" si="368"/>
        <v/>
      </c>
      <c r="C2094" s="309"/>
      <c r="D2094" s="309"/>
      <c r="E2094" s="309"/>
      <c r="F2094" s="71"/>
      <c r="G2094" s="819"/>
      <c r="H2094" s="311"/>
      <c r="I2094" s="405"/>
      <c r="J2094" s="405"/>
      <c r="K2094" s="398"/>
      <c r="L2094" s="405"/>
      <c r="M2094" s="64"/>
      <c r="N2094" s="312"/>
      <c r="O2094" s="65"/>
      <c r="P2094" s="81" t="str">
        <f>IF(AND('331-CT'!$E$7=TH!H2094,OR(N2094="331",O2094="331")),"x","")</f>
        <v/>
      </c>
      <c r="Q2094" s="81" t="str">
        <f>IF(AND(B2094='111'!$L$11,OR($N2094=$Q$7,$O2094=$Q$7)),"x","")</f>
        <v/>
      </c>
      <c r="R2094" s="81" t="str">
        <f>IF(AND($N2094=$Q$7,$B2094&lt;'111'!$L$11),"x","")</f>
        <v/>
      </c>
      <c r="S2094" s="81" t="str">
        <f>IF(AND($O2094=$Q$7,$B2094&lt;'111'!$L$11),"x","")</f>
        <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row>
    <row r="2095" spans="1:30" ht="15.75" customHeight="1">
      <c r="A2095" s="327" t="str">
        <f>IF(B2095&lt;&gt;"",IF(AND(B2095='IN-TC'!$S$4,OR(TH!N2095="1111",TH!O2095="1111")),TH!D2095,""),"")</f>
        <v/>
      </c>
      <c r="B2095" s="62" t="str">
        <f t="shared" si="368"/>
        <v/>
      </c>
      <c r="C2095" s="309"/>
      <c r="D2095" s="309"/>
      <c r="E2095" s="309"/>
      <c r="F2095" s="71"/>
      <c r="G2095" s="819"/>
      <c r="H2095" s="311"/>
      <c r="I2095" s="405"/>
      <c r="J2095" s="405"/>
      <c r="K2095" s="398"/>
      <c r="L2095" s="405"/>
      <c r="M2095" s="64"/>
      <c r="N2095" s="312"/>
      <c r="O2095" s="65"/>
      <c r="P2095" s="81" t="str">
        <f>IF(AND('331-CT'!$E$7=TH!H2095,OR(N2095="331",O2095="331")),"x","")</f>
        <v/>
      </c>
      <c r="Q2095" s="81" t="str">
        <f>IF(AND(B2095='111'!$L$11,OR($N2095=$Q$7,$O2095=$Q$7)),"x","")</f>
        <v/>
      </c>
      <c r="R2095" s="81" t="str">
        <f>IF(AND($N2095=$Q$7,$B2095&lt;'111'!$L$11),"x","")</f>
        <v/>
      </c>
      <c r="S2095" s="81" t="str">
        <f>IF(AND($O2095=$Q$7,$B2095&lt;'111'!$L$11),"x","")</f>
        <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row>
    <row r="2096" spans="1:30" ht="15.75" customHeight="1">
      <c r="A2096" s="327" t="str">
        <f>IF(B2096&lt;&gt;"",IF(AND(B2096='IN-TC'!$S$4,OR(TH!N2096="1111",TH!O2096="1111")),TH!D2096,""),"")</f>
        <v/>
      </c>
      <c r="B2096" s="62" t="str">
        <f t="shared" si="368"/>
        <v/>
      </c>
      <c r="C2096" s="309"/>
      <c r="D2096" s="309"/>
      <c r="E2096" s="63"/>
      <c r="F2096" s="71"/>
      <c r="G2096" s="816"/>
      <c r="H2096" s="71"/>
      <c r="I2096" s="405"/>
      <c r="J2096" s="405"/>
      <c r="K2096" s="398"/>
      <c r="L2096" s="405"/>
      <c r="M2096" s="64"/>
      <c r="N2096" s="65"/>
      <c r="O2096" s="65"/>
      <c r="P2096" s="81" t="str">
        <f>IF(AND('331-CT'!$E$7=TH!H2096,OR(N2096="331",O2096="331")),"x","")</f>
        <v/>
      </c>
      <c r="Q2096" s="81" t="str">
        <f>IF(AND(B2096='111'!$L$11,OR($N2096=$Q$7,$O2096=$Q$7)),"x","")</f>
        <v/>
      </c>
      <c r="R2096" s="81" t="str">
        <f>IF(AND($N2096=$Q$7,$B2096&lt;'111'!$L$11),"x","")</f>
        <v/>
      </c>
      <c r="S2096" s="81" t="str">
        <f>IF(AND($O2096=$Q$7,$B2096&lt;'111'!$L$11),"x","")</f>
        <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row>
    <row r="2097" spans="1:30" ht="15.75" customHeight="1">
      <c r="A2097" s="327" t="str">
        <f>IF(B2097&lt;&gt;"",IF(AND(B2097='IN-TC'!$S$4,OR(TH!N2097="1111",TH!O2097="1111")),TH!D2097,""),"")</f>
        <v/>
      </c>
      <c r="B2097" s="62" t="str">
        <f t="shared" si="368"/>
        <v/>
      </c>
      <c r="C2097" s="309"/>
      <c r="D2097" s="309"/>
      <c r="E2097" s="63"/>
      <c r="F2097" s="71"/>
      <c r="G2097" s="816"/>
      <c r="H2097" s="71"/>
      <c r="I2097" s="405"/>
      <c r="J2097" s="405"/>
      <c r="K2097" s="398"/>
      <c r="L2097" s="405"/>
      <c r="M2097" s="64"/>
      <c r="N2097" s="312"/>
      <c r="O2097" s="65"/>
      <c r="P2097" s="81" t="str">
        <f>IF(AND('331-CT'!$E$7=TH!H2097,OR(N2097="331",O2097="331")),"x","")</f>
        <v/>
      </c>
      <c r="Q2097" s="81" t="str">
        <f>IF(AND(B2097='111'!$L$11,OR($N2097=$Q$7,$O2097=$Q$7)),"x","")</f>
        <v/>
      </c>
      <c r="R2097" s="81" t="str">
        <f>IF(AND($N2097=$Q$7,$B2097&lt;'111'!$L$11),"x","")</f>
        <v/>
      </c>
      <c r="S2097" s="81" t="str">
        <f>IF(AND($O2097=$Q$7,$B2097&lt;'111'!$L$11),"x","")</f>
        <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row>
    <row r="2098" spans="1:30" ht="15.75" customHeight="1">
      <c r="A2098" s="327" t="str">
        <f>IF(B2098&lt;&gt;"",IF(AND(B2098='IN-TC'!$S$4,OR(TH!N2098="1111",TH!O2098="1111")),TH!D2098,""),"")</f>
        <v/>
      </c>
      <c r="B2098" s="62" t="str">
        <f t="shared" si="368"/>
        <v/>
      </c>
      <c r="C2098" s="309"/>
      <c r="D2098" s="309"/>
      <c r="E2098" s="63"/>
      <c r="F2098" s="71"/>
      <c r="G2098" s="816"/>
      <c r="H2098" s="71"/>
      <c r="I2098" s="405"/>
      <c r="J2098" s="405"/>
      <c r="K2098" s="398"/>
      <c r="L2098" s="405"/>
      <c r="M2098" s="64"/>
      <c r="N2098" s="312"/>
      <c r="O2098" s="65"/>
      <c r="P2098" s="81" t="str">
        <f>IF(AND('331-CT'!$E$7=TH!H2098,OR(N2098="331",O2098="331")),"x","")</f>
        <v/>
      </c>
      <c r="Q2098" s="81" t="str">
        <f>IF(AND(B2098='111'!$L$11,OR($N2098=$Q$7,$O2098=$Q$7)),"x","")</f>
        <v/>
      </c>
      <c r="R2098" s="81" t="str">
        <f>IF(AND($N2098=$Q$7,$B2098&lt;'111'!$L$11),"x","")</f>
        <v/>
      </c>
      <c r="S2098" s="81" t="str">
        <f>IF(AND($O2098=$Q$7,$B2098&lt;'111'!$L$11),"x","")</f>
        <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row>
    <row r="2099" spans="1:30" ht="15.75" customHeight="1">
      <c r="A2099" s="327" t="str">
        <f>IF(B2099&lt;&gt;"",IF(AND(B2099='IN-TC'!$S$4,OR(TH!N2099="1111",TH!O2099="1111")),TH!D2099,""),"")</f>
        <v/>
      </c>
      <c r="B2099" s="62" t="str">
        <f t="shared" si="368"/>
        <v/>
      </c>
      <c r="C2099" s="309"/>
      <c r="D2099" s="309"/>
      <c r="E2099" s="63"/>
      <c r="F2099" s="71"/>
      <c r="G2099" s="816"/>
      <c r="H2099" s="73"/>
      <c r="I2099" s="405"/>
      <c r="J2099" s="405"/>
      <c r="K2099" s="398"/>
      <c r="L2099" s="405"/>
      <c r="M2099" s="64"/>
      <c r="N2099" s="65"/>
      <c r="O2099" s="65"/>
      <c r="P2099" s="81" t="str">
        <f>IF(AND('331-CT'!$E$7=TH!H2099,OR(N2099="331",O2099="331")),"x","")</f>
        <v/>
      </c>
      <c r="Q2099" s="81" t="str">
        <f>IF(AND(B2099='111'!$L$11,OR($N2099=$Q$7,$O2099=$Q$7)),"x","")</f>
        <v/>
      </c>
      <c r="R2099" s="81" t="str">
        <f>IF(AND($N2099=$Q$7,$B2099&lt;'111'!$L$11),"x","")</f>
        <v/>
      </c>
      <c r="S2099" s="81" t="str">
        <f>IF(AND($O2099=$Q$7,$B2099&lt;'111'!$L$11),"x","")</f>
        <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row>
    <row r="2100" spans="1:30" ht="15.75" customHeight="1">
      <c r="A2100" s="327" t="str">
        <f>IF(B2100&lt;&gt;"",IF(AND(B2100='IN-TC'!$S$4,OR(TH!N2100="1111",TH!O2100="1111")),TH!D2100,""),"")</f>
        <v/>
      </c>
      <c r="B2100" s="62" t="str">
        <f t="shared" si="368"/>
        <v/>
      </c>
      <c r="C2100" s="309"/>
      <c r="D2100" s="309"/>
      <c r="E2100" s="63"/>
      <c r="F2100" s="71"/>
      <c r="G2100" s="816"/>
      <c r="H2100" s="73"/>
      <c r="I2100" s="405"/>
      <c r="J2100" s="405"/>
      <c r="K2100" s="398"/>
      <c r="L2100" s="405"/>
      <c r="M2100" s="64"/>
      <c r="N2100" s="65"/>
      <c r="O2100" s="65"/>
      <c r="P2100" s="81" t="str">
        <f>IF(AND('331-CT'!$E$7=TH!H2100,OR(N2100="331",O2100="331")),"x","")</f>
        <v/>
      </c>
      <c r="Q2100" s="81" t="str">
        <f>IF(AND(B2100='111'!$L$11,OR($N2100=$Q$7,$O2100=$Q$7)),"x","")</f>
        <v/>
      </c>
      <c r="R2100" s="81" t="str">
        <f>IF(AND($N2100=$Q$7,$B2100&lt;'111'!$L$11),"x","")</f>
        <v/>
      </c>
      <c r="S2100" s="81" t="str">
        <f>IF(AND($O2100=$Q$7,$B2100&lt;'111'!$L$11),"x","")</f>
        <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row>
    <row r="2101" spans="1:30" ht="15.75" customHeight="1">
      <c r="A2101" s="327" t="str">
        <f>IF(B2101&lt;&gt;"",IF(AND(B2101='IN-TC'!$S$4,OR(TH!N2101="1111",TH!O2101="1111")),TH!D2101,""),"")</f>
        <v/>
      </c>
      <c r="B2101" s="62" t="str">
        <f t="shared" si="368"/>
        <v/>
      </c>
      <c r="C2101" s="309"/>
      <c r="D2101" s="309"/>
      <c r="E2101" s="309"/>
      <c r="F2101" s="71"/>
      <c r="G2101" s="816"/>
      <c r="H2101" s="311"/>
      <c r="I2101" s="405"/>
      <c r="J2101" s="405"/>
      <c r="K2101" s="398"/>
      <c r="L2101" s="405"/>
      <c r="M2101" s="64"/>
      <c r="N2101" s="65"/>
      <c r="O2101" s="65"/>
      <c r="P2101" s="81" t="str">
        <f>IF(AND('331-CT'!$E$7=TH!H2101,OR(N2101="331",O2101="331")),"x","")</f>
        <v/>
      </c>
      <c r="Q2101" s="81" t="str">
        <f>IF(AND(B2101='111'!$L$11,OR($N2101=$Q$7,$O2101=$Q$7)),"x","")</f>
        <v/>
      </c>
      <c r="R2101" s="81" t="str">
        <f>IF(AND($N2101=$Q$7,$B2101&lt;'111'!$L$11),"x","")</f>
        <v/>
      </c>
      <c r="S2101" s="81" t="str">
        <f>IF(AND($O2101=$Q$7,$B2101&lt;'111'!$L$11),"x","")</f>
        <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row>
    <row r="2102" spans="1:30" ht="15.75" customHeight="1">
      <c r="A2102" s="327" t="str">
        <f>IF(B2102&lt;&gt;"",IF(AND(B2102='IN-TC'!$S$4,OR(TH!N2102="1111",TH!O2102="1111")),TH!D2102,""),"")</f>
        <v/>
      </c>
      <c r="B2102" s="62" t="str">
        <f t="shared" si="368"/>
        <v/>
      </c>
      <c r="C2102" s="309"/>
      <c r="D2102" s="309"/>
      <c r="E2102" s="309"/>
      <c r="F2102" s="71"/>
      <c r="G2102" s="819"/>
      <c r="H2102" s="311"/>
      <c r="I2102" s="405"/>
      <c r="J2102" s="405"/>
      <c r="K2102" s="398"/>
      <c r="L2102" s="405"/>
      <c r="M2102" s="64"/>
      <c r="N2102" s="65"/>
      <c r="O2102" s="65"/>
      <c r="P2102" s="81" t="str">
        <f>IF(AND('331-CT'!$E$7=TH!H2102,OR(N2102="331",O2102="331")),"x","")</f>
        <v/>
      </c>
      <c r="Q2102" s="81" t="str">
        <f>IF(AND(B2102='111'!$L$11,OR($N2102=$Q$7,$O2102=$Q$7)),"x","")</f>
        <v/>
      </c>
      <c r="R2102" s="81" t="str">
        <f>IF(AND($N2102=$Q$7,$B2102&lt;'111'!$L$11),"x","")</f>
        <v/>
      </c>
      <c r="S2102" s="81" t="str">
        <f>IF(AND($O2102=$Q$7,$B2102&lt;'111'!$L$11),"x","")</f>
        <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row>
    <row r="2103" spans="1:30" ht="15.75" customHeight="1">
      <c r="A2103" s="327" t="str">
        <f>IF(B2103&lt;&gt;"",IF(AND(B2103='IN-TC'!$S$4,OR(TH!N2103="1111",TH!O2103="1111")),TH!D2103,""),"")</f>
        <v/>
      </c>
      <c r="B2103" s="62" t="str">
        <f t="shared" si="368"/>
        <v/>
      </c>
      <c r="C2103" s="309"/>
      <c r="D2103" s="309"/>
      <c r="E2103" s="309"/>
      <c r="F2103" s="71"/>
      <c r="G2103" s="819"/>
      <c r="H2103" s="311"/>
      <c r="I2103" s="405"/>
      <c r="J2103" s="405"/>
      <c r="K2103" s="398"/>
      <c r="L2103" s="405"/>
      <c r="M2103" s="64"/>
      <c r="N2103" s="312"/>
      <c r="O2103" s="65"/>
      <c r="P2103" s="81" t="str">
        <f>IF(AND('331-CT'!$E$7=TH!H2103,OR(N2103="331",O2103="331")),"x","")</f>
        <v/>
      </c>
      <c r="Q2103" s="81" t="str">
        <f>IF(AND(B2103='111'!$L$11,OR($N2103=$Q$7,$O2103=$Q$7)),"x","")</f>
        <v/>
      </c>
      <c r="R2103" s="81" t="str">
        <f>IF(AND($N2103=$Q$7,$B2103&lt;'111'!$L$11),"x","")</f>
        <v/>
      </c>
      <c r="S2103" s="81" t="str">
        <f>IF(AND($O2103=$Q$7,$B2103&lt;'111'!$L$11),"x","")</f>
        <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row>
    <row r="2104" spans="1:30" ht="15.75" customHeight="1">
      <c r="A2104" s="327" t="str">
        <f>IF(B2104&lt;&gt;"",IF(AND(B2104='IN-TC'!$S$4,OR(TH!N2104="1111",TH!O2104="1111")),TH!D2104,""),"")</f>
        <v/>
      </c>
      <c r="B2104" s="62" t="str">
        <f t="shared" si="368"/>
        <v/>
      </c>
      <c r="C2104" s="63"/>
      <c r="D2104" s="63"/>
      <c r="E2104" s="63"/>
      <c r="F2104" s="71"/>
      <c r="G2104" s="816"/>
      <c r="H2104" s="71"/>
      <c r="I2104" s="405"/>
      <c r="J2104" s="405"/>
      <c r="K2104" s="398"/>
      <c r="L2104" s="405"/>
      <c r="M2104" s="64"/>
      <c r="N2104" s="65"/>
      <c r="O2104" s="65"/>
      <c r="P2104" s="81" t="str">
        <f>IF(AND('331-CT'!$E$7=TH!H2104,OR(N2104="331",O2104="331")),"x","")</f>
        <v/>
      </c>
      <c r="Q2104" s="81" t="str">
        <f>IF(AND(B2104='111'!$L$11,OR($N2104=$Q$7,$O2104=$Q$7)),"x","")</f>
        <v/>
      </c>
      <c r="R2104" s="81" t="str">
        <f>IF(AND($N2104=$Q$7,$B2104&lt;'111'!$L$11),"x","")</f>
        <v/>
      </c>
      <c r="S2104" s="81" t="str">
        <f>IF(AND($O2104=$Q$7,$B2104&lt;'111'!$L$11),"x","")</f>
        <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row>
    <row r="2105" spans="1:30" ht="15.75" customHeight="1">
      <c r="A2105" s="327" t="str">
        <f>IF(B2105&lt;&gt;"",IF(AND(B2105='IN-TC'!$S$4,OR(TH!N2105="1111",TH!O2105="1111")),TH!D2105,""),"")</f>
        <v/>
      </c>
      <c r="B2105" s="62" t="str">
        <f t="shared" si="368"/>
        <v/>
      </c>
      <c r="C2105" s="63"/>
      <c r="D2105" s="63"/>
      <c r="E2105" s="63"/>
      <c r="F2105" s="71"/>
      <c r="G2105" s="816"/>
      <c r="H2105" s="71"/>
      <c r="I2105" s="405"/>
      <c r="J2105" s="405"/>
      <c r="K2105" s="398"/>
      <c r="L2105" s="405"/>
      <c r="M2105" s="64"/>
      <c r="N2105" s="65"/>
      <c r="O2105" s="65"/>
      <c r="P2105" s="81" t="str">
        <f>IF(AND('331-CT'!$E$7=TH!H2105,OR(N2105="331",O2105="331")),"x","")</f>
        <v/>
      </c>
      <c r="Q2105" s="81" t="str">
        <f>IF(AND(B2105='111'!$L$11,OR($N2105=$Q$7,$O2105=$Q$7)),"x","")</f>
        <v/>
      </c>
      <c r="R2105" s="81" t="str">
        <f>IF(AND($N2105=$Q$7,$B2105&lt;'111'!$L$11),"x","")</f>
        <v/>
      </c>
      <c r="S2105" s="81" t="str">
        <f>IF(AND($O2105=$Q$7,$B2105&lt;'111'!$L$11),"x","")</f>
        <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row>
    <row r="2106" spans="1:30" ht="15.75" customHeight="1">
      <c r="A2106" s="327" t="str">
        <f>IF(B2106&lt;&gt;"",IF(AND(B2106='IN-TC'!$S$4,OR(TH!N2106="1111",TH!O2106="1111")),TH!D2106,""),"")</f>
        <v/>
      </c>
      <c r="B2106" s="62" t="str">
        <f t="shared" si="368"/>
        <v/>
      </c>
      <c r="C2106" s="63"/>
      <c r="D2106" s="63"/>
      <c r="E2106" s="63"/>
      <c r="F2106" s="71"/>
      <c r="G2106" s="816"/>
      <c r="H2106" s="71"/>
      <c r="I2106" s="405"/>
      <c r="J2106" s="405"/>
      <c r="K2106" s="398"/>
      <c r="L2106" s="405"/>
      <c r="M2106" s="64"/>
      <c r="N2106" s="65"/>
      <c r="O2106" s="65"/>
      <c r="P2106" s="81" t="str">
        <f>IF(AND('331-CT'!$E$7=TH!H2106,OR(N2106="331",O2106="331")),"x","")</f>
        <v/>
      </c>
      <c r="Q2106" s="81" t="str">
        <f>IF(AND(B2106='111'!$L$11,OR($N2106=$Q$7,$O2106=$Q$7)),"x","")</f>
        <v/>
      </c>
      <c r="R2106" s="81" t="str">
        <f>IF(AND($N2106=$Q$7,$B2106&lt;'111'!$L$11),"x","")</f>
        <v/>
      </c>
      <c r="S2106" s="81" t="str">
        <f>IF(AND($O2106=$Q$7,$B2106&lt;'111'!$L$11),"x","")</f>
        <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row>
    <row r="2107" spans="1:30" ht="15.75" customHeight="1">
      <c r="A2107" s="327" t="str">
        <f>IF(B2107&lt;&gt;"",IF(AND(B2107='IN-TC'!$S$4,OR(TH!N2107="1111",TH!O2107="1111")),TH!D2107,""),"")</f>
        <v/>
      </c>
      <c r="B2107" s="62" t="str">
        <f t="shared" si="368"/>
        <v/>
      </c>
      <c r="C2107" s="63"/>
      <c r="D2107" s="63"/>
      <c r="E2107" s="63"/>
      <c r="F2107" s="71"/>
      <c r="G2107" s="816"/>
      <c r="H2107" s="71"/>
      <c r="I2107" s="405"/>
      <c r="J2107" s="405"/>
      <c r="K2107" s="398"/>
      <c r="L2107" s="405"/>
      <c r="M2107" s="64"/>
      <c r="N2107" s="65"/>
      <c r="O2107" s="65"/>
      <c r="P2107" s="81" t="str">
        <f>IF(AND('331-CT'!$E$7=TH!H2107,OR(N2107="331",O2107="331")),"x","")</f>
        <v/>
      </c>
      <c r="Q2107" s="81" t="str">
        <f>IF(AND(B2107='111'!$L$11,OR($N2107=$Q$7,$O2107=$Q$7)),"x","")</f>
        <v/>
      </c>
      <c r="R2107" s="81" t="str">
        <f>IF(AND($N2107=$Q$7,$B2107&lt;'111'!$L$11),"x","")</f>
        <v/>
      </c>
      <c r="S2107" s="81" t="str">
        <f>IF(AND($O2107=$Q$7,$B2107&lt;'111'!$L$11),"x","")</f>
        <v/>
      </c>
      <c r="T2107" s="81" t="str">
        <f>IF(ISERROR(FIND('112'!$M$9,G2107,1)),"",IF((AND(FIND('112'!$M$9,G2107,1)&gt;=1,B2107='112'!$K$9,OR($N2107='112'!$I$6,$O2107='112'!$I$6))),"x",""))</f>
        <v/>
      </c>
      <c r="U2107" s="81" t="str">
        <f>IF(ISERROR(FIND('112'!$M$9,G2107,1)),"",IF((AND(LEFT(G2107,2)=LEFT('112'!$M$9,2),B2107&lt;'112'!$K$9,$N2107='112'!$I$6)),"x",""))</f>
        <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row>
    <row r="2108" spans="1:30" ht="15.75" customHeight="1">
      <c r="A2108" s="327" t="str">
        <f>IF(B2108&lt;&gt;"",IF(AND(B2108='IN-TC'!$S$4,OR(TH!N2108="1111",TH!O2108="1111")),TH!D2108,""),"")</f>
        <v/>
      </c>
      <c r="B2108" s="62" t="str">
        <f t="shared" si="368"/>
        <v/>
      </c>
      <c r="C2108" s="63"/>
      <c r="D2108" s="63"/>
      <c r="E2108" s="63"/>
      <c r="F2108" s="71"/>
      <c r="G2108" s="816"/>
      <c r="H2108" s="71"/>
      <c r="I2108" s="405"/>
      <c r="J2108" s="405"/>
      <c r="K2108" s="398"/>
      <c r="L2108" s="405"/>
      <c r="M2108" s="64"/>
      <c r="N2108" s="312"/>
      <c r="O2108" s="65"/>
      <c r="P2108" s="81" t="str">
        <f>IF(AND('331-CT'!$E$7=TH!H2108,OR(N2108="331",O2108="331")),"x","")</f>
        <v/>
      </c>
      <c r="Q2108" s="81" t="str">
        <f>IF(AND(B2108='111'!$L$11,OR($N2108=$Q$7,$O2108=$Q$7)),"x","")</f>
        <v/>
      </c>
      <c r="R2108" s="81" t="str">
        <f>IF(AND($N2108=$Q$7,$B2108&lt;'111'!$L$11),"x","")</f>
        <v/>
      </c>
      <c r="S2108" s="81" t="str">
        <f>IF(AND($O2108=$Q$7,$B2108&lt;'111'!$L$11),"x","")</f>
        <v/>
      </c>
      <c r="T2108" s="81" t="str">
        <f>IF(ISERROR(FIND('112'!$M$9,G2108,1)),"",IF((AND(FIND('112'!$M$9,G2108,1)&gt;=1,B2108='112'!$K$9,OR($N2108='112'!$I$6,$O2108='112'!$I$6))),"x",""))</f>
        <v/>
      </c>
      <c r="U2108" s="81" t="str">
        <f>IF(ISERROR(FIND('112'!$M$9,G2108,1)),"",IF((AND(LEFT(G2108,2)=LEFT('112'!$M$9,2),B2108&lt;'112'!$K$9,$N2108='112'!$I$6)),"x",""))</f>
        <v/>
      </c>
      <c r="V2108" s="81" t="str">
        <f>IF(ISERROR(FIND('112'!$M$9,G2108,1)),"",IF((AND(RIGHT(G2108,2)=RIGHT('112'!$M$9,2),B2108&lt;'112'!$K$9,$O2108='112'!$I$6)),"x",""))</f>
        <v/>
      </c>
      <c r="W2108" s="81" t="str">
        <f>IF(AND('341-CT'!$H$9=H2108,OR(LEFT(N2108,3)=$W$7,LEFT(O2108,3)=$W$7)),"x","")</f>
        <v/>
      </c>
      <c r="X2108" s="81" t="str">
        <f>IF(OR(TH!N2108=TH!$X$7,O2108=TH!$X$7),"x","")</f>
        <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row>
    <row r="2109" spans="1:30" ht="15.75" customHeight="1">
      <c r="A2109" s="327" t="str">
        <f>IF(B2109&lt;&gt;"",IF(AND(B2109='IN-TC'!$S$4,OR(TH!N2109="1111",TH!O2109="1111")),TH!D2109,""),"")</f>
        <v/>
      </c>
      <c r="B2109" s="62" t="str">
        <f t="shared" si="368"/>
        <v/>
      </c>
      <c r="C2109" s="63"/>
      <c r="D2109" s="63"/>
      <c r="E2109" s="63"/>
      <c r="F2109" s="71"/>
      <c r="G2109" s="816"/>
      <c r="H2109" s="71"/>
      <c r="I2109" s="405"/>
      <c r="J2109" s="405"/>
      <c r="K2109" s="398"/>
      <c r="L2109" s="405"/>
      <c r="M2109" s="64"/>
      <c r="N2109" s="312"/>
      <c r="O2109" s="65"/>
      <c r="P2109" s="81" t="str">
        <f>IF(AND('331-CT'!$E$7=TH!H2109,OR(N2109="331",O2109="331")),"x","")</f>
        <v/>
      </c>
      <c r="Q2109" s="81" t="str">
        <f>IF(AND(B2109='111'!$L$11,OR($N2109=$Q$7,$O2109=$Q$7)),"x","")</f>
        <v/>
      </c>
      <c r="R2109" s="81" t="str">
        <f>IF(AND($N2109=$Q$7,$B2109&lt;'111'!$L$11),"x","")</f>
        <v/>
      </c>
      <c r="S2109" s="81" t="str">
        <f>IF(AND($O2109=$Q$7,$B2109&lt;'111'!$L$11),"x","")</f>
        <v/>
      </c>
      <c r="T2109" s="81" t="str">
        <f>IF(ISERROR(FIND('112'!$M$9,G2109,1)),"",IF((AND(FIND('112'!$M$9,G2109,1)&gt;=1,B2109='112'!$K$9,OR($N2109='112'!$I$6,$O2109='112'!$I$6))),"x",""))</f>
        <v/>
      </c>
      <c r="U2109" s="81" t="str">
        <f>IF(ISERROR(FIND('112'!$M$9,G2109,1)),"",IF((AND(LEFT(G2109,2)=LEFT('112'!$M$9,2),B2109&lt;'112'!$K$9,$N2109='112'!$I$6)),"x",""))</f>
        <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row>
    <row r="2110" spans="1:30" ht="15.75" customHeight="1">
      <c r="A2110" s="327" t="str">
        <f>IF(B2110&lt;&gt;"",IF(AND(B2110='IN-TC'!$S$4,OR(TH!N2110="1111",TH!O2110="1111")),TH!D2110,""),"")</f>
        <v/>
      </c>
      <c r="B2110" s="62" t="str">
        <f t="shared" si="368"/>
        <v/>
      </c>
      <c r="C2110" s="63"/>
      <c r="D2110" s="63"/>
      <c r="E2110" s="63"/>
      <c r="F2110" s="71"/>
      <c r="G2110" s="816"/>
      <c r="H2110" s="71"/>
      <c r="I2110" s="405"/>
      <c r="J2110" s="405"/>
      <c r="K2110" s="398"/>
      <c r="L2110" s="405"/>
      <c r="M2110" s="64"/>
      <c r="N2110" s="312"/>
      <c r="O2110" s="65"/>
      <c r="P2110" s="81" t="str">
        <f>IF(AND('331-CT'!$E$7=TH!H2110,OR(N2110="331",O2110="331")),"x","")</f>
        <v/>
      </c>
      <c r="Q2110" s="81" t="str">
        <f>IF(AND(B2110='111'!$L$11,OR($N2110=$Q$7,$O2110=$Q$7)),"x","")</f>
        <v/>
      </c>
      <c r="R2110" s="81" t="str">
        <f>IF(AND($N2110=$Q$7,$B2110&lt;'111'!$L$11),"x","")</f>
        <v/>
      </c>
      <c r="S2110" s="81" t="str">
        <f>IF(AND($O2110=$Q$7,$B2110&lt;'111'!$L$11),"x","")</f>
        <v/>
      </c>
      <c r="T2110" s="81" t="str">
        <f>IF(ISERROR(FIND('112'!$M$9,G2110,1)),"",IF((AND(FIND('112'!$M$9,G2110,1)&gt;=1,B2110='112'!$K$9,OR($N2110='112'!$I$6,$O2110='112'!$I$6))),"x",""))</f>
        <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row>
    <row r="2111" spans="1:30" ht="15.75" customHeight="1">
      <c r="A2111" s="327" t="str">
        <f>IF(B2111&lt;&gt;"",IF(AND(B2111='IN-TC'!$S$4,OR(TH!N2111="1111",TH!O2111="1111")),TH!D2111,""),"")</f>
        <v/>
      </c>
      <c r="B2111" s="62" t="str">
        <f t="shared" si="368"/>
        <v/>
      </c>
      <c r="C2111" s="63"/>
      <c r="D2111" s="63"/>
      <c r="E2111" s="63"/>
      <c r="F2111" s="71"/>
      <c r="G2111" s="816"/>
      <c r="H2111" s="71"/>
      <c r="I2111" s="405"/>
      <c r="J2111" s="405"/>
      <c r="K2111" s="398"/>
      <c r="L2111" s="405"/>
      <c r="M2111" s="64"/>
      <c r="N2111" s="65"/>
      <c r="O2111" s="65"/>
      <c r="P2111" s="81" t="str">
        <f>IF(AND('331-CT'!$E$7=TH!H2111,OR(N2111="331",O2111="331")),"x","")</f>
        <v/>
      </c>
      <c r="Q2111" s="81" t="str">
        <f>IF(AND(B2111='111'!$L$11,OR($N2111=$Q$7,$O2111=$Q$7)),"x","")</f>
        <v/>
      </c>
      <c r="R2111" s="81" t="str">
        <f>IF(AND($N2111=$Q$7,$B2111&lt;'111'!$L$11),"x","")</f>
        <v/>
      </c>
      <c r="S2111" s="81" t="str">
        <f>IF(AND($O2111=$Q$7,$B2111&lt;'111'!$L$11),"x","")</f>
        <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row>
    <row r="2112" spans="1:30" ht="15.75" customHeight="1">
      <c r="A2112" s="327" t="str">
        <f>IF(B2112&lt;&gt;"",IF(AND(B2112='IN-TC'!$S$4,OR(TH!N2112="1111",TH!O2112="1111")),TH!D2112,""),"")</f>
        <v/>
      </c>
      <c r="B2112" s="62" t="str">
        <f t="shared" si="368"/>
        <v/>
      </c>
      <c r="C2112" s="63"/>
      <c r="D2112" s="63"/>
      <c r="E2112" s="63"/>
      <c r="F2112" s="71"/>
      <c r="G2112" s="816"/>
      <c r="H2112" s="71"/>
      <c r="I2112" s="405"/>
      <c r="J2112" s="405"/>
      <c r="K2112" s="398"/>
      <c r="L2112" s="405"/>
      <c r="M2112" s="64"/>
      <c r="N2112" s="65"/>
      <c r="O2112" s="65"/>
      <c r="P2112" s="81" t="str">
        <f>IF(AND('331-CT'!$E$7=TH!H2112,OR(N2112="331",O2112="331")),"x","")</f>
        <v/>
      </c>
      <c r="Q2112" s="81" t="str">
        <f>IF(AND(B2112='111'!$L$11,OR($N2112=$Q$7,$O2112=$Q$7)),"x","")</f>
        <v/>
      </c>
      <c r="R2112" s="81" t="str">
        <f>IF(AND($N2112=$Q$7,$B2112&lt;'111'!$L$11),"x","")</f>
        <v/>
      </c>
      <c r="S2112" s="81" t="str">
        <f>IF(AND($O2112=$Q$7,$B2112&lt;'111'!$L$11),"x","")</f>
        <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row>
    <row r="2113" spans="1:30" ht="15.75" customHeight="1">
      <c r="A2113" s="327" t="str">
        <f>IF(B2113&lt;&gt;"",IF(AND(B2113='IN-TC'!$S$4,OR(TH!N2113="1111",TH!O2113="1111")),TH!D2113,""),"")</f>
        <v/>
      </c>
      <c r="B2113" s="62" t="str">
        <f t="shared" si="368"/>
        <v/>
      </c>
      <c r="C2113" s="63"/>
      <c r="D2113" s="63"/>
      <c r="E2113" s="63"/>
      <c r="F2113" s="71"/>
      <c r="G2113" s="816"/>
      <c r="H2113" s="71"/>
      <c r="I2113" s="405"/>
      <c r="J2113" s="405"/>
      <c r="K2113" s="398"/>
      <c r="L2113" s="405"/>
      <c r="M2113" s="64"/>
      <c r="N2113" s="65"/>
      <c r="O2113" s="65"/>
      <c r="P2113" s="81" t="str">
        <f>IF(AND('331-CT'!$E$7=TH!H2113,OR(N2113="331",O2113="331")),"x","")</f>
        <v/>
      </c>
      <c r="Q2113" s="81" t="str">
        <f>IF(AND(B2113='111'!$L$11,OR($N2113=$Q$7,$O2113=$Q$7)),"x","")</f>
        <v/>
      </c>
      <c r="R2113" s="81" t="str">
        <f>IF(AND($N2113=$Q$7,$B2113&lt;'111'!$L$11),"x","")</f>
        <v/>
      </c>
      <c r="S2113" s="81" t="str">
        <f>IF(AND($O2113=$Q$7,$B2113&lt;'111'!$L$11),"x","")</f>
        <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row>
    <row r="2114" spans="1:30" ht="15.75" customHeight="1">
      <c r="A2114" s="327" t="str">
        <f>IF(B2114&lt;&gt;"",IF(AND(B2114='IN-TC'!$S$4,OR(TH!N2114="1111",TH!O2114="1111")),TH!D2114,""),"")</f>
        <v/>
      </c>
      <c r="B2114" s="62" t="str">
        <f t="shared" si="368"/>
        <v/>
      </c>
      <c r="C2114" s="63"/>
      <c r="D2114" s="309"/>
      <c r="E2114" s="309"/>
      <c r="F2114" s="71"/>
      <c r="G2114" s="819"/>
      <c r="H2114" s="311"/>
      <c r="I2114" s="405"/>
      <c r="J2114" s="405"/>
      <c r="K2114" s="398"/>
      <c r="L2114" s="405"/>
      <c r="M2114" s="64"/>
      <c r="N2114" s="312"/>
      <c r="O2114" s="65"/>
      <c r="P2114" s="81" t="str">
        <f>IF(AND('331-CT'!$E$7=TH!H2114,OR(N2114="331",O2114="331")),"x","")</f>
        <v/>
      </c>
      <c r="Q2114" s="81" t="str">
        <f>IF(AND(B2114='111'!$L$11,OR($N2114=$Q$7,$O2114=$Q$7)),"x","")</f>
        <v/>
      </c>
      <c r="R2114" s="81" t="str">
        <f>IF(AND($N2114=$Q$7,$B2114&lt;'111'!$L$11),"x","")</f>
        <v/>
      </c>
      <c r="S2114" s="81" t="str">
        <f>IF(AND($O2114=$Q$7,$B2114&lt;'111'!$L$11),"x","")</f>
        <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row>
    <row r="2115" spans="1:30" ht="15.75" customHeight="1">
      <c r="A2115" s="327" t="str">
        <f>IF(B2115&lt;&gt;"",IF(AND(B2115='IN-TC'!$S$4,OR(TH!N2115="1111",TH!O2115="1111")),TH!D2115,""),"")</f>
        <v/>
      </c>
      <c r="B2115" s="62" t="str">
        <f t="shared" si="368"/>
        <v/>
      </c>
      <c r="C2115" s="63"/>
      <c r="D2115" s="309"/>
      <c r="E2115" s="309"/>
      <c r="F2115" s="71"/>
      <c r="G2115" s="819"/>
      <c r="H2115" s="311"/>
      <c r="I2115" s="405"/>
      <c r="J2115" s="405"/>
      <c r="K2115" s="398"/>
      <c r="L2115" s="405"/>
      <c r="M2115" s="64"/>
      <c r="N2115" s="312"/>
      <c r="O2115" s="65"/>
      <c r="P2115" s="81" t="str">
        <f>IF(AND('331-CT'!$E$7=TH!H2115,OR(N2115="331",O2115="331")),"x","")</f>
        <v/>
      </c>
      <c r="Q2115" s="81" t="str">
        <f>IF(AND(B2115='111'!$L$11,OR($N2115=$Q$7,$O2115=$Q$7)),"x","")</f>
        <v/>
      </c>
      <c r="R2115" s="81" t="str">
        <f>IF(AND($N2115=$Q$7,$B2115&lt;'111'!$L$11),"x","")</f>
        <v/>
      </c>
      <c r="S2115" s="81" t="str">
        <f>IF(AND($O2115=$Q$7,$B2115&lt;'111'!$L$11),"x","")</f>
        <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row>
    <row r="2116" spans="1:30" ht="15.75" customHeight="1">
      <c r="A2116" s="327" t="str">
        <f>IF(B2116&lt;&gt;"",IF(AND(B2116='IN-TC'!$S$4,OR(TH!N2116="1111",TH!O2116="1111")),TH!D2116,""),"")</f>
        <v/>
      </c>
      <c r="B2116" s="62" t="str">
        <f t="shared" si="368"/>
        <v/>
      </c>
      <c r="C2116" s="63"/>
      <c r="D2116" s="309"/>
      <c r="E2116" s="309"/>
      <c r="F2116" s="71"/>
      <c r="G2116" s="819"/>
      <c r="H2116" s="311"/>
      <c r="I2116" s="405"/>
      <c r="J2116" s="405"/>
      <c r="K2116" s="398"/>
      <c r="L2116" s="405"/>
      <c r="M2116" s="64"/>
      <c r="N2116" s="312"/>
      <c r="O2116" s="65"/>
      <c r="P2116" s="81" t="str">
        <f>IF(AND('331-CT'!$E$7=TH!H2116,OR(N2116="331",O2116="331")),"x","")</f>
        <v/>
      </c>
      <c r="Q2116" s="81" t="str">
        <f>IF(AND(B2116='111'!$L$11,OR($N2116=$Q$7,$O2116=$Q$7)),"x","")</f>
        <v/>
      </c>
      <c r="R2116" s="81" t="str">
        <f>IF(AND($N2116=$Q$7,$B2116&lt;'111'!$L$11),"x","")</f>
        <v/>
      </c>
      <c r="S2116" s="81" t="str">
        <f>IF(AND($O2116=$Q$7,$B2116&lt;'111'!$L$11),"x","")</f>
        <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0" ht="15.75" customHeight="1">
      <c r="A2117" s="327" t="str">
        <f>IF(B2117&lt;&gt;"",IF(AND(B2117='IN-TC'!$S$4,OR(TH!N2117="1111",TH!O2117="1111")),TH!D2117,""),"")</f>
        <v/>
      </c>
      <c r="B2117" s="62" t="str">
        <f t="shared" si="368"/>
        <v/>
      </c>
      <c r="C2117" s="63"/>
      <c r="D2117" s="309"/>
      <c r="E2117" s="309"/>
      <c r="F2117" s="71"/>
      <c r="G2117" s="819"/>
      <c r="H2117" s="311"/>
      <c r="I2117" s="405"/>
      <c r="J2117" s="405"/>
      <c r="K2117" s="398"/>
      <c r="L2117" s="405"/>
      <c r="M2117" s="64"/>
      <c r="N2117" s="312"/>
      <c r="O2117" s="65"/>
      <c r="P2117" s="81" t="str">
        <f>IF(AND('331-CT'!$E$7=TH!H2117,OR(N2117="331",O2117="331")),"x","")</f>
        <v/>
      </c>
      <c r="Q2117" s="81" t="str">
        <f>IF(AND(B2117='111'!$L$11,OR($N2117=$Q$7,$O2117=$Q$7)),"x","")</f>
        <v/>
      </c>
      <c r="R2117" s="81" t="str">
        <f>IF(AND($N2117=$Q$7,$B2117&lt;'111'!$L$11),"x","")</f>
        <v/>
      </c>
      <c r="S2117" s="81" t="str">
        <f>IF(AND($O2117=$Q$7,$B2117&lt;'111'!$L$11),"x","")</f>
        <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row>
    <row r="2118" spans="1:30" ht="15.75" customHeight="1">
      <c r="A2118" s="327" t="str">
        <f>IF(B2118&lt;&gt;"",IF(AND(B2118='IN-TC'!$S$4,OR(TH!N2118="1111",TH!O2118="1111")),TH!D2118,""),"")</f>
        <v/>
      </c>
      <c r="B2118" s="62" t="str">
        <f t="shared" si="368"/>
        <v/>
      </c>
      <c r="C2118" s="63"/>
      <c r="D2118" s="309"/>
      <c r="E2118" s="309"/>
      <c r="F2118" s="71"/>
      <c r="G2118" s="819"/>
      <c r="H2118" s="311"/>
      <c r="I2118" s="405"/>
      <c r="J2118" s="405"/>
      <c r="K2118" s="398"/>
      <c r="L2118" s="405"/>
      <c r="M2118" s="64"/>
      <c r="N2118" s="312"/>
      <c r="O2118" s="65"/>
      <c r="P2118" s="81" t="str">
        <f>IF(AND('331-CT'!$E$7=TH!H2118,OR(N2118="331",O2118="331")),"x","")</f>
        <v/>
      </c>
      <c r="Q2118" s="81" t="str">
        <f>IF(AND(B2118='111'!$L$11,OR($N2118=$Q$7,$O2118=$Q$7)),"x","")</f>
        <v/>
      </c>
      <c r="R2118" s="81" t="str">
        <f>IF(AND($N2118=$Q$7,$B2118&lt;'111'!$L$11),"x","")</f>
        <v/>
      </c>
      <c r="S2118" s="81" t="str">
        <f>IF(AND($O2118=$Q$7,$B2118&lt;'111'!$L$11),"x","")</f>
        <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row>
    <row r="2119" spans="1:30" ht="15.75" customHeight="1">
      <c r="A2119" s="327" t="str">
        <f>IF(B2119&lt;&gt;"",IF(AND(B2119='IN-TC'!$S$4,OR(TH!N2119="1111",TH!O2119="1111")),TH!D2119,""),"")</f>
        <v/>
      </c>
      <c r="B2119" s="62" t="str">
        <f t="shared" si="368"/>
        <v/>
      </c>
      <c r="C2119" s="63"/>
      <c r="D2119" s="309"/>
      <c r="E2119" s="309"/>
      <c r="F2119" s="71"/>
      <c r="G2119" s="819"/>
      <c r="H2119" s="311"/>
      <c r="I2119" s="405"/>
      <c r="J2119" s="405"/>
      <c r="K2119" s="398"/>
      <c r="L2119" s="405"/>
      <c r="M2119" s="64"/>
      <c r="N2119" s="312"/>
      <c r="O2119" s="65"/>
      <c r="P2119" s="81" t="str">
        <f>IF(AND('331-CT'!$E$7=TH!H2119,OR(N2119="331",O2119="331")),"x","")</f>
        <v/>
      </c>
      <c r="Q2119" s="81" t="str">
        <f>IF(AND(B2119='111'!$L$11,OR($N2119=$Q$7,$O2119=$Q$7)),"x","")</f>
        <v/>
      </c>
      <c r="R2119" s="81" t="str">
        <f>IF(AND($N2119=$Q$7,$B2119&lt;'111'!$L$11),"x","")</f>
        <v/>
      </c>
      <c r="S2119" s="81" t="str">
        <f>IF(AND($O2119=$Q$7,$B2119&lt;'111'!$L$11),"x","")</f>
        <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row>
    <row r="2120" spans="1:30" ht="15.75" customHeight="1">
      <c r="A2120" s="327" t="str">
        <f>IF(B2120&lt;&gt;"",IF(AND(B2120='IN-TC'!$S$4,OR(TH!N2120="1111",TH!O2120="1111")),TH!D2120,""),"")</f>
        <v/>
      </c>
      <c r="B2120" s="62" t="str">
        <f t="shared" si="368"/>
        <v/>
      </c>
      <c r="C2120" s="309"/>
      <c r="D2120" s="309"/>
      <c r="E2120" s="309"/>
      <c r="F2120" s="71"/>
      <c r="G2120" s="819"/>
      <c r="H2120" s="311"/>
      <c r="I2120" s="405"/>
      <c r="J2120" s="405"/>
      <c r="K2120" s="398"/>
      <c r="L2120" s="405"/>
      <c r="M2120" s="64"/>
      <c r="N2120" s="65"/>
      <c r="O2120" s="65"/>
      <c r="P2120" s="81" t="str">
        <f>IF(AND('331-CT'!$E$7=TH!H2120,OR(N2120="331",O2120="331")),"x","")</f>
        <v/>
      </c>
      <c r="Q2120" s="81" t="str">
        <f>IF(AND(B2120='111'!$L$11,OR($N2120=$Q$7,$O2120=$Q$7)),"x","")</f>
        <v/>
      </c>
      <c r="R2120" s="81" t="str">
        <f>IF(AND($N2120=$Q$7,$B2120&lt;'111'!$L$11),"x","")</f>
        <v/>
      </c>
      <c r="S2120" s="81" t="str">
        <f>IF(AND($O2120=$Q$7,$B2120&lt;'111'!$L$11),"x","")</f>
        <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row>
    <row r="2121" spans="1:30" ht="15.75" customHeight="1">
      <c r="A2121" s="327" t="str">
        <f>IF(B2121&lt;&gt;"",IF(AND(B2121='IN-TC'!$S$4,OR(TH!N2121="1111",TH!O2121="1111")),TH!D2121,""),"")</f>
        <v/>
      </c>
      <c r="B2121" s="62" t="str">
        <f t="shared" si="368"/>
        <v/>
      </c>
      <c r="C2121" s="309"/>
      <c r="D2121" s="309"/>
      <c r="E2121" s="309"/>
      <c r="F2121" s="71"/>
      <c r="G2121" s="819"/>
      <c r="H2121" s="311"/>
      <c r="I2121" s="405"/>
      <c r="J2121" s="405"/>
      <c r="K2121" s="398"/>
      <c r="L2121" s="405"/>
      <c r="M2121" s="64"/>
      <c r="N2121" s="312"/>
      <c r="O2121" s="65"/>
      <c r="P2121" s="81" t="str">
        <f>IF(AND('331-CT'!$E$7=TH!H2121,OR(N2121="331",O2121="331")),"x","")</f>
        <v/>
      </c>
      <c r="Q2121" s="81" t="str">
        <f>IF(AND(B2121='111'!$L$11,OR($N2121=$Q$7,$O2121=$Q$7)),"x","")</f>
        <v/>
      </c>
      <c r="R2121" s="81" t="str">
        <f>IF(AND($N2121=$Q$7,$B2121&lt;'111'!$L$11),"x","")</f>
        <v/>
      </c>
      <c r="S2121" s="81" t="str">
        <f>IF(AND($O2121=$Q$7,$B2121&lt;'111'!$L$11),"x","")</f>
        <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row>
    <row r="2122" spans="1:30" ht="15.75" customHeight="1">
      <c r="A2122" s="327" t="str">
        <f>IF(B2122&lt;&gt;"",IF(AND(B2122='IN-TC'!$S$4,OR(TH!N2122="1111",TH!O2122="1111")),TH!D2122,""),"")</f>
        <v/>
      </c>
      <c r="B2122" s="62" t="str">
        <f t="shared" si="368"/>
        <v/>
      </c>
      <c r="C2122" s="309"/>
      <c r="D2122" s="309"/>
      <c r="E2122" s="309"/>
      <c r="F2122" s="71"/>
      <c r="G2122" s="819"/>
      <c r="H2122" s="311"/>
      <c r="I2122" s="405"/>
      <c r="J2122" s="405"/>
      <c r="K2122" s="398"/>
      <c r="L2122" s="405"/>
      <c r="M2122" s="64"/>
      <c r="N2122" s="65"/>
      <c r="O2122" s="65"/>
      <c r="P2122" s="81" t="str">
        <f>IF(AND('331-CT'!$E$7=TH!H2122,OR(N2122="331",O2122="331")),"x","")</f>
        <v/>
      </c>
      <c r="Q2122" s="81" t="str">
        <f>IF(AND(B2122='111'!$L$11,OR($N2122=$Q$7,$O2122=$Q$7)),"x","")</f>
        <v/>
      </c>
      <c r="R2122" s="81" t="str">
        <f>IF(AND($N2122=$Q$7,$B2122&lt;'111'!$L$11),"x","")</f>
        <v/>
      </c>
      <c r="S2122" s="81" t="str">
        <f>IF(AND($O2122=$Q$7,$B2122&lt;'111'!$L$11),"x","")</f>
        <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row>
    <row r="2123" spans="1:30" ht="15.75" customHeight="1">
      <c r="A2123" s="327" t="str">
        <f>IF(B2123&lt;&gt;"",IF(AND(B2123='IN-TC'!$S$4,OR(TH!N2123="1111",TH!O2123="1111")),TH!D2123,""),"")</f>
        <v/>
      </c>
      <c r="B2123" s="62" t="str">
        <f t="shared" si="368"/>
        <v/>
      </c>
      <c r="C2123" s="309"/>
      <c r="D2123" s="309"/>
      <c r="E2123" s="309"/>
      <c r="F2123" s="71"/>
      <c r="G2123" s="819"/>
      <c r="H2123" s="311"/>
      <c r="I2123" s="405"/>
      <c r="J2123" s="405"/>
      <c r="K2123" s="398"/>
      <c r="L2123" s="405"/>
      <c r="M2123" s="64"/>
      <c r="N2123" s="65"/>
      <c r="O2123" s="65"/>
      <c r="P2123" s="81" t="str">
        <f>IF(AND('331-CT'!$E$7=TH!H2123,OR(N2123="331",O2123="331")),"x","")</f>
        <v/>
      </c>
      <c r="Q2123" s="81" t="str">
        <f>IF(AND(B2123='111'!$L$11,OR($N2123=$Q$7,$O2123=$Q$7)),"x","")</f>
        <v/>
      </c>
      <c r="R2123" s="81" t="str">
        <f>IF(AND($N2123=$Q$7,$B2123&lt;'111'!$L$11),"x","")</f>
        <v/>
      </c>
      <c r="S2123" s="81" t="str">
        <f>IF(AND($O2123=$Q$7,$B2123&lt;'111'!$L$11),"x","")</f>
        <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row>
    <row r="2124" spans="1:30" ht="15.75" customHeight="1">
      <c r="A2124" s="327" t="str">
        <f>IF(B2124&lt;&gt;"",IF(AND(B2124='IN-TC'!$S$4,OR(TH!N2124="1111",TH!O2124="1111")),TH!D2124,""),"")</f>
        <v/>
      </c>
      <c r="B2124" s="62" t="str">
        <f t="shared" si="368"/>
        <v/>
      </c>
      <c r="C2124" s="309"/>
      <c r="D2124" s="309"/>
      <c r="E2124" s="309"/>
      <c r="F2124" s="71"/>
      <c r="G2124" s="819"/>
      <c r="H2124" s="311"/>
      <c r="I2124" s="405"/>
      <c r="J2124" s="405"/>
      <c r="K2124" s="398"/>
      <c r="L2124" s="405"/>
      <c r="M2124" s="64"/>
      <c r="N2124" s="312"/>
      <c r="O2124" s="65"/>
      <c r="P2124" s="81" t="str">
        <f>IF(AND('331-CT'!$E$7=TH!H2124,OR(N2124="331",O2124="331")),"x","")</f>
        <v/>
      </c>
      <c r="Q2124" s="81" t="str">
        <f>IF(AND(B2124='111'!$L$11,OR($N2124=$Q$7,$O2124=$Q$7)),"x","")</f>
        <v/>
      </c>
      <c r="R2124" s="81" t="str">
        <f>IF(AND($N2124=$Q$7,$B2124&lt;'111'!$L$11),"x","")</f>
        <v/>
      </c>
      <c r="S2124" s="81" t="str">
        <f>IF(AND($O2124=$Q$7,$B2124&lt;'111'!$L$11),"x","")</f>
        <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row>
    <row r="2125" spans="1:30" ht="15.75" customHeight="1">
      <c r="A2125" s="327" t="str">
        <f>IF(B2125&lt;&gt;"",IF(AND(B2125='IN-TC'!$S$4,OR(TH!N2125="1111",TH!O2125="1111")),TH!D2125,""),"")</f>
        <v/>
      </c>
      <c r="B2125" s="62" t="str">
        <f t="shared" si="368"/>
        <v/>
      </c>
      <c r="C2125" s="309"/>
      <c r="D2125" s="309"/>
      <c r="E2125" s="309"/>
      <c r="F2125" s="71"/>
      <c r="G2125" s="819"/>
      <c r="H2125" s="311"/>
      <c r="I2125" s="405"/>
      <c r="J2125" s="405"/>
      <c r="K2125" s="398"/>
      <c r="L2125" s="405"/>
      <c r="M2125" s="64"/>
      <c r="N2125" s="65"/>
      <c r="O2125" s="65"/>
      <c r="P2125" s="81" t="str">
        <f>IF(AND('331-CT'!$E$7=TH!H2125,OR(N2125="331",O2125="331")),"x","")</f>
        <v/>
      </c>
      <c r="Q2125" s="81" t="str">
        <f>IF(AND(B2125='111'!$L$11,OR($N2125=$Q$7,$O2125=$Q$7)),"x","")</f>
        <v/>
      </c>
      <c r="R2125" s="81" t="str">
        <f>IF(AND($N2125=$Q$7,$B2125&lt;'111'!$L$11),"x","")</f>
        <v/>
      </c>
      <c r="S2125" s="81" t="str">
        <f>IF(AND($O2125=$Q$7,$B2125&lt;'111'!$L$11),"x","")</f>
        <v/>
      </c>
      <c r="T2125" s="81" t="str">
        <f>IF(ISERROR(FIND('112'!$M$9,G2125,1)),"",IF((AND(FIND('112'!$M$9,G2125,1)&gt;=1,B2125='112'!$K$9,OR($N2125='112'!$I$6,$O2125='112'!$I$6))),"x",""))</f>
        <v/>
      </c>
      <c r="U2125" s="81" t="str">
        <f>IF(ISERROR(FIND('112'!$M$9,G2125,1)),"",IF((AND(LEFT(G2125,2)=LEFT('112'!$M$9,2),B2125&lt;'112'!$K$9,$N2125='112'!$I$6)),"x",""))</f>
        <v/>
      </c>
      <c r="V2125" s="81" t="str">
        <f>IF(ISERROR(FIND('112'!$M$9,G2125,1)),"",IF((AND(RIGHT(G2125,2)=RIGHT('112'!$M$9,2),B2125&lt;'112'!$K$9,$O2125='112'!$I$6)),"x",""))</f>
        <v/>
      </c>
      <c r="W2125" s="81" t="str">
        <f>IF(AND('341-CT'!$H$9=H2125,OR(LEFT(N2125,3)=$W$7,LEFT(O2125,3)=$W$7)),"x","")</f>
        <v/>
      </c>
      <c r="X2125" s="81" t="str">
        <f>IF(OR(TH!N2125=TH!$X$7,O2125=TH!$X$7),"x","")</f>
        <v/>
      </c>
      <c r="Y2125" s="81" t="str">
        <f>IF(AND(OR(N2125="131",O2125="131"),H2125='131-CT'!$H$9),"x","")</f>
        <v/>
      </c>
      <c r="Z2125" s="81"/>
      <c r="AA2125" s="81" t="str">
        <f>IF(AND(MONTH(E2125)='IN-NX'!$J$5,'IN-NX'!$D$7=D2125),"x","")</f>
        <v/>
      </c>
      <c r="AB2125" s="81" t="str">
        <f>IF(AND(OR(LEFT(TH!N2125,2)="15",LEFT(TH!O2125,2)="15"),LEFT(TH!O2125,3)&lt;&gt;"111",'152-CT'!$J$8=TH!F2125),"x","")</f>
        <v/>
      </c>
      <c r="AC2125" s="81" t="str">
        <f>IF(AND(OR(LEFT(TH!N2125,2)="15",LEFT(TH!O2125,2)="15"),TK!$E$7=TH!F2125),"x","")</f>
        <v/>
      </c>
      <c r="AD2125" s="81" t="str">
        <f>IF(AND(N2125="1521",MONTH(C2125)='BK-NL'!$M$11),"x","")</f>
        <v/>
      </c>
    </row>
    <row r="2126" spans="1:30" ht="15.75" customHeight="1">
      <c r="A2126" s="327" t="str">
        <f>IF(B2126&lt;&gt;"",IF(AND(B2126='IN-TC'!$S$4,OR(TH!N2126="1111",TH!O2126="1111")),TH!D2126,""),"")</f>
        <v/>
      </c>
      <c r="B2126" s="62" t="str">
        <f t="shared" si="368"/>
        <v/>
      </c>
      <c r="C2126" s="309"/>
      <c r="D2126" s="309"/>
      <c r="E2126" s="309"/>
      <c r="F2126" s="71"/>
      <c r="G2126" s="819"/>
      <c r="H2126" s="311"/>
      <c r="I2126" s="405"/>
      <c r="J2126" s="405"/>
      <c r="K2126" s="398"/>
      <c r="L2126" s="405"/>
      <c r="M2126" s="64"/>
      <c r="N2126" s="65"/>
      <c r="O2126" s="65"/>
      <c r="P2126" s="81" t="str">
        <f>IF(AND('331-CT'!$E$7=TH!H2126,OR(N2126="331",O2126="331")),"x","")</f>
        <v/>
      </c>
      <c r="Q2126" s="81" t="str">
        <f>IF(AND(B2126='111'!$L$11,OR($N2126=$Q$7,$O2126=$Q$7)),"x","")</f>
        <v/>
      </c>
      <c r="R2126" s="81" t="str">
        <f>IF(AND($N2126=$Q$7,$B2126&lt;'111'!$L$11),"x","")</f>
        <v/>
      </c>
      <c r="S2126" s="81" t="str">
        <f>IF(AND($O2126=$Q$7,$B2126&lt;'111'!$L$11),"x","")</f>
        <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row>
    <row r="2127" spans="1:30" ht="15.75" customHeight="1">
      <c r="A2127" s="327" t="str">
        <f>IF(B2127&lt;&gt;"",IF(AND(B2127='IN-TC'!$S$4,OR(TH!N2127="1111",TH!O2127="1111")),TH!D2127,""),"")</f>
        <v/>
      </c>
      <c r="B2127" s="62" t="str">
        <f t="shared" si="368"/>
        <v/>
      </c>
      <c r="C2127" s="309"/>
      <c r="D2127" s="309"/>
      <c r="E2127" s="309"/>
      <c r="F2127" s="71"/>
      <c r="G2127" s="819"/>
      <c r="H2127" s="311"/>
      <c r="I2127" s="405"/>
      <c r="J2127" s="405"/>
      <c r="K2127" s="398"/>
      <c r="L2127" s="405"/>
      <c r="M2127" s="64"/>
      <c r="N2127" s="312"/>
      <c r="O2127" s="65"/>
      <c r="P2127" s="81" t="str">
        <f>IF(AND('331-CT'!$E$7=TH!H2127,OR(N2127="331",O2127="331")),"x","")</f>
        <v/>
      </c>
      <c r="Q2127" s="81" t="str">
        <f>IF(AND(B2127='111'!$L$11,OR($N2127=$Q$7,$O2127=$Q$7)),"x","")</f>
        <v/>
      </c>
      <c r="R2127" s="81" t="str">
        <f>IF(AND($N2127=$Q$7,$B2127&lt;'111'!$L$11),"x","")</f>
        <v/>
      </c>
      <c r="S2127" s="81" t="str">
        <f>IF(AND($O2127=$Q$7,$B2127&lt;'111'!$L$11),"x","")</f>
        <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row>
    <row r="2128" spans="1:30" ht="15.75" customHeight="1">
      <c r="A2128" s="327" t="str">
        <f>IF(B2128&lt;&gt;"",IF(AND(B2128='IN-TC'!$S$4,OR(TH!N2128="1111",TH!O2128="1111")),TH!D2128,""),"")</f>
        <v/>
      </c>
      <c r="B2128" s="62" t="str">
        <f t="shared" si="368"/>
        <v/>
      </c>
      <c r="C2128" s="309"/>
      <c r="D2128" s="309"/>
      <c r="E2128" s="309"/>
      <c r="F2128" s="71"/>
      <c r="G2128" s="819"/>
      <c r="H2128" s="311"/>
      <c r="I2128" s="405"/>
      <c r="J2128" s="405"/>
      <c r="K2128" s="398"/>
      <c r="L2128" s="405"/>
      <c r="M2128" s="64"/>
      <c r="N2128" s="312"/>
      <c r="O2128" s="65"/>
      <c r="P2128" s="81" t="str">
        <f>IF(AND('331-CT'!$E$7=TH!H2128,OR(N2128="331",O2128="331")),"x","")</f>
        <v/>
      </c>
      <c r="Q2128" s="81" t="str">
        <f>IF(AND(B2128='111'!$L$11,OR($N2128=$Q$7,$O2128=$Q$7)),"x","")</f>
        <v/>
      </c>
      <c r="R2128" s="81" t="str">
        <f>IF(AND($N2128=$Q$7,$B2128&lt;'111'!$L$11),"x","")</f>
        <v/>
      </c>
      <c r="S2128" s="81" t="str">
        <f>IF(AND($O2128=$Q$7,$B2128&lt;'111'!$L$11),"x","")</f>
        <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row>
    <row r="2129" spans="1:30" ht="15.75" customHeight="1">
      <c r="A2129" s="327" t="str">
        <f>IF(B2129&lt;&gt;"",IF(AND(B2129='IN-TC'!$S$4,OR(TH!N2129="1111",TH!O2129="1111")),TH!D2129,""),"")</f>
        <v/>
      </c>
      <c r="B2129" s="62" t="str">
        <f t="shared" si="368"/>
        <v/>
      </c>
      <c r="C2129" s="309"/>
      <c r="D2129" s="309"/>
      <c r="E2129" s="309"/>
      <c r="F2129" s="71"/>
      <c r="G2129" s="819"/>
      <c r="H2129" s="311"/>
      <c r="I2129" s="405"/>
      <c r="J2129" s="405"/>
      <c r="K2129" s="398"/>
      <c r="L2129" s="405"/>
      <c r="M2129" s="64"/>
      <c r="N2129" s="312"/>
      <c r="O2129" s="65"/>
      <c r="P2129" s="81" t="str">
        <f>IF(AND('331-CT'!$E$7=TH!H2129,OR(N2129="331",O2129="331")),"x","")</f>
        <v/>
      </c>
      <c r="Q2129" s="81" t="str">
        <f>IF(AND(B2129='111'!$L$11,OR($N2129=$Q$7,$O2129=$Q$7)),"x","")</f>
        <v/>
      </c>
      <c r="R2129" s="81" t="str">
        <f>IF(AND($N2129=$Q$7,$B2129&lt;'111'!$L$11),"x","")</f>
        <v/>
      </c>
      <c r="S2129" s="81" t="str">
        <f>IF(AND($O2129=$Q$7,$B2129&lt;'111'!$L$11),"x","")</f>
        <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row>
    <row r="2130" spans="1:30" ht="15.75" customHeight="1">
      <c r="A2130" s="327" t="str">
        <f>IF(B2130&lt;&gt;"",IF(AND(B2130='IN-TC'!$S$4,OR(TH!N2130="1111",TH!O2130="1111")),TH!D2130,""),"")</f>
        <v/>
      </c>
      <c r="B2130" s="62" t="str">
        <f t="shared" si="368"/>
        <v/>
      </c>
      <c r="C2130" s="309"/>
      <c r="D2130" s="309"/>
      <c r="E2130" s="309"/>
      <c r="F2130" s="71"/>
      <c r="G2130" s="819"/>
      <c r="H2130" s="311"/>
      <c r="I2130" s="405"/>
      <c r="J2130" s="405"/>
      <c r="K2130" s="398"/>
      <c r="L2130" s="405"/>
      <c r="M2130" s="64"/>
      <c r="N2130" s="312"/>
      <c r="O2130" s="65"/>
      <c r="P2130" s="81" t="str">
        <f>IF(AND('331-CT'!$E$7=TH!H2130,OR(N2130="331",O2130="331")),"x","")</f>
        <v/>
      </c>
      <c r="Q2130" s="81" t="str">
        <f>IF(AND(B2130='111'!$L$11,OR($N2130=$Q$7,$O2130=$Q$7)),"x","")</f>
        <v/>
      </c>
      <c r="R2130" s="81" t="str">
        <f>IF(AND($N2130=$Q$7,$B2130&lt;'111'!$L$11),"x","")</f>
        <v/>
      </c>
      <c r="S2130" s="81" t="str">
        <f>IF(AND($O2130=$Q$7,$B2130&lt;'111'!$L$11),"x","")</f>
        <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row>
    <row r="2131" spans="1:30" ht="15.75" customHeight="1">
      <c r="A2131" s="327" t="str">
        <f>IF(B2131&lt;&gt;"",IF(AND(B2131='IN-TC'!$S$4,OR(TH!N2131="1111",TH!O2131="1111")),TH!D2131,""),"")</f>
        <v/>
      </c>
      <c r="B2131" s="62" t="str">
        <f t="shared" si="368"/>
        <v/>
      </c>
      <c r="C2131" s="309"/>
      <c r="D2131" s="309"/>
      <c r="E2131" s="309"/>
      <c r="F2131" s="71"/>
      <c r="G2131" s="819"/>
      <c r="H2131" s="311"/>
      <c r="I2131" s="405"/>
      <c r="J2131" s="405"/>
      <c r="K2131" s="398"/>
      <c r="L2131" s="405"/>
      <c r="M2131" s="64"/>
      <c r="N2131" s="312"/>
      <c r="O2131" s="65"/>
      <c r="P2131" s="81" t="str">
        <f>IF(AND('331-CT'!$E$7=TH!H2131,OR(N2131="331",O2131="331")),"x","")</f>
        <v/>
      </c>
      <c r="Q2131" s="81" t="str">
        <f>IF(AND(B2131='111'!$L$11,OR($N2131=$Q$7,$O2131=$Q$7)),"x","")</f>
        <v/>
      </c>
      <c r="R2131" s="81" t="str">
        <f>IF(AND($N2131=$Q$7,$B2131&lt;'111'!$L$11),"x","")</f>
        <v/>
      </c>
      <c r="S2131" s="81" t="str">
        <f>IF(AND($O2131=$Q$7,$B2131&lt;'111'!$L$11),"x","")</f>
        <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row>
    <row r="2132" spans="1:30" ht="15.75" customHeight="1">
      <c r="A2132" s="327" t="str">
        <f>IF(B2132&lt;&gt;"",IF(AND(B2132='IN-TC'!$S$4,OR(TH!N2132="1111",TH!O2132="1111")),TH!D2132,""),"")</f>
        <v/>
      </c>
      <c r="B2132" s="62" t="str">
        <f t="shared" si="368"/>
        <v/>
      </c>
      <c r="C2132" s="309"/>
      <c r="D2132" s="309"/>
      <c r="E2132" s="309"/>
      <c r="F2132" s="71"/>
      <c r="G2132" s="819"/>
      <c r="H2132" s="311"/>
      <c r="I2132" s="405"/>
      <c r="J2132" s="405"/>
      <c r="K2132" s="398"/>
      <c r="L2132" s="405"/>
      <c r="M2132" s="64"/>
      <c r="N2132" s="312"/>
      <c r="O2132" s="65"/>
      <c r="P2132" s="81" t="str">
        <f>IF(AND('331-CT'!$E$7=TH!H2132,OR(N2132="331",O2132="331")),"x","")</f>
        <v/>
      </c>
      <c r="Q2132" s="81" t="str">
        <f>IF(AND(B2132='111'!$L$11,OR($N2132=$Q$7,$O2132=$Q$7)),"x","")</f>
        <v/>
      </c>
      <c r="R2132" s="81" t="str">
        <f>IF(AND($N2132=$Q$7,$B2132&lt;'111'!$L$11),"x","")</f>
        <v/>
      </c>
      <c r="S2132" s="81" t="str">
        <f>IF(AND($O2132=$Q$7,$B2132&lt;'111'!$L$11),"x","")</f>
        <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row>
    <row r="2133" spans="1:30" ht="15.75" customHeight="1">
      <c r="A2133" s="327" t="str">
        <f>IF(B2133&lt;&gt;"",IF(AND(B2133='IN-TC'!$S$4,OR(TH!N2133="1111",TH!O2133="1111")),TH!D2133,""),"")</f>
        <v/>
      </c>
      <c r="B2133" s="62" t="str">
        <f t="shared" si="368"/>
        <v/>
      </c>
      <c r="C2133" s="309"/>
      <c r="D2133" s="309"/>
      <c r="E2133" s="309"/>
      <c r="F2133" s="71"/>
      <c r="G2133" s="819"/>
      <c r="H2133" s="311"/>
      <c r="I2133" s="405"/>
      <c r="J2133" s="405"/>
      <c r="K2133" s="398"/>
      <c r="L2133" s="405"/>
      <c r="M2133" s="64"/>
      <c r="N2133" s="312"/>
      <c r="O2133" s="65"/>
      <c r="P2133" s="81" t="str">
        <f>IF(AND('331-CT'!$E$7=TH!H2133,OR(N2133="331",O2133="331")),"x","")</f>
        <v/>
      </c>
      <c r="Q2133" s="81" t="str">
        <f>IF(AND(B2133='111'!$L$11,OR($N2133=$Q$7,$O2133=$Q$7)),"x","")</f>
        <v/>
      </c>
      <c r="R2133" s="81" t="str">
        <f>IF(AND($N2133=$Q$7,$B2133&lt;'111'!$L$11),"x","")</f>
        <v/>
      </c>
      <c r="S2133" s="81" t="str">
        <f>IF(AND($O2133=$Q$7,$B2133&lt;'111'!$L$11),"x","")</f>
        <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row>
    <row r="2134" spans="1:30" ht="15.75" customHeight="1">
      <c r="A2134" s="327" t="str">
        <f>IF(B2134&lt;&gt;"",IF(AND(B2134='IN-TC'!$S$4,OR(TH!N2134="1111",TH!O2134="1111")),TH!D2134,""),"")</f>
        <v/>
      </c>
      <c r="B2134" s="62" t="str">
        <f t="shared" ref="B2134:B2139" si="369">IF(C2134&lt;&gt;"",MONTH(C2134),"")</f>
        <v/>
      </c>
      <c r="C2134" s="63"/>
      <c r="D2134" s="63"/>
      <c r="E2134" s="63"/>
      <c r="F2134" s="71"/>
      <c r="G2134" s="816"/>
      <c r="H2134" s="71"/>
      <c r="I2134" s="405"/>
      <c r="J2134" s="405"/>
      <c r="K2134" s="398"/>
      <c r="L2134" s="405"/>
      <c r="M2134" s="64"/>
      <c r="N2134" s="65"/>
      <c r="O2134" s="65"/>
      <c r="P2134" s="81" t="str">
        <f>IF(AND('331-CT'!$E$7=TH!H2134,OR(N2134="331",O2134="331")),"x","")</f>
        <v/>
      </c>
      <c r="Q2134" s="81" t="str">
        <f>IF(AND(B2134='111'!$L$11,OR($N2134=$Q$7,$O2134=$Q$7)),"x","")</f>
        <v/>
      </c>
      <c r="R2134" s="81" t="str">
        <f>IF(AND($N2134=$Q$7,$B2134&lt;'111'!$L$11),"x","")</f>
        <v/>
      </c>
      <c r="S2134" s="81" t="str">
        <f>IF(AND($O2134=$Q$7,$B2134&lt;'111'!$L$11),"x","")</f>
        <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
      </c>
      <c r="Y2134" s="81" t="str">
        <f>IF(AND(OR(N2134="131",O2134="131"),H2134='131-CT'!$H$9),"x","")</f>
        <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row>
    <row r="2135" spans="1:30" ht="15.75" customHeight="1">
      <c r="A2135" s="327" t="str">
        <f>IF(B2135&lt;&gt;"",IF(AND(B2135='IN-TC'!$S$4,OR(TH!N2135="1111",TH!O2135="1111")),TH!D2135,""),"")</f>
        <v/>
      </c>
      <c r="B2135" s="62" t="str">
        <f t="shared" si="369"/>
        <v/>
      </c>
      <c r="C2135" s="63"/>
      <c r="D2135" s="63"/>
      <c r="E2135" s="63"/>
      <c r="F2135" s="71"/>
      <c r="G2135" s="816"/>
      <c r="H2135" s="71"/>
      <c r="I2135" s="405"/>
      <c r="J2135" s="405"/>
      <c r="K2135" s="398"/>
      <c r="L2135" s="405"/>
      <c r="M2135" s="64"/>
      <c r="N2135" s="65"/>
      <c r="O2135" s="65"/>
      <c r="P2135" s="81" t="str">
        <f>IF(AND('331-CT'!$E$7=TH!H2135,OR(N2135="331",O2135="331")),"x","")</f>
        <v/>
      </c>
      <c r="Q2135" s="81" t="str">
        <f>IF(AND(B2135='111'!$L$11,OR($N2135=$Q$7,$O2135=$Q$7)),"x","")</f>
        <v/>
      </c>
      <c r="R2135" s="81" t="str">
        <f>IF(AND($N2135=$Q$7,$B2135&lt;'111'!$L$11),"x","")</f>
        <v/>
      </c>
      <c r="S2135" s="81" t="str">
        <f>IF(AND($O2135=$Q$7,$B2135&lt;'111'!$L$11),"x","")</f>
        <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0" ht="15.75" customHeight="1">
      <c r="A2136" s="327" t="str">
        <f>IF(B2136&lt;&gt;"",IF(AND(B2136='IN-TC'!$S$4,OR(TH!N2136="1111",TH!O2136="1111")),TH!D2136,""),"")</f>
        <v/>
      </c>
      <c r="B2136" s="62" t="str">
        <f t="shared" si="369"/>
        <v/>
      </c>
      <c r="C2136" s="63"/>
      <c r="D2136" s="63"/>
      <c r="E2136" s="63"/>
      <c r="F2136" s="71"/>
      <c r="G2136" s="816"/>
      <c r="H2136" s="71"/>
      <c r="I2136" s="405"/>
      <c r="J2136" s="405"/>
      <c r="K2136" s="398"/>
      <c r="L2136" s="405"/>
      <c r="M2136" s="64"/>
      <c r="N2136" s="65"/>
      <c r="O2136" s="65"/>
      <c r="P2136" s="81" t="str">
        <f>IF(AND('331-CT'!$E$7=TH!H2136,OR(N2136="331",O2136="331")),"x","")</f>
        <v/>
      </c>
      <c r="Q2136" s="81" t="str">
        <f>IF(AND(B2136='111'!$L$11,OR($N2136=$Q$7,$O2136=$Q$7)),"x","")</f>
        <v/>
      </c>
      <c r="R2136" s="81" t="str">
        <f>IF(AND($N2136=$Q$7,$B2136&lt;'111'!$L$11),"x","")</f>
        <v/>
      </c>
      <c r="S2136" s="81" t="str">
        <f>IF(AND($O2136=$Q$7,$B2136&lt;'111'!$L$11),"x","")</f>
        <v/>
      </c>
      <c r="T2136" s="81" t="str">
        <f>IF(ISERROR(FIND('112'!$M$9,G2136,1)),"",IF((AND(FIND('112'!$M$9,G2136,1)&gt;=1,B2136='112'!$K$9,OR($N2136='112'!$I$6,$O2136='112'!$I$6))),"x",""))</f>
        <v/>
      </c>
      <c r="U2136" s="81" t="str">
        <f>IF(ISERROR(FIND('112'!$M$9,G2136,1)),"",IF((AND(LEFT(G2136,2)=LEFT('112'!$M$9,2),B2136&lt;'112'!$K$9,$N2136='112'!$I$6)),"x",""))</f>
        <v/>
      </c>
      <c r="V2136" s="81" t="str">
        <f>IF(ISERROR(FIND('112'!$M$9,G2136,1)),"",IF((AND(RIGHT(G2136,2)=RIGHT('112'!$M$9,2),B2136&lt;'112'!$K$9,$O2136='112'!$I$6)),"x",""))</f>
        <v/>
      </c>
      <c r="W2136" s="81" t="str">
        <f>IF(AND('341-CT'!$H$9=H2136,OR(LEFT(N2136,3)=$W$7,LEFT(O2136,3)=$W$7)),"x","")</f>
        <v/>
      </c>
      <c r="X2136" s="81" t="str">
        <f>IF(OR(TH!N2136=TH!$X$7,O2136=TH!$X$7),"x","")</f>
        <v/>
      </c>
      <c r="Y2136" s="81" t="str">
        <f>IF(AND(OR(N2136="131",O2136="131"),H2136='131-CT'!$H$9),"x","")</f>
        <v/>
      </c>
      <c r="Z2136" s="81"/>
      <c r="AA2136" s="81" t="str">
        <f>IF(AND(MONTH(E2136)='IN-NX'!$J$5,'IN-NX'!$D$7=D2136),"x","")</f>
        <v/>
      </c>
      <c r="AB2136" s="81" t="str">
        <f>IF(AND(OR(LEFT(TH!N2136,2)="15",LEFT(TH!O2136,2)="15"),LEFT(TH!O2136,3)&lt;&gt;"111",'152-CT'!$J$8=TH!F2136),"x","")</f>
        <v/>
      </c>
      <c r="AC2136" s="81" t="str">
        <f>IF(AND(OR(LEFT(TH!N2136,2)="15",LEFT(TH!O2136,2)="15"),TK!$E$7=TH!F2136),"x","")</f>
        <v/>
      </c>
      <c r="AD2136" s="81" t="str">
        <f>IF(AND(N2136="1521",MONTH(C2136)='BK-NL'!$M$11),"x","")</f>
        <v/>
      </c>
    </row>
    <row r="2137" spans="1:30" ht="15.75" customHeight="1">
      <c r="A2137" s="327" t="str">
        <f>IF(B2137&lt;&gt;"",IF(AND(B2137='IN-TC'!$S$4,OR(TH!N2137="1111",TH!O2137="1111")),TH!D2137,""),"")</f>
        <v/>
      </c>
      <c r="B2137" s="62" t="str">
        <f t="shared" si="369"/>
        <v/>
      </c>
      <c r="C2137" s="63"/>
      <c r="D2137" s="63"/>
      <c r="E2137" s="63"/>
      <c r="F2137" s="71"/>
      <c r="G2137" s="816"/>
      <c r="H2137" s="71"/>
      <c r="I2137" s="405"/>
      <c r="J2137" s="405"/>
      <c r="K2137" s="398"/>
      <c r="L2137" s="405"/>
      <c r="M2137" s="64"/>
      <c r="N2137" s="65"/>
      <c r="O2137" s="65"/>
      <c r="P2137" s="81" t="str">
        <f>IF(AND('331-CT'!$E$7=TH!H2137,OR(N2137="331",O2137="331")),"x","")</f>
        <v/>
      </c>
      <c r="Q2137" s="81" t="str">
        <f>IF(AND(B2137='111'!$L$11,OR($N2137=$Q$7,$O2137=$Q$7)),"x","")</f>
        <v/>
      </c>
      <c r="R2137" s="81" t="str">
        <f>IF(AND($N2137=$Q$7,$B2137&lt;'111'!$L$11),"x","")</f>
        <v/>
      </c>
      <c r="S2137" s="81" t="str">
        <f>IF(AND($O2137=$Q$7,$B2137&lt;'111'!$L$11),"x","")</f>
        <v/>
      </c>
      <c r="T2137" s="81" t="str">
        <f>IF(ISERROR(FIND('112'!$M$9,G2137,1)),"",IF((AND(FIND('112'!$M$9,G2137,1)&gt;=1,B2137='112'!$K$9,OR($N2137='112'!$I$6,$O2137='112'!$I$6))),"x",""))</f>
        <v/>
      </c>
      <c r="U2137" s="81" t="str">
        <f>IF(ISERROR(FIND('112'!$M$9,G2137,1)),"",IF((AND(LEFT(G2137,2)=LEFT('112'!$M$9,2),B2137&lt;'112'!$K$9,$N2137='112'!$I$6)),"x",""))</f>
        <v/>
      </c>
      <c r="V2137" s="81" t="str">
        <f>IF(ISERROR(FIND('112'!$M$9,G2137,1)),"",IF((AND(RIGHT(G2137,2)=RIGHT('112'!$M$9,2),B2137&lt;'112'!$K$9,$O2137='112'!$I$6)),"x",""))</f>
        <v/>
      </c>
      <c r="W2137" s="81" t="str">
        <f>IF(AND('341-CT'!$H$9=H2137,OR(LEFT(N2137,3)=$W$7,LEFT(O2137,3)=$W$7)),"x","")</f>
        <v/>
      </c>
      <c r="X2137" s="81" t="str">
        <f>IF(OR(TH!N2137=TH!$X$7,O2137=TH!$X$7),"x","")</f>
        <v/>
      </c>
      <c r="Y2137" s="81" t="str">
        <f>IF(AND(OR(N2137="131",O2137="131"),H2137='131-CT'!$H$9),"x","")</f>
        <v/>
      </c>
      <c r="Z2137" s="81"/>
      <c r="AA2137" s="81" t="str">
        <f>IF(AND(MONTH(E2137)='IN-NX'!$J$5,'IN-NX'!$D$7=D2137),"x","")</f>
        <v/>
      </c>
      <c r="AB2137" s="81" t="str">
        <f>IF(AND(OR(LEFT(TH!N2137,2)="15",LEFT(TH!O2137,2)="15"),LEFT(TH!O2137,3)&lt;&gt;"111",'152-CT'!$J$8=TH!F2137),"x","")</f>
        <v/>
      </c>
      <c r="AC2137" s="81" t="str">
        <f>IF(AND(OR(LEFT(TH!N2137,2)="15",LEFT(TH!O2137,2)="15"),TK!$E$7=TH!F2137),"x","")</f>
        <v/>
      </c>
      <c r="AD2137" s="81" t="str">
        <f>IF(AND(N2137="1521",MONTH(C2137)='BK-NL'!$M$11),"x","")</f>
        <v/>
      </c>
    </row>
    <row r="2138" spans="1:30" ht="15.75" customHeight="1">
      <c r="A2138" s="327" t="str">
        <f>IF(B2138&lt;&gt;"",IF(AND(B2138='IN-TC'!$S$4,OR(TH!N2138="1111",TH!O2138="1111")),TH!D2138,""),"")</f>
        <v/>
      </c>
      <c r="B2138" s="62" t="str">
        <f t="shared" si="369"/>
        <v/>
      </c>
      <c r="C2138" s="63"/>
      <c r="D2138" s="63"/>
      <c r="E2138" s="63"/>
      <c r="F2138" s="71"/>
      <c r="G2138" s="816"/>
      <c r="H2138" s="71"/>
      <c r="I2138" s="405"/>
      <c r="J2138" s="405"/>
      <c r="K2138" s="398"/>
      <c r="L2138" s="405"/>
      <c r="M2138" s="64"/>
      <c r="N2138" s="65"/>
      <c r="O2138" s="65"/>
      <c r="P2138" s="81" t="str">
        <f>IF(AND('331-CT'!$E$7=TH!H2138,OR(N2138="331",O2138="331")),"x","")</f>
        <v/>
      </c>
      <c r="Q2138" s="81" t="str">
        <f>IF(AND(B2138='111'!$L$11,OR($N2138=$Q$7,$O2138=$Q$7)),"x","")</f>
        <v/>
      </c>
      <c r="R2138" s="81" t="str">
        <f>IF(AND($N2138=$Q$7,$B2138&lt;'111'!$L$11),"x","")</f>
        <v/>
      </c>
      <c r="S2138" s="81" t="str">
        <f>IF(AND($O2138=$Q$7,$B2138&lt;'111'!$L$11),"x","")</f>
        <v/>
      </c>
      <c r="T2138" s="81" t="str">
        <f>IF(ISERROR(FIND('112'!$M$9,G2138,1)),"",IF((AND(FIND('112'!$M$9,G2138,1)&gt;=1,B2138='112'!$K$9,OR($N2138='112'!$I$6,$O2138='112'!$I$6))),"x",""))</f>
        <v/>
      </c>
      <c r="U2138" s="81" t="str">
        <f>IF(ISERROR(FIND('112'!$M$9,G2138,1)),"",IF((AND(LEFT(G2138,2)=LEFT('112'!$M$9,2),B2138&lt;'112'!$K$9,$N2138='112'!$I$6)),"x",""))</f>
        <v/>
      </c>
      <c r="V2138" s="81" t="str">
        <f>IF(ISERROR(FIND('112'!$M$9,G2138,1)),"",IF((AND(RIGHT(G2138,2)=RIGHT('112'!$M$9,2),B2138&lt;'112'!$K$9,$O2138='112'!$I$6)),"x",""))</f>
        <v/>
      </c>
      <c r="W2138" s="81" t="str">
        <f>IF(AND('341-CT'!$H$9=H2138,OR(LEFT(N2138,3)=$W$7,LEFT(O2138,3)=$W$7)),"x","")</f>
        <v/>
      </c>
      <c r="X2138" s="81" t="str">
        <f>IF(OR(TH!N2138=TH!$X$7,O2138=TH!$X$7),"x","")</f>
        <v/>
      </c>
      <c r="Y2138" s="81" t="str">
        <f>IF(AND(OR(N2138="131",O2138="131"),H2138='131-CT'!$H$9),"x","")</f>
        <v/>
      </c>
      <c r="Z2138" s="81"/>
      <c r="AA2138" s="81" t="str">
        <f>IF(AND(MONTH(E2138)='IN-NX'!$J$5,'IN-NX'!$D$7=D2138),"x","")</f>
        <v/>
      </c>
      <c r="AB2138" s="81" t="str">
        <f>IF(AND(OR(LEFT(TH!N2138,2)="15",LEFT(TH!O2138,2)="15"),LEFT(TH!O2138,3)&lt;&gt;"111",'152-CT'!$J$8=TH!F2138),"x","")</f>
        <v/>
      </c>
      <c r="AC2138" s="81" t="str">
        <f>IF(AND(OR(LEFT(TH!N2138,2)="15",LEFT(TH!O2138,2)="15"),TK!$E$7=TH!F2138),"x","")</f>
        <v/>
      </c>
      <c r="AD2138" s="81" t="str">
        <f>IF(AND(N2138="1521",MONTH(C2138)='BK-NL'!$M$11),"x","")</f>
        <v/>
      </c>
    </row>
    <row r="2139" spans="1:30" ht="15.75" customHeight="1">
      <c r="A2139" s="327" t="str">
        <f>IF(B2139&lt;&gt;"",IF(AND(B2139='IN-TC'!$S$4,OR(TH!N2139="1111",TH!O2139="1111")),TH!D2139,""),"")</f>
        <v/>
      </c>
      <c r="B2139" s="62" t="str">
        <f t="shared" si="369"/>
        <v/>
      </c>
      <c r="C2139" s="63"/>
      <c r="D2139" s="63"/>
      <c r="E2139" s="63"/>
      <c r="F2139" s="71"/>
      <c r="G2139" s="816"/>
      <c r="H2139" s="71"/>
      <c r="I2139" s="405"/>
      <c r="J2139" s="405"/>
      <c r="K2139" s="398"/>
      <c r="L2139" s="405"/>
      <c r="M2139" s="64"/>
      <c r="N2139" s="65"/>
      <c r="O2139" s="65"/>
      <c r="P2139" s="81" t="str">
        <f>IF(AND('331-CT'!$E$7=TH!H2139,OR(N2139="331",O2139="331")),"x","")</f>
        <v/>
      </c>
      <c r="Q2139" s="81" t="str">
        <f>IF(AND(B2139='111'!$L$11,OR($N2139=$Q$7,$O2139=$Q$7)),"x","")</f>
        <v/>
      </c>
      <c r="R2139" s="81" t="str">
        <f>IF(AND($N2139=$Q$7,$B2139&lt;'111'!$L$11),"x","")</f>
        <v/>
      </c>
      <c r="S2139" s="81" t="str">
        <f>IF(AND($O2139=$Q$7,$B2139&lt;'111'!$L$11),"x","")</f>
        <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row>
    <row r="2140" spans="1:30" ht="15.75" customHeight="1">
      <c r="A2140" s="327" t="str">
        <f>IF(B2140&lt;&gt;"",IF(AND(B2140='IN-TC'!$S$4,OR(TH!N2140="1111",TH!O2140="1111")),TH!D2140,""),"")</f>
        <v/>
      </c>
      <c r="B2140" s="62" t="str">
        <f t="shared" ref="B2140:B2157" si="370">IF(C2140&lt;&gt;"",MONTH(C2140),"")</f>
        <v/>
      </c>
      <c r="C2140" s="63"/>
      <c r="D2140" s="63"/>
      <c r="E2140" s="63"/>
      <c r="F2140" s="71"/>
      <c r="G2140" s="816"/>
      <c r="H2140" s="71"/>
      <c r="I2140" s="405"/>
      <c r="J2140" s="405"/>
      <c r="K2140" s="398"/>
      <c r="L2140" s="405"/>
      <c r="M2140" s="64"/>
      <c r="N2140" s="65"/>
      <c r="O2140" s="65"/>
      <c r="P2140" s="81" t="str">
        <f>IF(AND('331-CT'!$E$7=TH!H2140,OR(N2140="331",O2140="331")),"x","")</f>
        <v/>
      </c>
      <c r="Q2140" s="81" t="str">
        <f>IF(AND(B2140='111'!$L$11,OR($N2140=$Q$7,$O2140=$Q$7)),"x","")</f>
        <v/>
      </c>
      <c r="R2140" s="81" t="str">
        <f>IF(AND($N2140=$Q$7,$B2140&lt;'111'!$L$11),"x","")</f>
        <v/>
      </c>
      <c r="S2140" s="81" t="str">
        <f>IF(AND($O2140=$Q$7,$B2140&lt;'111'!$L$11),"x","")</f>
        <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row>
    <row r="2141" spans="1:30" ht="15.75" customHeight="1">
      <c r="A2141" s="327" t="str">
        <f>IF(B2141&lt;&gt;"",IF(AND(B2141='IN-TC'!$S$4,OR(TH!N2141="1111",TH!O2141="1111")),TH!D2141,""),"")</f>
        <v/>
      </c>
      <c r="B2141" s="62" t="str">
        <f t="shared" si="370"/>
        <v/>
      </c>
      <c r="C2141" s="63"/>
      <c r="D2141" s="63"/>
      <c r="E2141" s="63"/>
      <c r="F2141" s="71"/>
      <c r="G2141" s="816"/>
      <c r="H2141" s="71"/>
      <c r="I2141" s="405"/>
      <c r="J2141" s="405"/>
      <c r="K2141" s="398"/>
      <c r="L2141" s="405"/>
      <c r="M2141" s="64"/>
      <c r="N2141" s="65"/>
      <c r="O2141" s="65"/>
      <c r="P2141" s="81" t="str">
        <f>IF(AND('331-CT'!$E$7=TH!H2141,OR(N2141="331",O2141="331")),"x","")</f>
        <v/>
      </c>
      <c r="Q2141" s="81" t="str">
        <f>IF(AND(B2141='111'!$L$11,OR($N2141=$Q$7,$O2141=$Q$7)),"x","")</f>
        <v/>
      </c>
      <c r="R2141" s="81" t="str">
        <f>IF(AND($N2141=$Q$7,$B2141&lt;'111'!$L$11),"x","")</f>
        <v/>
      </c>
      <c r="S2141" s="81" t="str">
        <f>IF(AND($O2141=$Q$7,$B2141&lt;'111'!$L$11),"x","")</f>
        <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row>
    <row r="2142" spans="1:30" ht="15.75" customHeight="1">
      <c r="A2142" s="327" t="str">
        <f>IF(B2142&lt;&gt;"",IF(AND(B2142='IN-TC'!$S$4,OR(TH!N2142="1111",TH!O2142="1111")),TH!D2142,""),"")</f>
        <v/>
      </c>
      <c r="B2142" s="62" t="str">
        <f t="shared" si="370"/>
        <v/>
      </c>
      <c r="C2142" s="63"/>
      <c r="D2142" s="63"/>
      <c r="E2142" s="63"/>
      <c r="F2142" s="71"/>
      <c r="G2142" s="816"/>
      <c r="H2142" s="71"/>
      <c r="I2142" s="405"/>
      <c r="J2142" s="405"/>
      <c r="K2142" s="398"/>
      <c r="L2142" s="405"/>
      <c r="M2142" s="64"/>
      <c r="N2142" s="65"/>
      <c r="O2142" s="65"/>
      <c r="P2142" s="81" t="str">
        <f>IF(AND('331-CT'!$E$7=TH!H2142,OR(N2142="331",O2142="331")),"x","")</f>
        <v/>
      </c>
      <c r="Q2142" s="81" t="str">
        <f>IF(AND(B2142='111'!$L$11,OR($N2142=$Q$7,$O2142=$Q$7)),"x","")</f>
        <v/>
      </c>
      <c r="R2142" s="81" t="str">
        <f>IF(AND($N2142=$Q$7,$B2142&lt;'111'!$L$11),"x","")</f>
        <v/>
      </c>
      <c r="S2142" s="81" t="str">
        <f>IF(AND($O2142=$Q$7,$B2142&lt;'111'!$L$11),"x","")</f>
        <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row>
    <row r="2143" spans="1:30" ht="15.75" customHeight="1">
      <c r="A2143" s="327" t="str">
        <f>IF(B2143&lt;&gt;"",IF(AND(B2143='IN-TC'!$S$4,OR(TH!N2143="1111",TH!O2143="1111")),TH!D2143,""),"")</f>
        <v/>
      </c>
      <c r="B2143" s="62" t="str">
        <f t="shared" si="370"/>
        <v/>
      </c>
      <c r="C2143" s="63"/>
      <c r="D2143" s="63"/>
      <c r="E2143" s="63"/>
      <c r="F2143" s="71"/>
      <c r="G2143" s="816"/>
      <c r="H2143" s="71"/>
      <c r="I2143" s="405"/>
      <c r="J2143" s="405"/>
      <c r="K2143" s="398"/>
      <c r="L2143" s="405"/>
      <c r="M2143" s="64"/>
      <c r="N2143" s="65"/>
      <c r="O2143" s="65"/>
      <c r="P2143" s="81" t="str">
        <f>IF(AND('331-CT'!$E$7=TH!H2143,OR(N2143="331",O2143="331")),"x","")</f>
        <v/>
      </c>
      <c r="Q2143" s="81" t="str">
        <f>IF(AND(B2143='111'!$L$11,OR($N2143=$Q$7,$O2143=$Q$7)),"x","")</f>
        <v/>
      </c>
      <c r="R2143" s="81" t="str">
        <f>IF(AND($N2143=$Q$7,$B2143&lt;'111'!$L$11),"x","")</f>
        <v/>
      </c>
      <c r="S2143" s="81" t="str">
        <f>IF(AND($O2143=$Q$7,$B2143&lt;'111'!$L$11),"x","")</f>
        <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row>
    <row r="2144" spans="1:30" ht="15.75" customHeight="1">
      <c r="A2144" s="327" t="str">
        <f>IF(B2144&lt;&gt;"",IF(AND(B2144='IN-TC'!$S$4,OR(TH!N2144="1111",TH!O2144="1111")),TH!D2144,""),"")</f>
        <v/>
      </c>
      <c r="B2144" s="62" t="str">
        <f t="shared" si="370"/>
        <v/>
      </c>
      <c r="C2144" s="63"/>
      <c r="D2144" s="63"/>
      <c r="E2144" s="63"/>
      <c r="F2144" s="71"/>
      <c r="G2144" s="816"/>
      <c r="H2144" s="71"/>
      <c r="I2144" s="405"/>
      <c r="J2144" s="405"/>
      <c r="K2144" s="398"/>
      <c r="L2144" s="405"/>
      <c r="M2144" s="64"/>
      <c r="N2144" s="65"/>
      <c r="O2144" s="65"/>
      <c r="P2144" s="81" t="str">
        <f>IF(AND('331-CT'!$E$7=TH!H2144,OR(N2144="331",O2144="331")),"x","")</f>
        <v/>
      </c>
      <c r="Q2144" s="81" t="str">
        <f>IF(AND(B2144='111'!$L$11,OR($N2144=$Q$7,$O2144=$Q$7)),"x","")</f>
        <v/>
      </c>
      <c r="R2144" s="81" t="str">
        <f>IF(AND($N2144=$Q$7,$B2144&lt;'111'!$L$11),"x","")</f>
        <v/>
      </c>
      <c r="S2144" s="81" t="str">
        <f>IF(AND($O2144=$Q$7,$B2144&lt;'111'!$L$11),"x","")</f>
        <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row>
    <row r="2145" spans="1:30" ht="15.75" customHeight="1">
      <c r="A2145" s="327" t="str">
        <f>IF(B2145&lt;&gt;"",IF(AND(B2145='IN-TC'!$S$4,OR(TH!N2145="1111",TH!O2145="1111")),TH!D2145,""),"")</f>
        <v/>
      </c>
      <c r="B2145" s="62" t="str">
        <f t="shared" si="370"/>
        <v/>
      </c>
      <c r="C2145" s="63"/>
      <c r="D2145" s="63"/>
      <c r="E2145" s="63"/>
      <c r="F2145" s="71"/>
      <c r="G2145" s="816"/>
      <c r="H2145" s="311"/>
      <c r="I2145" s="405"/>
      <c r="J2145" s="405"/>
      <c r="K2145" s="398"/>
      <c r="L2145" s="405"/>
      <c r="M2145" s="64"/>
      <c r="N2145" s="65"/>
      <c r="O2145" s="65"/>
      <c r="P2145" s="81" t="str">
        <f>IF(AND('331-CT'!$E$7=TH!H2145,OR(N2145="331",O2145="331")),"x","")</f>
        <v/>
      </c>
      <c r="Q2145" s="81" t="str">
        <f>IF(AND(B2145='111'!$L$11,OR($N2145=$Q$7,$O2145=$Q$7)),"x","")</f>
        <v/>
      </c>
      <c r="R2145" s="81" t="str">
        <f>IF(AND($N2145=$Q$7,$B2145&lt;'111'!$L$11),"x","")</f>
        <v/>
      </c>
      <c r="S2145" s="81" t="str">
        <f>IF(AND($O2145=$Q$7,$B2145&lt;'111'!$L$11),"x","")</f>
        <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row>
    <row r="2146" spans="1:30" ht="15.75" customHeight="1">
      <c r="A2146" s="327" t="str">
        <f>IF(B2146&lt;&gt;"",IF(AND(B2146='IN-TC'!$S$4,OR(TH!N2146="1111",TH!O2146="1111")),TH!D2146,""),"")</f>
        <v/>
      </c>
      <c r="B2146" s="62" t="str">
        <f t="shared" si="370"/>
        <v/>
      </c>
      <c r="C2146" s="63"/>
      <c r="D2146" s="63"/>
      <c r="E2146" s="63"/>
      <c r="F2146" s="71"/>
      <c r="G2146" s="816"/>
      <c r="H2146" s="311"/>
      <c r="I2146" s="405"/>
      <c r="J2146" s="405"/>
      <c r="K2146" s="398"/>
      <c r="L2146" s="405"/>
      <c r="M2146" s="64"/>
      <c r="N2146" s="65"/>
      <c r="O2146" s="65"/>
      <c r="P2146" s="81" t="str">
        <f>IF(AND('331-CT'!$E$7=TH!H2146,OR(N2146="331",O2146="331")),"x","")</f>
        <v/>
      </c>
      <c r="Q2146" s="81" t="str">
        <f>IF(AND(B2146='111'!$L$11,OR($N2146=$Q$7,$O2146=$Q$7)),"x","")</f>
        <v/>
      </c>
      <c r="R2146" s="81" t="str">
        <f>IF(AND($N2146=$Q$7,$B2146&lt;'111'!$L$11),"x","")</f>
        <v/>
      </c>
      <c r="S2146" s="81" t="str">
        <f>IF(AND($O2146=$Q$7,$B2146&lt;'111'!$L$11),"x","")</f>
        <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row>
    <row r="2147" spans="1:30" ht="15.75" customHeight="1">
      <c r="A2147" s="327" t="str">
        <f>IF(B2147&lt;&gt;"",IF(AND(B2147='IN-TC'!$S$4,OR(TH!N2147="1111",TH!O2147="1111")),TH!D2147,""),"")</f>
        <v/>
      </c>
      <c r="B2147" s="62" t="str">
        <f t="shared" si="370"/>
        <v/>
      </c>
      <c r="C2147" s="63"/>
      <c r="D2147" s="63"/>
      <c r="E2147" s="63"/>
      <c r="F2147" s="71"/>
      <c r="G2147" s="816"/>
      <c r="H2147" s="71"/>
      <c r="I2147" s="405"/>
      <c r="J2147" s="405"/>
      <c r="K2147" s="398"/>
      <c r="L2147" s="405"/>
      <c r="M2147" s="64"/>
      <c r="N2147" s="65"/>
      <c r="O2147" s="65"/>
      <c r="P2147" s="81" t="str">
        <f>IF(AND('331-CT'!$E$7=TH!H2147,OR(N2147="331",O2147="331")),"x","")</f>
        <v/>
      </c>
      <c r="Q2147" s="81" t="str">
        <f>IF(AND(B2147='111'!$L$11,OR($N2147=$Q$7,$O2147=$Q$7)),"x","")</f>
        <v/>
      </c>
      <c r="R2147" s="81" t="str">
        <f>IF(AND($N2147=$Q$7,$B2147&lt;'111'!$L$11),"x","")</f>
        <v/>
      </c>
      <c r="S2147" s="81" t="str">
        <f>IF(AND($O2147=$Q$7,$B2147&lt;'111'!$L$11),"x","")</f>
        <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row>
    <row r="2148" spans="1:30" ht="15.75" customHeight="1">
      <c r="A2148" s="327" t="str">
        <f>IF(B2148&lt;&gt;"",IF(AND(B2148='IN-TC'!$S$4,OR(TH!N2148="1111",TH!O2148="1111")),TH!D2148,""),"")</f>
        <v/>
      </c>
      <c r="B2148" s="62" t="str">
        <f t="shared" si="370"/>
        <v/>
      </c>
      <c r="C2148" s="63"/>
      <c r="D2148" s="63"/>
      <c r="E2148" s="63"/>
      <c r="F2148" s="71"/>
      <c r="G2148" s="816"/>
      <c r="H2148" s="71"/>
      <c r="I2148" s="405"/>
      <c r="J2148" s="405"/>
      <c r="K2148" s="398"/>
      <c r="L2148" s="405"/>
      <c r="M2148" s="64"/>
      <c r="N2148" s="65"/>
      <c r="O2148" s="65"/>
      <c r="P2148" s="81" t="str">
        <f>IF(AND('331-CT'!$E$7=TH!H2148,OR(N2148="331",O2148="331")),"x","")</f>
        <v/>
      </c>
      <c r="Q2148" s="81" t="str">
        <f>IF(AND(B2148='111'!$L$11,OR($N2148=$Q$7,$O2148=$Q$7)),"x","")</f>
        <v/>
      </c>
      <c r="R2148" s="81" t="str">
        <f>IF(AND($N2148=$Q$7,$B2148&lt;'111'!$L$11),"x","")</f>
        <v/>
      </c>
      <c r="S2148" s="81" t="str">
        <f>IF(AND($O2148=$Q$7,$B2148&lt;'111'!$L$11),"x","")</f>
        <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row>
    <row r="2149" spans="1:30" ht="15.75" customHeight="1">
      <c r="A2149" s="327" t="str">
        <f>IF(B2149&lt;&gt;"",IF(AND(B2149='IN-TC'!$S$4,OR(TH!N2149="1111",TH!O2149="1111")),TH!D2149,""),"")</f>
        <v/>
      </c>
      <c r="B2149" s="62" t="str">
        <f t="shared" si="370"/>
        <v/>
      </c>
      <c r="C2149" s="63"/>
      <c r="D2149" s="63"/>
      <c r="E2149" s="63"/>
      <c r="F2149" s="71"/>
      <c r="G2149" s="816"/>
      <c r="H2149" s="71"/>
      <c r="I2149" s="405"/>
      <c r="J2149" s="405"/>
      <c r="K2149" s="398"/>
      <c r="L2149" s="405"/>
      <c r="M2149" s="64"/>
      <c r="N2149" s="65"/>
      <c r="O2149" s="65"/>
      <c r="P2149" s="81" t="str">
        <f>IF(AND('331-CT'!$E$7=TH!H2149,OR(N2149="331",O2149="331")),"x","")</f>
        <v/>
      </c>
      <c r="Q2149" s="81" t="str">
        <f>IF(AND(B2149='111'!$L$11,OR($N2149=$Q$7,$O2149=$Q$7)),"x","")</f>
        <v/>
      </c>
      <c r="R2149" s="81" t="str">
        <f>IF(AND($N2149=$Q$7,$B2149&lt;'111'!$L$11),"x","")</f>
        <v/>
      </c>
      <c r="S2149" s="81" t="str">
        <f>IF(AND($O2149=$Q$7,$B2149&lt;'111'!$L$11),"x","")</f>
        <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row>
    <row r="2150" spans="1:30" ht="15.75" customHeight="1">
      <c r="A2150" s="327" t="str">
        <f>IF(B2150&lt;&gt;"",IF(AND(B2150='IN-TC'!$S$4,OR(TH!N2150="1111",TH!O2150="1111")),TH!D2150,""),"")</f>
        <v/>
      </c>
      <c r="B2150" s="62" t="str">
        <f t="shared" si="370"/>
        <v/>
      </c>
      <c r="C2150" s="63"/>
      <c r="D2150" s="63"/>
      <c r="E2150" s="63"/>
      <c r="F2150" s="71"/>
      <c r="G2150" s="816"/>
      <c r="H2150" s="71"/>
      <c r="I2150" s="405"/>
      <c r="J2150" s="405"/>
      <c r="K2150" s="398"/>
      <c r="L2150" s="405"/>
      <c r="M2150" s="64"/>
      <c r="N2150" s="65"/>
      <c r="O2150" s="65"/>
      <c r="P2150" s="81" t="str">
        <f>IF(AND('331-CT'!$E$7=TH!H2150,OR(N2150="331",O2150="331")),"x","")</f>
        <v/>
      </c>
      <c r="Q2150" s="81" t="str">
        <f>IF(AND(B2150='111'!$L$11,OR($N2150=$Q$7,$O2150=$Q$7)),"x","")</f>
        <v/>
      </c>
      <c r="R2150" s="81" t="str">
        <f>IF(AND($N2150=$Q$7,$B2150&lt;'111'!$L$11),"x","")</f>
        <v/>
      </c>
      <c r="S2150" s="81" t="str">
        <f>IF(AND($O2150=$Q$7,$B2150&lt;'111'!$L$11),"x","")</f>
        <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
      </c>
      <c r="Y2150" s="81" t="str">
        <f>IF(AND(OR(N2150="131",O2150="131"),H2150='131-CT'!$H$9),"x","")</f>
        <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row>
    <row r="2151" spans="1:30" ht="15.75" customHeight="1">
      <c r="A2151" s="327" t="str">
        <f>IF(B2151&lt;&gt;"",IF(AND(B2151='IN-TC'!$S$4,OR(TH!N2151="1111",TH!O2151="1111")),TH!D2151,""),"")</f>
        <v/>
      </c>
      <c r="B2151" s="62" t="str">
        <f t="shared" si="370"/>
        <v/>
      </c>
      <c r="C2151" s="63"/>
      <c r="D2151" s="63"/>
      <c r="E2151" s="63"/>
      <c r="F2151" s="71"/>
      <c r="G2151" s="816"/>
      <c r="H2151" s="71"/>
      <c r="I2151" s="405"/>
      <c r="J2151" s="405"/>
      <c r="K2151" s="398"/>
      <c r="L2151" s="405"/>
      <c r="M2151" s="64"/>
      <c r="N2151" s="65"/>
      <c r="O2151" s="65"/>
      <c r="P2151" s="81" t="str">
        <f>IF(AND('331-CT'!$E$7=TH!H2151,OR(N2151="331",O2151="331")),"x","")</f>
        <v/>
      </c>
      <c r="Q2151" s="81" t="str">
        <f>IF(AND(B2151='111'!$L$11,OR($N2151=$Q$7,$O2151=$Q$7)),"x","")</f>
        <v/>
      </c>
      <c r="R2151" s="81" t="str">
        <f>IF(AND($N2151=$Q$7,$B2151&lt;'111'!$L$11),"x","")</f>
        <v/>
      </c>
      <c r="S2151" s="81" t="str">
        <f>IF(AND($O2151=$Q$7,$B2151&lt;'111'!$L$11),"x","")</f>
        <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row>
    <row r="2152" spans="1:30" ht="15.75" customHeight="1">
      <c r="A2152" s="327" t="str">
        <f>IF(B2152&lt;&gt;"",IF(AND(B2152='IN-TC'!$S$4,OR(TH!N2152="1111",TH!O2152="1111")),TH!D2152,""),"")</f>
        <v/>
      </c>
      <c r="B2152" s="62" t="str">
        <f t="shared" si="370"/>
        <v/>
      </c>
      <c r="C2152" s="63"/>
      <c r="D2152" s="63"/>
      <c r="E2152" s="63"/>
      <c r="F2152" s="71"/>
      <c r="G2152" s="816"/>
      <c r="H2152" s="71"/>
      <c r="I2152" s="405"/>
      <c r="J2152" s="405"/>
      <c r="K2152" s="398"/>
      <c r="L2152" s="405"/>
      <c r="M2152" s="64"/>
      <c r="N2152" s="65"/>
      <c r="O2152" s="65"/>
      <c r="P2152" s="81" t="str">
        <f>IF(AND('331-CT'!$E$7=TH!H2152,OR(N2152="331",O2152="331")),"x","")</f>
        <v/>
      </c>
      <c r="Q2152" s="81" t="str">
        <f>IF(AND(B2152='111'!$L$11,OR($N2152=$Q$7,$O2152=$Q$7)),"x","")</f>
        <v/>
      </c>
      <c r="R2152" s="81" t="str">
        <f>IF(AND($N2152=$Q$7,$B2152&lt;'111'!$L$11),"x","")</f>
        <v/>
      </c>
      <c r="S2152" s="81" t="str">
        <f>IF(AND($O2152=$Q$7,$B2152&lt;'111'!$L$11),"x","")</f>
        <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row>
    <row r="2153" spans="1:30" ht="15.75" customHeight="1">
      <c r="A2153" s="327" t="str">
        <f>IF(B2153&lt;&gt;"",IF(AND(B2153='IN-TC'!$S$4,OR(TH!N2153="1111",TH!O2153="1111")),TH!D2153,""),"")</f>
        <v/>
      </c>
      <c r="B2153" s="62" t="str">
        <f t="shared" si="370"/>
        <v/>
      </c>
      <c r="C2153" s="63"/>
      <c r="D2153" s="63"/>
      <c r="E2153" s="63"/>
      <c r="F2153" s="71"/>
      <c r="G2153" s="816"/>
      <c r="H2153" s="71"/>
      <c r="I2153" s="405"/>
      <c r="J2153" s="405"/>
      <c r="K2153" s="398"/>
      <c r="L2153" s="405"/>
      <c r="M2153" s="64"/>
      <c r="N2153" s="65"/>
      <c r="O2153" s="65"/>
      <c r="P2153" s="81" t="str">
        <f>IF(AND('331-CT'!$E$7=TH!H2153,OR(N2153="331",O2153="331")),"x","")</f>
        <v/>
      </c>
      <c r="Q2153" s="81" t="str">
        <f>IF(AND(B2153='111'!$L$11,OR($N2153=$Q$7,$O2153=$Q$7)),"x","")</f>
        <v/>
      </c>
      <c r="R2153" s="81" t="str">
        <f>IF(AND($N2153=$Q$7,$B2153&lt;'111'!$L$11),"x","")</f>
        <v/>
      </c>
      <c r="S2153" s="81" t="str">
        <f>IF(AND($O2153=$Q$7,$B2153&lt;'111'!$L$11),"x","")</f>
        <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
      </c>
      <c r="Y2153" s="81" t="str">
        <f>IF(AND(OR(N2153="131",O2153="131"),H2153='131-CT'!$H$9),"x","")</f>
        <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row>
    <row r="2154" spans="1:30" ht="15.75" customHeight="1">
      <c r="A2154" s="327" t="str">
        <f>IF(B2154&lt;&gt;"",IF(AND(B2154='IN-TC'!$S$4,OR(TH!N2154="1111",TH!O2154="1111")),TH!D2154,""),"")</f>
        <v/>
      </c>
      <c r="B2154" s="62" t="str">
        <f t="shared" si="370"/>
        <v/>
      </c>
      <c r="C2154" s="63"/>
      <c r="D2154" s="63"/>
      <c r="E2154" s="63"/>
      <c r="F2154" s="71"/>
      <c r="G2154" s="816"/>
      <c r="H2154" s="71"/>
      <c r="I2154" s="405"/>
      <c r="J2154" s="405"/>
      <c r="K2154" s="398"/>
      <c r="L2154" s="405"/>
      <c r="M2154" s="64"/>
      <c r="N2154" s="65"/>
      <c r="O2154" s="65"/>
      <c r="P2154" s="81" t="str">
        <f>IF(AND('331-CT'!$E$7=TH!H2154,OR(N2154="331",O2154="331")),"x","")</f>
        <v/>
      </c>
      <c r="Q2154" s="81" t="str">
        <f>IF(AND(B2154='111'!$L$11,OR($N2154=$Q$7,$O2154=$Q$7)),"x","")</f>
        <v/>
      </c>
      <c r="R2154" s="81" t="str">
        <f>IF(AND($N2154=$Q$7,$B2154&lt;'111'!$L$11),"x","")</f>
        <v/>
      </c>
      <c r="S2154" s="81" t="str">
        <f>IF(AND($O2154=$Q$7,$B2154&lt;'111'!$L$11),"x","")</f>
        <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row>
    <row r="2155" spans="1:30" ht="15.75" customHeight="1">
      <c r="A2155" s="327" t="str">
        <f>IF(B2155&lt;&gt;"",IF(AND(B2155='IN-TC'!$S$4,OR(TH!N2155="1111",TH!O2155="1111")),TH!D2155,""),"")</f>
        <v/>
      </c>
      <c r="B2155" s="62" t="str">
        <f t="shared" si="370"/>
        <v/>
      </c>
      <c r="C2155" s="63"/>
      <c r="D2155" s="63"/>
      <c r="E2155" s="63"/>
      <c r="F2155" s="71"/>
      <c r="G2155" s="816"/>
      <c r="H2155" s="71"/>
      <c r="I2155" s="405"/>
      <c r="J2155" s="405"/>
      <c r="K2155" s="398"/>
      <c r="L2155" s="405"/>
      <c r="M2155" s="64"/>
      <c r="N2155" s="65"/>
      <c r="O2155" s="65"/>
      <c r="P2155" s="81" t="str">
        <f>IF(AND('331-CT'!$E$7=TH!H2155,OR(N2155="331",O2155="331")),"x","")</f>
        <v/>
      </c>
      <c r="Q2155" s="81" t="str">
        <f>IF(AND(B2155='111'!$L$11,OR($N2155=$Q$7,$O2155=$Q$7)),"x","")</f>
        <v/>
      </c>
      <c r="R2155" s="81" t="str">
        <f>IF(AND($N2155=$Q$7,$B2155&lt;'111'!$L$11),"x","")</f>
        <v/>
      </c>
      <c r="S2155" s="81" t="str">
        <f>IF(AND($O2155=$Q$7,$B2155&lt;'111'!$L$11),"x","")</f>
        <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row>
    <row r="2156" spans="1:30" ht="15.75" customHeight="1">
      <c r="A2156" s="327" t="str">
        <f>IF(B2156&lt;&gt;"",IF(AND(B2156='IN-TC'!$S$4,OR(TH!N2156="1111",TH!O2156="1111")),TH!D2156,""),"")</f>
        <v/>
      </c>
      <c r="B2156" s="62" t="str">
        <f t="shared" si="370"/>
        <v/>
      </c>
      <c r="C2156" s="63"/>
      <c r="D2156" s="63"/>
      <c r="E2156" s="63"/>
      <c r="F2156" s="71"/>
      <c r="G2156" s="816"/>
      <c r="H2156" s="71"/>
      <c r="I2156" s="405"/>
      <c r="J2156" s="405"/>
      <c r="K2156" s="398"/>
      <c r="L2156" s="405"/>
      <c r="M2156" s="64"/>
      <c r="N2156" s="65"/>
      <c r="O2156" s="65"/>
      <c r="P2156" s="81" t="str">
        <f>IF(AND('331-CT'!$E$7=TH!H2156,OR(N2156="331",O2156="331")),"x","")</f>
        <v/>
      </c>
      <c r="Q2156" s="81" t="str">
        <f>IF(AND(B2156='111'!$L$11,OR($N2156=$Q$7,$O2156=$Q$7)),"x","")</f>
        <v/>
      </c>
      <c r="R2156" s="81" t="str">
        <f>IF(AND($N2156=$Q$7,$B2156&lt;'111'!$L$11),"x","")</f>
        <v/>
      </c>
      <c r="S2156" s="81" t="str">
        <f>IF(AND($O2156=$Q$7,$B2156&lt;'111'!$L$11),"x","")</f>
        <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row>
    <row r="2157" spans="1:30" ht="15.75" customHeight="1">
      <c r="A2157" s="327" t="str">
        <f>IF(B2157&lt;&gt;"",IF(AND(B2157='IN-TC'!$S$4,OR(TH!N2157="1111",TH!O2157="1111")),TH!D2157,""),"")</f>
        <v/>
      </c>
      <c r="B2157" s="62" t="str">
        <f t="shared" si="370"/>
        <v/>
      </c>
      <c r="C2157" s="63"/>
      <c r="D2157" s="63"/>
      <c r="E2157" s="63"/>
      <c r="F2157" s="71"/>
      <c r="G2157" s="816"/>
      <c r="H2157" s="71"/>
      <c r="I2157" s="405"/>
      <c r="J2157" s="405"/>
      <c r="K2157" s="398"/>
      <c r="L2157" s="405"/>
      <c r="M2157" s="64"/>
      <c r="N2157" s="65"/>
      <c r="O2157" s="65"/>
      <c r="P2157" s="81" t="str">
        <f>IF(AND('331-CT'!$E$7=TH!H2157,OR(N2157="331",O2157="331")),"x","")</f>
        <v/>
      </c>
      <c r="Q2157" s="81" t="str">
        <f>IF(AND(B2157='111'!$L$11,OR($N2157=$Q$7,$O2157=$Q$7)),"x","")</f>
        <v/>
      </c>
      <c r="R2157" s="81" t="str">
        <f>IF(AND($N2157=$Q$7,$B2157&lt;'111'!$L$11),"x","")</f>
        <v/>
      </c>
      <c r="S2157" s="81" t="str">
        <f>IF(AND($O2157=$Q$7,$B2157&lt;'111'!$L$11),"x","")</f>
        <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row>
    <row r="2158" spans="1:30" ht="15.75" customHeight="1">
      <c r="A2158" s="327" t="str">
        <f>IF(B2158&lt;&gt;"",IF(AND(B2158='IN-TC'!$S$4,OR(TH!N2158="1111",TH!O2158="1111")),TH!D2158,""),"")</f>
        <v/>
      </c>
      <c r="B2158" s="62" t="str">
        <f t="shared" ref="B2158:B2221" si="371">IF(C2158&lt;&gt;"",MONTH(C2158),"")</f>
        <v/>
      </c>
      <c r="C2158" s="63"/>
      <c r="D2158" s="63"/>
      <c r="E2158" s="63"/>
      <c r="F2158" s="71"/>
      <c r="G2158" s="816"/>
      <c r="H2158" s="71"/>
      <c r="I2158" s="405"/>
      <c r="J2158" s="405"/>
      <c r="K2158" s="398"/>
      <c r="L2158" s="405"/>
      <c r="M2158" s="64"/>
      <c r="N2158" s="65"/>
      <c r="O2158" s="65"/>
      <c r="P2158" s="81" t="str">
        <f>IF(AND('331-CT'!$E$7=TH!H2158,OR(N2158="331",O2158="331")),"x","")</f>
        <v/>
      </c>
      <c r="Q2158" s="81" t="str">
        <f>IF(AND(B2158='111'!$L$11,OR($N2158=$Q$7,$O2158=$Q$7)),"x","")</f>
        <v/>
      </c>
      <c r="R2158" s="81" t="str">
        <f>IF(AND($N2158=$Q$7,$B2158&lt;'111'!$L$11),"x","")</f>
        <v/>
      </c>
      <c r="S2158" s="81" t="str">
        <f>IF(AND($O2158=$Q$7,$B2158&lt;'111'!$L$11),"x","")</f>
        <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row>
    <row r="2159" spans="1:30" ht="15.75" customHeight="1">
      <c r="A2159" s="327" t="str">
        <f>IF(B2159&lt;&gt;"",IF(AND(B2159='IN-TC'!$S$4,OR(TH!N2159="1111",TH!O2159="1111")),TH!D2159,""),"")</f>
        <v/>
      </c>
      <c r="B2159" s="62" t="str">
        <f t="shared" si="371"/>
        <v/>
      </c>
      <c r="C2159" s="63"/>
      <c r="D2159" s="63"/>
      <c r="E2159" s="63"/>
      <c r="F2159" s="71"/>
      <c r="G2159" s="816"/>
      <c r="H2159" s="71"/>
      <c r="I2159" s="405"/>
      <c r="J2159" s="405"/>
      <c r="K2159" s="398"/>
      <c r="L2159" s="405"/>
      <c r="M2159" s="64"/>
      <c r="N2159" s="65"/>
      <c r="O2159" s="65"/>
      <c r="P2159" s="81" t="str">
        <f>IF(AND('331-CT'!$E$7=TH!H2159,OR(N2159="331",O2159="331")),"x","")</f>
        <v/>
      </c>
      <c r="Q2159" s="81" t="str">
        <f>IF(AND(B2159='111'!$L$11,OR($N2159=$Q$7,$O2159=$Q$7)),"x","")</f>
        <v/>
      </c>
      <c r="R2159" s="81" t="str">
        <f>IF(AND($N2159=$Q$7,$B2159&lt;'111'!$L$11),"x","")</f>
        <v/>
      </c>
      <c r="S2159" s="81" t="str">
        <f>IF(AND($O2159=$Q$7,$B2159&lt;'111'!$L$11),"x","")</f>
        <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row>
    <row r="2160" spans="1:30" ht="15.75" customHeight="1">
      <c r="A2160" s="327" t="str">
        <f>IF(B2160&lt;&gt;"",IF(AND(B2160='IN-TC'!$S$4,OR(TH!N2160="1111",TH!O2160="1111")),TH!D2160,""),"")</f>
        <v/>
      </c>
      <c r="B2160" s="62" t="str">
        <f t="shared" si="371"/>
        <v/>
      </c>
      <c r="C2160" s="63"/>
      <c r="D2160" s="63"/>
      <c r="E2160" s="63"/>
      <c r="F2160" s="71"/>
      <c r="G2160" s="816"/>
      <c r="H2160" s="71"/>
      <c r="I2160" s="405"/>
      <c r="J2160" s="405"/>
      <c r="K2160" s="398"/>
      <c r="L2160" s="405"/>
      <c r="M2160" s="64"/>
      <c r="N2160" s="65"/>
      <c r="O2160" s="65"/>
      <c r="P2160" s="81" t="str">
        <f>IF(AND('331-CT'!$E$7=TH!H2160,OR(N2160="331",O2160="331")),"x","")</f>
        <v/>
      </c>
      <c r="Q2160" s="81" t="str">
        <f>IF(AND(B2160='111'!$L$11,OR($N2160=$Q$7,$O2160=$Q$7)),"x","")</f>
        <v/>
      </c>
      <c r="R2160" s="81" t="str">
        <f>IF(AND($N2160=$Q$7,$B2160&lt;'111'!$L$11),"x","")</f>
        <v/>
      </c>
      <c r="S2160" s="81" t="str">
        <f>IF(AND($O2160=$Q$7,$B2160&lt;'111'!$L$11),"x","")</f>
        <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row>
    <row r="2161" spans="1:30" ht="15.75" customHeight="1">
      <c r="A2161" s="327" t="str">
        <f>IF(B2161&lt;&gt;"",IF(AND(B2161='IN-TC'!$S$4,OR(TH!N2161="1111",TH!O2161="1111")),TH!D2161,""),"")</f>
        <v/>
      </c>
      <c r="B2161" s="62" t="str">
        <f t="shared" si="371"/>
        <v/>
      </c>
      <c r="C2161" s="63"/>
      <c r="D2161" s="63"/>
      <c r="E2161" s="63"/>
      <c r="F2161" s="71"/>
      <c r="G2161" s="816"/>
      <c r="H2161" s="71"/>
      <c r="I2161" s="405"/>
      <c r="J2161" s="405"/>
      <c r="K2161" s="398"/>
      <c r="L2161" s="405"/>
      <c r="M2161" s="64"/>
      <c r="N2161" s="65"/>
      <c r="O2161" s="65"/>
      <c r="P2161" s="81" t="str">
        <f>IF(AND('331-CT'!$E$7=TH!H2161,OR(N2161="331",O2161="331")),"x","")</f>
        <v/>
      </c>
      <c r="Q2161" s="81" t="str">
        <f>IF(AND(B2161='111'!$L$11,OR($N2161=$Q$7,$O2161=$Q$7)),"x","")</f>
        <v/>
      </c>
      <c r="R2161" s="81" t="str">
        <f>IF(AND($N2161=$Q$7,$B2161&lt;'111'!$L$11),"x","")</f>
        <v/>
      </c>
      <c r="S2161" s="81" t="str">
        <f>IF(AND($O2161=$Q$7,$B2161&lt;'111'!$L$11),"x","")</f>
        <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row>
    <row r="2162" spans="1:30" ht="15.75" customHeight="1">
      <c r="A2162" s="327" t="str">
        <f>IF(B2162&lt;&gt;"",IF(AND(B2162='IN-TC'!$S$4,OR(TH!N2162="1111",TH!O2162="1111")),TH!D2162,""),"")</f>
        <v/>
      </c>
      <c r="B2162" s="62" t="str">
        <f t="shared" si="371"/>
        <v/>
      </c>
      <c r="C2162" s="63"/>
      <c r="D2162" s="63"/>
      <c r="E2162" s="63"/>
      <c r="F2162" s="71"/>
      <c r="G2162" s="816"/>
      <c r="H2162" s="71"/>
      <c r="I2162" s="405"/>
      <c r="J2162" s="405"/>
      <c r="K2162" s="398"/>
      <c r="L2162" s="405"/>
      <c r="M2162" s="64"/>
      <c r="N2162" s="65"/>
      <c r="O2162" s="65"/>
      <c r="P2162" s="81" t="str">
        <f>IF(AND('331-CT'!$E$7=TH!H2162,OR(N2162="331",O2162="331")),"x","")</f>
        <v/>
      </c>
      <c r="Q2162" s="81" t="str">
        <f>IF(AND(B2162='111'!$L$11,OR($N2162=$Q$7,$O2162=$Q$7)),"x","")</f>
        <v/>
      </c>
      <c r="R2162" s="81" t="str">
        <f>IF(AND($N2162=$Q$7,$B2162&lt;'111'!$L$11),"x","")</f>
        <v/>
      </c>
      <c r="S2162" s="81" t="str">
        <f>IF(AND($O2162=$Q$7,$B2162&lt;'111'!$L$11),"x","")</f>
        <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row>
    <row r="2163" spans="1:30" ht="15.75" customHeight="1">
      <c r="A2163" s="327" t="str">
        <f>IF(B2163&lt;&gt;"",IF(AND(B2163='IN-TC'!$S$4,OR(TH!N2163="1111",TH!O2163="1111")),TH!D2163,""),"")</f>
        <v/>
      </c>
      <c r="B2163" s="62" t="str">
        <f t="shared" si="371"/>
        <v/>
      </c>
      <c r="C2163" s="63"/>
      <c r="D2163" s="63"/>
      <c r="E2163" s="63"/>
      <c r="F2163" s="71"/>
      <c r="G2163" s="816"/>
      <c r="H2163" s="71"/>
      <c r="I2163" s="405"/>
      <c r="J2163" s="405"/>
      <c r="K2163" s="398"/>
      <c r="L2163" s="405"/>
      <c r="M2163" s="64"/>
      <c r="N2163" s="65"/>
      <c r="O2163" s="65"/>
      <c r="P2163" s="81" t="str">
        <f>IF(AND('331-CT'!$E$7=TH!H2163,OR(N2163="331",O2163="331")),"x","")</f>
        <v/>
      </c>
      <c r="Q2163" s="81" t="str">
        <f>IF(AND(B2163='111'!$L$11,OR($N2163=$Q$7,$O2163=$Q$7)),"x","")</f>
        <v/>
      </c>
      <c r="R2163" s="81" t="str">
        <f>IF(AND($N2163=$Q$7,$B2163&lt;'111'!$L$11),"x","")</f>
        <v/>
      </c>
      <c r="S2163" s="81" t="str">
        <f>IF(AND($O2163=$Q$7,$B2163&lt;'111'!$L$11),"x","")</f>
        <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row>
    <row r="2164" spans="1:30" ht="15.75" customHeight="1">
      <c r="A2164" s="327" t="str">
        <f>IF(B2164&lt;&gt;"",IF(AND(B2164='IN-TC'!$S$4,OR(TH!N2164="1111",TH!O2164="1111")),TH!D2164,""),"")</f>
        <v/>
      </c>
      <c r="B2164" s="62" t="str">
        <f t="shared" si="371"/>
        <v/>
      </c>
      <c r="C2164" s="63"/>
      <c r="D2164" s="63"/>
      <c r="E2164" s="63"/>
      <c r="F2164" s="71"/>
      <c r="G2164" s="816"/>
      <c r="H2164" s="71"/>
      <c r="I2164" s="405"/>
      <c r="J2164" s="405"/>
      <c r="K2164" s="398"/>
      <c r="L2164" s="405"/>
      <c r="M2164" s="64"/>
      <c r="N2164" s="65"/>
      <c r="O2164" s="65"/>
      <c r="P2164" s="81" t="str">
        <f>IF(AND('331-CT'!$E$7=TH!H2164,OR(N2164="331",O2164="331")),"x","")</f>
        <v/>
      </c>
      <c r="Q2164" s="81" t="str">
        <f>IF(AND(B2164='111'!$L$11,OR($N2164=$Q$7,$O2164=$Q$7)),"x","")</f>
        <v/>
      </c>
      <c r="R2164" s="81" t="str">
        <f>IF(AND($N2164=$Q$7,$B2164&lt;'111'!$L$11),"x","")</f>
        <v/>
      </c>
      <c r="S2164" s="81" t="str">
        <f>IF(AND($O2164=$Q$7,$B2164&lt;'111'!$L$11),"x","")</f>
        <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row>
    <row r="2165" spans="1:30" ht="15.75" customHeight="1">
      <c r="A2165" s="327" t="str">
        <f>IF(B2165&lt;&gt;"",IF(AND(B2165='IN-TC'!$S$4,OR(TH!N2165="1111",TH!O2165="1111")),TH!D2165,""),"")</f>
        <v/>
      </c>
      <c r="B2165" s="62" t="str">
        <f t="shared" si="371"/>
        <v/>
      </c>
      <c r="C2165" s="63"/>
      <c r="D2165" s="63"/>
      <c r="E2165" s="63"/>
      <c r="F2165" s="71"/>
      <c r="G2165" s="816"/>
      <c r="H2165" s="71"/>
      <c r="I2165" s="405"/>
      <c r="J2165" s="405"/>
      <c r="K2165" s="398"/>
      <c r="L2165" s="405"/>
      <c r="M2165" s="64"/>
      <c r="N2165" s="65"/>
      <c r="O2165" s="65"/>
      <c r="P2165" s="81" t="str">
        <f>IF(AND('331-CT'!$E$7=TH!H2165,OR(N2165="331",O2165="331")),"x","")</f>
        <v/>
      </c>
      <c r="Q2165" s="81" t="str">
        <f>IF(AND(B2165='111'!$L$11,OR($N2165=$Q$7,$O2165=$Q$7)),"x","")</f>
        <v/>
      </c>
      <c r="R2165" s="81" t="str">
        <f>IF(AND($N2165=$Q$7,$B2165&lt;'111'!$L$11),"x","")</f>
        <v/>
      </c>
      <c r="S2165" s="81" t="str">
        <f>IF(AND($O2165=$Q$7,$B2165&lt;'111'!$L$11),"x","")</f>
        <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row>
    <row r="2166" spans="1:30" ht="15.75" customHeight="1">
      <c r="A2166" s="327" t="str">
        <f>IF(B2166&lt;&gt;"",IF(AND(B2166='IN-TC'!$S$4,OR(TH!N2166="1111",TH!O2166="1111")),TH!D2166,""),"")</f>
        <v/>
      </c>
      <c r="B2166" s="62" t="str">
        <f t="shared" si="371"/>
        <v/>
      </c>
      <c r="C2166" s="63"/>
      <c r="D2166" s="63"/>
      <c r="E2166" s="63"/>
      <c r="F2166" s="71"/>
      <c r="G2166" s="816"/>
      <c r="H2166" s="71"/>
      <c r="I2166" s="405"/>
      <c r="J2166" s="405"/>
      <c r="K2166" s="398"/>
      <c r="L2166" s="405"/>
      <c r="M2166" s="64"/>
      <c r="N2166" s="65"/>
      <c r="O2166" s="65"/>
      <c r="P2166" s="81" t="str">
        <f>IF(AND('331-CT'!$E$7=TH!H2166,OR(N2166="331",O2166="331")),"x","")</f>
        <v/>
      </c>
      <c r="Q2166" s="81" t="str">
        <f>IF(AND(B2166='111'!$L$11,OR($N2166=$Q$7,$O2166=$Q$7)),"x","")</f>
        <v/>
      </c>
      <c r="R2166" s="81" t="str">
        <f>IF(AND($N2166=$Q$7,$B2166&lt;'111'!$L$11),"x","")</f>
        <v/>
      </c>
      <c r="S2166" s="81" t="str">
        <f>IF(AND($O2166=$Q$7,$B2166&lt;'111'!$L$11),"x","")</f>
        <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row>
    <row r="2167" spans="1:30" ht="15.75" customHeight="1">
      <c r="A2167" s="327" t="str">
        <f>IF(B2167&lt;&gt;"",IF(AND(B2167='IN-TC'!$S$4,OR(TH!N2167="1111",TH!O2167="1111")),TH!D2167,""),"")</f>
        <v/>
      </c>
      <c r="B2167" s="62" t="str">
        <f t="shared" si="371"/>
        <v/>
      </c>
      <c r="C2167" s="63"/>
      <c r="D2167" s="63"/>
      <c r="E2167" s="63"/>
      <c r="F2167" s="71"/>
      <c r="G2167" s="816"/>
      <c r="H2167" s="71"/>
      <c r="I2167" s="405"/>
      <c r="J2167" s="405"/>
      <c r="K2167" s="398"/>
      <c r="L2167" s="405"/>
      <c r="M2167" s="64"/>
      <c r="N2167" s="65"/>
      <c r="O2167" s="65"/>
      <c r="P2167" s="81" t="str">
        <f>IF(AND('331-CT'!$E$7=TH!H2167,OR(N2167="331",O2167="331")),"x","")</f>
        <v/>
      </c>
      <c r="Q2167" s="81" t="str">
        <f>IF(AND(B2167='111'!$L$11,OR($N2167=$Q$7,$O2167=$Q$7)),"x","")</f>
        <v/>
      </c>
      <c r="R2167" s="81" t="str">
        <f>IF(AND($N2167=$Q$7,$B2167&lt;'111'!$L$11),"x","")</f>
        <v/>
      </c>
      <c r="S2167" s="81" t="str">
        <f>IF(AND($O2167=$Q$7,$B2167&lt;'111'!$L$11),"x","")</f>
        <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row>
    <row r="2168" spans="1:30" ht="15.75" customHeight="1">
      <c r="A2168" s="327" t="str">
        <f>IF(B2168&lt;&gt;"",IF(AND(B2168='IN-TC'!$S$4,OR(TH!N2168="1111",TH!O2168="1111")),TH!D2168,""),"")</f>
        <v/>
      </c>
      <c r="B2168" s="62" t="str">
        <f t="shared" si="371"/>
        <v/>
      </c>
      <c r="C2168" s="63"/>
      <c r="D2168" s="63"/>
      <c r="E2168" s="63"/>
      <c r="F2168" s="71"/>
      <c r="G2168" s="816"/>
      <c r="H2168" s="71"/>
      <c r="I2168" s="405"/>
      <c r="J2168" s="405"/>
      <c r="K2168" s="398"/>
      <c r="L2168" s="405"/>
      <c r="M2168" s="64"/>
      <c r="N2168" s="65"/>
      <c r="O2168" s="65"/>
      <c r="P2168" s="81" t="str">
        <f>IF(AND('331-CT'!$E$7=TH!H2168,OR(N2168="331",O2168="331")),"x","")</f>
        <v/>
      </c>
      <c r="Q2168" s="81" t="str">
        <f>IF(AND(B2168='111'!$L$11,OR($N2168=$Q$7,$O2168=$Q$7)),"x","")</f>
        <v/>
      </c>
      <c r="R2168" s="81" t="str">
        <f>IF(AND($N2168=$Q$7,$B2168&lt;'111'!$L$11),"x","")</f>
        <v/>
      </c>
      <c r="S2168" s="81" t="str">
        <f>IF(AND($O2168=$Q$7,$B2168&lt;'111'!$L$11),"x","")</f>
        <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0" ht="15.75" customHeight="1">
      <c r="A2169" s="327" t="str">
        <f>IF(B2169&lt;&gt;"",IF(AND(B2169='IN-TC'!$S$4,OR(TH!N2169="1111",TH!O2169="1111")),TH!D2169,""),"")</f>
        <v/>
      </c>
      <c r="B2169" s="62" t="str">
        <f t="shared" si="371"/>
        <v/>
      </c>
      <c r="C2169" s="63"/>
      <c r="D2169" s="63"/>
      <c r="E2169" s="63"/>
      <c r="F2169" s="71"/>
      <c r="G2169" s="816"/>
      <c r="H2169" s="71"/>
      <c r="I2169" s="405"/>
      <c r="J2169" s="405"/>
      <c r="K2169" s="398"/>
      <c r="L2169" s="405"/>
      <c r="M2169" s="64"/>
      <c r="N2169" s="65"/>
      <c r="O2169" s="65"/>
      <c r="P2169" s="81" t="str">
        <f>IF(AND('331-CT'!$E$7=TH!H2169,OR(N2169="331",O2169="331")),"x","")</f>
        <v/>
      </c>
      <c r="Q2169" s="81" t="str">
        <f>IF(AND(B2169='111'!$L$11,OR($N2169=$Q$7,$O2169=$Q$7)),"x","")</f>
        <v/>
      </c>
      <c r="R2169" s="81" t="str">
        <f>IF(AND($N2169=$Q$7,$B2169&lt;'111'!$L$11),"x","")</f>
        <v/>
      </c>
      <c r="S2169" s="81" t="str">
        <f>IF(AND($O2169=$Q$7,$B2169&lt;'111'!$L$11),"x","")</f>
        <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row>
    <row r="2170" spans="1:30" ht="15.75" customHeight="1">
      <c r="A2170" s="327" t="str">
        <f>IF(B2170&lt;&gt;"",IF(AND(B2170='IN-TC'!$S$4,OR(TH!N2170="1111",TH!O2170="1111")),TH!D2170,""),"")</f>
        <v/>
      </c>
      <c r="B2170" s="62" t="str">
        <f t="shared" si="371"/>
        <v/>
      </c>
      <c r="C2170" s="63"/>
      <c r="D2170" s="63"/>
      <c r="E2170" s="63"/>
      <c r="F2170" s="71"/>
      <c r="G2170" s="816"/>
      <c r="H2170" s="71"/>
      <c r="I2170" s="405"/>
      <c r="J2170" s="405"/>
      <c r="K2170" s="398"/>
      <c r="L2170" s="405"/>
      <c r="M2170" s="64"/>
      <c r="N2170" s="65"/>
      <c r="O2170" s="65"/>
      <c r="P2170" s="81" t="str">
        <f>IF(AND('331-CT'!$E$7=TH!H2170,OR(N2170="331",O2170="331")),"x","")</f>
        <v/>
      </c>
      <c r="Q2170" s="81" t="str">
        <f>IF(AND(B2170='111'!$L$11,OR($N2170=$Q$7,$O2170=$Q$7)),"x","")</f>
        <v/>
      </c>
      <c r="R2170" s="81" t="str">
        <f>IF(AND($N2170=$Q$7,$B2170&lt;'111'!$L$11),"x","")</f>
        <v/>
      </c>
      <c r="S2170" s="81" t="str">
        <f>IF(AND($O2170=$Q$7,$B2170&lt;'111'!$L$11),"x","")</f>
        <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row>
    <row r="2171" spans="1:30" ht="15.75" customHeight="1">
      <c r="A2171" s="327" t="str">
        <f>IF(B2171&lt;&gt;"",IF(AND(B2171='IN-TC'!$S$4,OR(TH!N2171="1111",TH!O2171="1111")),TH!D2171,""),"")</f>
        <v/>
      </c>
      <c r="B2171" s="62" t="str">
        <f t="shared" si="371"/>
        <v/>
      </c>
      <c r="C2171" s="63"/>
      <c r="D2171" s="63"/>
      <c r="E2171" s="63"/>
      <c r="F2171" s="71"/>
      <c r="G2171" s="816"/>
      <c r="H2171" s="71"/>
      <c r="I2171" s="405"/>
      <c r="J2171" s="405"/>
      <c r="K2171" s="398"/>
      <c r="L2171" s="405"/>
      <c r="M2171" s="64"/>
      <c r="N2171" s="65"/>
      <c r="O2171" s="65"/>
      <c r="P2171" s="81" t="str">
        <f>IF(AND('331-CT'!$E$7=TH!H2171,OR(N2171="331",O2171="331")),"x","")</f>
        <v/>
      </c>
      <c r="Q2171" s="81" t="str">
        <f>IF(AND(B2171='111'!$L$11,OR($N2171=$Q$7,$O2171=$Q$7)),"x","")</f>
        <v/>
      </c>
      <c r="R2171" s="81" t="str">
        <f>IF(AND($N2171=$Q$7,$B2171&lt;'111'!$L$11),"x","")</f>
        <v/>
      </c>
      <c r="S2171" s="81" t="str">
        <f>IF(AND($O2171=$Q$7,$B2171&lt;'111'!$L$11),"x","")</f>
        <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row>
    <row r="2172" spans="1:30" ht="15.75" customHeight="1">
      <c r="A2172" s="327" t="str">
        <f>IF(B2172&lt;&gt;"",IF(AND(B2172='IN-TC'!$S$4,OR(TH!N2172="1111",TH!O2172="1111")),TH!D2172,""),"")</f>
        <v/>
      </c>
      <c r="B2172" s="62" t="str">
        <f t="shared" si="371"/>
        <v/>
      </c>
      <c r="C2172" s="63"/>
      <c r="D2172" s="63"/>
      <c r="E2172" s="63"/>
      <c r="F2172" s="71"/>
      <c r="G2172" s="816"/>
      <c r="H2172" s="71"/>
      <c r="I2172" s="405"/>
      <c r="J2172" s="405"/>
      <c r="K2172" s="398"/>
      <c r="L2172" s="405"/>
      <c r="M2172" s="64"/>
      <c r="N2172" s="65"/>
      <c r="O2172" s="65"/>
      <c r="P2172" s="81" t="str">
        <f>IF(AND('331-CT'!$E$7=TH!H2172,OR(N2172="331",O2172="331")),"x","")</f>
        <v/>
      </c>
      <c r="Q2172" s="81" t="str">
        <f>IF(AND(B2172='111'!$L$11,OR($N2172=$Q$7,$O2172=$Q$7)),"x","")</f>
        <v/>
      </c>
      <c r="R2172" s="81" t="str">
        <f>IF(AND($N2172=$Q$7,$B2172&lt;'111'!$L$11),"x","")</f>
        <v/>
      </c>
      <c r="S2172" s="81" t="str">
        <f>IF(AND($O2172=$Q$7,$B2172&lt;'111'!$L$11),"x","")</f>
        <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row>
    <row r="2173" spans="1:30" ht="15.75" customHeight="1">
      <c r="A2173" s="327" t="str">
        <f>IF(B2173&lt;&gt;"",IF(AND(B2173='IN-TC'!$S$4,OR(TH!N2173="1111",TH!O2173="1111")),TH!D2173,""),"")</f>
        <v/>
      </c>
      <c r="B2173" s="62" t="str">
        <f t="shared" si="371"/>
        <v/>
      </c>
      <c r="C2173" s="63"/>
      <c r="D2173" s="63"/>
      <c r="E2173" s="63"/>
      <c r="F2173" s="71"/>
      <c r="G2173" s="816"/>
      <c r="H2173" s="71"/>
      <c r="I2173" s="405"/>
      <c r="J2173" s="405"/>
      <c r="K2173" s="398"/>
      <c r="L2173" s="405"/>
      <c r="M2173" s="64"/>
      <c r="N2173" s="65"/>
      <c r="O2173" s="65"/>
      <c r="P2173" s="81" t="str">
        <f>IF(AND('331-CT'!$E$7=TH!H2173,OR(N2173="331",O2173="331")),"x","")</f>
        <v/>
      </c>
      <c r="Q2173" s="81" t="str">
        <f>IF(AND(B2173='111'!$L$11,OR($N2173=$Q$7,$O2173=$Q$7)),"x","")</f>
        <v/>
      </c>
      <c r="R2173" s="81" t="str">
        <f>IF(AND($N2173=$Q$7,$B2173&lt;'111'!$L$11),"x","")</f>
        <v/>
      </c>
      <c r="S2173" s="81" t="str">
        <f>IF(AND($O2173=$Q$7,$B2173&lt;'111'!$L$11),"x","")</f>
        <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row>
    <row r="2174" spans="1:30" ht="15.75" customHeight="1">
      <c r="A2174" s="327" t="str">
        <f>IF(B2174&lt;&gt;"",IF(AND(B2174='IN-TC'!$S$4,OR(TH!N2174="1111",TH!O2174="1111")),TH!D2174,""),"")</f>
        <v/>
      </c>
      <c r="B2174" s="62" t="str">
        <f t="shared" si="371"/>
        <v/>
      </c>
      <c r="C2174" s="63"/>
      <c r="D2174" s="63"/>
      <c r="E2174" s="63"/>
      <c r="F2174" s="71"/>
      <c r="G2174" s="816"/>
      <c r="H2174" s="71"/>
      <c r="I2174" s="405"/>
      <c r="J2174" s="405"/>
      <c r="K2174" s="398"/>
      <c r="L2174" s="405"/>
      <c r="M2174" s="64"/>
      <c r="N2174" s="65"/>
      <c r="O2174" s="65"/>
      <c r="P2174" s="81" t="str">
        <f>IF(AND('331-CT'!$E$7=TH!H2174,OR(N2174="331",O2174="331")),"x","")</f>
        <v/>
      </c>
      <c r="Q2174" s="81" t="str">
        <f>IF(AND(B2174='111'!$L$11,OR($N2174=$Q$7,$O2174=$Q$7)),"x","")</f>
        <v/>
      </c>
      <c r="R2174" s="81" t="str">
        <f>IF(AND($N2174=$Q$7,$B2174&lt;'111'!$L$11),"x","")</f>
        <v/>
      </c>
      <c r="S2174" s="81" t="str">
        <f>IF(AND($O2174=$Q$7,$B2174&lt;'111'!$L$11),"x","")</f>
        <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row>
    <row r="2175" spans="1:30" ht="15.75" customHeight="1">
      <c r="A2175" s="327" t="str">
        <f>IF(B2175&lt;&gt;"",IF(AND(B2175='IN-TC'!$S$4,OR(TH!N2175="1111",TH!O2175="1111")),TH!D2175,""),"")</f>
        <v/>
      </c>
      <c r="B2175" s="62" t="str">
        <f t="shared" si="371"/>
        <v/>
      </c>
      <c r="C2175" s="63"/>
      <c r="D2175" s="63"/>
      <c r="E2175" s="63"/>
      <c r="F2175" s="71"/>
      <c r="G2175" s="816"/>
      <c r="H2175" s="71"/>
      <c r="I2175" s="405"/>
      <c r="J2175" s="405"/>
      <c r="K2175" s="398"/>
      <c r="L2175" s="405"/>
      <c r="M2175" s="64"/>
      <c r="N2175" s="65"/>
      <c r="O2175" s="65"/>
      <c r="P2175" s="81" t="str">
        <f>IF(AND('331-CT'!$E$7=TH!H2175,OR(N2175="331",O2175="331")),"x","")</f>
        <v/>
      </c>
      <c r="Q2175" s="81" t="str">
        <f>IF(AND(B2175='111'!$L$11,OR($N2175=$Q$7,$O2175=$Q$7)),"x","")</f>
        <v/>
      </c>
      <c r="R2175" s="81" t="str">
        <f>IF(AND($N2175=$Q$7,$B2175&lt;'111'!$L$11),"x","")</f>
        <v/>
      </c>
      <c r="S2175" s="81" t="str">
        <f>IF(AND($O2175=$Q$7,$B2175&lt;'111'!$L$11),"x","")</f>
        <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row>
    <row r="2176" spans="1:30" ht="15.75" customHeight="1">
      <c r="A2176" s="327" t="str">
        <f>IF(B2176&lt;&gt;"",IF(AND(B2176='IN-TC'!$S$4,OR(TH!N2176="1111",TH!O2176="1111")),TH!D2176,""),"")</f>
        <v/>
      </c>
      <c r="B2176" s="62" t="str">
        <f t="shared" si="371"/>
        <v/>
      </c>
      <c r="C2176" s="63"/>
      <c r="D2176" s="63"/>
      <c r="E2176" s="63"/>
      <c r="F2176" s="71"/>
      <c r="G2176" s="816"/>
      <c r="H2176" s="71"/>
      <c r="I2176" s="405"/>
      <c r="J2176" s="405"/>
      <c r="K2176" s="398"/>
      <c r="L2176" s="405"/>
      <c r="M2176" s="64"/>
      <c r="N2176" s="65"/>
      <c r="O2176" s="65"/>
      <c r="P2176" s="81" t="str">
        <f>IF(AND('331-CT'!$E$7=TH!H2176,OR(N2176="331",O2176="331")),"x","")</f>
        <v/>
      </c>
      <c r="Q2176" s="81" t="str">
        <f>IF(AND(B2176='111'!$L$11,OR($N2176=$Q$7,$O2176=$Q$7)),"x","")</f>
        <v/>
      </c>
      <c r="R2176" s="81" t="str">
        <f>IF(AND($N2176=$Q$7,$B2176&lt;'111'!$L$11),"x","")</f>
        <v/>
      </c>
      <c r="S2176" s="81" t="str">
        <f>IF(AND($O2176=$Q$7,$B2176&lt;'111'!$L$11),"x","")</f>
        <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row>
    <row r="2177" spans="1:30" ht="15.75" customHeight="1">
      <c r="A2177" s="327" t="str">
        <f>IF(B2177&lt;&gt;"",IF(AND(B2177='IN-TC'!$S$4,OR(TH!N2177="1111",TH!O2177="1111")),TH!D2177,""),"")</f>
        <v/>
      </c>
      <c r="B2177" s="62" t="str">
        <f t="shared" si="371"/>
        <v/>
      </c>
      <c r="C2177" s="63"/>
      <c r="D2177" s="63"/>
      <c r="E2177" s="63"/>
      <c r="F2177" s="71"/>
      <c r="G2177" s="816"/>
      <c r="H2177" s="71"/>
      <c r="I2177" s="405"/>
      <c r="J2177" s="405"/>
      <c r="K2177" s="398"/>
      <c r="L2177" s="405"/>
      <c r="M2177" s="64"/>
      <c r="N2177" s="65"/>
      <c r="O2177" s="65"/>
      <c r="P2177" s="81" t="str">
        <f>IF(AND('331-CT'!$E$7=TH!H2177,OR(N2177="331",O2177="331")),"x","")</f>
        <v/>
      </c>
      <c r="Q2177" s="81" t="str">
        <f>IF(AND(B2177='111'!$L$11,OR($N2177=$Q$7,$O2177=$Q$7)),"x","")</f>
        <v/>
      </c>
      <c r="R2177" s="81" t="str">
        <f>IF(AND($N2177=$Q$7,$B2177&lt;'111'!$L$11),"x","")</f>
        <v/>
      </c>
      <c r="S2177" s="81" t="str">
        <f>IF(AND($O2177=$Q$7,$B2177&lt;'111'!$L$11),"x","")</f>
        <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row>
    <row r="2178" spans="1:30" ht="15.75" customHeight="1">
      <c r="A2178" s="327" t="str">
        <f>IF(B2178&lt;&gt;"",IF(AND(B2178='IN-TC'!$S$4,OR(TH!N2178="1111",TH!O2178="1111")),TH!D2178,""),"")</f>
        <v/>
      </c>
      <c r="B2178" s="62" t="str">
        <f t="shared" si="371"/>
        <v/>
      </c>
      <c r="C2178" s="63"/>
      <c r="D2178" s="63"/>
      <c r="E2178" s="63"/>
      <c r="F2178" s="71"/>
      <c r="G2178" s="816"/>
      <c r="H2178" s="71"/>
      <c r="I2178" s="405"/>
      <c r="J2178" s="405"/>
      <c r="K2178" s="398"/>
      <c r="L2178" s="405"/>
      <c r="M2178" s="64"/>
      <c r="N2178" s="65"/>
      <c r="O2178" s="65"/>
      <c r="P2178" s="81" t="str">
        <f>IF(AND('331-CT'!$E$7=TH!H2178,OR(N2178="331",O2178="331")),"x","")</f>
        <v/>
      </c>
      <c r="Q2178" s="81" t="str">
        <f>IF(AND(B2178='111'!$L$11,OR($N2178=$Q$7,$O2178=$Q$7)),"x","")</f>
        <v/>
      </c>
      <c r="R2178" s="81" t="str">
        <f>IF(AND($N2178=$Q$7,$B2178&lt;'111'!$L$11),"x","")</f>
        <v/>
      </c>
      <c r="S2178" s="81" t="str">
        <f>IF(AND($O2178=$Q$7,$B2178&lt;'111'!$L$11),"x","")</f>
        <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row>
    <row r="2179" spans="1:30" ht="15.75" customHeight="1">
      <c r="A2179" s="327" t="str">
        <f>IF(B2179&lt;&gt;"",IF(AND(B2179='IN-TC'!$S$4,OR(TH!N2179="1111",TH!O2179="1111")),TH!D2179,""),"")</f>
        <v/>
      </c>
      <c r="B2179" s="62" t="str">
        <f t="shared" si="371"/>
        <v/>
      </c>
      <c r="C2179" s="63"/>
      <c r="D2179" s="63"/>
      <c r="E2179" s="63"/>
      <c r="F2179" s="71"/>
      <c r="G2179" s="816"/>
      <c r="H2179" s="71"/>
      <c r="I2179" s="405"/>
      <c r="J2179" s="405"/>
      <c r="K2179" s="398"/>
      <c r="L2179" s="405"/>
      <c r="M2179" s="64"/>
      <c r="N2179" s="65"/>
      <c r="O2179" s="65"/>
      <c r="P2179" s="81" t="str">
        <f>IF(AND('331-CT'!$E$7=TH!H2179,OR(N2179="331",O2179="331")),"x","")</f>
        <v/>
      </c>
      <c r="Q2179" s="81" t="str">
        <f>IF(AND(B2179='111'!$L$11,OR($N2179=$Q$7,$O2179=$Q$7)),"x","")</f>
        <v/>
      </c>
      <c r="R2179" s="81" t="str">
        <f>IF(AND($N2179=$Q$7,$B2179&lt;'111'!$L$11),"x","")</f>
        <v/>
      </c>
      <c r="S2179" s="81" t="str">
        <f>IF(AND($O2179=$Q$7,$B2179&lt;'111'!$L$11),"x","")</f>
        <v/>
      </c>
      <c r="T2179" s="81" t="str">
        <f>IF(ISERROR(FIND('112'!$M$9,G2179,1)),"",IF((AND(FIND('112'!$M$9,G2179,1)&gt;=1,B2179='112'!$K$9,OR($N2179='112'!$I$6,$O2179='112'!$I$6))),"x",""))</f>
        <v/>
      </c>
      <c r="U2179" s="81" t="str">
        <f>IF(ISERROR(FIND('112'!$M$9,G2179,1)),"",IF((AND(LEFT(G2179,2)=LEFT('112'!$M$9,2),B2179&lt;'112'!$K$9,$N2179='112'!$I$6)),"x",""))</f>
        <v/>
      </c>
      <c r="V2179" s="81" t="str">
        <f>IF(ISERROR(FIND('112'!$M$9,G2179,1)),"",IF((AND(RIGHT(G2179,2)=RIGHT('112'!$M$9,2),B2179&lt;'112'!$K$9,$O2179='112'!$I$6)),"x",""))</f>
        <v/>
      </c>
      <c r="W2179" s="81" t="str">
        <f>IF(AND('341-CT'!$H$9=H2179,OR(LEFT(N2179,3)=$W$7,LEFT(O2179,3)=$W$7)),"x","")</f>
        <v/>
      </c>
      <c r="X2179" s="81" t="str">
        <f>IF(OR(TH!N2179=TH!$X$7,O2179=TH!$X$7),"x","")</f>
        <v/>
      </c>
      <c r="Y2179" s="81" t="str">
        <f>IF(AND(OR(N2179="131",O2179="131"),H2179='131-CT'!$H$9),"x","")</f>
        <v/>
      </c>
      <c r="Z2179" s="81"/>
      <c r="AA2179" s="81" t="str">
        <f>IF(AND(MONTH(E2179)='IN-NX'!$J$5,'IN-NX'!$D$7=D2179),"x","")</f>
        <v/>
      </c>
      <c r="AB2179" s="81" t="str">
        <f>IF(AND(OR(LEFT(TH!N2179,2)="15",LEFT(TH!O2179,2)="15"),LEFT(TH!O2179,3)&lt;&gt;"111",'152-CT'!$J$8=TH!F2179),"x","")</f>
        <v/>
      </c>
      <c r="AC2179" s="81" t="str">
        <f>IF(AND(OR(LEFT(TH!N2179,2)="15",LEFT(TH!O2179,2)="15"),TK!$E$7=TH!F2179),"x","")</f>
        <v/>
      </c>
      <c r="AD2179" s="81" t="str">
        <f>IF(AND(N2179="1521",MONTH(C2179)='BK-NL'!$M$11),"x","")</f>
        <v/>
      </c>
    </row>
    <row r="2180" spans="1:30" ht="15.75" customHeight="1">
      <c r="A2180" s="327" t="str">
        <f>IF(B2180&lt;&gt;"",IF(AND(B2180='IN-TC'!$S$4,OR(TH!N2180="1111",TH!O2180="1111")),TH!D2180,""),"")</f>
        <v/>
      </c>
      <c r="B2180" s="62" t="str">
        <f t="shared" si="371"/>
        <v/>
      </c>
      <c r="C2180" s="63"/>
      <c r="D2180" s="63"/>
      <c r="E2180" s="63"/>
      <c r="F2180" s="71"/>
      <c r="G2180" s="816"/>
      <c r="H2180" s="71"/>
      <c r="I2180" s="405"/>
      <c r="J2180" s="405"/>
      <c r="K2180" s="398"/>
      <c r="L2180" s="405"/>
      <c r="M2180" s="64"/>
      <c r="N2180" s="65"/>
      <c r="O2180" s="65"/>
      <c r="P2180" s="81" t="str">
        <f>IF(AND('331-CT'!$E$7=TH!H2180,OR(N2180="331",O2180="331")),"x","")</f>
        <v/>
      </c>
      <c r="Q2180" s="81" t="str">
        <f>IF(AND(B2180='111'!$L$11,OR($N2180=$Q$7,$O2180=$Q$7)),"x","")</f>
        <v/>
      </c>
      <c r="R2180" s="81" t="str">
        <f>IF(AND($N2180=$Q$7,$B2180&lt;'111'!$L$11),"x","")</f>
        <v/>
      </c>
      <c r="S2180" s="81" t="str">
        <f>IF(AND($O2180=$Q$7,$B2180&lt;'111'!$L$11),"x","")</f>
        <v/>
      </c>
      <c r="T2180" s="81" t="str">
        <f>IF(ISERROR(FIND('112'!$M$9,G2180,1)),"",IF((AND(FIND('112'!$M$9,G2180,1)&gt;=1,B2180='112'!$K$9,OR($N2180='112'!$I$6,$O2180='112'!$I$6))),"x",""))</f>
        <v/>
      </c>
      <c r="U2180" s="81" t="str">
        <f>IF(ISERROR(FIND('112'!$M$9,G2180,1)),"",IF((AND(LEFT(G2180,2)=LEFT('112'!$M$9,2),B2180&lt;'112'!$K$9,$N2180='112'!$I$6)),"x",""))</f>
        <v/>
      </c>
      <c r="V2180" s="81" t="str">
        <f>IF(ISERROR(FIND('112'!$M$9,G2180,1)),"",IF((AND(RIGHT(G2180,2)=RIGHT('112'!$M$9,2),B2180&lt;'112'!$K$9,$O2180='112'!$I$6)),"x",""))</f>
        <v/>
      </c>
      <c r="W2180" s="81" t="str">
        <f>IF(AND('341-CT'!$H$9=H2180,OR(LEFT(N2180,3)=$W$7,LEFT(O2180,3)=$W$7)),"x","")</f>
        <v/>
      </c>
      <c r="X2180" s="81" t="str">
        <f>IF(OR(TH!N2180=TH!$X$7,O2180=TH!$X$7),"x","")</f>
        <v/>
      </c>
      <c r="Y2180" s="81" t="str">
        <f>IF(AND(OR(N2180="131",O2180="131"),H2180='131-CT'!$H$9),"x","")</f>
        <v/>
      </c>
      <c r="Z2180" s="81"/>
      <c r="AA2180" s="81" t="str">
        <f>IF(AND(MONTH(E2180)='IN-NX'!$J$5,'IN-NX'!$D$7=D2180),"x","")</f>
        <v/>
      </c>
      <c r="AB2180" s="81" t="str">
        <f>IF(AND(OR(LEFT(TH!N2180,2)="15",LEFT(TH!O2180,2)="15"),LEFT(TH!O2180,3)&lt;&gt;"111",'152-CT'!$J$8=TH!F2180),"x","")</f>
        <v/>
      </c>
      <c r="AC2180" s="81" t="str">
        <f>IF(AND(OR(LEFT(TH!N2180,2)="15",LEFT(TH!O2180,2)="15"),TK!$E$7=TH!F2180),"x","")</f>
        <v/>
      </c>
      <c r="AD2180" s="81" t="str">
        <f>IF(AND(N2180="1521",MONTH(C2180)='BK-NL'!$M$11),"x","")</f>
        <v/>
      </c>
    </row>
    <row r="2181" spans="1:30" ht="15.75" customHeight="1">
      <c r="A2181" s="327" t="str">
        <f>IF(B2181&lt;&gt;"",IF(AND(B2181='IN-TC'!$S$4,OR(TH!N2181="1111",TH!O2181="1111")),TH!D2181,""),"")</f>
        <v/>
      </c>
      <c r="B2181" s="62" t="str">
        <f t="shared" si="371"/>
        <v/>
      </c>
      <c r="C2181" s="63"/>
      <c r="D2181" s="63"/>
      <c r="E2181" s="63"/>
      <c r="F2181" s="71"/>
      <c r="G2181" s="816"/>
      <c r="H2181" s="71"/>
      <c r="I2181" s="405"/>
      <c r="J2181" s="405"/>
      <c r="K2181" s="398"/>
      <c r="L2181" s="405"/>
      <c r="M2181" s="64"/>
      <c r="N2181" s="65"/>
      <c r="O2181" s="65"/>
      <c r="P2181" s="81" t="str">
        <f>IF(AND('331-CT'!$E$7=TH!H2181,OR(N2181="331",O2181="331")),"x","")</f>
        <v/>
      </c>
      <c r="Q2181" s="81" t="str">
        <f>IF(AND(B2181='111'!$L$11,OR($N2181=$Q$7,$O2181=$Q$7)),"x","")</f>
        <v/>
      </c>
      <c r="R2181" s="81" t="str">
        <f>IF(AND($N2181=$Q$7,$B2181&lt;'111'!$L$11),"x","")</f>
        <v/>
      </c>
      <c r="S2181" s="81" t="str">
        <f>IF(AND($O2181=$Q$7,$B2181&lt;'111'!$L$11),"x","")</f>
        <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row>
    <row r="2182" spans="1:30" ht="15.75" customHeight="1">
      <c r="A2182" s="327" t="str">
        <f>IF(B2182&lt;&gt;"",IF(AND(B2182='IN-TC'!$S$4,OR(TH!N2182="1111",TH!O2182="1111")),TH!D2182,""),"")</f>
        <v/>
      </c>
      <c r="B2182" s="62" t="str">
        <f t="shared" si="371"/>
        <v/>
      </c>
      <c r="C2182" s="63"/>
      <c r="D2182" s="63"/>
      <c r="E2182" s="63"/>
      <c r="F2182" s="71"/>
      <c r="G2182" s="816"/>
      <c r="H2182" s="71"/>
      <c r="I2182" s="405"/>
      <c r="J2182" s="405"/>
      <c r="K2182" s="398"/>
      <c r="L2182" s="405"/>
      <c r="M2182" s="64"/>
      <c r="N2182" s="65"/>
      <c r="O2182" s="65"/>
      <c r="P2182" s="81" t="str">
        <f>IF(AND('331-CT'!$E$7=TH!H2182,OR(N2182="331",O2182="331")),"x","")</f>
        <v/>
      </c>
      <c r="Q2182" s="81" t="str">
        <f>IF(AND(B2182='111'!$L$11,OR($N2182=$Q$7,$O2182=$Q$7)),"x","")</f>
        <v/>
      </c>
      <c r="R2182" s="81" t="str">
        <f>IF(AND($N2182=$Q$7,$B2182&lt;'111'!$L$11),"x","")</f>
        <v/>
      </c>
      <c r="S2182" s="81" t="str">
        <f>IF(AND($O2182=$Q$7,$B2182&lt;'111'!$L$11),"x","")</f>
        <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0" ht="15.75" customHeight="1">
      <c r="A2183" s="327" t="str">
        <f>IF(B2183&lt;&gt;"",IF(AND(B2183='IN-TC'!$S$4,OR(TH!N2183="1111",TH!O2183="1111")),TH!D2183,""),"")</f>
        <v/>
      </c>
      <c r="B2183" s="62" t="str">
        <f t="shared" si="371"/>
        <v/>
      </c>
      <c r="C2183" s="63"/>
      <c r="D2183" s="63"/>
      <c r="E2183" s="63"/>
      <c r="F2183" s="71"/>
      <c r="G2183" s="816"/>
      <c r="H2183" s="71"/>
      <c r="I2183" s="405"/>
      <c r="J2183" s="405"/>
      <c r="K2183" s="398"/>
      <c r="L2183" s="405"/>
      <c r="M2183" s="64"/>
      <c r="N2183" s="65"/>
      <c r="O2183" s="65"/>
      <c r="P2183" s="81" t="str">
        <f>IF(AND('331-CT'!$E$7=TH!H2183,OR(N2183="331",O2183="331")),"x","")</f>
        <v/>
      </c>
      <c r="Q2183" s="81" t="str">
        <f>IF(AND(B2183='111'!$L$11,OR($N2183=$Q$7,$O2183=$Q$7)),"x","")</f>
        <v/>
      </c>
      <c r="R2183" s="81" t="str">
        <f>IF(AND($N2183=$Q$7,$B2183&lt;'111'!$L$11),"x","")</f>
        <v/>
      </c>
      <c r="S2183" s="81" t="str">
        <f>IF(AND($O2183=$Q$7,$B2183&lt;'111'!$L$11),"x","")</f>
        <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row>
    <row r="2184" spans="1:30" ht="15.75" customHeight="1">
      <c r="A2184" s="327" t="str">
        <f>IF(B2184&lt;&gt;"",IF(AND(B2184='IN-TC'!$S$4,OR(TH!N2184="1111",TH!O2184="1111")),TH!D2184,""),"")</f>
        <v/>
      </c>
      <c r="B2184" s="62" t="str">
        <f t="shared" si="371"/>
        <v/>
      </c>
      <c r="C2184" s="63"/>
      <c r="D2184" s="63"/>
      <c r="E2184" s="63"/>
      <c r="F2184" s="71"/>
      <c r="G2184" s="816"/>
      <c r="H2184" s="71"/>
      <c r="I2184" s="405"/>
      <c r="J2184" s="405"/>
      <c r="K2184" s="398"/>
      <c r="L2184" s="405"/>
      <c r="M2184" s="64"/>
      <c r="N2184" s="65"/>
      <c r="O2184" s="65"/>
      <c r="P2184" s="81" t="str">
        <f>IF(AND('331-CT'!$E$7=TH!H2184,OR(N2184="331",O2184="331")),"x","")</f>
        <v/>
      </c>
      <c r="Q2184" s="81" t="str">
        <f>IF(AND(B2184='111'!$L$11,OR($N2184=$Q$7,$O2184=$Q$7)),"x","")</f>
        <v/>
      </c>
      <c r="R2184" s="81" t="str">
        <f>IF(AND($N2184=$Q$7,$B2184&lt;'111'!$L$11),"x","")</f>
        <v/>
      </c>
      <c r="S2184" s="81" t="str">
        <f>IF(AND($O2184=$Q$7,$B2184&lt;'111'!$L$11),"x","")</f>
        <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row>
    <row r="2185" spans="1:30" ht="15.75" customHeight="1">
      <c r="A2185" s="327" t="str">
        <f>IF(B2185&lt;&gt;"",IF(AND(B2185='IN-TC'!$S$4,OR(TH!N2185="1111",TH!O2185="1111")),TH!D2185,""),"")</f>
        <v/>
      </c>
      <c r="B2185" s="62" t="str">
        <f t="shared" si="371"/>
        <v/>
      </c>
      <c r="C2185" s="63"/>
      <c r="D2185" s="63"/>
      <c r="E2185" s="63"/>
      <c r="F2185" s="71"/>
      <c r="G2185" s="816"/>
      <c r="H2185" s="71"/>
      <c r="I2185" s="405"/>
      <c r="J2185" s="405"/>
      <c r="K2185" s="398"/>
      <c r="L2185" s="405"/>
      <c r="M2185" s="64"/>
      <c r="N2185" s="65"/>
      <c r="O2185" s="65"/>
      <c r="P2185" s="81" t="str">
        <f>IF(AND('331-CT'!$E$7=TH!H2185,OR(N2185="331",O2185="331")),"x","")</f>
        <v/>
      </c>
      <c r="Q2185" s="81" t="str">
        <f>IF(AND(B2185='111'!$L$11,OR($N2185=$Q$7,$O2185=$Q$7)),"x","")</f>
        <v/>
      </c>
      <c r="R2185" s="81" t="str">
        <f>IF(AND($N2185=$Q$7,$B2185&lt;'111'!$L$11),"x","")</f>
        <v/>
      </c>
      <c r="S2185" s="81" t="str">
        <f>IF(AND($O2185=$Q$7,$B2185&lt;'111'!$L$11),"x","")</f>
        <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0" ht="15.75" customHeight="1">
      <c r="A2186" s="327" t="str">
        <f>IF(B2186&lt;&gt;"",IF(AND(B2186='IN-TC'!$S$4,OR(TH!N2186="1111",TH!O2186="1111")),TH!D2186,""),"")</f>
        <v/>
      </c>
      <c r="B2186" s="62" t="str">
        <f t="shared" si="371"/>
        <v/>
      </c>
      <c r="C2186" s="63"/>
      <c r="D2186" s="63"/>
      <c r="E2186" s="63"/>
      <c r="F2186" s="71"/>
      <c r="G2186" s="816"/>
      <c r="H2186" s="71"/>
      <c r="I2186" s="405"/>
      <c r="J2186" s="405"/>
      <c r="K2186" s="398"/>
      <c r="L2186" s="405"/>
      <c r="M2186" s="64"/>
      <c r="N2186" s="65"/>
      <c r="O2186" s="65"/>
      <c r="P2186" s="81" t="str">
        <f>IF(AND('331-CT'!$E$7=TH!H2186,OR(N2186="331",O2186="331")),"x","")</f>
        <v/>
      </c>
      <c r="Q2186" s="81" t="str">
        <f>IF(AND(B2186='111'!$L$11,OR($N2186=$Q$7,$O2186=$Q$7)),"x","")</f>
        <v/>
      </c>
      <c r="R2186" s="81" t="str">
        <f>IF(AND($N2186=$Q$7,$B2186&lt;'111'!$L$11),"x","")</f>
        <v/>
      </c>
      <c r="S2186" s="81" t="str">
        <f>IF(AND($O2186=$Q$7,$B2186&lt;'111'!$L$11),"x","")</f>
        <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row>
    <row r="2187" spans="1:30" ht="15.75" customHeight="1">
      <c r="A2187" s="327" t="str">
        <f>IF(B2187&lt;&gt;"",IF(AND(B2187='IN-TC'!$S$4,OR(TH!N2187="1111",TH!O2187="1111")),TH!D2187,""),"")</f>
        <v/>
      </c>
      <c r="B2187" s="62" t="str">
        <f t="shared" si="371"/>
        <v/>
      </c>
      <c r="C2187" s="63"/>
      <c r="D2187" s="63"/>
      <c r="E2187" s="63"/>
      <c r="F2187" s="71"/>
      <c r="G2187" s="816"/>
      <c r="H2187" s="71"/>
      <c r="I2187" s="405"/>
      <c r="J2187" s="405"/>
      <c r="K2187" s="398"/>
      <c r="L2187" s="405"/>
      <c r="M2187" s="64"/>
      <c r="N2187" s="65"/>
      <c r="O2187" s="65"/>
      <c r="P2187" s="81" t="str">
        <f>IF(AND('331-CT'!$E$7=TH!H2187,OR(N2187="331",O2187="331")),"x","")</f>
        <v/>
      </c>
      <c r="Q2187" s="81" t="str">
        <f>IF(AND(B2187='111'!$L$11,OR($N2187=$Q$7,$O2187=$Q$7)),"x","")</f>
        <v/>
      </c>
      <c r="R2187" s="81" t="str">
        <f>IF(AND($N2187=$Q$7,$B2187&lt;'111'!$L$11),"x","")</f>
        <v/>
      </c>
      <c r="S2187" s="81" t="str">
        <f>IF(AND($O2187=$Q$7,$B2187&lt;'111'!$L$11),"x","")</f>
        <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row>
    <row r="2188" spans="1:30" ht="15.75" customHeight="1">
      <c r="A2188" s="327" t="str">
        <f>IF(B2188&lt;&gt;"",IF(AND(B2188='IN-TC'!$S$4,OR(TH!N2188="1111",TH!O2188="1111")),TH!D2188,""),"")</f>
        <v/>
      </c>
      <c r="B2188" s="62" t="str">
        <f t="shared" si="371"/>
        <v/>
      </c>
      <c r="C2188" s="63"/>
      <c r="D2188" s="63"/>
      <c r="E2188" s="63"/>
      <c r="F2188" s="71"/>
      <c r="G2188" s="816"/>
      <c r="H2188" s="71"/>
      <c r="I2188" s="405"/>
      <c r="J2188" s="405"/>
      <c r="K2188" s="398"/>
      <c r="L2188" s="405"/>
      <c r="M2188" s="64"/>
      <c r="N2188" s="65"/>
      <c r="O2188" s="65"/>
      <c r="P2188" s="81" t="str">
        <f>IF(AND('331-CT'!$E$7=TH!H2188,OR(N2188="331",O2188="331")),"x","")</f>
        <v/>
      </c>
      <c r="Q2188" s="81" t="str">
        <f>IF(AND(B2188='111'!$L$11,OR($N2188=$Q$7,$O2188=$Q$7)),"x","")</f>
        <v/>
      </c>
      <c r="R2188" s="81" t="str">
        <f>IF(AND($N2188=$Q$7,$B2188&lt;'111'!$L$11),"x","")</f>
        <v/>
      </c>
      <c r="S2188" s="81" t="str">
        <f>IF(AND($O2188=$Q$7,$B2188&lt;'111'!$L$11),"x","")</f>
        <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0" ht="15.75" customHeight="1">
      <c r="A2189" s="327" t="str">
        <f>IF(B2189&lt;&gt;"",IF(AND(B2189='IN-TC'!$S$4,OR(TH!N2189="1111",TH!O2189="1111")),TH!D2189,""),"")</f>
        <v/>
      </c>
      <c r="B2189" s="62" t="str">
        <f t="shared" si="371"/>
        <v/>
      </c>
      <c r="C2189" s="63"/>
      <c r="D2189" s="63"/>
      <c r="E2189" s="63"/>
      <c r="F2189" s="71"/>
      <c r="G2189" s="816"/>
      <c r="H2189" s="71"/>
      <c r="I2189" s="405"/>
      <c r="J2189" s="405"/>
      <c r="K2189" s="398"/>
      <c r="L2189" s="405"/>
      <c r="M2189" s="64"/>
      <c r="N2189" s="65"/>
      <c r="O2189" s="65"/>
      <c r="P2189" s="81" t="str">
        <f>IF(AND('331-CT'!$E$7=TH!H2189,OR(N2189="331",O2189="331")),"x","")</f>
        <v/>
      </c>
      <c r="Q2189" s="81" t="str">
        <f>IF(AND(B2189='111'!$L$11,OR($N2189=$Q$7,$O2189=$Q$7)),"x","")</f>
        <v/>
      </c>
      <c r="R2189" s="81" t="str">
        <f>IF(AND($N2189=$Q$7,$B2189&lt;'111'!$L$11),"x","")</f>
        <v/>
      </c>
      <c r="S2189" s="81" t="str">
        <f>IF(AND($O2189=$Q$7,$B2189&lt;'111'!$L$11),"x","")</f>
        <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row>
    <row r="2190" spans="1:30" ht="15.75" customHeight="1">
      <c r="A2190" s="327" t="str">
        <f>IF(B2190&lt;&gt;"",IF(AND(B2190='IN-TC'!$S$4,OR(TH!N2190="1111",TH!O2190="1111")),TH!D2190,""),"")</f>
        <v/>
      </c>
      <c r="B2190" s="62" t="str">
        <f t="shared" si="371"/>
        <v/>
      </c>
      <c r="C2190" s="63"/>
      <c r="D2190" s="63"/>
      <c r="E2190" s="63"/>
      <c r="F2190" s="71"/>
      <c r="G2190" s="816"/>
      <c r="H2190" s="71"/>
      <c r="I2190" s="405"/>
      <c r="J2190" s="405"/>
      <c r="K2190" s="398"/>
      <c r="L2190" s="405"/>
      <c r="M2190" s="64"/>
      <c r="N2190" s="65"/>
      <c r="O2190" s="65"/>
      <c r="P2190" s="81" t="str">
        <f>IF(AND('331-CT'!$E$7=TH!H2190,OR(N2190="331",O2190="331")),"x","")</f>
        <v/>
      </c>
      <c r="Q2190" s="81" t="str">
        <f>IF(AND(B2190='111'!$L$11,OR($N2190=$Q$7,$O2190=$Q$7)),"x","")</f>
        <v/>
      </c>
      <c r="R2190" s="81" t="str">
        <f>IF(AND($N2190=$Q$7,$B2190&lt;'111'!$L$11),"x","")</f>
        <v/>
      </c>
      <c r="S2190" s="81" t="str">
        <f>IF(AND($O2190=$Q$7,$B2190&lt;'111'!$L$11),"x","")</f>
        <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row>
    <row r="2191" spans="1:30" ht="15.75" customHeight="1">
      <c r="A2191" s="327" t="str">
        <f>IF(B2191&lt;&gt;"",IF(AND(B2191='IN-TC'!$S$4,OR(TH!N2191="1111",TH!O2191="1111")),TH!D2191,""),"")</f>
        <v/>
      </c>
      <c r="B2191" s="62" t="str">
        <f t="shared" si="371"/>
        <v/>
      </c>
      <c r="C2191" s="63"/>
      <c r="D2191" s="63"/>
      <c r="E2191" s="63"/>
      <c r="F2191" s="71"/>
      <c r="G2191" s="816"/>
      <c r="H2191" s="71"/>
      <c r="I2191" s="405"/>
      <c r="J2191" s="405"/>
      <c r="K2191" s="398"/>
      <c r="L2191" s="405"/>
      <c r="M2191" s="64"/>
      <c r="N2191" s="65"/>
      <c r="O2191" s="65"/>
      <c r="P2191" s="81" t="str">
        <f>IF(AND('331-CT'!$E$7=TH!H2191,OR(N2191="331",O2191="331")),"x","")</f>
        <v/>
      </c>
      <c r="Q2191" s="81" t="str">
        <f>IF(AND(B2191='111'!$L$11,OR($N2191=$Q$7,$O2191=$Q$7)),"x","")</f>
        <v/>
      </c>
      <c r="R2191" s="81" t="str">
        <f>IF(AND($N2191=$Q$7,$B2191&lt;'111'!$L$11),"x","")</f>
        <v/>
      </c>
      <c r="S2191" s="81" t="str">
        <f>IF(AND($O2191=$Q$7,$B2191&lt;'111'!$L$11),"x","")</f>
        <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row>
    <row r="2192" spans="1:30" ht="15.75" customHeight="1">
      <c r="A2192" s="327" t="str">
        <f>IF(B2192&lt;&gt;"",IF(AND(B2192='IN-TC'!$S$4,OR(TH!N2192="1111",TH!O2192="1111")),TH!D2192,""),"")</f>
        <v/>
      </c>
      <c r="B2192" s="62" t="str">
        <f t="shared" si="371"/>
        <v/>
      </c>
      <c r="C2192" s="63"/>
      <c r="D2192" s="63"/>
      <c r="E2192" s="63"/>
      <c r="F2192" s="71"/>
      <c r="G2192" s="816"/>
      <c r="H2192" s="71"/>
      <c r="I2192" s="405"/>
      <c r="J2192" s="405"/>
      <c r="K2192" s="398"/>
      <c r="L2192" s="405"/>
      <c r="M2192" s="64"/>
      <c r="N2192" s="65"/>
      <c r="O2192" s="65"/>
      <c r="P2192" s="81" t="str">
        <f>IF(AND('331-CT'!$E$7=TH!H2192,OR(N2192="331",O2192="331")),"x","")</f>
        <v/>
      </c>
      <c r="Q2192" s="81" t="str">
        <f>IF(AND(B2192='111'!$L$11,OR($N2192=$Q$7,$O2192=$Q$7)),"x","")</f>
        <v/>
      </c>
      <c r="R2192" s="81" t="str">
        <f>IF(AND($N2192=$Q$7,$B2192&lt;'111'!$L$11),"x","")</f>
        <v/>
      </c>
      <c r="S2192" s="81" t="str">
        <f>IF(AND($O2192=$Q$7,$B2192&lt;'111'!$L$11),"x","")</f>
        <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row>
    <row r="2193" spans="1:30" ht="15.75" customHeight="1">
      <c r="A2193" s="327" t="str">
        <f>IF(B2193&lt;&gt;"",IF(AND(B2193='IN-TC'!$S$4,OR(TH!N2193="1111",TH!O2193="1111")),TH!D2193,""),"")</f>
        <v/>
      </c>
      <c r="B2193" s="62" t="str">
        <f t="shared" si="371"/>
        <v/>
      </c>
      <c r="C2193" s="63"/>
      <c r="D2193" s="63"/>
      <c r="E2193" s="63"/>
      <c r="F2193" s="71"/>
      <c r="G2193" s="816"/>
      <c r="H2193" s="71"/>
      <c r="I2193" s="405"/>
      <c r="J2193" s="405"/>
      <c r="K2193" s="398"/>
      <c r="L2193" s="405"/>
      <c r="M2193" s="64"/>
      <c r="N2193" s="65"/>
      <c r="O2193" s="65"/>
      <c r="P2193" s="81" t="str">
        <f>IF(AND('331-CT'!$E$7=TH!H2193,OR(N2193="331",O2193="331")),"x","")</f>
        <v/>
      </c>
      <c r="Q2193" s="81" t="str">
        <f>IF(AND(B2193='111'!$L$11,OR($N2193=$Q$7,$O2193=$Q$7)),"x","")</f>
        <v/>
      </c>
      <c r="R2193" s="81" t="str">
        <f>IF(AND($N2193=$Q$7,$B2193&lt;'111'!$L$11),"x","")</f>
        <v/>
      </c>
      <c r="S2193" s="81" t="str">
        <f>IF(AND($O2193=$Q$7,$B2193&lt;'111'!$L$11),"x","")</f>
        <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row>
    <row r="2194" spans="1:30" ht="15.75" customHeight="1">
      <c r="A2194" s="327" t="str">
        <f>IF(B2194&lt;&gt;"",IF(AND(B2194='IN-TC'!$S$4,OR(TH!N2194="1111",TH!O2194="1111")),TH!D2194,""),"")</f>
        <v/>
      </c>
      <c r="B2194" s="62" t="str">
        <f t="shared" si="371"/>
        <v/>
      </c>
      <c r="C2194" s="63"/>
      <c r="D2194" s="63"/>
      <c r="E2194" s="63"/>
      <c r="F2194" s="71"/>
      <c r="G2194" s="816"/>
      <c r="H2194" s="71"/>
      <c r="I2194" s="405"/>
      <c r="J2194" s="405"/>
      <c r="K2194" s="398"/>
      <c r="L2194" s="405"/>
      <c r="M2194" s="64"/>
      <c r="N2194" s="65"/>
      <c r="O2194" s="65"/>
      <c r="P2194" s="81" t="str">
        <f>IF(AND('331-CT'!$E$7=TH!H2194,OR(N2194="331",O2194="331")),"x","")</f>
        <v/>
      </c>
      <c r="Q2194" s="81" t="str">
        <f>IF(AND(B2194='111'!$L$11,OR($N2194=$Q$7,$O2194=$Q$7)),"x","")</f>
        <v/>
      </c>
      <c r="R2194" s="81" t="str">
        <f>IF(AND($N2194=$Q$7,$B2194&lt;'111'!$L$11),"x","")</f>
        <v/>
      </c>
      <c r="S2194" s="81" t="str">
        <f>IF(AND($O2194=$Q$7,$B2194&lt;'111'!$L$11),"x","")</f>
        <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row>
    <row r="2195" spans="1:30" ht="15.75" customHeight="1">
      <c r="A2195" s="327" t="str">
        <f>IF(B2195&lt;&gt;"",IF(AND(B2195='IN-TC'!$S$4,OR(TH!N2195="1111",TH!O2195="1111")),TH!D2195,""),"")</f>
        <v/>
      </c>
      <c r="B2195" s="62" t="str">
        <f t="shared" si="371"/>
        <v/>
      </c>
      <c r="C2195" s="63"/>
      <c r="D2195" s="63"/>
      <c r="E2195" s="63"/>
      <c r="F2195" s="71"/>
      <c r="G2195" s="816"/>
      <c r="H2195" s="71"/>
      <c r="I2195" s="405"/>
      <c r="J2195" s="405"/>
      <c r="K2195" s="398"/>
      <c r="L2195" s="405"/>
      <c r="M2195" s="64"/>
      <c r="N2195" s="65"/>
      <c r="O2195" s="65"/>
      <c r="P2195" s="81" t="str">
        <f>IF(AND('331-CT'!$E$7=TH!H2195,OR(N2195="331",O2195="331")),"x","")</f>
        <v/>
      </c>
      <c r="Q2195" s="81" t="str">
        <f>IF(AND(B2195='111'!$L$11,OR($N2195=$Q$7,$O2195=$Q$7)),"x","")</f>
        <v/>
      </c>
      <c r="R2195" s="81" t="str">
        <f>IF(AND($N2195=$Q$7,$B2195&lt;'111'!$L$11),"x","")</f>
        <v/>
      </c>
      <c r="S2195" s="81" t="str">
        <f>IF(AND($O2195=$Q$7,$B2195&lt;'111'!$L$11),"x","")</f>
        <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row>
    <row r="2196" spans="1:30" ht="15.75" customHeight="1">
      <c r="A2196" s="327" t="str">
        <f>IF(B2196&lt;&gt;"",IF(AND(B2196='IN-TC'!$S$4,OR(TH!N2196="1111",TH!O2196="1111")),TH!D2196,""),"")</f>
        <v/>
      </c>
      <c r="B2196" s="62" t="str">
        <f t="shared" si="371"/>
        <v/>
      </c>
      <c r="C2196" s="63"/>
      <c r="D2196" s="63"/>
      <c r="E2196" s="63"/>
      <c r="F2196" s="71"/>
      <c r="G2196" s="816"/>
      <c r="H2196" s="71"/>
      <c r="I2196" s="405"/>
      <c r="J2196" s="405"/>
      <c r="K2196" s="398"/>
      <c r="L2196" s="405"/>
      <c r="M2196" s="64"/>
      <c r="N2196" s="65"/>
      <c r="O2196" s="65"/>
      <c r="P2196" s="81" t="str">
        <f>IF(AND('331-CT'!$E$7=TH!H2196,OR(N2196="331",O2196="331")),"x","")</f>
        <v/>
      </c>
      <c r="Q2196" s="81" t="str">
        <f>IF(AND(B2196='111'!$L$11,OR($N2196=$Q$7,$O2196=$Q$7)),"x","")</f>
        <v/>
      </c>
      <c r="R2196" s="81" t="str">
        <f>IF(AND($N2196=$Q$7,$B2196&lt;'111'!$L$11),"x","")</f>
        <v/>
      </c>
      <c r="S2196" s="81" t="str">
        <f>IF(AND($O2196=$Q$7,$B2196&lt;'111'!$L$11),"x","")</f>
        <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row>
    <row r="2197" spans="1:30" ht="15.75" customHeight="1">
      <c r="A2197" s="327" t="str">
        <f>IF(B2197&lt;&gt;"",IF(AND(B2197='IN-TC'!$S$4,OR(TH!N2197="1111",TH!O2197="1111")),TH!D2197,""),"")</f>
        <v/>
      </c>
      <c r="B2197" s="62" t="str">
        <f t="shared" si="371"/>
        <v/>
      </c>
      <c r="C2197" s="63"/>
      <c r="D2197" s="63"/>
      <c r="E2197" s="63"/>
      <c r="F2197" s="71"/>
      <c r="G2197" s="816"/>
      <c r="H2197" s="71"/>
      <c r="I2197" s="405"/>
      <c r="J2197" s="405"/>
      <c r="K2197" s="398"/>
      <c r="L2197" s="405"/>
      <c r="M2197" s="64"/>
      <c r="N2197" s="65"/>
      <c r="O2197" s="65"/>
      <c r="P2197" s="81" t="str">
        <f>IF(AND('331-CT'!$E$7=TH!H2197,OR(N2197="331",O2197="331")),"x","")</f>
        <v/>
      </c>
      <c r="Q2197" s="81" t="str">
        <f>IF(AND(B2197='111'!$L$11,OR($N2197=$Q$7,$O2197=$Q$7)),"x","")</f>
        <v/>
      </c>
      <c r="R2197" s="81" t="str">
        <f>IF(AND($N2197=$Q$7,$B2197&lt;'111'!$L$11),"x","")</f>
        <v/>
      </c>
      <c r="S2197" s="81" t="str">
        <f>IF(AND($O2197=$Q$7,$B2197&lt;'111'!$L$11),"x","")</f>
        <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row>
    <row r="2198" spans="1:30" ht="15.75" customHeight="1">
      <c r="A2198" s="327" t="str">
        <f>IF(B2198&lt;&gt;"",IF(AND(B2198='IN-TC'!$S$4,OR(TH!N2198="1111",TH!O2198="1111")),TH!D2198,""),"")</f>
        <v/>
      </c>
      <c r="B2198" s="62" t="str">
        <f t="shared" si="371"/>
        <v/>
      </c>
      <c r="C2198" s="63"/>
      <c r="D2198" s="63"/>
      <c r="E2198" s="63"/>
      <c r="F2198" s="71"/>
      <c r="G2198" s="816"/>
      <c r="H2198" s="71"/>
      <c r="I2198" s="405"/>
      <c r="J2198" s="405"/>
      <c r="K2198" s="398"/>
      <c r="L2198" s="405"/>
      <c r="M2198" s="64"/>
      <c r="N2198" s="65"/>
      <c r="O2198" s="65"/>
      <c r="P2198" s="81" t="str">
        <f>IF(AND('331-CT'!$E$7=TH!H2198,OR(N2198="331",O2198="331")),"x","")</f>
        <v/>
      </c>
      <c r="Q2198" s="81" t="str">
        <f>IF(AND(B2198='111'!$L$11,OR($N2198=$Q$7,$O2198=$Q$7)),"x","")</f>
        <v/>
      </c>
      <c r="R2198" s="81" t="str">
        <f>IF(AND($N2198=$Q$7,$B2198&lt;'111'!$L$11),"x","")</f>
        <v/>
      </c>
      <c r="S2198" s="81" t="str">
        <f>IF(AND($O2198=$Q$7,$B2198&lt;'111'!$L$11),"x","")</f>
        <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row>
    <row r="2199" spans="1:30" ht="15.75" customHeight="1">
      <c r="A2199" s="327" t="str">
        <f>IF(B2199&lt;&gt;"",IF(AND(B2199='IN-TC'!$S$4,OR(TH!N2199="1111",TH!O2199="1111")),TH!D2199,""),"")</f>
        <v/>
      </c>
      <c r="B2199" s="62" t="str">
        <f t="shared" si="371"/>
        <v/>
      </c>
      <c r="C2199" s="63"/>
      <c r="D2199" s="63"/>
      <c r="E2199" s="63"/>
      <c r="F2199" s="71"/>
      <c r="G2199" s="816"/>
      <c r="H2199" s="71"/>
      <c r="I2199" s="405"/>
      <c r="J2199" s="405"/>
      <c r="K2199" s="398"/>
      <c r="L2199" s="405"/>
      <c r="M2199" s="64"/>
      <c r="N2199" s="65"/>
      <c r="O2199" s="65"/>
      <c r="P2199" s="81" t="str">
        <f>IF(AND('331-CT'!$E$7=TH!H2199,OR(N2199="331",O2199="331")),"x","")</f>
        <v/>
      </c>
      <c r="Q2199" s="81" t="str">
        <f>IF(AND(B2199='111'!$L$11,OR($N2199=$Q$7,$O2199=$Q$7)),"x","")</f>
        <v/>
      </c>
      <c r="R2199" s="81" t="str">
        <f>IF(AND($N2199=$Q$7,$B2199&lt;'111'!$L$11),"x","")</f>
        <v/>
      </c>
      <c r="S2199" s="81" t="str">
        <f>IF(AND($O2199=$Q$7,$B2199&lt;'111'!$L$11),"x","")</f>
        <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row>
    <row r="2200" spans="1:30" ht="15.75" customHeight="1">
      <c r="A2200" s="327" t="str">
        <f>IF(B2200&lt;&gt;"",IF(AND(B2200='IN-TC'!$S$4,OR(TH!N2200="1111",TH!O2200="1111")),TH!D2200,""),"")</f>
        <v/>
      </c>
      <c r="B2200" s="62" t="str">
        <f t="shared" si="371"/>
        <v/>
      </c>
      <c r="C2200" s="63"/>
      <c r="D2200" s="63"/>
      <c r="E2200" s="63"/>
      <c r="F2200" s="71"/>
      <c r="G2200" s="816"/>
      <c r="H2200" s="71"/>
      <c r="I2200" s="405"/>
      <c r="J2200" s="405"/>
      <c r="K2200" s="398"/>
      <c r="L2200" s="405"/>
      <c r="M2200" s="64"/>
      <c r="N2200" s="65"/>
      <c r="O2200" s="65"/>
      <c r="P2200" s="81" t="str">
        <f>IF(AND('331-CT'!$E$7=TH!H2200,OR(N2200="331",O2200="331")),"x","")</f>
        <v/>
      </c>
      <c r="Q2200" s="81" t="str">
        <f>IF(AND(B2200='111'!$L$11,OR($N2200=$Q$7,$O2200=$Q$7)),"x","")</f>
        <v/>
      </c>
      <c r="R2200" s="81" t="str">
        <f>IF(AND($N2200=$Q$7,$B2200&lt;'111'!$L$11),"x","")</f>
        <v/>
      </c>
      <c r="S2200" s="81" t="str">
        <f>IF(AND($O2200=$Q$7,$B2200&lt;'111'!$L$11),"x","")</f>
        <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row>
    <row r="2201" spans="1:30" ht="15.75" customHeight="1">
      <c r="A2201" s="327" t="str">
        <f>IF(B2201&lt;&gt;"",IF(AND(B2201='IN-TC'!$S$4,OR(TH!N2201="1111",TH!O2201="1111")),TH!D2201,""),"")</f>
        <v/>
      </c>
      <c r="B2201" s="62" t="str">
        <f t="shared" si="371"/>
        <v/>
      </c>
      <c r="C2201" s="63"/>
      <c r="D2201" s="63"/>
      <c r="E2201" s="63"/>
      <c r="F2201" s="71"/>
      <c r="G2201" s="816"/>
      <c r="H2201" s="71"/>
      <c r="I2201" s="405"/>
      <c r="J2201" s="405"/>
      <c r="K2201" s="398"/>
      <c r="L2201" s="405"/>
      <c r="M2201" s="64"/>
      <c r="N2201" s="65"/>
      <c r="O2201" s="65"/>
      <c r="P2201" s="81" t="str">
        <f>IF(AND('331-CT'!$E$7=TH!H2201,OR(N2201="331",O2201="331")),"x","")</f>
        <v/>
      </c>
      <c r="Q2201" s="81" t="str">
        <f>IF(AND(B2201='111'!$L$11,OR($N2201=$Q$7,$O2201=$Q$7)),"x","")</f>
        <v/>
      </c>
      <c r="R2201" s="81" t="str">
        <f>IF(AND($N2201=$Q$7,$B2201&lt;'111'!$L$11),"x","")</f>
        <v/>
      </c>
      <c r="S2201" s="81" t="str">
        <f>IF(AND($O2201=$Q$7,$B2201&lt;'111'!$L$11),"x","")</f>
        <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
      </c>
      <c r="W2201" s="81" t="str">
        <f>IF(AND('341-CT'!$H$9=H2201,OR(LEFT(N2201,3)=$W$7,LEFT(O2201,3)=$W$7)),"x","")</f>
        <v/>
      </c>
      <c r="X2201" s="81" t="str">
        <f>IF(OR(TH!N2201=TH!$X$7,O2201=TH!$X$7),"x","")</f>
        <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row>
    <row r="2202" spans="1:30" ht="15.75" customHeight="1">
      <c r="A2202" s="327" t="str">
        <f>IF(B2202&lt;&gt;"",IF(AND(B2202='IN-TC'!$S$4,OR(TH!N2202="1111",TH!O2202="1111")),TH!D2202,""),"")</f>
        <v/>
      </c>
      <c r="B2202" s="62" t="str">
        <f t="shared" si="371"/>
        <v/>
      </c>
      <c r="C2202" s="63"/>
      <c r="D2202" s="63"/>
      <c r="E2202" s="63"/>
      <c r="F2202" s="71"/>
      <c r="G2202" s="816"/>
      <c r="H2202" s="71"/>
      <c r="I2202" s="405"/>
      <c r="J2202" s="405"/>
      <c r="K2202" s="398"/>
      <c r="L2202" s="405"/>
      <c r="M2202" s="64"/>
      <c r="N2202" s="65"/>
      <c r="O2202" s="65"/>
      <c r="P2202" s="81" t="str">
        <f>IF(AND('331-CT'!$E$7=TH!H2202,OR(N2202="331",O2202="331")),"x","")</f>
        <v/>
      </c>
      <c r="Q2202" s="81" t="str">
        <f>IF(AND(B2202='111'!$L$11,OR($N2202=$Q$7,$O2202=$Q$7)),"x","")</f>
        <v/>
      </c>
      <c r="R2202" s="81" t="str">
        <f>IF(AND($N2202=$Q$7,$B2202&lt;'111'!$L$11),"x","")</f>
        <v/>
      </c>
      <c r="S2202" s="81" t="str">
        <f>IF(AND($O2202=$Q$7,$B2202&lt;'111'!$L$11),"x","")</f>
        <v/>
      </c>
      <c r="T2202" s="81" t="str">
        <f>IF(ISERROR(FIND('112'!$M$9,G2202,1)),"",IF((AND(FIND('112'!$M$9,G2202,1)&gt;=1,B2202='112'!$K$9,OR($N2202='112'!$I$6,$O2202='112'!$I$6))),"x",""))</f>
        <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row>
    <row r="2203" spans="1:30" ht="15.75" customHeight="1">
      <c r="A2203" s="327" t="str">
        <f>IF(B2203&lt;&gt;"",IF(AND(B2203='IN-TC'!$S$4,OR(TH!N2203="1111",TH!O2203="1111")),TH!D2203,""),"")</f>
        <v/>
      </c>
      <c r="B2203" s="62" t="str">
        <f t="shared" si="371"/>
        <v/>
      </c>
      <c r="C2203" s="63"/>
      <c r="D2203" s="63"/>
      <c r="E2203" s="63"/>
      <c r="F2203" s="71"/>
      <c r="G2203" s="816"/>
      <c r="H2203" s="71"/>
      <c r="I2203" s="405"/>
      <c r="J2203" s="405"/>
      <c r="K2203" s="398"/>
      <c r="L2203" s="405"/>
      <c r="M2203" s="64"/>
      <c r="N2203" s="65"/>
      <c r="O2203" s="65"/>
      <c r="P2203" s="81" t="str">
        <f>IF(AND('331-CT'!$E$7=TH!H2203,OR(N2203="331",O2203="331")),"x","")</f>
        <v/>
      </c>
      <c r="Q2203" s="81" t="str">
        <f>IF(AND(B2203='111'!$L$11,OR($N2203=$Q$7,$O2203=$Q$7)),"x","")</f>
        <v/>
      </c>
      <c r="R2203" s="81" t="str">
        <f>IF(AND($N2203=$Q$7,$B2203&lt;'111'!$L$11),"x","")</f>
        <v/>
      </c>
      <c r="S2203" s="81" t="str">
        <f>IF(AND($O2203=$Q$7,$B2203&lt;'111'!$L$11),"x","")</f>
        <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row>
    <row r="2204" spans="1:30" ht="15.75" customHeight="1">
      <c r="A2204" s="327" t="str">
        <f>IF(B2204&lt;&gt;"",IF(AND(B2204='IN-TC'!$S$4,OR(TH!N2204="1111",TH!O2204="1111")),TH!D2204,""),"")</f>
        <v/>
      </c>
      <c r="B2204" s="62" t="str">
        <f t="shared" si="371"/>
        <v/>
      </c>
      <c r="C2204" s="63"/>
      <c r="D2204" s="63"/>
      <c r="E2204" s="63"/>
      <c r="F2204" s="71"/>
      <c r="G2204" s="816"/>
      <c r="H2204" s="71"/>
      <c r="I2204" s="405"/>
      <c r="J2204" s="405"/>
      <c r="K2204" s="398"/>
      <c r="L2204" s="405"/>
      <c r="M2204" s="64"/>
      <c r="N2204" s="65"/>
      <c r="O2204" s="65"/>
      <c r="P2204" s="81" t="str">
        <f>IF(AND('331-CT'!$E$7=TH!H2204,OR(N2204="331",O2204="331")),"x","")</f>
        <v/>
      </c>
      <c r="Q2204" s="81" t="str">
        <f>IF(AND(B2204='111'!$L$11,OR($N2204=$Q$7,$O2204=$Q$7)),"x","")</f>
        <v/>
      </c>
      <c r="R2204" s="81" t="str">
        <f>IF(AND($N2204=$Q$7,$B2204&lt;'111'!$L$11),"x","")</f>
        <v/>
      </c>
      <c r="S2204" s="81" t="str">
        <f>IF(AND($O2204=$Q$7,$B2204&lt;'111'!$L$11),"x","")</f>
        <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row>
    <row r="2205" spans="1:30" ht="15.75" customHeight="1">
      <c r="A2205" s="327" t="str">
        <f>IF(B2205&lt;&gt;"",IF(AND(B2205='IN-TC'!$S$4,OR(TH!N2205="1111",TH!O2205="1111")),TH!D2205,""),"")</f>
        <v/>
      </c>
      <c r="B2205" s="62" t="str">
        <f t="shared" si="371"/>
        <v/>
      </c>
      <c r="C2205" s="63"/>
      <c r="D2205" s="63"/>
      <c r="E2205" s="63"/>
      <c r="F2205" s="71"/>
      <c r="G2205" s="816"/>
      <c r="H2205" s="71"/>
      <c r="I2205" s="405"/>
      <c r="J2205" s="405"/>
      <c r="K2205" s="398"/>
      <c r="L2205" s="405"/>
      <c r="M2205" s="64"/>
      <c r="N2205" s="65"/>
      <c r="O2205" s="65"/>
      <c r="P2205" s="81" t="str">
        <f>IF(AND('331-CT'!$E$7=TH!H2205,OR(N2205="331",O2205="331")),"x","")</f>
        <v/>
      </c>
      <c r="Q2205" s="81" t="str">
        <f>IF(AND(B2205='111'!$L$11,OR($N2205=$Q$7,$O2205=$Q$7)),"x","")</f>
        <v/>
      </c>
      <c r="R2205" s="81" t="str">
        <f>IF(AND($N2205=$Q$7,$B2205&lt;'111'!$L$11),"x","")</f>
        <v/>
      </c>
      <c r="S2205" s="81" t="str">
        <f>IF(AND($O2205=$Q$7,$B2205&lt;'111'!$L$11),"x","")</f>
        <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row>
    <row r="2206" spans="1:30" ht="15.75" customHeight="1">
      <c r="A2206" s="327" t="str">
        <f>IF(B2206&lt;&gt;"",IF(AND(B2206='IN-TC'!$S$4,OR(TH!N2206="1111",TH!O2206="1111")),TH!D2206,""),"")</f>
        <v/>
      </c>
      <c r="B2206" s="62" t="str">
        <f t="shared" si="371"/>
        <v/>
      </c>
      <c r="C2206" s="63"/>
      <c r="D2206" s="63"/>
      <c r="E2206" s="63"/>
      <c r="F2206" s="71"/>
      <c r="G2206" s="816"/>
      <c r="H2206" s="71"/>
      <c r="I2206" s="405"/>
      <c r="J2206" s="405"/>
      <c r="K2206" s="398"/>
      <c r="L2206" s="405"/>
      <c r="M2206" s="64"/>
      <c r="N2206" s="65"/>
      <c r="O2206" s="65"/>
      <c r="P2206" s="81" t="str">
        <f>IF(AND('331-CT'!$E$7=TH!H2206,OR(N2206="331",O2206="331")),"x","")</f>
        <v/>
      </c>
      <c r="Q2206" s="81" t="str">
        <f>IF(AND(B2206='111'!$L$11,OR($N2206=$Q$7,$O2206=$Q$7)),"x","")</f>
        <v/>
      </c>
      <c r="R2206" s="81" t="str">
        <f>IF(AND($N2206=$Q$7,$B2206&lt;'111'!$L$11),"x","")</f>
        <v/>
      </c>
      <c r="S2206" s="81" t="str">
        <f>IF(AND($O2206=$Q$7,$B2206&lt;'111'!$L$11),"x","")</f>
        <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row>
    <row r="2207" spans="1:30" ht="15.75" customHeight="1">
      <c r="A2207" s="327" t="str">
        <f>IF(B2207&lt;&gt;"",IF(AND(B2207='IN-TC'!$S$4,OR(TH!N2207="1111",TH!O2207="1111")),TH!D2207,""),"")</f>
        <v/>
      </c>
      <c r="B2207" s="62" t="str">
        <f t="shared" si="371"/>
        <v/>
      </c>
      <c r="C2207" s="63"/>
      <c r="D2207" s="63"/>
      <c r="E2207" s="63"/>
      <c r="F2207" s="71"/>
      <c r="G2207" s="816"/>
      <c r="H2207" s="71"/>
      <c r="I2207" s="405"/>
      <c r="J2207" s="405"/>
      <c r="K2207" s="398"/>
      <c r="L2207" s="405"/>
      <c r="M2207" s="64"/>
      <c r="N2207" s="65"/>
      <c r="O2207" s="65"/>
      <c r="P2207" s="81" t="str">
        <f>IF(AND('331-CT'!$E$7=TH!H2207,OR(N2207="331",O2207="331")),"x","")</f>
        <v/>
      </c>
      <c r="Q2207" s="81" t="str">
        <f>IF(AND(B2207='111'!$L$11,OR($N2207=$Q$7,$O2207=$Q$7)),"x","")</f>
        <v/>
      </c>
      <c r="R2207" s="81" t="str">
        <f>IF(AND($N2207=$Q$7,$B2207&lt;'111'!$L$11),"x","")</f>
        <v/>
      </c>
      <c r="S2207" s="81" t="str">
        <f>IF(AND($O2207=$Q$7,$B2207&lt;'111'!$L$11),"x","")</f>
        <v/>
      </c>
      <c r="T2207" s="81" t="str">
        <f>IF(ISERROR(FIND('112'!$M$9,G2207,1)),"",IF((AND(FIND('112'!$M$9,G2207,1)&gt;=1,B2207='112'!$K$9,OR($N2207='112'!$I$6,$O2207='112'!$I$6))),"x",""))</f>
        <v/>
      </c>
      <c r="U2207" s="81" t="str">
        <f>IF(ISERROR(FIND('112'!$M$9,G2207,1)),"",IF((AND(LEFT(G2207,2)=LEFT('112'!$M$9,2),B2207&lt;'112'!$K$9,$N2207='112'!$I$6)),"x",""))</f>
        <v/>
      </c>
      <c r="V2207" s="81" t="str">
        <f>IF(ISERROR(FIND('112'!$M$9,G2207,1)),"",IF((AND(RIGHT(G2207,2)=RIGHT('112'!$M$9,2),B2207&lt;'112'!$K$9,$O2207='112'!$I$6)),"x",""))</f>
        <v/>
      </c>
      <c r="W2207" s="81" t="str">
        <f>IF(AND('341-CT'!$H$9=H2207,OR(LEFT(N2207,3)=$W$7,LEFT(O2207,3)=$W$7)),"x","")</f>
        <v/>
      </c>
      <c r="X2207" s="81" t="str">
        <f>IF(OR(TH!N2207=TH!$X$7,O2207=TH!$X$7),"x","")</f>
        <v/>
      </c>
      <c r="Y2207" s="81" t="str">
        <f>IF(AND(OR(N2207="131",O2207="131"),H2207='131-CT'!$H$9),"x","")</f>
        <v/>
      </c>
      <c r="Z2207" s="81"/>
      <c r="AA2207" s="81" t="str">
        <f>IF(AND(MONTH(E2207)='IN-NX'!$J$5,'IN-NX'!$D$7=D2207),"x","")</f>
        <v/>
      </c>
      <c r="AB2207" s="81" t="str">
        <f>IF(AND(OR(LEFT(TH!N2207,2)="15",LEFT(TH!O2207,2)="15"),LEFT(TH!O2207,3)&lt;&gt;"111",'152-CT'!$J$8=TH!F2207),"x","")</f>
        <v/>
      </c>
      <c r="AC2207" s="81" t="str">
        <f>IF(AND(OR(LEFT(TH!N2207,2)="15",LEFT(TH!O2207,2)="15"),TK!$E$7=TH!F2207),"x","")</f>
        <v/>
      </c>
      <c r="AD2207" s="81" t="str">
        <f>IF(AND(N2207="1521",MONTH(C2207)='BK-NL'!$M$11),"x","")</f>
        <v/>
      </c>
    </row>
    <row r="2208" spans="1:30" ht="15.75" customHeight="1">
      <c r="A2208" s="327" t="str">
        <f>IF(B2208&lt;&gt;"",IF(AND(B2208='IN-TC'!$S$4,OR(TH!N2208="1111",TH!O2208="1111")),TH!D2208,""),"")</f>
        <v/>
      </c>
      <c r="B2208" s="62" t="str">
        <f t="shared" si="371"/>
        <v/>
      </c>
      <c r="C2208" s="63"/>
      <c r="D2208" s="63"/>
      <c r="E2208" s="63"/>
      <c r="F2208" s="71"/>
      <c r="G2208" s="816"/>
      <c r="H2208" s="71"/>
      <c r="I2208" s="405"/>
      <c r="J2208" s="405"/>
      <c r="K2208" s="398"/>
      <c r="L2208" s="405"/>
      <c r="M2208" s="64"/>
      <c r="N2208" s="65"/>
      <c r="O2208" s="65"/>
      <c r="P2208" s="81" t="str">
        <f>IF(AND('331-CT'!$E$7=TH!H2208,OR(N2208="331",O2208="331")),"x","")</f>
        <v/>
      </c>
      <c r="Q2208" s="81" t="str">
        <f>IF(AND(B2208='111'!$L$11,OR($N2208=$Q$7,$O2208=$Q$7)),"x","")</f>
        <v/>
      </c>
      <c r="R2208" s="81" t="str">
        <f>IF(AND($N2208=$Q$7,$B2208&lt;'111'!$L$11),"x","")</f>
        <v/>
      </c>
      <c r="S2208" s="81" t="str">
        <f>IF(AND($O2208=$Q$7,$B2208&lt;'111'!$L$11),"x","")</f>
        <v/>
      </c>
      <c r="T2208" s="81" t="str">
        <f>IF(ISERROR(FIND('112'!$M$9,G2208,1)),"",IF((AND(FIND('112'!$M$9,G2208,1)&gt;=1,B2208='112'!$K$9,OR($N2208='112'!$I$6,$O2208='112'!$I$6))),"x",""))</f>
        <v/>
      </c>
      <c r="U2208" s="81" t="str">
        <f>IF(ISERROR(FIND('112'!$M$9,G2208,1)),"",IF((AND(LEFT(G2208,2)=LEFT('112'!$M$9,2),B2208&lt;'112'!$K$9,$N2208='112'!$I$6)),"x",""))</f>
        <v/>
      </c>
      <c r="V2208" s="81" t="str">
        <f>IF(ISERROR(FIND('112'!$M$9,G2208,1)),"",IF((AND(RIGHT(G2208,2)=RIGHT('112'!$M$9,2),B2208&lt;'112'!$K$9,$O2208='112'!$I$6)),"x",""))</f>
        <v/>
      </c>
      <c r="W2208" s="81" t="str">
        <f>IF(AND('341-CT'!$H$9=H2208,OR(LEFT(N2208,3)=$W$7,LEFT(O2208,3)=$W$7)),"x","")</f>
        <v/>
      </c>
      <c r="X2208" s="81" t="str">
        <f>IF(OR(TH!N2208=TH!$X$7,O2208=TH!$X$7),"x","")</f>
        <v/>
      </c>
      <c r="Y2208" s="81" t="str">
        <f>IF(AND(OR(N2208="131",O2208="131"),H2208='131-CT'!$H$9),"x","")</f>
        <v/>
      </c>
      <c r="Z2208" s="81"/>
      <c r="AA2208" s="81" t="str">
        <f>IF(AND(MONTH(E2208)='IN-NX'!$J$5,'IN-NX'!$D$7=D2208),"x","")</f>
        <v/>
      </c>
      <c r="AB2208" s="81" t="str">
        <f>IF(AND(OR(LEFT(TH!N2208,2)="15",LEFT(TH!O2208,2)="15"),LEFT(TH!O2208,3)&lt;&gt;"111",'152-CT'!$J$8=TH!F2208),"x","")</f>
        <v/>
      </c>
      <c r="AC2208" s="81" t="str">
        <f>IF(AND(OR(LEFT(TH!N2208,2)="15",LEFT(TH!O2208,2)="15"),TK!$E$7=TH!F2208),"x","")</f>
        <v/>
      </c>
      <c r="AD2208" s="81" t="str">
        <f>IF(AND(N2208="1521",MONTH(C2208)='BK-NL'!$M$11),"x","")</f>
        <v/>
      </c>
    </row>
    <row r="2209" spans="1:30" ht="15.75" customHeight="1">
      <c r="A2209" s="327" t="str">
        <f>IF(B2209&lt;&gt;"",IF(AND(B2209='IN-TC'!$S$4,OR(TH!N2209="1111",TH!O2209="1111")),TH!D2209,""),"")</f>
        <v/>
      </c>
      <c r="B2209" s="62" t="str">
        <f t="shared" si="371"/>
        <v/>
      </c>
      <c r="C2209" s="63"/>
      <c r="D2209" s="63"/>
      <c r="E2209" s="63"/>
      <c r="F2209" s="71"/>
      <c r="G2209" s="816"/>
      <c r="H2209" s="71"/>
      <c r="I2209" s="405"/>
      <c r="J2209" s="405"/>
      <c r="K2209" s="398"/>
      <c r="L2209" s="405"/>
      <c r="M2209" s="64"/>
      <c r="N2209" s="65"/>
      <c r="O2209" s="65"/>
      <c r="P2209" s="81" t="str">
        <f>IF(AND('331-CT'!$E$7=TH!H2209,OR(N2209="331",O2209="331")),"x","")</f>
        <v/>
      </c>
      <c r="Q2209" s="81" t="str">
        <f>IF(AND(B2209='111'!$L$11,OR($N2209=$Q$7,$O2209=$Q$7)),"x","")</f>
        <v/>
      </c>
      <c r="R2209" s="81" t="str">
        <f>IF(AND($N2209=$Q$7,$B2209&lt;'111'!$L$11),"x","")</f>
        <v/>
      </c>
      <c r="S2209" s="81" t="str">
        <f>IF(AND($O2209=$Q$7,$B2209&lt;'111'!$L$11),"x","")</f>
        <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row>
    <row r="2210" spans="1:30" ht="15.75" customHeight="1">
      <c r="A2210" s="327" t="str">
        <f>IF(B2210&lt;&gt;"",IF(AND(B2210='IN-TC'!$S$4,OR(TH!N2210="1111",TH!O2210="1111")),TH!D2210,""),"")</f>
        <v/>
      </c>
      <c r="B2210" s="62" t="str">
        <f t="shared" si="371"/>
        <v/>
      </c>
      <c r="C2210" s="63"/>
      <c r="D2210" s="63"/>
      <c r="E2210" s="63"/>
      <c r="F2210" s="71"/>
      <c r="G2210" s="816"/>
      <c r="H2210" s="71"/>
      <c r="I2210" s="405"/>
      <c r="J2210" s="405"/>
      <c r="K2210" s="398"/>
      <c r="L2210" s="405"/>
      <c r="M2210" s="64"/>
      <c r="N2210" s="65"/>
      <c r="O2210" s="65"/>
      <c r="P2210" s="81" t="str">
        <f>IF(AND('331-CT'!$E$7=TH!H2210,OR(N2210="331",O2210="331")),"x","")</f>
        <v/>
      </c>
      <c r="Q2210" s="81" t="str">
        <f>IF(AND(B2210='111'!$L$11,OR($N2210=$Q$7,$O2210=$Q$7)),"x","")</f>
        <v/>
      </c>
      <c r="R2210" s="81" t="str">
        <f>IF(AND($N2210=$Q$7,$B2210&lt;'111'!$L$11),"x","")</f>
        <v/>
      </c>
      <c r="S2210" s="81" t="str">
        <f>IF(AND($O2210=$Q$7,$B2210&lt;'111'!$L$11),"x","")</f>
        <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row>
    <row r="2211" spans="1:30" ht="15.75" customHeight="1">
      <c r="A2211" s="327" t="str">
        <f>IF(B2211&lt;&gt;"",IF(AND(B2211='IN-TC'!$S$4,OR(TH!N2211="1111",TH!O2211="1111")),TH!D2211,""),"")</f>
        <v/>
      </c>
      <c r="B2211" s="62" t="str">
        <f t="shared" si="371"/>
        <v/>
      </c>
      <c r="C2211" s="63"/>
      <c r="D2211" s="63"/>
      <c r="E2211" s="63"/>
      <c r="F2211" s="71"/>
      <c r="G2211" s="816"/>
      <c r="H2211" s="71"/>
      <c r="I2211" s="405"/>
      <c r="J2211" s="405"/>
      <c r="K2211" s="398"/>
      <c r="L2211" s="405"/>
      <c r="M2211" s="64"/>
      <c r="N2211" s="65"/>
      <c r="O2211" s="65"/>
      <c r="P2211" s="81" t="str">
        <f>IF(AND('331-CT'!$E$7=TH!H2211,OR(N2211="331",O2211="331")),"x","")</f>
        <v/>
      </c>
      <c r="Q2211" s="81" t="str">
        <f>IF(AND(B2211='111'!$L$11,OR($N2211=$Q$7,$O2211=$Q$7)),"x","")</f>
        <v/>
      </c>
      <c r="R2211" s="81" t="str">
        <f>IF(AND($N2211=$Q$7,$B2211&lt;'111'!$L$11),"x","")</f>
        <v/>
      </c>
      <c r="S2211" s="81" t="str">
        <f>IF(AND($O2211=$Q$7,$B2211&lt;'111'!$L$11),"x","")</f>
        <v/>
      </c>
      <c r="T2211" s="81" t="str">
        <f>IF(ISERROR(FIND('112'!$M$9,G2211,1)),"",IF((AND(FIND('112'!$M$9,G2211,1)&gt;=1,B2211='112'!$K$9,OR($N2211='112'!$I$6,$O2211='112'!$I$6))),"x",""))</f>
        <v/>
      </c>
      <c r="U2211" s="81" t="str">
        <f>IF(ISERROR(FIND('112'!$M$9,G2211,1)),"",IF((AND(LEFT(G2211,2)=LEFT('112'!$M$9,2),B2211&lt;'112'!$K$9,$N2211='112'!$I$6)),"x",""))</f>
        <v/>
      </c>
      <c r="V2211" s="81" t="str">
        <f>IF(ISERROR(FIND('112'!$M$9,G2211,1)),"",IF((AND(RIGHT(G2211,2)=RIGHT('112'!$M$9,2),B2211&lt;'112'!$K$9,$O2211='112'!$I$6)),"x",""))</f>
        <v/>
      </c>
      <c r="W2211" s="81" t="str">
        <f>IF(AND('341-CT'!$H$9=H2211,OR(LEFT(N2211,3)=$W$7,LEFT(O2211,3)=$W$7)),"x","")</f>
        <v/>
      </c>
      <c r="X2211" s="81" t="str">
        <f>IF(OR(TH!N2211=TH!$X$7,O2211=TH!$X$7),"x","")</f>
        <v/>
      </c>
      <c r="Y2211" s="81" t="str">
        <f>IF(AND(OR(N2211="131",O2211="131"),H2211='131-CT'!$H$9),"x","")</f>
        <v/>
      </c>
      <c r="Z2211" s="81"/>
      <c r="AA2211" s="81" t="str">
        <f>IF(AND(MONTH(E2211)='IN-NX'!$J$5,'IN-NX'!$D$7=D2211),"x","")</f>
        <v/>
      </c>
      <c r="AB2211" s="81" t="str">
        <f>IF(AND(OR(LEFT(TH!N2211,2)="15",LEFT(TH!O2211,2)="15"),LEFT(TH!O2211,3)&lt;&gt;"111",'152-CT'!$J$8=TH!F2211),"x","")</f>
        <v/>
      </c>
      <c r="AC2211" s="81" t="str">
        <f>IF(AND(OR(LEFT(TH!N2211,2)="15",LEFT(TH!O2211,2)="15"),TK!$E$7=TH!F2211),"x","")</f>
        <v/>
      </c>
      <c r="AD2211" s="81" t="str">
        <f>IF(AND(N2211="1521",MONTH(C2211)='BK-NL'!$M$11),"x","")</f>
        <v/>
      </c>
    </row>
    <row r="2212" spans="1:30" ht="15.75" customHeight="1">
      <c r="A2212" s="327" t="str">
        <f>IF(B2212&lt;&gt;"",IF(AND(B2212='IN-TC'!$S$4,OR(TH!N2212="1111",TH!O2212="1111")),TH!D2212,""),"")</f>
        <v/>
      </c>
      <c r="B2212" s="62" t="str">
        <f t="shared" si="371"/>
        <v/>
      </c>
      <c r="C2212" s="63"/>
      <c r="D2212" s="63"/>
      <c r="E2212" s="63"/>
      <c r="F2212" s="71"/>
      <c r="G2212" s="816"/>
      <c r="H2212" s="71"/>
      <c r="I2212" s="405"/>
      <c r="J2212" s="405"/>
      <c r="K2212" s="398"/>
      <c r="L2212" s="405"/>
      <c r="M2212" s="64"/>
      <c r="N2212" s="65"/>
      <c r="O2212" s="65"/>
      <c r="P2212" s="81" t="str">
        <f>IF(AND('331-CT'!$E$7=TH!H2212,OR(N2212="331",O2212="331")),"x","")</f>
        <v/>
      </c>
      <c r="Q2212" s="81" t="str">
        <f>IF(AND(B2212='111'!$L$11,OR($N2212=$Q$7,$O2212=$Q$7)),"x","")</f>
        <v/>
      </c>
      <c r="R2212" s="81" t="str">
        <f>IF(AND($N2212=$Q$7,$B2212&lt;'111'!$L$11),"x","")</f>
        <v/>
      </c>
      <c r="S2212" s="81" t="str">
        <f>IF(AND($O2212=$Q$7,$B2212&lt;'111'!$L$11),"x","")</f>
        <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row>
    <row r="2213" spans="1:30" ht="15.75" customHeight="1">
      <c r="A2213" s="327" t="str">
        <f>IF(B2213&lt;&gt;"",IF(AND(B2213='IN-TC'!$S$4,OR(TH!N2213="1111",TH!O2213="1111")),TH!D2213,""),"")</f>
        <v/>
      </c>
      <c r="B2213" s="62" t="str">
        <f t="shared" si="371"/>
        <v/>
      </c>
      <c r="C2213" s="63"/>
      <c r="D2213" s="63"/>
      <c r="E2213" s="63"/>
      <c r="F2213" s="71"/>
      <c r="G2213" s="816"/>
      <c r="H2213" s="71"/>
      <c r="I2213" s="405"/>
      <c r="J2213" s="405"/>
      <c r="K2213" s="398"/>
      <c r="L2213" s="405"/>
      <c r="M2213" s="64"/>
      <c r="N2213" s="65"/>
      <c r="O2213" s="65"/>
      <c r="P2213" s="81" t="str">
        <f>IF(AND('331-CT'!$E$7=TH!H2213,OR(N2213="331",O2213="331")),"x","")</f>
        <v/>
      </c>
      <c r="Q2213" s="81" t="str">
        <f>IF(AND(B2213='111'!$L$11,OR($N2213=$Q$7,$O2213=$Q$7)),"x","")</f>
        <v/>
      </c>
      <c r="R2213" s="81" t="str">
        <f>IF(AND($N2213=$Q$7,$B2213&lt;'111'!$L$11),"x","")</f>
        <v/>
      </c>
      <c r="S2213" s="81" t="str">
        <f>IF(AND($O2213=$Q$7,$B2213&lt;'111'!$L$11),"x","")</f>
        <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row>
    <row r="2214" spans="1:30" ht="15.75" customHeight="1">
      <c r="A2214" s="327" t="str">
        <f>IF(B2214&lt;&gt;"",IF(AND(B2214='IN-TC'!$S$4,OR(TH!N2214="1111",TH!O2214="1111")),TH!D2214,""),"")</f>
        <v/>
      </c>
      <c r="B2214" s="62" t="str">
        <f t="shared" si="371"/>
        <v/>
      </c>
      <c r="C2214" s="63"/>
      <c r="D2214" s="63"/>
      <c r="E2214" s="63"/>
      <c r="F2214" s="71"/>
      <c r="G2214" s="816"/>
      <c r="H2214" s="71"/>
      <c r="I2214" s="405"/>
      <c r="J2214" s="405"/>
      <c r="K2214" s="398"/>
      <c r="L2214" s="405"/>
      <c r="M2214" s="64"/>
      <c r="N2214" s="65"/>
      <c r="O2214" s="65"/>
      <c r="P2214" s="81" t="str">
        <f>IF(AND('331-CT'!$E$7=TH!H2214,OR(N2214="331",O2214="331")),"x","")</f>
        <v/>
      </c>
      <c r="Q2214" s="81" t="str">
        <f>IF(AND(B2214='111'!$L$11,OR($N2214=$Q$7,$O2214=$Q$7)),"x","")</f>
        <v/>
      </c>
      <c r="R2214" s="81" t="str">
        <f>IF(AND($N2214=$Q$7,$B2214&lt;'111'!$L$11),"x","")</f>
        <v/>
      </c>
      <c r="S2214" s="81" t="str">
        <f>IF(AND($O2214=$Q$7,$B2214&lt;'111'!$L$11),"x","")</f>
        <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row>
    <row r="2215" spans="1:30" ht="15.75" customHeight="1">
      <c r="A2215" s="327" t="str">
        <f>IF(B2215&lt;&gt;"",IF(AND(B2215='IN-TC'!$S$4,OR(TH!N2215="1111",TH!O2215="1111")),TH!D2215,""),"")</f>
        <v/>
      </c>
      <c r="B2215" s="62" t="str">
        <f t="shared" si="371"/>
        <v/>
      </c>
      <c r="C2215" s="63"/>
      <c r="D2215" s="63"/>
      <c r="E2215" s="63"/>
      <c r="F2215" s="71"/>
      <c r="G2215" s="816"/>
      <c r="H2215" s="71"/>
      <c r="I2215" s="405"/>
      <c r="J2215" s="405"/>
      <c r="K2215" s="398"/>
      <c r="L2215" s="405"/>
      <c r="M2215" s="64"/>
      <c r="N2215" s="65"/>
      <c r="O2215" s="65"/>
      <c r="P2215" s="81" t="str">
        <f>IF(AND('331-CT'!$E$7=TH!H2215,OR(N2215="331",O2215="331")),"x","")</f>
        <v/>
      </c>
      <c r="Q2215" s="81" t="str">
        <f>IF(AND(B2215='111'!$L$11,OR($N2215=$Q$7,$O2215=$Q$7)),"x","")</f>
        <v/>
      </c>
      <c r="R2215" s="81" t="str">
        <f>IF(AND($N2215=$Q$7,$B2215&lt;'111'!$L$11),"x","")</f>
        <v/>
      </c>
      <c r="S2215" s="81" t="str">
        <f>IF(AND($O2215=$Q$7,$B2215&lt;'111'!$L$11),"x","")</f>
        <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row>
    <row r="2216" spans="1:30" ht="15.75" customHeight="1">
      <c r="A2216" s="327" t="str">
        <f>IF(B2216&lt;&gt;"",IF(AND(B2216='IN-TC'!$S$4,OR(TH!N2216="1111",TH!O2216="1111")),TH!D2216,""),"")</f>
        <v/>
      </c>
      <c r="B2216" s="62" t="str">
        <f t="shared" si="371"/>
        <v/>
      </c>
      <c r="C2216" s="63"/>
      <c r="D2216" s="63"/>
      <c r="E2216" s="63"/>
      <c r="F2216" s="71"/>
      <c r="G2216" s="816"/>
      <c r="H2216" s="71"/>
      <c r="I2216" s="405"/>
      <c r="J2216" s="405"/>
      <c r="K2216" s="398"/>
      <c r="L2216" s="405"/>
      <c r="M2216" s="64"/>
      <c r="N2216" s="65"/>
      <c r="O2216" s="65"/>
      <c r="P2216" s="81" t="str">
        <f>IF(AND('331-CT'!$E$7=TH!H2216,OR(N2216="331",O2216="331")),"x","")</f>
        <v/>
      </c>
      <c r="Q2216" s="81" t="str">
        <f>IF(AND(B2216='111'!$L$11,OR($N2216=$Q$7,$O2216=$Q$7)),"x","")</f>
        <v/>
      </c>
      <c r="R2216" s="81" t="str">
        <f>IF(AND($N2216=$Q$7,$B2216&lt;'111'!$L$11),"x","")</f>
        <v/>
      </c>
      <c r="S2216" s="81" t="str">
        <f>IF(AND($O2216=$Q$7,$B2216&lt;'111'!$L$11),"x","")</f>
        <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row>
    <row r="2217" spans="1:30" ht="15.75" customHeight="1">
      <c r="A2217" s="327" t="str">
        <f>IF(B2217&lt;&gt;"",IF(AND(B2217='IN-TC'!$S$4,OR(TH!N2217="1111",TH!O2217="1111")),TH!D2217,""),"")</f>
        <v/>
      </c>
      <c r="B2217" s="62" t="str">
        <f t="shared" si="371"/>
        <v/>
      </c>
      <c r="C2217" s="63"/>
      <c r="D2217" s="63"/>
      <c r="E2217" s="63"/>
      <c r="F2217" s="71"/>
      <c r="G2217" s="816"/>
      <c r="H2217" s="71"/>
      <c r="I2217" s="405"/>
      <c r="J2217" s="405"/>
      <c r="K2217" s="398"/>
      <c r="L2217" s="405"/>
      <c r="M2217" s="64"/>
      <c r="N2217" s="65"/>
      <c r="O2217" s="65"/>
      <c r="P2217" s="81" t="str">
        <f>IF(AND('331-CT'!$E$7=TH!H2217,OR(N2217="331",O2217="331")),"x","")</f>
        <v/>
      </c>
      <c r="Q2217" s="81" t="str">
        <f>IF(AND(B2217='111'!$L$11,OR($N2217=$Q$7,$O2217=$Q$7)),"x","")</f>
        <v/>
      </c>
      <c r="R2217" s="81" t="str">
        <f>IF(AND($N2217=$Q$7,$B2217&lt;'111'!$L$11),"x","")</f>
        <v/>
      </c>
      <c r="S2217" s="81" t="str">
        <f>IF(AND($O2217=$Q$7,$B2217&lt;'111'!$L$11),"x","")</f>
        <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row>
    <row r="2218" spans="1:30" ht="15.75" customHeight="1">
      <c r="A2218" s="327" t="str">
        <f>IF(B2218&lt;&gt;"",IF(AND(B2218='IN-TC'!$S$4,OR(TH!N2218="1111",TH!O2218="1111")),TH!D2218,""),"")</f>
        <v/>
      </c>
      <c r="B2218" s="62" t="str">
        <f t="shared" si="371"/>
        <v/>
      </c>
      <c r="C2218" s="63"/>
      <c r="D2218" s="63"/>
      <c r="E2218" s="63"/>
      <c r="F2218" s="71"/>
      <c r="G2218" s="816"/>
      <c r="H2218" s="71"/>
      <c r="I2218" s="405"/>
      <c r="J2218" s="405"/>
      <c r="K2218" s="398"/>
      <c r="L2218" s="405"/>
      <c r="M2218" s="64"/>
      <c r="N2218" s="65"/>
      <c r="O2218" s="65"/>
      <c r="P2218" s="81" t="str">
        <f>IF(AND('331-CT'!$E$7=TH!H2218,OR(N2218="331",O2218="331")),"x","")</f>
        <v/>
      </c>
      <c r="Q2218" s="81" t="str">
        <f>IF(AND(B2218='111'!$L$11,OR($N2218=$Q$7,$O2218=$Q$7)),"x","")</f>
        <v/>
      </c>
      <c r="R2218" s="81" t="str">
        <f>IF(AND($N2218=$Q$7,$B2218&lt;'111'!$L$11),"x","")</f>
        <v/>
      </c>
      <c r="S2218" s="81" t="str">
        <f>IF(AND($O2218=$Q$7,$B2218&lt;'111'!$L$11),"x","")</f>
        <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row>
    <row r="2219" spans="1:30" ht="15.75" customHeight="1">
      <c r="A2219" s="327" t="str">
        <f>IF(B2219&lt;&gt;"",IF(AND(B2219='IN-TC'!$S$4,OR(TH!N2219="1111",TH!O2219="1111")),TH!D2219,""),"")</f>
        <v/>
      </c>
      <c r="B2219" s="62" t="str">
        <f t="shared" si="371"/>
        <v/>
      </c>
      <c r="C2219" s="63"/>
      <c r="D2219" s="63"/>
      <c r="E2219" s="63"/>
      <c r="F2219" s="71"/>
      <c r="G2219" s="816"/>
      <c r="H2219" s="71"/>
      <c r="I2219" s="405"/>
      <c r="J2219" s="405"/>
      <c r="K2219" s="398"/>
      <c r="L2219" s="405"/>
      <c r="M2219" s="64"/>
      <c r="N2219" s="65"/>
      <c r="O2219" s="65"/>
      <c r="P2219" s="81" t="str">
        <f>IF(AND('331-CT'!$E$7=TH!H2219,OR(N2219="331",O2219="331")),"x","")</f>
        <v/>
      </c>
      <c r="Q2219" s="81" t="str">
        <f>IF(AND(B2219='111'!$L$11,OR($N2219=$Q$7,$O2219=$Q$7)),"x","")</f>
        <v/>
      </c>
      <c r="R2219" s="81" t="str">
        <f>IF(AND($N2219=$Q$7,$B2219&lt;'111'!$L$11),"x","")</f>
        <v/>
      </c>
      <c r="S2219" s="81" t="str">
        <f>IF(AND($O2219=$Q$7,$B2219&lt;'111'!$L$11),"x","")</f>
        <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row>
    <row r="2220" spans="1:30" ht="15.75" customHeight="1">
      <c r="A2220" s="327" t="str">
        <f>IF(B2220&lt;&gt;"",IF(AND(B2220='IN-TC'!$S$4,OR(TH!N2220="1111",TH!O2220="1111")),TH!D2220,""),"")</f>
        <v/>
      </c>
      <c r="B2220" s="62" t="str">
        <f t="shared" si="371"/>
        <v/>
      </c>
      <c r="C2220" s="63"/>
      <c r="D2220" s="63"/>
      <c r="E2220" s="63"/>
      <c r="F2220" s="71"/>
      <c r="G2220" s="816"/>
      <c r="H2220" s="71"/>
      <c r="I2220" s="405"/>
      <c r="J2220" s="405"/>
      <c r="K2220" s="398"/>
      <c r="L2220" s="405"/>
      <c r="M2220" s="64"/>
      <c r="N2220" s="65"/>
      <c r="O2220" s="65"/>
      <c r="P2220" s="81" t="str">
        <f>IF(AND('331-CT'!$E$7=TH!H2220,OR(N2220="331",O2220="331")),"x","")</f>
        <v/>
      </c>
      <c r="Q2220" s="81" t="str">
        <f>IF(AND(B2220='111'!$L$11,OR($N2220=$Q$7,$O2220=$Q$7)),"x","")</f>
        <v/>
      </c>
      <c r="R2220" s="81" t="str">
        <f>IF(AND($N2220=$Q$7,$B2220&lt;'111'!$L$11),"x","")</f>
        <v/>
      </c>
      <c r="S2220" s="81" t="str">
        <f>IF(AND($O2220=$Q$7,$B2220&lt;'111'!$L$11),"x","")</f>
        <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row>
    <row r="2221" spans="1:30" ht="15.75" customHeight="1">
      <c r="A2221" s="327" t="str">
        <f>IF(B2221&lt;&gt;"",IF(AND(B2221='IN-TC'!$S$4,OR(TH!N2221="1111",TH!O2221="1111")),TH!D2221,""),"")</f>
        <v/>
      </c>
      <c r="B2221" s="62" t="str">
        <f t="shared" si="371"/>
        <v/>
      </c>
      <c r="C2221" s="63"/>
      <c r="D2221" s="63"/>
      <c r="E2221" s="63"/>
      <c r="F2221" s="71"/>
      <c r="G2221" s="816"/>
      <c r="H2221" s="71"/>
      <c r="I2221" s="405"/>
      <c r="J2221" s="405"/>
      <c r="K2221" s="398"/>
      <c r="L2221" s="405"/>
      <c r="M2221" s="64"/>
      <c r="N2221" s="65"/>
      <c r="O2221" s="65"/>
      <c r="P2221" s="81" t="str">
        <f>IF(AND('331-CT'!$E$7=TH!H2221,OR(N2221="331",O2221="331")),"x","")</f>
        <v/>
      </c>
      <c r="Q2221" s="81" t="str">
        <f>IF(AND(B2221='111'!$L$11,OR($N2221=$Q$7,$O2221=$Q$7)),"x","")</f>
        <v/>
      </c>
      <c r="R2221" s="81" t="str">
        <f>IF(AND($N2221=$Q$7,$B2221&lt;'111'!$L$11),"x","")</f>
        <v/>
      </c>
      <c r="S2221" s="81" t="str">
        <f>IF(AND($O2221=$Q$7,$B2221&lt;'111'!$L$11),"x","")</f>
        <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row>
    <row r="2222" spans="1:30" ht="15.75" customHeight="1">
      <c r="A2222" s="327" t="str">
        <f>IF(B2222&lt;&gt;"",IF(AND(B2222='IN-TC'!$S$4,OR(TH!N2222="1111",TH!O2222="1111")),TH!D2222,""),"")</f>
        <v/>
      </c>
      <c r="B2222" s="62" t="str">
        <f t="shared" ref="B2222:B2285" si="372">IF(C2222&lt;&gt;"",MONTH(C2222),"")</f>
        <v/>
      </c>
      <c r="C2222" s="63"/>
      <c r="D2222" s="63"/>
      <c r="E2222" s="63"/>
      <c r="F2222" s="71"/>
      <c r="G2222" s="816"/>
      <c r="H2222" s="71"/>
      <c r="I2222" s="405"/>
      <c r="J2222" s="405"/>
      <c r="K2222" s="398"/>
      <c r="L2222" s="405"/>
      <c r="M2222" s="64"/>
      <c r="N2222" s="65"/>
      <c r="O2222" s="65"/>
      <c r="P2222" s="81" t="str">
        <f>IF(AND('331-CT'!$E$7=TH!H2222,OR(N2222="331",O2222="331")),"x","")</f>
        <v/>
      </c>
      <c r="Q2222" s="81" t="str">
        <f>IF(AND(B2222='111'!$L$11,OR($N2222=$Q$7,$O2222=$Q$7)),"x","")</f>
        <v/>
      </c>
      <c r="R2222" s="81" t="str">
        <f>IF(AND($N2222=$Q$7,$B2222&lt;'111'!$L$11),"x","")</f>
        <v/>
      </c>
      <c r="S2222" s="81" t="str">
        <f>IF(AND($O2222=$Q$7,$B2222&lt;'111'!$L$11),"x","")</f>
        <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row>
    <row r="2223" spans="1:30" ht="15.75" customHeight="1">
      <c r="A2223" s="327" t="str">
        <f>IF(B2223&lt;&gt;"",IF(AND(B2223='IN-TC'!$S$4,OR(TH!N2223="1111",TH!O2223="1111")),TH!D2223,""),"")</f>
        <v/>
      </c>
      <c r="B2223" s="62" t="str">
        <f t="shared" si="372"/>
        <v/>
      </c>
      <c r="C2223" s="63"/>
      <c r="D2223" s="63"/>
      <c r="E2223" s="63"/>
      <c r="F2223" s="71"/>
      <c r="G2223" s="816"/>
      <c r="H2223" s="71"/>
      <c r="I2223" s="405"/>
      <c r="J2223" s="405"/>
      <c r="K2223" s="398"/>
      <c r="L2223" s="405"/>
      <c r="M2223" s="64"/>
      <c r="N2223" s="65"/>
      <c r="O2223" s="65"/>
      <c r="P2223" s="81" t="str">
        <f>IF(AND('331-CT'!$E$7=TH!H2223,OR(N2223="331",O2223="331")),"x","")</f>
        <v/>
      </c>
      <c r="Q2223" s="81" t="str">
        <f>IF(AND(B2223='111'!$L$11,OR($N2223=$Q$7,$O2223=$Q$7)),"x","")</f>
        <v/>
      </c>
      <c r="R2223" s="81" t="str">
        <f>IF(AND($N2223=$Q$7,$B2223&lt;'111'!$L$11),"x","")</f>
        <v/>
      </c>
      <c r="S2223" s="81" t="str">
        <f>IF(AND($O2223=$Q$7,$B2223&lt;'111'!$L$11),"x","")</f>
        <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row>
    <row r="2224" spans="1:30" ht="15.75" customHeight="1">
      <c r="A2224" s="327" t="str">
        <f>IF(B2224&lt;&gt;"",IF(AND(B2224='IN-TC'!$S$4,OR(TH!N2224="1111",TH!O2224="1111")),TH!D2224,""),"")</f>
        <v/>
      </c>
      <c r="B2224" s="62" t="str">
        <f t="shared" si="372"/>
        <v/>
      </c>
      <c r="C2224" s="63"/>
      <c r="D2224" s="63"/>
      <c r="E2224" s="63"/>
      <c r="F2224" s="71"/>
      <c r="G2224" s="816"/>
      <c r="H2224" s="71"/>
      <c r="I2224" s="405"/>
      <c r="J2224" s="405"/>
      <c r="K2224" s="398"/>
      <c r="L2224" s="405"/>
      <c r="M2224" s="64"/>
      <c r="N2224" s="65"/>
      <c r="O2224" s="65"/>
      <c r="P2224" s="81" t="str">
        <f>IF(AND('331-CT'!$E$7=TH!H2224,OR(N2224="331",O2224="331")),"x","")</f>
        <v/>
      </c>
      <c r="Q2224" s="81" t="str">
        <f>IF(AND(B2224='111'!$L$11,OR($N2224=$Q$7,$O2224=$Q$7)),"x","")</f>
        <v/>
      </c>
      <c r="R2224" s="81" t="str">
        <f>IF(AND($N2224=$Q$7,$B2224&lt;'111'!$L$11),"x","")</f>
        <v/>
      </c>
      <c r="S2224" s="81" t="str">
        <f>IF(AND($O2224=$Q$7,$B2224&lt;'111'!$L$11),"x","")</f>
        <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row>
    <row r="2225" spans="1:30" ht="15.75" customHeight="1">
      <c r="A2225" s="327" t="str">
        <f>IF(B2225&lt;&gt;"",IF(AND(B2225='IN-TC'!$S$4,OR(TH!N2225="1111",TH!O2225="1111")),TH!D2225,""),"")</f>
        <v/>
      </c>
      <c r="B2225" s="62" t="str">
        <f t="shared" si="372"/>
        <v/>
      </c>
      <c r="C2225" s="63"/>
      <c r="D2225" s="63"/>
      <c r="E2225" s="63"/>
      <c r="F2225" s="71"/>
      <c r="G2225" s="816"/>
      <c r="H2225" s="71"/>
      <c r="I2225" s="405"/>
      <c r="J2225" s="405"/>
      <c r="K2225" s="398"/>
      <c r="L2225" s="405"/>
      <c r="M2225" s="64"/>
      <c r="N2225" s="65"/>
      <c r="O2225" s="65"/>
      <c r="P2225" s="81" t="str">
        <f>IF(AND('331-CT'!$E$7=TH!H2225,OR(N2225="331",O2225="331")),"x","")</f>
        <v/>
      </c>
      <c r="Q2225" s="81" t="str">
        <f>IF(AND(B2225='111'!$L$11,OR($N2225=$Q$7,$O2225=$Q$7)),"x","")</f>
        <v/>
      </c>
      <c r="R2225" s="81" t="str">
        <f>IF(AND($N2225=$Q$7,$B2225&lt;'111'!$L$11),"x","")</f>
        <v/>
      </c>
      <c r="S2225" s="81" t="str">
        <f>IF(AND($O2225=$Q$7,$B2225&lt;'111'!$L$11),"x","")</f>
        <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row>
    <row r="2226" spans="1:30" ht="15.75" customHeight="1">
      <c r="A2226" s="327" t="str">
        <f>IF(B2226&lt;&gt;"",IF(AND(B2226='IN-TC'!$S$4,OR(TH!N2226="1111",TH!O2226="1111")),TH!D2226,""),"")</f>
        <v/>
      </c>
      <c r="B2226" s="62" t="str">
        <f t="shared" si="372"/>
        <v/>
      </c>
      <c r="C2226" s="63"/>
      <c r="D2226" s="63"/>
      <c r="E2226" s="63"/>
      <c r="F2226" s="71"/>
      <c r="G2226" s="816"/>
      <c r="H2226" s="71"/>
      <c r="I2226" s="405"/>
      <c r="J2226" s="405"/>
      <c r="K2226" s="398"/>
      <c r="L2226" s="405"/>
      <c r="M2226" s="64"/>
      <c r="N2226" s="65"/>
      <c r="O2226" s="65"/>
      <c r="P2226" s="81" t="str">
        <f>IF(AND('331-CT'!$E$7=TH!H2226,OR(N2226="331",O2226="331")),"x","")</f>
        <v/>
      </c>
      <c r="Q2226" s="81" t="str">
        <f>IF(AND(B2226='111'!$L$11,OR($N2226=$Q$7,$O2226=$Q$7)),"x","")</f>
        <v/>
      </c>
      <c r="R2226" s="81" t="str">
        <f>IF(AND($N2226=$Q$7,$B2226&lt;'111'!$L$11),"x","")</f>
        <v/>
      </c>
      <c r="S2226" s="81" t="str">
        <f>IF(AND($O2226=$Q$7,$B2226&lt;'111'!$L$11),"x","")</f>
        <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row>
    <row r="2227" spans="1:30" ht="15.75" customHeight="1">
      <c r="A2227" s="327" t="str">
        <f>IF(B2227&lt;&gt;"",IF(AND(B2227='IN-TC'!$S$4,OR(TH!N2227="1111",TH!O2227="1111")),TH!D2227,""),"")</f>
        <v/>
      </c>
      <c r="B2227" s="62" t="str">
        <f t="shared" si="372"/>
        <v/>
      </c>
      <c r="C2227" s="63"/>
      <c r="D2227" s="63"/>
      <c r="E2227" s="63"/>
      <c r="F2227" s="71"/>
      <c r="G2227" s="816"/>
      <c r="H2227" s="71"/>
      <c r="I2227" s="405"/>
      <c r="J2227" s="405"/>
      <c r="K2227" s="398"/>
      <c r="L2227" s="405"/>
      <c r="M2227" s="64"/>
      <c r="N2227" s="65"/>
      <c r="O2227" s="65"/>
      <c r="P2227" s="81" t="str">
        <f>IF(AND('331-CT'!$E$7=TH!H2227,OR(N2227="331",O2227="331")),"x","")</f>
        <v/>
      </c>
      <c r="Q2227" s="81" t="str">
        <f>IF(AND(B2227='111'!$L$11,OR($N2227=$Q$7,$O2227=$Q$7)),"x","")</f>
        <v/>
      </c>
      <c r="R2227" s="81" t="str">
        <f>IF(AND($N2227=$Q$7,$B2227&lt;'111'!$L$11),"x","")</f>
        <v/>
      </c>
      <c r="S2227" s="81" t="str">
        <f>IF(AND($O2227=$Q$7,$B2227&lt;'111'!$L$11),"x","")</f>
        <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row>
    <row r="2228" spans="1:30" ht="15.75" customHeight="1">
      <c r="A2228" s="327" t="str">
        <f>IF(B2228&lt;&gt;"",IF(AND(B2228='IN-TC'!$S$4,OR(TH!N2228="1111",TH!O2228="1111")),TH!D2228,""),"")</f>
        <v/>
      </c>
      <c r="B2228" s="62" t="str">
        <f t="shared" si="372"/>
        <v/>
      </c>
      <c r="C2228" s="63"/>
      <c r="D2228" s="63"/>
      <c r="E2228" s="63"/>
      <c r="F2228" s="71"/>
      <c r="G2228" s="816"/>
      <c r="H2228" s="71"/>
      <c r="I2228" s="405"/>
      <c r="J2228" s="405"/>
      <c r="K2228" s="398"/>
      <c r="L2228" s="405"/>
      <c r="M2228" s="64"/>
      <c r="N2228" s="65"/>
      <c r="O2228" s="65"/>
      <c r="P2228" s="81" t="str">
        <f>IF(AND('331-CT'!$E$7=TH!H2228,OR(N2228="331",O2228="331")),"x","")</f>
        <v/>
      </c>
      <c r="Q2228" s="81" t="str">
        <f>IF(AND(B2228='111'!$L$11,OR($N2228=$Q$7,$O2228=$Q$7)),"x","")</f>
        <v/>
      </c>
      <c r="R2228" s="81" t="str">
        <f>IF(AND($N2228=$Q$7,$B2228&lt;'111'!$L$11),"x","")</f>
        <v/>
      </c>
      <c r="S2228" s="81" t="str">
        <f>IF(AND($O2228=$Q$7,$B2228&lt;'111'!$L$11),"x","")</f>
        <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row>
    <row r="2229" spans="1:30" ht="15.75" customHeight="1">
      <c r="A2229" s="327" t="str">
        <f>IF(B2229&lt;&gt;"",IF(AND(B2229='IN-TC'!$S$4,OR(TH!N2229="1111",TH!O2229="1111")),TH!D2229,""),"")</f>
        <v/>
      </c>
      <c r="B2229" s="62" t="str">
        <f t="shared" si="372"/>
        <v/>
      </c>
      <c r="C2229" s="63"/>
      <c r="D2229" s="63"/>
      <c r="E2229" s="63"/>
      <c r="F2229" s="71"/>
      <c r="G2229" s="816"/>
      <c r="H2229" s="71"/>
      <c r="I2229" s="405"/>
      <c r="J2229" s="405"/>
      <c r="K2229" s="398"/>
      <c r="L2229" s="405"/>
      <c r="M2229" s="64"/>
      <c r="N2229" s="65"/>
      <c r="O2229" s="65"/>
      <c r="P2229" s="81" t="str">
        <f>IF(AND('331-CT'!$E$7=TH!H2229,OR(N2229="331",O2229="331")),"x","")</f>
        <v/>
      </c>
      <c r="Q2229" s="81" t="str">
        <f>IF(AND(B2229='111'!$L$11,OR($N2229=$Q$7,$O2229=$Q$7)),"x","")</f>
        <v/>
      </c>
      <c r="R2229" s="81" t="str">
        <f>IF(AND($N2229=$Q$7,$B2229&lt;'111'!$L$11),"x","")</f>
        <v/>
      </c>
      <c r="S2229" s="81" t="str">
        <f>IF(AND($O2229=$Q$7,$B2229&lt;'111'!$L$11),"x","")</f>
        <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row>
    <row r="2230" spans="1:30" ht="15.75" customHeight="1">
      <c r="A2230" s="327" t="str">
        <f>IF(B2230&lt;&gt;"",IF(AND(B2230='IN-TC'!$S$4,OR(TH!N2230="1111",TH!O2230="1111")),TH!D2230,""),"")</f>
        <v/>
      </c>
      <c r="B2230" s="62" t="str">
        <f t="shared" si="372"/>
        <v/>
      </c>
      <c r="C2230" s="63"/>
      <c r="D2230" s="63"/>
      <c r="E2230" s="63"/>
      <c r="F2230" s="71"/>
      <c r="G2230" s="816"/>
      <c r="H2230" s="330"/>
      <c r="I2230" s="405"/>
      <c r="J2230" s="405"/>
      <c r="K2230" s="398"/>
      <c r="L2230" s="405"/>
      <c r="M2230" s="64"/>
      <c r="N2230" s="65"/>
      <c r="O2230" s="65"/>
      <c r="P2230" s="81" t="str">
        <f>IF(AND('331-CT'!$E$7=TH!H2230,OR(N2230="331",O2230="331")),"x","")</f>
        <v/>
      </c>
      <c r="Q2230" s="81" t="str">
        <f>IF(AND(B2230='111'!$L$11,OR($N2230=$Q$7,$O2230=$Q$7)),"x","")</f>
        <v/>
      </c>
      <c r="R2230" s="81" t="str">
        <f>IF(AND($N2230=$Q$7,$B2230&lt;'111'!$L$11),"x","")</f>
        <v/>
      </c>
      <c r="S2230" s="81" t="str">
        <f>IF(AND($O2230=$Q$7,$B2230&lt;'111'!$L$11),"x","")</f>
        <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row>
    <row r="2231" spans="1:30" ht="15.75" customHeight="1">
      <c r="A2231" s="327" t="str">
        <f>IF(B2231&lt;&gt;"",IF(AND(B2231='IN-TC'!$S$4,OR(TH!N2231="1111",TH!O2231="1111")),TH!D2231,""),"")</f>
        <v/>
      </c>
      <c r="B2231" s="62" t="str">
        <f t="shared" si="372"/>
        <v/>
      </c>
      <c r="C2231" s="63"/>
      <c r="D2231" s="63"/>
      <c r="E2231" s="63"/>
      <c r="F2231" s="71"/>
      <c r="G2231" s="816"/>
      <c r="H2231" s="330"/>
      <c r="I2231" s="405"/>
      <c r="J2231" s="405"/>
      <c r="K2231" s="398"/>
      <c r="L2231" s="405"/>
      <c r="M2231" s="64"/>
      <c r="N2231" s="65"/>
      <c r="O2231" s="65"/>
      <c r="P2231" s="81" t="str">
        <f>IF(AND('331-CT'!$E$7=TH!H2231,OR(N2231="331",O2231="331")),"x","")</f>
        <v/>
      </c>
      <c r="Q2231" s="81" t="str">
        <f>IF(AND(B2231='111'!$L$11,OR($N2231=$Q$7,$O2231=$Q$7)),"x","")</f>
        <v/>
      </c>
      <c r="R2231" s="81" t="str">
        <f>IF(AND($N2231=$Q$7,$B2231&lt;'111'!$L$11),"x","")</f>
        <v/>
      </c>
      <c r="S2231" s="81" t="str">
        <f>IF(AND($O2231=$Q$7,$B2231&lt;'111'!$L$11),"x","")</f>
        <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row>
    <row r="2232" spans="1:30" ht="15.75" customHeight="1">
      <c r="A2232" s="327" t="str">
        <f>IF(B2232&lt;&gt;"",IF(AND(B2232='IN-TC'!$S$4,OR(TH!N2232="1111",TH!O2232="1111")),TH!D2232,""),"")</f>
        <v/>
      </c>
      <c r="B2232" s="62" t="str">
        <f t="shared" si="372"/>
        <v/>
      </c>
      <c r="C2232" s="63"/>
      <c r="D2232" s="63"/>
      <c r="E2232" s="63"/>
      <c r="F2232" s="71"/>
      <c r="G2232" s="816"/>
      <c r="H2232" s="330"/>
      <c r="I2232" s="405"/>
      <c r="J2232" s="405"/>
      <c r="K2232" s="398"/>
      <c r="L2232" s="405"/>
      <c r="M2232" s="64"/>
      <c r="N2232" s="65"/>
      <c r="O2232" s="65"/>
      <c r="P2232" s="81" t="str">
        <f>IF(AND('331-CT'!$E$7=TH!H2232,OR(N2232="331",O2232="331")),"x","")</f>
        <v/>
      </c>
      <c r="Q2232" s="81" t="str">
        <f>IF(AND(B2232='111'!$L$11,OR($N2232=$Q$7,$O2232=$Q$7)),"x","")</f>
        <v/>
      </c>
      <c r="R2232" s="81" t="str">
        <f>IF(AND($N2232=$Q$7,$B2232&lt;'111'!$L$11),"x","")</f>
        <v/>
      </c>
      <c r="S2232" s="81" t="str">
        <f>IF(AND($O2232=$Q$7,$B2232&lt;'111'!$L$11),"x","")</f>
        <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row>
    <row r="2233" spans="1:30" ht="15.75" customHeight="1">
      <c r="A2233" s="327" t="str">
        <f>IF(B2233&lt;&gt;"",IF(AND(B2233='IN-TC'!$S$4,OR(TH!N2233="1111",TH!O2233="1111")),TH!D2233,""),"")</f>
        <v/>
      </c>
      <c r="B2233" s="62" t="str">
        <f t="shared" si="372"/>
        <v/>
      </c>
      <c r="C2233" s="63"/>
      <c r="D2233" s="63"/>
      <c r="E2233" s="63"/>
      <c r="F2233" s="71"/>
      <c r="G2233" s="816"/>
      <c r="H2233" s="330"/>
      <c r="I2233" s="405"/>
      <c r="J2233" s="405"/>
      <c r="K2233" s="398"/>
      <c r="L2233" s="405"/>
      <c r="M2233" s="64"/>
      <c r="N2233" s="65"/>
      <c r="O2233" s="65"/>
      <c r="P2233" s="81" t="str">
        <f>IF(AND('331-CT'!$E$7=TH!H2233,OR(N2233="331",O2233="331")),"x","")</f>
        <v/>
      </c>
      <c r="Q2233" s="81" t="str">
        <f>IF(AND(B2233='111'!$L$11,OR($N2233=$Q$7,$O2233=$Q$7)),"x","")</f>
        <v/>
      </c>
      <c r="R2233" s="81" t="str">
        <f>IF(AND($N2233=$Q$7,$B2233&lt;'111'!$L$11),"x","")</f>
        <v/>
      </c>
      <c r="S2233" s="81" t="str">
        <f>IF(AND($O2233=$Q$7,$B2233&lt;'111'!$L$11),"x","")</f>
        <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row>
    <row r="2234" spans="1:30" ht="15.75" customHeight="1">
      <c r="A2234" s="327" t="str">
        <f>IF(B2234&lt;&gt;"",IF(AND(B2234='IN-TC'!$S$4,OR(TH!N2234="1111",TH!O2234="1111")),TH!D2234,""),"")</f>
        <v/>
      </c>
      <c r="B2234" s="62" t="str">
        <f t="shared" si="372"/>
        <v/>
      </c>
      <c r="C2234" s="63"/>
      <c r="D2234" s="63"/>
      <c r="E2234" s="63"/>
      <c r="F2234" s="71"/>
      <c r="G2234" s="816"/>
      <c r="H2234" s="71"/>
      <c r="I2234" s="405"/>
      <c r="J2234" s="405"/>
      <c r="K2234" s="398"/>
      <c r="L2234" s="405"/>
      <c r="M2234" s="64"/>
      <c r="N2234" s="65"/>
      <c r="O2234" s="65"/>
      <c r="P2234" s="81" t="str">
        <f>IF(AND('331-CT'!$E$7=TH!H2234,OR(N2234="331",O2234="331")),"x","")</f>
        <v/>
      </c>
      <c r="Q2234" s="81" t="str">
        <f>IF(AND(B2234='111'!$L$11,OR($N2234=$Q$7,$O2234=$Q$7)),"x","")</f>
        <v/>
      </c>
      <c r="R2234" s="81" t="str">
        <f>IF(AND($N2234=$Q$7,$B2234&lt;'111'!$L$11),"x","")</f>
        <v/>
      </c>
      <c r="S2234" s="81" t="str">
        <f>IF(AND($O2234=$Q$7,$B2234&lt;'111'!$L$11),"x","")</f>
        <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row>
    <row r="2235" spans="1:30" ht="15.75" customHeight="1">
      <c r="A2235" s="327" t="str">
        <f>IF(B2235&lt;&gt;"",IF(AND(B2235='IN-TC'!$S$4,OR(TH!N2235="1111",TH!O2235="1111")),TH!D2235,""),"")</f>
        <v/>
      </c>
      <c r="B2235" s="62" t="str">
        <f t="shared" si="372"/>
        <v/>
      </c>
      <c r="C2235" s="63"/>
      <c r="D2235" s="63"/>
      <c r="E2235" s="63"/>
      <c r="F2235" s="71"/>
      <c r="G2235" s="816"/>
      <c r="H2235" s="71"/>
      <c r="I2235" s="405"/>
      <c r="J2235" s="405"/>
      <c r="K2235" s="398"/>
      <c r="L2235" s="405"/>
      <c r="M2235" s="64"/>
      <c r="N2235" s="65"/>
      <c r="O2235" s="65"/>
      <c r="P2235" s="81" t="str">
        <f>IF(AND('331-CT'!$E$7=TH!H2235,OR(N2235="331",O2235="331")),"x","")</f>
        <v/>
      </c>
      <c r="Q2235" s="81" t="str">
        <f>IF(AND(B2235='111'!$L$11,OR($N2235=$Q$7,$O2235=$Q$7)),"x","")</f>
        <v/>
      </c>
      <c r="R2235" s="81" t="str">
        <f>IF(AND($N2235=$Q$7,$B2235&lt;'111'!$L$11),"x","")</f>
        <v/>
      </c>
      <c r="S2235" s="81" t="str">
        <f>IF(AND($O2235=$Q$7,$B2235&lt;'111'!$L$11),"x","")</f>
        <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row>
    <row r="2236" spans="1:30" ht="15.75" customHeight="1">
      <c r="A2236" s="327" t="str">
        <f>IF(B2236&lt;&gt;"",IF(AND(B2236='IN-TC'!$S$4,OR(TH!N2236="1111",TH!O2236="1111")),TH!D2236,""),"")</f>
        <v/>
      </c>
      <c r="B2236" s="62" t="str">
        <f t="shared" si="372"/>
        <v/>
      </c>
      <c r="C2236" s="63"/>
      <c r="D2236" s="63"/>
      <c r="E2236" s="63"/>
      <c r="F2236" s="71"/>
      <c r="G2236" s="816"/>
      <c r="H2236" s="71"/>
      <c r="I2236" s="405"/>
      <c r="J2236" s="405"/>
      <c r="K2236" s="398"/>
      <c r="L2236" s="405"/>
      <c r="M2236" s="64"/>
      <c r="N2236" s="65"/>
      <c r="O2236" s="65"/>
      <c r="P2236" s="81" t="str">
        <f>IF(AND('331-CT'!$E$7=TH!H2236,OR(N2236="331",O2236="331")),"x","")</f>
        <v/>
      </c>
      <c r="Q2236" s="81" t="str">
        <f>IF(AND(B2236='111'!$L$11,OR($N2236=$Q$7,$O2236=$Q$7)),"x","")</f>
        <v/>
      </c>
      <c r="R2236" s="81" t="str">
        <f>IF(AND($N2236=$Q$7,$B2236&lt;'111'!$L$11),"x","")</f>
        <v/>
      </c>
      <c r="S2236" s="81" t="str">
        <f>IF(AND($O2236=$Q$7,$B2236&lt;'111'!$L$11),"x","")</f>
        <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row>
    <row r="2237" spans="1:30" ht="15.75" customHeight="1">
      <c r="A2237" s="327" t="str">
        <f>IF(B2237&lt;&gt;"",IF(AND(B2237='IN-TC'!$S$4,OR(TH!N2237="1111",TH!O2237="1111")),TH!D2237,""),"")</f>
        <v/>
      </c>
      <c r="B2237" s="62" t="str">
        <f t="shared" si="372"/>
        <v/>
      </c>
      <c r="C2237" s="63"/>
      <c r="D2237" s="63"/>
      <c r="E2237" s="63"/>
      <c r="F2237" s="71"/>
      <c r="G2237" s="816"/>
      <c r="H2237" s="71"/>
      <c r="I2237" s="405"/>
      <c r="J2237" s="405"/>
      <c r="K2237" s="398"/>
      <c r="L2237" s="405"/>
      <c r="M2237" s="64"/>
      <c r="N2237" s="65"/>
      <c r="O2237" s="65"/>
      <c r="P2237" s="81" t="str">
        <f>IF(AND('331-CT'!$E$7=TH!H2237,OR(N2237="331",O2237="331")),"x","")</f>
        <v/>
      </c>
      <c r="Q2237" s="81" t="str">
        <f>IF(AND(B2237='111'!$L$11,OR($N2237=$Q$7,$O2237=$Q$7)),"x","")</f>
        <v/>
      </c>
      <c r="R2237" s="81" t="str">
        <f>IF(AND($N2237=$Q$7,$B2237&lt;'111'!$L$11),"x","")</f>
        <v/>
      </c>
      <c r="S2237" s="81" t="str">
        <f>IF(AND($O2237=$Q$7,$B2237&lt;'111'!$L$11),"x","")</f>
        <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row>
    <row r="2238" spans="1:30" ht="15.75" customHeight="1">
      <c r="A2238" s="327" t="str">
        <f>IF(B2238&lt;&gt;"",IF(AND(B2238='IN-TC'!$S$4,OR(TH!N2238="1111",TH!O2238="1111")),TH!D2238,""),"")</f>
        <v/>
      </c>
      <c r="B2238" s="62" t="str">
        <f t="shared" si="372"/>
        <v/>
      </c>
      <c r="C2238" s="63"/>
      <c r="D2238" s="63"/>
      <c r="E2238" s="63"/>
      <c r="F2238" s="71"/>
      <c r="G2238" s="816"/>
      <c r="H2238" s="71"/>
      <c r="I2238" s="405"/>
      <c r="J2238" s="405"/>
      <c r="K2238" s="398"/>
      <c r="L2238" s="405"/>
      <c r="M2238" s="64"/>
      <c r="N2238" s="65"/>
      <c r="O2238" s="65"/>
      <c r="P2238" s="81" t="str">
        <f>IF(AND('331-CT'!$E$7=TH!H2238,OR(N2238="331",O2238="331")),"x","")</f>
        <v/>
      </c>
      <c r="Q2238" s="81" t="str">
        <f>IF(AND(B2238='111'!$L$11,OR($N2238=$Q$7,$O2238=$Q$7)),"x","")</f>
        <v/>
      </c>
      <c r="R2238" s="81" t="str">
        <f>IF(AND($N2238=$Q$7,$B2238&lt;'111'!$L$11),"x","")</f>
        <v/>
      </c>
      <c r="S2238" s="81" t="str">
        <f>IF(AND($O2238=$Q$7,$B2238&lt;'111'!$L$11),"x","")</f>
        <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row>
    <row r="2239" spans="1:30" ht="15.75" customHeight="1">
      <c r="A2239" s="327" t="str">
        <f>IF(B2239&lt;&gt;"",IF(AND(B2239='IN-TC'!$S$4,OR(TH!N2239="1111",TH!O2239="1111")),TH!D2239,""),"")</f>
        <v/>
      </c>
      <c r="B2239" s="62" t="str">
        <f t="shared" si="372"/>
        <v/>
      </c>
      <c r="C2239" s="63"/>
      <c r="D2239" s="63"/>
      <c r="E2239" s="63"/>
      <c r="F2239" s="71"/>
      <c r="G2239" s="816"/>
      <c r="H2239" s="71"/>
      <c r="I2239" s="405"/>
      <c r="J2239" s="405"/>
      <c r="K2239" s="398"/>
      <c r="L2239" s="405"/>
      <c r="M2239" s="64"/>
      <c r="N2239" s="65"/>
      <c r="O2239" s="65"/>
      <c r="P2239" s="81" t="str">
        <f>IF(AND('331-CT'!$E$7=TH!H2239,OR(N2239="331",O2239="331")),"x","")</f>
        <v/>
      </c>
      <c r="Q2239" s="81" t="str">
        <f>IF(AND(B2239='111'!$L$11,OR($N2239=$Q$7,$O2239=$Q$7)),"x","")</f>
        <v/>
      </c>
      <c r="R2239" s="81" t="str">
        <f>IF(AND($N2239=$Q$7,$B2239&lt;'111'!$L$11),"x","")</f>
        <v/>
      </c>
      <c r="S2239" s="81" t="str">
        <f>IF(AND($O2239=$Q$7,$B2239&lt;'111'!$L$11),"x","")</f>
        <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row>
    <row r="2240" spans="1:30" ht="15.75" customHeight="1">
      <c r="A2240" s="327" t="str">
        <f>IF(B2240&lt;&gt;"",IF(AND(B2240='IN-TC'!$S$4,OR(TH!N2240="1111",TH!O2240="1111")),TH!D2240,""),"")</f>
        <v/>
      </c>
      <c r="B2240" s="62" t="str">
        <f t="shared" si="372"/>
        <v/>
      </c>
      <c r="C2240" s="63"/>
      <c r="D2240" s="63"/>
      <c r="E2240" s="63"/>
      <c r="F2240" s="71"/>
      <c r="G2240" s="816"/>
      <c r="H2240" s="71"/>
      <c r="I2240" s="405"/>
      <c r="J2240" s="405"/>
      <c r="K2240" s="398"/>
      <c r="L2240" s="405"/>
      <c r="M2240" s="64"/>
      <c r="N2240" s="65"/>
      <c r="O2240" s="65"/>
      <c r="P2240" s="81" t="str">
        <f>IF(AND('331-CT'!$E$7=TH!H2240,OR(N2240="331",O2240="331")),"x","")</f>
        <v/>
      </c>
      <c r="Q2240" s="81" t="str">
        <f>IF(AND(B2240='111'!$L$11,OR($N2240=$Q$7,$O2240=$Q$7)),"x","")</f>
        <v/>
      </c>
      <c r="R2240" s="81" t="str">
        <f>IF(AND($N2240=$Q$7,$B2240&lt;'111'!$L$11),"x","")</f>
        <v/>
      </c>
      <c r="S2240" s="81" t="str">
        <f>IF(AND($O2240=$Q$7,$B2240&lt;'111'!$L$11),"x","")</f>
        <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row>
    <row r="2241" spans="1:30" ht="15.75" customHeight="1">
      <c r="A2241" s="327" t="str">
        <f>IF(B2241&lt;&gt;"",IF(AND(B2241='IN-TC'!$S$4,OR(TH!N2241="1111",TH!O2241="1111")),TH!D2241,""),"")</f>
        <v/>
      </c>
      <c r="B2241" s="62" t="str">
        <f t="shared" si="372"/>
        <v/>
      </c>
      <c r="C2241" s="63"/>
      <c r="D2241" s="63"/>
      <c r="E2241" s="63"/>
      <c r="F2241" s="71"/>
      <c r="G2241" s="816"/>
      <c r="H2241" s="71"/>
      <c r="I2241" s="405"/>
      <c r="J2241" s="405"/>
      <c r="K2241" s="398"/>
      <c r="L2241" s="405"/>
      <c r="M2241" s="64"/>
      <c r="N2241" s="65"/>
      <c r="O2241" s="65"/>
      <c r="P2241" s="81" t="str">
        <f>IF(AND('331-CT'!$E$7=TH!H2241,OR(N2241="331",O2241="331")),"x","")</f>
        <v/>
      </c>
      <c r="Q2241" s="81" t="str">
        <f>IF(AND(B2241='111'!$L$11,OR($N2241=$Q$7,$O2241=$Q$7)),"x","")</f>
        <v/>
      </c>
      <c r="R2241" s="81" t="str">
        <f>IF(AND($N2241=$Q$7,$B2241&lt;'111'!$L$11),"x","")</f>
        <v/>
      </c>
      <c r="S2241" s="81" t="str">
        <f>IF(AND($O2241=$Q$7,$B2241&lt;'111'!$L$11),"x","")</f>
        <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row>
    <row r="2242" spans="1:30" ht="15.75" customHeight="1">
      <c r="A2242" s="327" t="str">
        <f>IF(B2242&lt;&gt;"",IF(AND(B2242='IN-TC'!$S$4,OR(TH!N2242="1111",TH!O2242="1111")),TH!D2242,""),"")</f>
        <v/>
      </c>
      <c r="B2242" s="62" t="str">
        <f t="shared" si="372"/>
        <v/>
      </c>
      <c r="C2242" s="63"/>
      <c r="D2242" s="63"/>
      <c r="E2242" s="63"/>
      <c r="F2242" s="71"/>
      <c r="G2242" s="816"/>
      <c r="H2242" s="71"/>
      <c r="I2242" s="405"/>
      <c r="J2242" s="405"/>
      <c r="K2242" s="398"/>
      <c r="L2242" s="405"/>
      <c r="M2242" s="64"/>
      <c r="N2242" s="65"/>
      <c r="O2242" s="65"/>
      <c r="P2242" s="81" t="str">
        <f>IF(AND('331-CT'!$E$7=TH!H2242,OR(N2242="331",O2242="331")),"x","")</f>
        <v/>
      </c>
      <c r="Q2242" s="81" t="str">
        <f>IF(AND(B2242='111'!$L$11,OR($N2242=$Q$7,$O2242=$Q$7)),"x","")</f>
        <v/>
      </c>
      <c r="R2242" s="81" t="str">
        <f>IF(AND($N2242=$Q$7,$B2242&lt;'111'!$L$11),"x","")</f>
        <v/>
      </c>
      <c r="S2242" s="81" t="str">
        <f>IF(AND($O2242=$Q$7,$B2242&lt;'111'!$L$11),"x","")</f>
        <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row>
    <row r="2243" spans="1:30" ht="15.75" customHeight="1">
      <c r="A2243" s="327" t="str">
        <f>IF(B2243&lt;&gt;"",IF(AND(B2243='IN-TC'!$S$4,OR(TH!N2243="1111",TH!O2243="1111")),TH!D2243,""),"")</f>
        <v/>
      </c>
      <c r="B2243" s="62" t="str">
        <f t="shared" si="372"/>
        <v/>
      </c>
      <c r="C2243" s="63"/>
      <c r="D2243" s="63"/>
      <c r="E2243" s="63"/>
      <c r="F2243" s="71"/>
      <c r="G2243" s="816"/>
      <c r="H2243" s="71"/>
      <c r="I2243" s="405"/>
      <c r="J2243" s="405"/>
      <c r="K2243" s="398"/>
      <c r="L2243" s="405"/>
      <c r="M2243" s="64"/>
      <c r="N2243" s="65"/>
      <c r="O2243" s="65"/>
      <c r="P2243" s="81" t="str">
        <f>IF(AND('331-CT'!$E$7=TH!H2243,OR(N2243="331",O2243="331")),"x","")</f>
        <v/>
      </c>
      <c r="Q2243" s="81" t="str">
        <f>IF(AND(B2243='111'!$L$11,OR($N2243=$Q$7,$O2243=$Q$7)),"x","")</f>
        <v/>
      </c>
      <c r="R2243" s="81" t="str">
        <f>IF(AND($N2243=$Q$7,$B2243&lt;'111'!$L$11),"x","")</f>
        <v/>
      </c>
      <c r="S2243" s="81" t="str">
        <f>IF(AND($O2243=$Q$7,$B2243&lt;'111'!$L$11),"x","")</f>
        <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row>
    <row r="2244" spans="1:30" ht="15.75" customHeight="1">
      <c r="A2244" s="327" t="str">
        <f>IF(B2244&lt;&gt;"",IF(AND(B2244='IN-TC'!$S$4,OR(TH!N2244="1111",TH!O2244="1111")),TH!D2244,""),"")</f>
        <v/>
      </c>
      <c r="B2244" s="62" t="str">
        <f t="shared" si="372"/>
        <v/>
      </c>
      <c r="C2244" s="63"/>
      <c r="D2244" s="63"/>
      <c r="E2244" s="63"/>
      <c r="F2244" s="71"/>
      <c r="G2244" s="816"/>
      <c r="H2244" s="71"/>
      <c r="I2244" s="405"/>
      <c r="J2244" s="405"/>
      <c r="K2244" s="398"/>
      <c r="L2244" s="405"/>
      <c r="M2244" s="64"/>
      <c r="N2244" s="65"/>
      <c r="O2244" s="65"/>
      <c r="P2244" s="81" t="str">
        <f>IF(AND('331-CT'!$E$7=TH!H2244,OR(N2244="331",O2244="331")),"x","")</f>
        <v/>
      </c>
      <c r="Q2244" s="81" t="str">
        <f>IF(AND(B2244='111'!$L$11,OR($N2244=$Q$7,$O2244=$Q$7)),"x","")</f>
        <v/>
      </c>
      <c r="R2244" s="81" t="str">
        <f>IF(AND($N2244=$Q$7,$B2244&lt;'111'!$L$11),"x","")</f>
        <v/>
      </c>
      <c r="S2244" s="81" t="str">
        <f>IF(AND($O2244=$Q$7,$B2244&lt;'111'!$L$11),"x","")</f>
        <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row>
    <row r="2245" spans="1:30" ht="15.75" customHeight="1">
      <c r="A2245" s="327" t="str">
        <f>IF(B2245&lt;&gt;"",IF(AND(B2245='IN-TC'!$S$4,OR(TH!N2245="1111",TH!O2245="1111")),TH!D2245,""),"")</f>
        <v/>
      </c>
      <c r="B2245" s="62" t="str">
        <f t="shared" si="372"/>
        <v/>
      </c>
      <c r="C2245" s="63"/>
      <c r="D2245" s="63"/>
      <c r="E2245" s="63"/>
      <c r="F2245" s="71"/>
      <c r="G2245" s="816"/>
      <c r="H2245" s="71"/>
      <c r="I2245" s="405"/>
      <c r="J2245" s="405"/>
      <c r="K2245" s="398"/>
      <c r="L2245" s="405"/>
      <c r="M2245" s="64"/>
      <c r="N2245" s="65"/>
      <c r="O2245" s="65"/>
      <c r="P2245" s="81" t="str">
        <f>IF(AND('331-CT'!$E$7=TH!H2245,OR(N2245="331",O2245="331")),"x","")</f>
        <v/>
      </c>
      <c r="Q2245" s="81" t="str">
        <f>IF(AND(B2245='111'!$L$11,OR($N2245=$Q$7,$O2245=$Q$7)),"x","")</f>
        <v/>
      </c>
      <c r="R2245" s="81" t="str">
        <f>IF(AND($N2245=$Q$7,$B2245&lt;'111'!$L$11),"x","")</f>
        <v/>
      </c>
      <c r="S2245" s="81" t="str">
        <f>IF(AND($O2245=$Q$7,$B2245&lt;'111'!$L$11),"x","")</f>
        <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row>
    <row r="2246" spans="1:30" ht="15.75" customHeight="1">
      <c r="A2246" s="327" t="str">
        <f>IF(B2246&lt;&gt;"",IF(AND(B2246='IN-TC'!$S$4,OR(TH!N2246="1111",TH!O2246="1111")),TH!D2246,""),"")</f>
        <v/>
      </c>
      <c r="B2246" s="62" t="str">
        <f t="shared" si="372"/>
        <v/>
      </c>
      <c r="C2246" s="63"/>
      <c r="D2246" s="63"/>
      <c r="E2246" s="63"/>
      <c r="F2246" s="71"/>
      <c r="G2246" s="816"/>
      <c r="H2246" s="71"/>
      <c r="I2246" s="405"/>
      <c r="J2246" s="405"/>
      <c r="K2246" s="398"/>
      <c r="L2246" s="405"/>
      <c r="M2246" s="64"/>
      <c r="N2246" s="65"/>
      <c r="O2246" s="65"/>
      <c r="P2246" s="81" t="str">
        <f>IF(AND('331-CT'!$E$7=TH!H2246,OR(N2246="331",O2246="331")),"x","")</f>
        <v/>
      </c>
      <c r="Q2246" s="81" t="str">
        <f>IF(AND(B2246='111'!$L$11,OR($N2246=$Q$7,$O2246=$Q$7)),"x","")</f>
        <v/>
      </c>
      <c r="R2246" s="81" t="str">
        <f>IF(AND($N2246=$Q$7,$B2246&lt;'111'!$L$11),"x","")</f>
        <v/>
      </c>
      <c r="S2246" s="81" t="str">
        <f>IF(AND($O2246=$Q$7,$B2246&lt;'111'!$L$11),"x","")</f>
        <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row>
    <row r="2247" spans="1:30" ht="15.75" customHeight="1">
      <c r="A2247" s="327" t="str">
        <f>IF(B2247&lt;&gt;"",IF(AND(B2247='IN-TC'!$S$4,OR(TH!N2247="1111",TH!O2247="1111")),TH!D2247,""),"")</f>
        <v/>
      </c>
      <c r="B2247" s="62" t="str">
        <f t="shared" si="372"/>
        <v/>
      </c>
      <c r="C2247" s="63"/>
      <c r="D2247" s="63"/>
      <c r="E2247" s="63"/>
      <c r="F2247" s="71"/>
      <c r="G2247" s="816"/>
      <c r="H2247" s="71"/>
      <c r="I2247" s="405"/>
      <c r="J2247" s="405"/>
      <c r="K2247" s="398"/>
      <c r="L2247" s="405"/>
      <c r="M2247" s="64"/>
      <c r="N2247" s="65"/>
      <c r="O2247" s="65"/>
      <c r="P2247" s="81" t="str">
        <f>IF(AND('331-CT'!$E$7=TH!H2247,OR(N2247="331",O2247="331")),"x","")</f>
        <v/>
      </c>
      <c r="Q2247" s="81" t="str">
        <f>IF(AND(B2247='111'!$L$11,OR($N2247=$Q$7,$O2247=$Q$7)),"x","")</f>
        <v/>
      </c>
      <c r="R2247" s="81" t="str">
        <f>IF(AND($N2247=$Q$7,$B2247&lt;'111'!$L$11),"x","")</f>
        <v/>
      </c>
      <c r="S2247" s="81" t="str">
        <f>IF(AND($O2247=$Q$7,$B2247&lt;'111'!$L$11),"x","")</f>
        <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row>
    <row r="2248" spans="1:30" ht="15.75" customHeight="1">
      <c r="A2248" s="327" t="str">
        <f>IF(B2248&lt;&gt;"",IF(AND(B2248='IN-TC'!$S$4,OR(TH!N2248="1111",TH!O2248="1111")),TH!D2248,""),"")</f>
        <v/>
      </c>
      <c r="B2248" s="62" t="str">
        <f t="shared" si="372"/>
        <v/>
      </c>
      <c r="C2248" s="63"/>
      <c r="D2248" s="63"/>
      <c r="E2248" s="63"/>
      <c r="F2248" s="71"/>
      <c r="G2248" s="816"/>
      <c r="H2248" s="71"/>
      <c r="I2248" s="405"/>
      <c r="J2248" s="405"/>
      <c r="K2248" s="398"/>
      <c r="L2248" s="405"/>
      <c r="M2248" s="64"/>
      <c r="N2248" s="65"/>
      <c r="O2248" s="65"/>
      <c r="P2248" s="81" t="str">
        <f>IF(AND('331-CT'!$E$7=TH!H2248,OR(N2248="331",O2248="331")),"x","")</f>
        <v/>
      </c>
      <c r="Q2248" s="81" t="str">
        <f>IF(AND(B2248='111'!$L$11,OR($N2248=$Q$7,$O2248=$Q$7)),"x","")</f>
        <v/>
      </c>
      <c r="R2248" s="81" t="str">
        <f>IF(AND($N2248=$Q$7,$B2248&lt;'111'!$L$11),"x","")</f>
        <v/>
      </c>
      <c r="S2248" s="81" t="str">
        <f>IF(AND($O2248=$Q$7,$B2248&lt;'111'!$L$11),"x","")</f>
        <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row>
    <row r="2249" spans="1:30" ht="15.75" customHeight="1">
      <c r="A2249" s="327" t="str">
        <f>IF(B2249&lt;&gt;"",IF(AND(B2249='IN-TC'!$S$4,OR(TH!N2249="1111",TH!O2249="1111")),TH!D2249,""),"")</f>
        <v/>
      </c>
      <c r="B2249" s="62" t="str">
        <f t="shared" si="372"/>
        <v/>
      </c>
      <c r="C2249" s="63"/>
      <c r="D2249" s="63"/>
      <c r="E2249" s="63"/>
      <c r="F2249" s="71"/>
      <c r="G2249" s="816"/>
      <c r="H2249" s="71"/>
      <c r="I2249" s="405"/>
      <c r="J2249" s="405"/>
      <c r="K2249" s="398"/>
      <c r="L2249" s="405"/>
      <c r="M2249" s="64"/>
      <c r="N2249" s="65"/>
      <c r="O2249" s="65"/>
      <c r="P2249" s="81" t="str">
        <f>IF(AND('331-CT'!$E$7=TH!H2249,OR(N2249="331",O2249="331")),"x","")</f>
        <v/>
      </c>
      <c r="Q2249" s="81" t="str">
        <f>IF(AND(B2249='111'!$L$11,OR($N2249=$Q$7,$O2249=$Q$7)),"x","")</f>
        <v/>
      </c>
      <c r="R2249" s="81" t="str">
        <f>IF(AND($N2249=$Q$7,$B2249&lt;'111'!$L$11),"x","")</f>
        <v/>
      </c>
      <c r="S2249" s="81" t="str">
        <f>IF(AND($O2249=$Q$7,$B2249&lt;'111'!$L$11),"x","")</f>
        <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row>
    <row r="2250" spans="1:30" ht="15.75" customHeight="1">
      <c r="A2250" s="327" t="str">
        <f>IF(B2250&lt;&gt;"",IF(AND(B2250='IN-TC'!$S$4,OR(TH!N2250="1111",TH!O2250="1111")),TH!D2250,""),"")</f>
        <v/>
      </c>
      <c r="B2250" s="62" t="str">
        <f t="shared" si="372"/>
        <v/>
      </c>
      <c r="C2250" s="63"/>
      <c r="D2250" s="63"/>
      <c r="E2250" s="63"/>
      <c r="F2250" s="71"/>
      <c r="G2250" s="816"/>
      <c r="H2250" s="71"/>
      <c r="I2250" s="405"/>
      <c r="J2250" s="405"/>
      <c r="K2250" s="398"/>
      <c r="L2250" s="405"/>
      <c r="M2250" s="64"/>
      <c r="N2250" s="65"/>
      <c r="O2250" s="65"/>
      <c r="P2250" s="81" t="str">
        <f>IF(AND('331-CT'!$E$7=TH!H2250,OR(N2250="331",O2250="331")),"x","")</f>
        <v/>
      </c>
      <c r="Q2250" s="81" t="str">
        <f>IF(AND(B2250='111'!$L$11,OR($N2250=$Q$7,$O2250=$Q$7)),"x","")</f>
        <v/>
      </c>
      <c r="R2250" s="81" t="str">
        <f>IF(AND($N2250=$Q$7,$B2250&lt;'111'!$L$11),"x","")</f>
        <v/>
      </c>
      <c r="S2250" s="81" t="str">
        <f>IF(AND($O2250=$Q$7,$B2250&lt;'111'!$L$11),"x","")</f>
        <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row>
    <row r="2251" spans="1:30" ht="15.75" customHeight="1">
      <c r="A2251" s="327" t="str">
        <f>IF(B2251&lt;&gt;"",IF(AND(B2251='IN-TC'!$S$4,OR(TH!N2251="1111",TH!O2251="1111")),TH!D2251,""),"")</f>
        <v/>
      </c>
      <c r="B2251" s="62" t="str">
        <f t="shared" si="372"/>
        <v/>
      </c>
      <c r="C2251" s="63"/>
      <c r="D2251" s="63"/>
      <c r="E2251" s="63"/>
      <c r="F2251" s="71"/>
      <c r="G2251" s="816"/>
      <c r="H2251" s="330"/>
      <c r="I2251" s="405"/>
      <c r="J2251" s="405"/>
      <c r="K2251" s="398"/>
      <c r="L2251" s="405"/>
      <c r="M2251" s="64"/>
      <c r="N2251" s="65"/>
      <c r="O2251" s="65"/>
      <c r="P2251" s="81" t="str">
        <f>IF(AND('331-CT'!$E$7=TH!H2251,OR(N2251="331",O2251="331")),"x","")</f>
        <v/>
      </c>
      <c r="Q2251" s="81" t="str">
        <f>IF(AND(B2251='111'!$L$11,OR($N2251=$Q$7,$O2251=$Q$7)),"x","")</f>
        <v/>
      </c>
      <c r="R2251" s="81" t="str">
        <f>IF(AND($N2251=$Q$7,$B2251&lt;'111'!$L$11),"x","")</f>
        <v/>
      </c>
      <c r="S2251" s="81" t="str">
        <f>IF(AND($O2251=$Q$7,$B2251&lt;'111'!$L$11),"x","")</f>
        <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row>
    <row r="2252" spans="1:30" ht="15.75" customHeight="1">
      <c r="A2252" s="327" t="str">
        <f>IF(B2252&lt;&gt;"",IF(AND(B2252='IN-TC'!$S$4,OR(TH!N2252="1111",TH!O2252="1111")),TH!D2252,""),"")</f>
        <v/>
      </c>
      <c r="B2252" s="62" t="str">
        <f t="shared" si="372"/>
        <v/>
      </c>
      <c r="C2252" s="63"/>
      <c r="D2252" s="63"/>
      <c r="E2252" s="63"/>
      <c r="F2252" s="71"/>
      <c r="G2252" s="816"/>
      <c r="H2252" s="330"/>
      <c r="I2252" s="405"/>
      <c r="J2252" s="405"/>
      <c r="K2252" s="398"/>
      <c r="L2252" s="405"/>
      <c r="M2252" s="64"/>
      <c r="N2252" s="65"/>
      <c r="O2252" s="65"/>
      <c r="P2252" s="81" t="str">
        <f>IF(AND('331-CT'!$E$7=TH!H2252,OR(N2252="331",O2252="331")),"x","")</f>
        <v/>
      </c>
      <c r="Q2252" s="81" t="str">
        <f>IF(AND(B2252='111'!$L$11,OR($N2252=$Q$7,$O2252=$Q$7)),"x","")</f>
        <v/>
      </c>
      <c r="R2252" s="81" t="str">
        <f>IF(AND($N2252=$Q$7,$B2252&lt;'111'!$L$11),"x","")</f>
        <v/>
      </c>
      <c r="S2252" s="81" t="str">
        <f>IF(AND($O2252=$Q$7,$B2252&lt;'111'!$L$11),"x","")</f>
        <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row>
    <row r="2253" spans="1:30" ht="15.75" customHeight="1">
      <c r="A2253" s="327" t="str">
        <f>IF(B2253&lt;&gt;"",IF(AND(B2253='IN-TC'!$S$4,OR(TH!N2253="1111",TH!O2253="1111")),TH!D2253,""),"")</f>
        <v/>
      </c>
      <c r="B2253" s="62" t="str">
        <f t="shared" si="372"/>
        <v/>
      </c>
      <c r="C2253" s="63"/>
      <c r="D2253" s="63"/>
      <c r="E2253" s="63"/>
      <c r="F2253" s="71"/>
      <c r="G2253" s="816"/>
      <c r="H2253" s="330"/>
      <c r="I2253" s="405"/>
      <c r="J2253" s="405"/>
      <c r="K2253" s="398"/>
      <c r="L2253" s="405"/>
      <c r="M2253" s="64"/>
      <c r="N2253" s="65"/>
      <c r="O2253" s="65"/>
      <c r="P2253" s="81" t="str">
        <f>IF(AND('331-CT'!$E$7=TH!H2253,OR(N2253="331",O2253="331")),"x","")</f>
        <v/>
      </c>
      <c r="Q2253" s="81" t="str">
        <f>IF(AND(B2253='111'!$L$11,OR($N2253=$Q$7,$O2253=$Q$7)),"x","")</f>
        <v/>
      </c>
      <c r="R2253" s="81" t="str">
        <f>IF(AND($N2253=$Q$7,$B2253&lt;'111'!$L$11),"x","")</f>
        <v/>
      </c>
      <c r="S2253" s="81" t="str">
        <f>IF(AND($O2253=$Q$7,$B2253&lt;'111'!$L$11),"x","")</f>
        <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row>
    <row r="2254" spans="1:30" ht="15.75" customHeight="1">
      <c r="A2254" s="327" t="str">
        <f>IF(B2254&lt;&gt;"",IF(AND(B2254='IN-TC'!$S$4,OR(TH!N2254="1111",TH!O2254="1111")),TH!D2254,""),"")</f>
        <v/>
      </c>
      <c r="B2254" s="62" t="str">
        <f t="shared" si="372"/>
        <v/>
      </c>
      <c r="C2254" s="63"/>
      <c r="D2254" s="63"/>
      <c r="E2254" s="63"/>
      <c r="F2254" s="71"/>
      <c r="G2254" s="816"/>
      <c r="H2254" s="330"/>
      <c r="I2254" s="405"/>
      <c r="J2254" s="405"/>
      <c r="K2254" s="398"/>
      <c r="L2254" s="405"/>
      <c r="M2254" s="64"/>
      <c r="N2254" s="65"/>
      <c r="O2254" s="65"/>
      <c r="P2254" s="81" t="str">
        <f>IF(AND('331-CT'!$E$7=TH!H2254,OR(N2254="331",O2254="331")),"x","")</f>
        <v/>
      </c>
      <c r="Q2254" s="81" t="str">
        <f>IF(AND(B2254='111'!$L$11,OR($N2254=$Q$7,$O2254=$Q$7)),"x","")</f>
        <v/>
      </c>
      <c r="R2254" s="81" t="str">
        <f>IF(AND($N2254=$Q$7,$B2254&lt;'111'!$L$11),"x","")</f>
        <v/>
      </c>
      <c r="S2254" s="81" t="str">
        <f>IF(AND($O2254=$Q$7,$B2254&lt;'111'!$L$11),"x","")</f>
        <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row>
    <row r="2255" spans="1:30" ht="15.75" customHeight="1">
      <c r="A2255" s="327" t="str">
        <f>IF(B2255&lt;&gt;"",IF(AND(B2255='IN-TC'!$S$4,OR(TH!N2255="1111",TH!O2255="1111")),TH!D2255,""),"")</f>
        <v/>
      </c>
      <c r="B2255" s="62" t="str">
        <f t="shared" si="372"/>
        <v/>
      </c>
      <c r="C2255" s="63"/>
      <c r="D2255" s="63"/>
      <c r="E2255" s="63"/>
      <c r="F2255" s="71"/>
      <c r="G2255" s="816"/>
      <c r="H2255" s="71"/>
      <c r="I2255" s="405"/>
      <c r="J2255" s="405"/>
      <c r="K2255" s="398"/>
      <c r="L2255" s="405"/>
      <c r="M2255" s="64"/>
      <c r="N2255" s="65"/>
      <c r="O2255" s="65"/>
      <c r="P2255" s="81" t="str">
        <f>IF(AND('331-CT'!$E$7=TH!H2255,OR(N2255="331",O2255="331")),"x","")</f>
        <v/>
      </c>
      <c r="Q2255" s="81" t="str">
        <f>IF(AND(B2255='111'!$L$11,OR($N2255=$Q$7,$O2255=$Q$7)),"x","")</f>
        <v/>
      </c>
      <c r="R2255" s="81" t="str">
        <f>IF(AND($N2255=$Q$7,$B2255&lt;'111'!$L$11),"x","")</f>
        <v/>
      </c>
      <c r="S2255" s="81" t="str">
        <f>IF(AND($O2255=$Q$7,$B2255&lt;'111'!$L$11),"x","")</f>
        <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row>
    <row r="2256" spans="1:30" ht="15.75" customHeight="1">
      <c r="A2256" s="327" t="str">
        <f>IF(B2256&lt;&gt;"",IF(AND(B2256='IN-TC'!$S$4,OR(TH!N2256="1111",TH!O2256="1111")),TH!D2256,""),"")</f>
        <v/>
      </c>
      <c r="B2256" s="62" t="str">
        <f t="shared" si="372"/>
        <v/>
      </c>
      <c r="C2256" s="63"/>
      <c r="D2256" s="63"/>
      <c r="E2256" s="63"/>
      <c r="F2256" s="71"/>
      <c r="G2256" s="816"/>
      <c r="H2256" s="71"/>
      <c r="I2256" s="405"/>
      <c r="J2256" s="405"/>
      <c r="K2256" s="398"/>
      <c r="L2256" s="405"/>
      <c r="M2256" s="64"/>
      <c r="N2256" s="65"/>
      <c r="O2256" s="65"/>
      <c r="P2256" s="81" t="str">
        <f>IF(AND('331-CT'!$E$7=TH!H2256,OR(N2256="331",O2256="331")),"x","")</f>
        <v/>
      </c>
      <c r="Q2256" s="81" t="str">
        <f>IF(AND(B2256='111'!$L$11,OR($N2256=$Q$7,$O2256=$Q$7)),"x","")</f>
        <v/>
      </c>
      <c r="R2256" s="81" t="str">
        <f>IF(AND($N2256=$Q$7,$B2256&lt;'111'!$L$11),"x","")</f>
        <v/>
      </c>
      <c r="S2256" s="81" t="str">
        <f>IF(AND($O2256=$Q$7,$B2256&lt;'111'!$L$11),"x","")</f>
        <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row>
    <row r="2257" spans="1:30" ht="15.75" customHeight="1">
      <c r="A2257" s="327" t="str">
        <f>IF(B2257&lt;&gt;"",IF(AND(B2257='IN-TC'!$S$4,OR(TH!N2257="1111",TH!O2257="1111")),TH!D2257,""),"")</f>
        <v/>
      </c>
      <c r="B2257" s="62" t="str">
        <f t="shared" si="372"/>
        <v/>
      </c>
      <c r="C2257" s="63"/>
      <c r="D2257" s="63"/>
      <c r="E2257" s="63"/>
      <c r="F2257" s="71"/>
      <c r="G2257" s="816"/>
      <c r="H2257" s="71"/>
      <c r="I2257" s="405"/>
      <c r="J2257" s="405"/>
      <c r="K2257" s="398"/>
      <c r="L2257" s="405"/>
      <c r="M2257" s="64"/>
      <c r="N2257" s="65"/>
      <c r="O2257" s="65"/>
      <c r="P2257" s="81" t="str">
        <f>IF(AND('331-CT'!$E$7=TH!H2257,OR(N2257="331",O2257="331")),"x","")</f>
        <v/>
      </c>
      <c r="Q2257" s="81" t="str">
        <f>IF(AND(B2257='111'!$L$11,OR($N2257=$Q$7,$O2257=$Q$7)),"x","")</f>
        <v/>
      </c>
      <c r="R2257" s="81" t="str">
        <f>IF(AND($N2257=$Q$7,$B2257&lt;'111'!$L$11),"x","")</f>
        <v/>
      </c>
      <c r="S2257" s="81" t="str">
        <f>IF(AND($O2257=$Q$7,$B2257&lt;'111'!$L$11),"x","")</f>
        <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row>
    <row r="2258" spans="1:30" ht="15.75" customHeight="1">
      <c r="A2258" s="327" t="str">
        <f>IF(B2258&lt;&gt;"",IF(AND(B2258='IN-TC'!$S$4,OR(TH!N2258="1111",TH!O2258="1111")),TH!D2258,""),"")</f>
        <v/>
      </c>
      <c r="B2258" s="62" t="str">
        <f t="shared" si="372"/>
        <v/>
      </c>
      <c r="C2258" s="63"/>
      <c r="D2258" s="63"/>
      <c r="E2258" s="63"/>
      <c r="F2258" s="71"/>
      <c r="G2258" s="816"/>
      <c r="H2258" s="71"/>
      <c r="I2258" s="405"/>
      <c r="J2258" s="405"/>
      <c r="K2258" s="398"/>
      <c r="L2258" s="405"/>
      <c r="M2258" s="64"/>
      <c r="N2258" s="65"/>
      <c r="O2258" s="65"/>
      <c r="P2258" s="81" t="str">
        <f>IF(AND('331-CT'!$E$7=TH!H2258,OR(N2258="331",O2258="331")),"x","")</f>
        <v/>
      </c>
      <c r="Q2258" s="81" t="str">
        <f>IF(AND(B2258='111'!$L$11,OR($N2258=$Q$7,$O2258=$Q$7)),"x","")</f>
        <v/>
      </c>
      <c r="R2258" s="81" t="str">
        <f>IF(AND($N2258=$Q$7,$B2258&lt;'111'!$L$11),"x","")</f>
        <v/>
      </c>
      <c r="S2258" s="81" t="str">
        <f>IF(AND($O2258=$Q$7,$B2258&lt;'111'!$L$11),"x","")</f>
        <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row>
    <row r="2259" spans="1:30" ht="15.75" customHeight="1">
      <c r="A2259" s="327" t="str">
        <f>IF(B2259&lt;&gt;"",IF(AND(B2259='IN-TC'!$S$4,OR(TH!N2259="1111",TH!O2259="1111")),TH!D2259,""),"")</f>
        <v/>
      </c>
      <c r="B2259" s="62" t="str">
        <f t="shared" si="372"/>
        <v/>
      </c>
      <c r="C2259" s="63"/>
      <c r="D2259" s="63"/>
      <c r="E2259" s="63"/>
      <c r="F2259" s="71"/>
      <c r="G2259" s="816"/>
      <c r="H2259" s="71"/>
      <c r="I2259" s="405"/>
      <c r="J2259" s="405"/>
      <c r="K2259" s="398"/>
      <c r="L2259" s="405"/>
      <c r="M2259" s="64"/>
      <c r="N2259" s="65"/>
      <c r="O2259" s="65"/>
      <c r="P2259" s="81" t="str">
        <f>IF(AND('331-CT'!$E$7=TH!H2259,OR(N2259="331",O2259="331")),"x","")</f>
        <v/>
      </c>
      <c r="Q2259" s="81" t="str">
        <f>IF(AND(B2259='111'!$L$11,OR($N2259=$Q$7,$O2259=$Q$7)),"x","")</f>
        <v/>
      </c>
      <c r="R2259" s="81" t="str">
        <f>IF(AND($N2259=$Q$7,$B2259&lt;'111'!$L$11),"x","")</f>
        <v/>
      </c>
      <c r="S2259" s="81" t="str">
        <f>IF(AND($O2259=$Q$7,$B2259&lt;'111'!$L$11),"x","")</f>
        <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row>
    <row r="2260" spans="1:30" ht="15.75" customHeight="1">
      <c r="A2260" s="327" t="str">
        <f>IF(B2260&lt;&gt;"",IF(AND(B2260='IN-TC'!$S$4,OR(TH!N2260="1111",TH!O2260="1111")),TH!D2260,""),"")</f>
        <v/>
      </c>
      <c r="B2260" s="62" t="str">
        <f t="shared" si="372"/>
        <v/>
      </c>
      <c r="C2260" s="63"/>
      <c r="D2260" s="63"/>
      <c r="E2260" s="63"/>
      <c r="F2260" s="71"/>
      <c r="G2260" s="816"/>
      <c r="H2260" s="71"/>
      <c r="I2260" s="405"/>
      <c r="J2260" s="405"/>
      <c r="K2260" s="398"/>
      <c r="L2260" s="405"/>
      <c r="M2260" s="64"/>
      <c r="N2260" s="65"/>
      <c r="O2260" s="65"/>
      <c r="P2260" s="81" t="str">
        <f>IF(AND('331-CT'!$E$7=TH!H2260,OR(N2260="331",O2260="331")),"x","")</f>
        <v/>
      </c>
      <c r="Q2260" s="81" t="str">
        <f>IF(AND(B2260='111'!$L$11,OR($N2260=$Q$7,$O2260=$Q$7)),"x","")</f>
        <v/>
      </c>
      <c r="R2260" s="81" t="str">
        <f>IF(AND($N2260=$Q$7,$B2260&lt;'111'!$L$11),"x","")</f>
        <v/>
      </c>
      <c r="S2260" s="81" t="str">
        <f>IF(AND($O2260=$Q$7,$B2260&lt;'111'!$L$11),"x","")</f>
        <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row>
    <row r="2261" spans="1:30" ht="15.75" customHeight="1">
      <c r="A2261" s="327" t="str">
        <f>IF(B2261&lt;&gt;"",IF(AND(B2261='IN-TC'!$S$4,OR(TH!N2261="1111",TH!O2261="1111")),TH!D2261,""),"")</f>
        <v/>
      </c>
      <c r="B2261" s="62" t="str">
        <f t="shared" si="372"/>
        <v/>
      </c>
      <c r="C2261" s="63"/>
      <c r="D2261" s="63"/>
      <c r="E2261" s="63"/>
      <c r="F2261" s="71"/>
      <c r="G2261" s="816"/>
      <c r="H2261" s="71"/>
      <c r="I2261" s="405"/>
      <c r="J2261" s="405"/>
      <c r="K2261" s="398"/>
      <c r="L2261" s="405"/>
      <c r="M2261" s="64"/>
      <c r="N2261" s="65"/>
      <c r="O2261" s="65"/>
      <c r="P2261" s="81" t="str">
        <f>IF(AND('331-CT'!$E$7=TH!H2261,OR(N2261="331",O2261="331")),"x","")</f>
        <v/>
      </c>
      <c r="Q2261" s="81" t="str">
        <f>IF(AND(B2261='111'!$L$11,OR($N2261=$Q$7,$O2261=$Q$7)),"x","")</f>
        <v/>
      </c>
      <c r="R2261" s="81" t="str">
        <f>IF(AND($N2261=$Q$7,$B2261&lt;'111'!$L$11),"x","")</f>
        <v/>
      </c>
      <c r="S2261" s="81" t="str">
        <f>IF(AND($O2261=$Q$7,$B2261&lt;'111'!$L$11),"x","")</f>
        <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row>
    <row r="2262" spans="1:30" ht="15.75" customHeight="1">
      <c r="A2262" s="327" t="str">
        <f>IF(B2262&lt;&gt;"",IF(AND(B2262='IN-TC'!$S$4,OR(TH!N2262="1111",TH!O2262="1111")),TH!D2262,""),"")</f>
        <v/>
      </c>
      <c r="B2262" s="62" t="str">
        <f t="shared" si="372"/>
        <v/>
      </c>
      <c r="C2262" s="63"/>
      <c r="D2262" s="63"/>
      <c r="E2262" s="63"/>
      <c r="F2262" s="71"/>
      <c r="G2262" s="816"/>
      <c r="H2262" s="71"/>
      <c r="I2262" s="405"/>
      <c r="J2262" s="405"/>
      <c r="K2262" s="398"/>
      <c r="L2262" s="405"/>
      <c r="M2262" s="64"/>
      <c r="N2262" s="65"/>
      <c r="O2262" s="65"/>
      <c r="P2262" s="81" t="str">
        <f>IF(AND('331-CT'!$E$7=TH!H2262,OR(N2262="331",O2262="331")),"x","")</f>
        <v/>
      </c>
      <c r="Q2262" s="81" t="str">
        <f>IF(AND(B2262='111'!$L$11,OR($N2262=$Q$7,$O2262=$Q$7)),"x","")</f>
        <v/>
      </c>
      <c r="R2262" s="81" t="str">
        <f>IF(AND($N2262=$Q$7,$B2262&lt;'111'!$L$11),"x","")</f>
        <v/>
      </c>
      <c r="S2262" s="81" t="str">
        <f>IF(AND($O2262=$Q$7,$B2262&lt;'111'!$L$11),"x","")</f>
        <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row>
    <row r="2263" spans="1:30" ht="15.75" customHeight="1">
      <c r="A2263" s="327" t="str">
        <f>IF(B2263&lt;&gt;"",IF(AND(B2263='IN-TC'!$S$4,OR(TH!N2263="1111",TH!O2263="1111")),TH!D2263,""),"")</f>
        <v/>
      </c>
      <c r="B2263" s="62" t="str">
        <f t="shared" si="372"/>
        <v/>
      </c>
      <c r="C2263" s="63"/>
      <c r="D2263" s="63"/>
      <c r="E2263" s="63"/>
      <c r="F2263" s="71"/>
      <c r="G2263" s="816"/>
      <c r="H2263" s="71"/>
      <c r="I2263" s="405"/>
      <c r="J2263" s="405"/>
      <c r="K2263" s="398"/>
      <c r="L2263" s="405"/>
      <c r="M2263" s="64"/>
      <c r="N2263" s="65"/>
      <c r="O2263" s="65"/>
      <c r="P2263" s="81" t="str">
        <f>IF(AND('331-CT'!$E$7=TH!H2263,OR(N2263="331",O2263="331")),"x","")</f>
        <v/>
      </c>
      <c r="Q2263" s="81" t="str">
        <f>IF(AND(B2263='111'!$L$11,OR($N2263=$Q$7,$O2263=$Q$7)),"x","")</f>
        <v/>
      </c>
      <c r="R2263" s="81" t="str">
        <f>IF(AND($N2263=$Q$7,$B2263&lt;'111'!$L$11),"x","")</f>
        <v/>
      </c>
      <c r="S2263" s="81" t="str">
        <f>IF(AND($O2263=$Q$7,$B2263&lt;'111'!$L$11),"x","")</f>
        <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row>
    <row r="2264" spans="1:30" ht="15.75" customHeight="1">
      <c r="A2264" s="327" t="str">
        <f>IF(B2264&lt;&gt;"",IF(AND(B2264='IN-TC'!$S$4,OR(TH!N2264="1111",TH!O2264="1111")),TH!D2264,""),"")</f>
        <v/>
      </c>
      <c r="B2264" s="62" t="str">
        <f t="shared" si="372"/>
        <v/>
      </c>
      <c r="C2264" s="63"/>
      <c r="D2264" s="63"/>
      <c r="E2264" s="63"/>
      <c r="F2264" s="71"/>
      <c r="G2264" s="816"/>
      <c r="H2264" s="71"/>
      <c r="I2264" s="405"/>
      <c r="J2264" s="405"/>
      <c r="K2264" s="398"/>
      <c r="L2264" s="405"/>
      <c r="M2264" s="64"/>
      <c r="N2264" s="65"/>
      <c r="O2264" s="65"/>
      <c r="P2264" s="81" t="str">
        <f>IF(AND('331-CT'!$E$7=TH!H2264,OR(N2264="331",O2264="331")),"x","")</f>
        <v/>
      </c>
      <c r="Q2264" s="81" t="str">
        <f>IF(AND(B2264='111'!$L$11,OR($N2264=$Q$7,$O2264=$Q$7)),"x","")</f>
        <v/>
      </c>
      <c r="R2264" s="81" t="str">
        <f>IF(AND($N2264=$Q$7,$B2264&lt;'111'!$L$11),"x","")</f>
        <v/>
      </c>
      <c r="S2264" s="81" t="str">
        <f>IF(AND($O2264=$Q$7,$B2264&lt;'111'!$L$11),"x","")</f>
        <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0" ht="15.75" customHeight="1">
      <c r="A2265" s="327" t="str">
        <f>IF(B2265&lt;&gt;"",IF(AND(B2265='IN-TC'!$S$4,OR(TH!N2265="1111",TH!O2265="1111")),TH!D2265,""),"")</f>
        <v/>
      </c>
      <c r="B2265" s="62" t="str">
        <f t="shared" si="372"/>
        <v/>
      </c>
      <c r="C2265" s="63"/>
      <c r="D2265" s="63"/>
      <c r="E2265" s="63"/>
      <c r="F2265" s="71"/>
      <c r="G2265" s="816"/>
      <c r="H2265" s="71"/>
      <c r="I2265" s="405"/>
      <c r="J2265" s="405"/>
      <c r="K2265" s="398"/>
      <c r="L2265" s="405"/>
      <c r="M2265" s="64"/>
      <c r="N2265" s="65"/>
      <c r="O2265" s="65"/>
      <c r="P2265" s="81" t="str">
        <f>IF(AND('331-CT'!$E$7=TH!H2265,OR(N2265="331",O2265="331")),"x","")</f>
        <v/>
      </c>
      <c r="Q2265" s="81" t="str">
        <f>IF(AND(B2265='111'!$L$11,OR($N2265=$Q$7,$O2265=$Q$7)),"x","")</f>
        <v/>
      </c>
      <c r="R2265" s="81" t="str">
        <f>IF(AND($N2265=$Q$7,$B2265&lt;'111'!$L$11),"x","")</f>
        <v/>
      </c>
      <c r="S2265" s="81" t="str">
        <f>IF(AND($O2265=$Q$7,$B2265&lt;'111'!$L$11),"x","")</f>
        <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row>
    <row r="2266" spans="1:30" ht="15.75" customHeight="1">
      <c r="A2266" s="327" t="str">
        <f>IF(B2266&lt;&gt;"",IF(AND(B2266='IN-TC'!$S$4,OR(TH!N2266="1111",TH!O2266="1111")),TH!D2266,""),"")</f>
        <v/>
      </c>
      <c r="B2266" s="62" t="str">
        <f t="shared" si="372"/>
        <v/>
      </c>
      <c r="C2266" s="63"/>
      <c r="D2266" s="63"/>
      <c r="E2266" s="63"/>
      <c r="F2266" s="71"/>
      <c r="G2266" s="816"/>
      <c r="H2266" s="71"/>
      <c r="I2266" s="405"/>
      <c r="J2266" s="405"/>
      <c r="K2266" s="398"/>
      <c r="L2266" s="405"/>
      <c r="M2266" s="64"/>
      <c r="N2266" s="65"/>
      <c r="O2266" s="65"/>
      <c r="P2266" s="81" t="str">
        <f>IF(AND('331-CT'!$E$7=TH!H2266,OR(N2266="331",O2266="331")),"x","")</f>
        <v/>
      </c>
      <c r="Q2266" s="81" t="str">
        <f>IF(AND(B2266='111'!$L$11,OR($N2266=$Q$7,$O2266=$Q$7)),"x","")</f>
        <v/>
      </c>
      <c r="R2266" s="81" t="str">
        <f>IF(AND($N2266=$Q$7,$B2266&lt;'111'!$L$11),"x","")</f>
        <v/>
      </c>
      <c r="S2266" s="81" t="str">
        <f>IF(AND($O2266=$Q$7,$B2266&lt;'111'!$L$11),"x","")</f>
        <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row>
    <row r="2267" spans="1:30" ht="15.75" customHeight="1">
      <c r="A2267" s="327" t="str">
        <f>IF(B2267&lt;&gt;"",IF(AND(B2267='IN-TC'!$S$4,OR(TH!N2267="1111",TH!O2267="1111")),TH!D2267,""),"")</f>
        <v/>
      </c>
      <c r="B2267" s="62" t="str">
        <f t="shared" si="372"/>
        <v/>
      </c>
      <c r="C2267" s="63"/>
      <c r="D2267" s="63"/>
      <c r="E2267" s="63"/>
      <c r="F2267" s="71"/>
      <c r="G2267" s="816"/>
      <c r="H2267" s="71"/>
      <c r="I2267" s="405"/>
      <c r="J2267" s="405"/>
      <c r="K2267" s="398"/>
      <c r="L2267" s="405"/>
      <c r="M2267" s="64"/>
      <c r="N2267" s="65"/>
      <c r="O2267" s="65"/>
      <c r="P2267" s="81" t="str">
        <f>IF(AND('331-CT'!$E$7=TH!H2267,OR(N2267="331",O2267="331")),"x","")</f>
        <v/>
      </c>
      <c r="Q2267" s="81" t="str">
        <f>IF(AND(B2267='111'!$L$11,OR($N2267=$Q$7,$O2267=$Q$7)),"x","")</f>
        <v/>
      </c>
      <c r="R2267" s="81" t="str">
        <f>IF(AND($N2267=$Q$7,$B2267&lt;'111'!$L$11),"x","")</f>
        <v/>
      </c>
      <c r="S2267" s="81" t="str">
        <f>IF(AND($O2267=$Q$7,$B2267&lt;'111'!$L$11),"x","")</f>
        <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row>
    <row r="2268" spans="1:30" ht="15.75" customHeight="1">
      <c r="A2268" s="327" t="str">
        <f>IF(B2268&lt;&gt;"",IF(AND(B2268='IN-TC'!$S$4,OR(TH!N2268="1111",TH!O2268="1111")),TH!D2268,""),"")</f>
        <v/>
      </c>
      <c r="B2268" s="62" t="str">
        <f t="shared" si="372"/>
        <v/>
      </c>
      <c r="C2268" s="63"/>
      <c r="D2268" s="63"/>
      <c r="E2268" s="63"/>
      <c r="F2268" s="71"/>
      <c r="G2268" s="816"/>
      <c r="H2268" s="71"/>
      <c r="I2268" s="405"/>
      <c r="J2268" s="405"/>
      <c r="K2268" s="398"/>
      <c r="L2268" s="405"/>
      <c r="M2268" s="64"/>
      <c r="N2268" s="65"/>
      <c r="O2268" s="65"/>
      <c r="P2268" s="81" t="str">
        <f>IF(AND('331-CT'!$E$7=TH!H2268,OR(N2268="331",O2268="331")),"x","")</f>
        <v/>
      </c>
      <c r="Q2268" s="81" t="str">
        <f>IF(AND(B2268='111'!$L$11,OR($N2268=$Q$7,$O2268=$Q$7)),"x","")</f>
        <v/>
      </c>
      <c r="R2268" s="81" t="str">
        <f>IF(AND($N2268=$Q$7,$B2268&lt;'111'!$L$11),"x","")</f>
        <v/>
      </c>
      <c r="S2268" s="81" t="str">
        <f>IF(AND($O2268=$Q$7,$B2268&lt;'111'!$L$11),"x","")</f>
        <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row>
    <row r="2269" spans="1:30" ht="15.75" customHeight="1">
      <c r="A2269" s="327" t="str">
        <f>IF(B2269&lt;&gt;"",IF(AND(B2269='IN-TC'!$S$4,OR(TH!N2269="1111",TH!O2269="1111")),TH!D2269,""),"")</f>
        <v/>
      </c>
      <c r="B2269" s="62" t="str">
        <f t="shared" si="372"/>
        <v/>
      </c>
      <c r="C2269" s="63"/>
      <c r="D2269" s="63"/>
      <c r="E2269" s="63"/>
      <c r="F2269" s="71"/>
      <c r="G2269" s="816"/>
      <c r="H2269" s="71"/>
      <c r="I2269" s="405"/>
      <c r="J2269" s="405"/>
      <c r="K2269" s="398"/>
      <c r="L2269" s="405"/>
      <c r="M2269" s="64"/>
      <c r="N2269" s="65"/>
      <c r="O2269" s="65"/>
      <c r="P2269" s="81" t="str">
        <f>IF(AND('331-CT'!$E$7=TH!H2269,OR(N2269="331",O2269="331")),"x","")</f>
        <v/>
      </c>
      <c r="Q2269" s="81" t="str">
        <f>IF(AND(B2269='111'!$L$11,OR($N2269=$Q$7,$O2269=$Q$7)),"x","")</f>
        <v/>
      </c>
      <c r="R2269" s="81" t="str">
        <f>IF(AND($N2269=$Q$7,$B2269&lt;'111'!$L$11),"x","")</f>
        <v/>
      </c>
      <c r="S2269" s="81" t="str">
        <f>IF(AND($O2269=$Q$7,$B2269&lt;'111'!$L$11),"x","")</f>
        <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row>
    <row r="2270" spans="1:30" ht="15.75" customHeight="1">
      <c r="A2270" s="327" t="str">
        <f>IF(B2270&lt;&gt;"",IF(AND(B2270='IN-TC'!$S$4,OR(TH!N2270="1111",TH!O2270="1111")),TH!D2270,""),"")</f>
        <v/>
      </c>
      <c r="B2270" s="62" t="str">
        <f t="shared" si="372"/>
        <v/>
      </c>
      <c r="C2270" s="63"/>
      <c r="D2270" s="63"/>
      <c r="E2270" s="63"/>
      <c r="F2270" s="71"/>
      <c r="G2270" s="816"/>
      <c r="H2270" s="71"/>
      <c r="I2270" s="405"/>
      <c r="J2270" s="405"/>
      <c r="K2270" s="398"/>
      <c r="L2270" s="405"/>
      <c r="M2270" s="64"/>
      <c r="N2270" s="65"/>
      <c r="O2270" s="65"/>
      <c r="P2270" s="81" t="str">
        <f>IF(AND('331-CT'!$E$7=TH!H2270,OR(N2270="331",O2270="331")),"x","")</f>
        <v/>
      </c>
      <c r="Q2270" s="81" t="str">
        <f>IF(AND(B2270='111'!$L$11,OR($N2270=$Q$7,$O2270=$Q$7)),"x","")</f>
        <v/>
      </c>
      <c r="R2270" s="81" t="str">
        <f>IF(AND($N2270=$Q$7,$B2270&lt;'111'!$L$11),"x","")</f>
        <v/>
      </c>
      <c r="S2270" s="81" t="str">
        <f>IF(AND($O2270=$Q$7,$B2270&lt;'111'!$L$11),"x","")</f>
        <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row>
    <row r="2271" spans="1:30" ht="15.75" customHeight="1">
      <c r="A2271" s="327" t="str">
        <f>IF(B2271&lt;&gt;"",IF(AND(B2271='IN-TC'!$S$4,OR(TH!N2271="1111",TH!O2271="1111")),TH!D2271,""),"")</f>
        <v/>
      </c>
      <c r="B2271" s="62" t="str">
        <f t="shared" si="372"/>
        <v/>
      </c>
      <c r="C2271" s="63"/>
      <c r="D2271" s="63"/>
      <c r="E2271" s="63"/>
      <c r="F2271" s="71"/>
      <c r="G2271" s="816"/>
      <c r="H2271" s="71"/>
      <c r="I2271" s="405"/>
      <c r="J2271" s="405"/>
      <c r="K2271" s="398"/>
      <c r="L2271" s="405"/>
      <c r="M2271" s="64"/>
      <c r="N2271" s="65"/>
      <c r="O2271" s="65"/>
      <c r="P2271" s="81" t="str">
        <f>IF(AND('331-CT'!$E$7=TH!H2271,OR(N2271="331",O2271="331")),"x","")</f>
        <v/>
      </c>
      <c r="Q2271" s="81" t="str">
        <f>IF(AND(B2271='111'!$L$11,OR($N2271=$Q$7,$O2271=$Q$7)),"x","")</f>
        <v/>
      </c>
      <c r="R2271" s="81" t="str">
        <f>IF(AND($N2271=$Q$7,$B2271&lt;'111'!$L$11),"x","")</f>
        <v/>
      </c>
      <c r="S2271" s="81" t="str">
        <f>IF(AND($O2271=$Q$7,$B2271&lt;'111'!$L$11),"x","")</f>
        <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row>
    <row r="2272" spans="1:30" ht="15.75" customHeight="1">
      <c r="A2272" s="327" t="str">
        <f>IF(B2272&lt;&gt;"",IF(AND(B2272='IN-TC'!$S$4,OR(TH!N2272="1111",TH!O2272="1111")),TH!D2272,""),"")</f>
        <v/>
      </c>
      <c r="B2272" s="62" t="str">
        <f t="shared" si="372"/>
        <v/>
      </c>
      <c r="C2272" s="63"/>
      <c r="D2272" s="63"/>
      <c r="E2272" s="63"/>
      <c r="F2272" s="71"/>
      <c r="G2272" s="816"/>
      <c r="H2272" s="71"/>
      <c r="I2272" s="405"/>
      <c r="J2272" s="405"/>
      <c r="K2272" s="398"/>
      <c r="L2272" s="405"/>
      <c r="M2272" s="64"/>
      <c r="N2272" s="65"/>
      <c r="O2272" s="65"/>
      <c r="P2272" s="81" t="str">
        <f>IF(AND('331-CT'!$E$7=TH!H2272,OR(N2272="331",O2272="331")),"x","")</f>
        <v/>
      </c>
      <c r="Q2272" s="81" t="str">
        <f>IF(AND(B2272='111'!$L$11,OR($N2272=$Q$7,$O2272=$Q$7)),"x","")</f>
        <v/>
      </c>
      <c r="R2272" s="81" t="str">
        <f>IF(AND($N2272=$Q$7,$B2272&lt;'111'!$L$11),"x","")</f>
        <v/>
      </c>
      <c r="S2272" s="81" t="str">
        <f>IF(AND($O2272=$Q$7,$B2272&lt;'111'!$L$11),"x","")</f>
        <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row>
    <row r="2273" spans="1:30" ht="15.75" customHeight="1">
      <c r="A2273" s="327" t="str">
        <f>IF(B2273&lt;&gt;"",IF(AND(B2273='IN-TC'!$S$4,OR(TH!N2273="1111",TH!O2273="1111")),TH!D2273,""),"")</f>
        <v/>
      </c>
      <c r="B2273" s="62" t="str">
        <f t="shared" si="372"/>
        <v/>
      </c>
      <c r="C2273" s="63"/>
      <c r="D2273" s="63"/>
      <c r="E2273" s="63"/>
      <c r="F2273" s="71"/>
      <c r="G2273" s="816"/>
      <c r="H2273" s="71"/>
      <c r="I2273" s="405"/>
      <c r="J2273" s="405"/>
      <c r="K2273" s="398"/>
      <c r="L2273" s="405"/>
      <c r="M2273" s="64"/>
      <c r="N2273" s="65"/>
      <c r="O2273" s="65"/>
      <c r="P2273" s="81" t="str">
        <f>IF(AND('331-CT'!$E$7=TH!H2273,OR(N2273="331",O2273="331")),"x","")</f>
        <v/>
      </c>
      <c r="Q2273" s="81" t="str">
        <f>IF(AND(B2273='111'!$L$11,OR($N2273=$Q$7,$O2273=$Q$7)),"x","")</f>
        <v/>
      </c>
      <c r="R2273" s="81" t="str">
        <f>IF(AND($N2273=$Q$7,$B2273&lt;'111'!$L$11),"x","")</f>
        <v/>
      </c>
      <c r="S2273" s="81" t="str">
        <f>IF(AND($O2273=$Q$7,$B2273&lt;'111'!$L$11),"x","")</f>
        <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row>
    <row r="2274" spans="1:30" ht="15.75" customHeight="1">
      <c r="A2274" s="327" t="str">
        <f>IF(B2274&lt;&gt;"",IF(AND(B2274='IN-TC'!$S$4,OR(TH!N2274="1111",TH!O2274="1111")),TH!D2274,""),"")</f>
        <v/>
      </c>
      <c r="B2274" s="62" t="str">
        <f t="shared" si="372"/>
        <v/>
      </c>
      <c r="C2274" s="63"/>
      <c r="D2274" s="63"/>
      <c r="E2274" s="63"/>
      <c r="F2274" s="71"/>
      <c r="G2274" s="816"/>
      <c r="H2274" s="71"/>
      <c r="I2274" s="405"/>
      <c r="J2274" s="405"/>
      <c r="K2274" s="398"/>
      <c r="L2274" s="405"/>
      <c r="M2274" s="64"/>
      <c r="N2274" s="65"/>
      <c r="O2274" s="65"/>
      <c r="P2274" s="81" t="str">
        <f>IF(AND('331-CT'!$E$7=TH!H2274,OR(N2274="331",O2274="331")),"x","")</f>
        <v/>
      </c>
      <c r="Q2274" s="81" t="str">
        <f>IF(AND(B2274='111'!$L$11,OR($N2274=$Q$7,$O2274=$Q$7)),"x","")</f>
        <v/>
      </c>
      <c r="R2274" s="81" t="str">
        <f>IF(AND($N2274=$Q$7,$B2274&lt;'111'!$L$11),"x","")</f>
        <v/>
      </c>
      <c r="S2274" s="81" t="str">
        <f>IF(AND($O2274=$Q$7,$B2274&lt;'111'!$L$11),"x","")</f>
        <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row>
    <row r="2275" spans="1:30" ht="15.75" customHeight="1">
      <c r="A2275" s="327" t="str">
        <f>IF(B2275&lt;&gt;"",IF(AND(B2275='IN-TC'!$S$4,OR(TH!N2275="1111",TH!O2275="1111")),TH!D2275,""),"")</f>
        <v/>
      </c>
      <c r="B2275" s="62" t="str">
        <f t="shared" si="372"/>
        <v/>
      </c>
      <c r="C2275" s="63"/>
      <c r="D2275" s="63"/>
      <c r="E2275" s="63"/>
      <c r="F2275" s="71"/>
      <c r="G2275" s="816"/>
      <c r="H2275" s="71"/>
      <c r="I2275" s="405"/>
      <c r="J2275" s="405"/>
      <c r="K2275" s="398"/>
      <c r="L2275" s="405"/>
      <c r="M2275" s="64"/>
      <c r="N2275" s="65"/>
      <c r="O2275" s="65"/>
      <c r="P2275" s="81" t="str">
        <f>IF(AND('331-CT'!$E$7=TH!H2275,OR(N2275="331",O2275="331")),"x","")</f>
        <v/>
      </c>
      <c r="Q2275" s="81" t="str">
        <f>IF(AND(B2275='111'!$L$11,OR($N2275=$Q$7,$O2275=$Q$7)),"x","")</f>
        <v/>
      </c>
      <c r="R2275" s="81" t="str">
        <f>IF(AND($N2275=$Q$7,$B2275&lt;'111'!$L$11),"x","")</f>
        <v/>
      </c>
      <c r="S2275" s="81" t="str">
        <f>IF(AND($O2275=$Q$7,$B2275&lt;'111'!$L$11),"x","")</f>
        <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row>
    <row r="2276" spans="1:30" ht="15.75" customHeight="1">
      <c r="A2276" s="327" t="str">
        <f>IF(B2276&lt;&gt;"",IF(AND(B2276='IN-TC'!$S$4,OR(TH!N2276="1111",TH!O2276="1111")),TH!D2276,""),"")</f>
        <v/>
      </c>
      <c r="B2276" s="62" t="str">
        <f t="shared" si="372"/>
        <v/>
      </c>
      <c r="C2276" s="63"/>
      <c r="D2276" s="63"/>
      <c r="E2276" s="63"/>
      <c r="F2276" s="71"/>
      <c r="G2276" s="816"/>
      <c r="H2276" s="71"/>
      <c r="I2276" s="405"/>
      <c r="J2276" s="405"/>
      <c r="K2276" s="398"/>
      <c r="L2276" s="405"/>
      <c r="M2276" s="64"/>
      <c r="N2276" s="65"/>
      <c r="O2276" s="65"/>
      <c r="P2276" s="81" t="str">
        <f>IF(AND('331-CT'!$E$7=TH!H2276,OR(N2276="331",O2276="331")),"x","")</f>
        <v/>
      </c>
      <c r="Q2276" s="81" t="str">
        <f>IF(AND(B2276='111'!$L$11,OR($N2276=$Q$7,$O2276=$Q$7)),"x","")</f>
        <v/>
      </c>
      <c r="R2276" s="81" t="str">
        <f>IF(AND($N2276=$Q$7,$B2276&lt;'111'!$L$11),"x","")</f>
        <v/>
      </c>
      <c r="S2276" s="81" t="str">
        <f>IF(AND($O2276=$Q$7,$B2276&lt;'111'!$L$11),"x","")</f>
        <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
      </c>
      <c r="W2276" s="81" t="str">
        <f>IF(AND('341-CT'!$H$9=H2276,OR(LEFT(N2276,3)=$W$7,LEFT(O2276,3)=$W$7)),"x","")</f>
        <v/>
      </c>
      <c r="X2276" s="81" t="str">
        <f>IF(OR(TH!N2276=TH!$X$7,O2276=TH!$X$7),"x","")</f>
        <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row>
    <row r="2277" spans="1:30" ht="15.75" customHeight="1">
      <c r="A2277" s="327" t="str">
        <f>IF(B2277&lt;&gt;"",IF(AND(B2277='IN-TC'!$S$4,OR(TH!N2277="1111",TH!O2277="1111")),TH!D2277,""),"")</f>
        <v/>
      </c>
      <c r="B2277" s="62" t="str">
        <f t="shared" si="372"/>
        <v/>
      </c>
      <c r="C2277" s="63"/>
      <c r="D2277" s="63"/>
      <c r="E2277" s="63"/>
      <c r="F2277" s="71"/>
      <c r="G2277" s="816"/>
      <c r="H2277" s="71"/>
      <c r="I2277" s="405"/>
      <c r="J2277" s="405"/>
      <c r="K2277" s="398"/>
      <c r="L2277" s="405"/>
      <c r="M2277" s="64"/>
      <c r="N2277" s="65"/>
      <c r="O2277" s="65"/>
      <c r="P2277" s="81" t="str">
        <f>IF(AND('331-CT'!$E$7=TH!H2277,OR(N2277="331",O2277="331")),"x","")</f>
        <v/>
      </c>
      <c r="Q2277" s="81" t="str">
        <f>IF(AND(B2277='111'!$L$11,OR($N2277=$Q$7,$O2277=$Q$7)),"x","")</f>
        <v/>
      </c>
      <c r="R2277" s="81" t="str">
        <f>IF(AND($N2277=$Q$7,$B2277&lt;'111'!$L$11),"x","")</f>
        <v/>
      </c>
      <c r="S2277" s="81" t="str">
        <f>IF(AND($O2277=$Q$7,$B2277&lt;'111'!$L$11),"x","")</f>
        <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row>
    <row r="2278" spans="1:30" ht="15.75" customHeight="1">
      <c r="A2278" s="327" t="str">
        <f>IF(B2278&lt;&gt;"",IF(AND(B2278='IN-TC'!$S$4,OR(TH!N2278="1111",TH!O2278="1111")),TH!D2278,""),"")</f>
        <v/>
      </c>
      <c r="B2278" s="62" t="str">
        <f t="shared" si="372"/>
        <v/>
      </c>
      <c r="C2278" s="63"/>
      <c r="D2278" s="63"/>
      <c r="E2278" s="63"/>
      <c r="F2278" s="71"/>
      <c r="G2278" s="816"/>
      <c r="H2278" s="71"/>
      <c r="I2278" s="405"/>
      <c r="J2278" s="405"/>
      <c r="K2278" s="398"/>
      <c r="L2278" s="405"/>
      <c r="M2278" s="64"/>
      <c r="N2278" s="65"/>
      <c r="O2278" s="65"/>
      <c r="P2278" s="81" t="str">
        <f>IF(AND('331-CT'!$E$7=TH!H2278,OR(N2278="331",O2278="331")),"x","")</f>
        <v/>
      </c>
      <c r="Q2278" s="81" t="str">
        <f>IF(AND(B2278='111'!$L$11,OR($N2278=$Q$7,$O2278=$Q$7)),"x","")</f>
        <v/>
      </c>
      <c r="R2278" s="81" t="str">
        <f>IF(AND($N2278=$Q$7,$B2278&lt;'111'!$L$11),"x","")</f>
        <v/>
      </c>
      <c r="S2278" s="81" t="str">
        <f>IF(AND($O2278=$Q$7,$B2278&lt;'111'!$L$11),"x","")</f>
        <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row>
    <row r="2279" spans="1:30" ht="15.75" customHeight="1">
      <c r="A2279" s="327" t="str">
        <f>IF(B2279&lt;&gt;"",IF(AND(B2279='IN-TC'!$S$4,OR(TH!N2279="1111",TH!O2279="1111")),TH!D2279,""),"")</f>
        <v/>
      </c>
      <c r="B2279" s="62" t="str">
        <f t="shared" si="372"/>
        <v/>
      </c>
      <c r="C2279" s="63"/>
      <c r="D2279" s="63"/>
      <c r="E2279" s="63"/>
      <c r="F2279" s="71"/>
      <c r="G2279" s="816"/>
      <c r="H2279" s="71"/>
      <c r="I2279" s="405"/>
      <c r="J2279" s="405"/>
      <c r="K2279" s="398"/>
      <c r="L2279" s="405"/>
      <c r="M2279" s="64"/>
      <c r="N2279" s="65"/>
      <c r="O2279" s="65"/>
      <c r="P2279" s="81" t="str">
        <f>IF(AND('331-CT'!$E$7=TH!H2279,OR(N2279="331",O2279="331")),"x","")</f>
        <v/>
      </c>
      <c r="Q2279" s="81" t="str">
        <f>IF(AND(B2279='111'!$L$11,OR($N2279=$Q$7,$O2279=$Q$7)),"x","")</f>
        <v/>
      </c>
      <c r="R2279" s="81" t="str">
        <f>IF(AND($N2279=$Q$7,$B2279&lt;'111'!$L$11),"x","")</f>
        <v/>
      </c>
      <c r="S2279" s="81" t="str">
        <f>IF(AND($O2279=$Q$7,$B2279&lt;'111'!$L$11),"x","")</f>
        <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row>
    <row r="2280" spans="1:30" ht="15.75" customHeight="1">
      <c r="A2280" s="327" t="str">
        <f>IF(B2280&lt;&gt;"",IF(AND(B2280='IN-TC'!$S$4,OR(TH!N2280="1111",TH!O2280="1111")),TH!D2280,""),"")</f>
        <v/>
      </c>
      <c r="B2280" s="62" t="str">
        <f t="shared" si="372"/>
        <v/>
      </c>
      <c r="C2280" s="63"/>
      <c r="D2280" s="63"/>
      <c r="E2280" s="63"/>
      <c r="F2280" s="71"/>
      <c r="G2280" s="816"/>
      <c r="H2280" s="71"/>
      <c r="I2280" s="405"/>
      <c r="J2280" s="405"/>
      <c r="K2280" s="398"/>
      <c r="L2280" s="405"/>
      <c r="M2280" s="64"/>
      <c r="N2280" s="65"/>
      <c r="O2280" s="65"/>
      <c r="P2280" s="81" t="str">
        <f>IF(AND('331-CT'!$E$7=TH!H2280,OR(N2280="331",O2280="331")),"x","")</f>
        <v/>
      </c>
      <c r="Q2280" s="81" t="str">
        <f>IF(AND(B2280='111'!$L$11,OR($N2280=$Q$7,$O2280=$Q$7)),"x","")</f>
        <v/>
      </c>
      <c r="R2280" s="81" t="str">
        <f>IF(AND($N2280=$Q$7,$B2280&lt;'111'!$L$11),"x","")</f>
        <v/>
      </c>
      <c r="S2280" s="81" t="str">
        <f>IF(AND($O2280=$Q$7,$B2280&lt;'111'!$L$11),"x","")</f>
        <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row>
    <row r="2281" spans="1:30" ht="15.75" customHeight="1">
      <c r="A2281" s="327" t="str">
        <f>IF(B2281&lt;&gt;"",IF(AND(B2281='IN-TC'!$S$4,OR(TH!N2281="1111",TH!O2281="1111")),TH!D2281,""),"")</f>
        <v/>
      </c>
      <c r="B2281" s="62" t="str">
        <f t="shared" si="372"/>
        <v/>
      </c>
      <c r="C2281" s="63"/>
      <c r="D2281" s="63"/>
      <c r="E2281" s="63"/>
      <c r="F2281" s="71"/>
      <c r="G2281" s="816"/>
      <c r="H2281" s="71"/>
      <c r="I2281" s="405"/>
      <c r="J2281" s="405"/>
      <c r="K2281" s="398"/>
      <c r="L2281" s="405"/>
      <c r="M2281" s="64"/>
      <c r="N2281" s="65"/>
      <c r="O2281" s="65"/>
      <c r="P2281" s="81" t="str">
        <f>IF(AND('331-CT'!$E$7=TH!H2281,OR(N2281="331",O2281="331")),"x","")</f>
        <v/>
      </c>
      <c r="Q2281" s="81" t="str">
        <f>IF(AND(B2281='111'!$L$11,OR($N2281=$Q$7,$O2281=$Q$7)),"x","")</f>
        <v/>
      </c>
      <c r="R2281" s="81" t="str">
        <f>IF(AND($N2281=$Q$7,$B2281&lt;'111'!$L$11),"x","")</f>
        <v/>
      </c>
      <c r="S2281" s="81" t="str">
        <f>IF(AND($O2281=$Q$7,$B2281&lt;'111'!$L$11),"x","")</f>
        <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row>
    <row r="2282" spans="1:30" ht="15.75" customHeight="1">
      <c r="A2282" s="327" t="str">
        <f>IF(B2282&lt;&gt;"",IF(AND(B2282='IN-TC'!$S$4,OR(TH!N2282="1111",TH!O2282="1111")),TH!D2282,""),"")</f>
        <v/>
      </c>
      <c r="B2282" s="62" t="str">
        <f t="shared" si="372"/>
        <v/>
      </c>
      <c r="C2282" s="63"/>
      <c r="D2282" s="63"/>
      <c r="E2282" s="63"/>
      <c r="F2282" s="71"/>
      <c r="G2282" s="816"/>
      <c r="H2282" s="71"/>
      <c r="I2282" s="405"/>
      <c r="J2282" s="405"/>
      <c r="K2282" s="398"/>
      <c r="L2282" s="405"/>
      <c r="M2282" s="64"/>
      <c r="N2282" s="65"/>
      <c r="O2282" s="65"/>
      <c r="P2282" s="81" t="str">
        <f>IF(AND('331-CT'!$E$7=TH!H2282,OR(N2282="331",O2282="331")),"x","")</f>
        <v/>
      </c>
      <c r="Q2282" s="81" t="str">
        <f>IF(AND(B2282='111'!$L$11,OR($N2282=$Q$7,$O2282=$Q$7)),"x","")</f>
        <v/>
      </c>
      <c r="R2282" s="81" t="str">
        <f>IF(AND($N2282=$Q$7,$B2282&lt;'111'!$L$11),"x","")</f>
        <v/>
      </c>
      <c r="S2282" s="81" t="str">
        <f>IF(AND($O2282=$Q$7,$B2282&lt;'111'!$L$11),"x","")</f>
        <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row>
    <row r="2283" spans="1:30" ht="15.75" customHeight="1">
      <c r="A2283" s="327" t="str">
        <f>IF(B2283&lt;&gt;"",IF(AND(B2283='IN-TC'!$S$4,OR(TH!N2283="1111",TH!O2283="1111")),TH!D2283,""),"")</f>
        <v/>
      </c>
      <c r="B2283" s="62" t="str">
        <f t="shared" si="372"/>
        <v/>
      </c>
      <c r="C2283" s="63"/>
      <c r="D2283" s="63"/>
      <c r="E2283" s="63"/>
      <c r="F2283" s="71"/>
      <c r="G2283" s="816"/>
      <c r="H2283" s="71"/>
      <c r="I2283" s="405"/>
      <c r="J2283" s="405"/>
      <c r="K2283" s="398"/>
      <c r="L2283" s="405"/>
      <c r="M2283" s="64"/>
      <c r="N2283" s="65"/>
      <c r="O2283" s="65"/>
      <c r="P2283" s="81" t="str">
        <f>IF(AND('331-CT'!$E$7=TH!H2283,OR(N2283="331",O2283="331")),"x","")</f>
        <v/>
      </c>
      <c r="Q2283" s="81" t="str">
        <f>IF(AND(B2283='111'!$L$11,OR($N2283=$Q$7,$O2283=$Q$7)),"x","")</f>
        <v/>
      </c>
      <c r="R2283" s="81" t="str">
        <f>IF(AND($N2283=$Q$7,$B2283&lt;'111'!$L$11),"x","")</f>
        <v/>
      </c>
      <c r="S2283" s="81" t="str">
        <f>IF(AND($O2283=$Q$7,$B2283&lt;'111'!$L$11),"x","")</f>
        <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row>
    <row r="2284" spans="1:30" ht="15.75" customHeight="1">
      <c r="A2284" s="327" t="str">
        <f>IF(B2284&lt;&gt;"",IF(AND(B2284='IN-TC'!$S$4,OR(TH!N2284="1111",TH!O2284="1111")),TH!D2284,""),"")</f>
        <v/>
      </c>
      <c r="B2284" s="62" t="str">
        <f t="shared" si="372"/>
        <v/>
      </c>
      <c r="C2284" s="63"/>
      <c r="D2284" s="63"/>
      <c r="E2284" s="63"/>
      <c r="F2284" s="71"/>
      <c r="G2284" s="816"/>
      <c r="H2284" s="71"/>
      <c r="I2284" s="405"/>
      <c r="J2284" s="405"/>
      <c r="K2284" s="398"/>
      <c r="L2284" s="405"/>
      <c r="M2284" s="64"/>
      <c r="N2284" s="65"/>
      <c r="O2284" s="65"/>
      <c r="P2284" s="81" t="str">
        <f>IF(AND('331-CT'!$E$7=TH!H2284,OR(N2284="331",O2284="331")),"x","")</f>
        <v/>
      </c>
      <c r="Q2284" s="81" t="str">
        <f>IF(AND(B2284='111'!$L$11,OR($N2284=$Q$7,$O2284=$Q$7)),"x","")</f>
        <v/>
      </c>
      <c r="R2284" s="81" t="str">
        <f>IF(AND($N2284=$Q$7,$B2284&lt;'111'!$L$11),"x","")</f>
        <v/>
      </c>
      <c r="S2284" s="81" t="str">
        <f>IF(AND($O2284=$Q$7,$B2284&lt;'111'!$L$11),"x","")</f>
        <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row>
    <row r="2285" spans="1:30" ht="15.75" customHeight="1">
      <c r="A2285" s="327" t="str">
        <f>IF(B2285&lt;&gt;"",IF(AND(B2285='IN-TC'!$S$4,OR(TH!N2285="1111",TH!O2285="1111")),TH!D2285,""),"")</f>
        <v/>
      </c>
      <c r="B2285" s="62" t="str">
        <f t="shared" si="372"/>
        <v/>
      </c>
      <c r="C2285" s="63"/>
      <c r="D2285" s="63"/>
      <c r="E2285" s="63"/>
      <c r="F2285" s="71"/>
      <c r="G2285" s="816"/>
      <c r="H2285" s="71"/>
      <c r="I2285" s="405"/>
      <c r="J2285" s="405"/>
      <c r="K2285" s="398"/>
      <c r="L2285" s="405"/>
      <c r="M2285" s="64"/>
      <c r="N2285" s="65"/>
      <c r="O2285" s="65"/>
      <c r="P2285" s="81" t="str">
        <f>IF(AND('331-CT'!$E$7=TH!H2285,OR(N2285="331",O2285="331")),"x","")</f>
        <v/>
      </c>
      <c r="Q2285" s="81" t="str">
        <f>IF(AND(B2285='111'!$L$11,OR($N2285=$Q$7,$O2285=$Q$7)),"x","")</f>
        <v/>
      </c>
      <c r="R2285" s="81" t="str">
        <f>IF(AND($N2285=$Q$7,$B2285&lt;'111'!$L$11),"x","")</f>
        <v/>
      </c>
      <c r="S2285" s="81" t="str">
        <f>IF(AND($O2285=$Q$7,$B2285&lt;'111'!$L$11),"x","")</f>
        <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row>
    <row r="2286" spans="1:30" ht="15.75" customHeight="1">
      <c r="A2286" s="327" t="str">
        <f>IF(B2286&lt;&gt;"",IF(AND(B2286='IN-TC'!$S$4,OR(TH!N2286="1111",TH!O2286="1111")),TH!D2286,""),"")</f>
        <v/>
      </c>
      <c r="B2286" s="62" t="str">
        <f t="shared" ref="B2286:B2351" si="373">IF(C2286&lt;&gt;"",MONTH(C2286),"")</f>
        <v/>
      </c>
      <c r="C2286" s="63"/>
      <c r="D2286" s="63"/>
      <c r="E2286" s="63"/>
      <c r="F2286" s="71"/>
      <c r="G2286" s="816"/>
      <c r="H2286" s="71"/>
      <c r="I2286" s="405"/>
      <c r="J2286" s="405"/>
      <c r="K2286" s="398"/>
      <c r="L2286" s="405"/>
      <c r="M2286" s="64"/>
      <c r="N2286" s="65"/>
      <c r="O2286" s="65"/>
      <c r="P2286" s="81" t="str">
        <f>IF(AND('331-CT'!$E$7=TH!H2286,OR(N2286="331",O2286="331")),"x","")</f>
        <v/>
      </c>
      <c r="Q2286" s="81" t="str">
        <f>IF(AND(B2286='111'!$L$11,OR($N2286=$Q$7,$O2286=$Q$7)),"x","")</f>
        <v/>
      </c>
      <c r="R2286" s="81" t="str">
        <f>IF(AND($N2286=$Q$7,$B2286&lt;'111'!$L$11),"x","")</f>
        <v/>
      </c>
      <c r="S2286" s="81" t="str">
        <f>IF(AND($O2286=$Q$7,$B2286&lt;'111'!$L$11),"x","")</f>
        <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row>
    <row r="2287" spans="1:30" ht="15.75" customHeight="1">
      <c r="A2287" s="327" t="str">
        <f>IF(B2287&lt;&gt;"",IF(AND(B2287='IN-TC'!$S$4,OR(TH!N2287="1111",TH!O2287="1111")),TH!D2287,""),"")</f>
        <v/>
      </c>
      <c r="B2287" s="62" t="str">
        <f t="shared" si="373"/>
        <v/>
      </c>
      <c r="C2287" s="63"/>
      <c r="D2287" s="63"/>
      <c r="E2287" s="63"/>
      <c r="F2287" s="71"/>
      <c r="G2287" s="816"/>
      <c r="H2287" s="71"/>
      <c r="I2287" s="405"/>
      <c r="J2287" s="405"/>
      <c r="K2287" s="398"/>
      <c r="L2287" s="405"/>
      <c r="M2287" s="64"/>
      <c r="N2287" s="65"/>
      <c r="O2287" s="65"/>
      <c r="P2287" s="81" t="str">
        <f>IF(AND('331-CT'!$E$7=TH!H2287,OR(N2287="331",O2287="331")),"x","")</f>
        <v/>
      </c>
      <c r="Q2287" s="81" t="str">
        <f>IF(AND(B2287='111'!$L$11,OR($N2287=$Q$7,$O2287=$Q$7)),"x","")</f>
        <v/>
      </c>
      <c r="R2287" s="81" t="str">
        <f>IF(AND($N2287=$Q$7,$B2287&lt;'111'!$L$11),"x","")</f>
        <v/>
      </c>
      <c r="S2287" s="81" t="str">
        <f>IF(AND($O2287=$Q$7,$B2287&lt;'111'!$L$11),"x","")</f>
        <v/>
      </c>
      <c r="T2287" s="81" t="str">
        <f>IF(ISERROR(FIND('112'!$M$9,G2287,1)),"",IF((AND(FIND('112'!$M$9,G2287,1)&gt;=1,B2287='112'!$K$9,OR($N2287='112'!$I$6,$O2287='112'!$I$6))),"x",""))</f>
        <v/>
      </c>
      <c r="U2287" s="81" t="str">
        <f>IF(ISERROR(FIND('112'!$M$9,G2287,1)),"",IF((AND(LEFT(G2287,2)=LEFT('112'!$M$9,2),B2287&lt;'112'!$K$9,$N2287='112'!$I$6)),"x",""))</f>
        <v/>
      </c>
      <c r="V2287" s="81" t="str">
        <f>IF(ISERROR(FIND('112'!$M$9,G2287,1)),"",IF((AND(RIGHT(G2287,2)=RIGHT('112'!$M$9,2),B2287&lt;'112'!$K$9,$O2287='112'!$I$6)),"x",""))</f>
        <v/>
      </c>
      <c r="W2287" s="81" t="str">
        <f>IF(AND('341-CT'!$H$9=H2287,OR(LEFT(N2287,3)=$W$7,LEFT(O2287,3)=$W$7)),"x","")</f>
        <v/>
      </c>
      <c r="X2287" s="81" t="str">
        <f>IF(OR(TH!N2287=TH!$X$7,O2287=TH!$X$7),"x","")</f>
        <v/>
      </c>
      <c r="Y2287" s="81" t="str">
        <f>IF(AND(OR(N2287="131",O2287="131"),H2287='131-CT'!$H$9),"x","")</f>
        <v/>
      </c>
      <c r="Z2287" s="81"/>
      <c r="AA2287" s="81" t="str">
        <f>IF(AND(MONTH(E2287)='IN-NX'!$J$5,'IN-NX'!$D$7=D2287),"x","")</f>
        <v/>
      </c>
      <c r="AB2287" s="81" t="str">
        <f>IF(AND(OR(LEFT(TH!N2287,2)="15",LEFT(TH!O2287,2)="15"),LEFT(TH!O2287,3)&lt;&gt;"111",'152-CT'!$J$8=TH!F2287),"x","")</f>
        <v/>
      </c>
      <c r="AC2287" s="81" t="str">
        <f>IF(AND(OR(LEFT(TH!N2287,2)="15",LEFT(TH!O2287,2)="15"),TK!$E$7=TH!F2287),"x","")</f>
        <v/>
      </c>
      <c r="AD2287" s="81" t="str">
        <f>IF(AND(N2287="1521",MONTH(C2287)='BK-NL'!$M$11),"x","")</f>
        <v/>
      </c>
    </row>
    <row r="2288" spans="1:30" ht="15.75" customHeight="1">
      <c r="A2288" s="327" t="str">
        <f>IF(B2288&lt;&gt;"",IF(AND(B2288='IN-TC'!$S$4,OR(TH!N2288="1111",TH!O2288="1111")),TH!D2288,""),"")</f>
        <v/>
      </c>
      <c r="B2288" s="62" t="str">
        <f t="shared" si="373"/>
        <v/>
      </c>
      <c r="C2288" s="63"/>
      <c r="D2288" s="63"/>
      <c r="E2288" s="63"/>
      <c r="F2288" s="71"/>
      <c r="G2288" s="816"/>
      <c r="H2288" s="71"/>
      <c r="I2288" s="405"/>
      <c r="J2288" s="405"/>
      <c r="K2288" s="398"/>
      <c r="L2288" s="405"/>
      <c r="M2288" s="64"/>
      <c r="N2288" s="65"/>
      <c r="O2288" s="65"/>
      <c r="P2288" s="81" t="str">
        <f>IF(AND('331-CT'!$E$7=TH!H2288,OR(N2288="331",O2288="331")),"x","")</f>
        <v/>
      </c>
      <c r="Q2288" s="81" t="str">
        <f>IF(AND(B2288='111'!$L$11,OR($N2288=$Q$7,$O2288=$Q$7)),"x","")</f>
        <v/>
      </c>
      <c r="R2288" s="81" t="str">
        <f>IF(AND($N2288=$Q$7,$B2288&lt;'111'!$L$11),"x","")</f>
        <v/>
      </c>
      <c r="S2288" s="81" t="str">
        <f>IF(AND($O2288=$Q$7,$B2288&lt;'111'!$L$11),"x","")</f>
        <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row>
    <row r="2289" spans="1:30" ht="15.75" customHeight="1">
      <c r="A2289" s="327" t="str">
        <f>IF(B2289&lt;&gt;"",IF(AND(B2289='IN-TC'!$S$4,OR(TH!N2289="1111",TH!O2289="1111")),TH!D2289,""),"")</f>
        <v/>
      </c>
      <c r="B2289" s="62" t="str">
        <f t="shared" si="373"/>
        <v/>
      </c>
      <c r="C2289" s="63"/>
      <c r="D2289" s="63"/>
      <c r="E2289" s="63"/>
      <c r="F2289" s="71"/>
      <c r="G2289" s="816"/>
      <c r="H2289" s="71"/>
      <c r="I2289" s="405"/>
      <c r="J2289" s="405"/>
      <c r="K2289" s="398"/>
      <c r="L2289" s="405"/>
      <c r="M2289" s="64"/>
      <c r="N2289" s="65"/>
      <c r="O2289" s="65"/>
      <c r="P2289" s="81" t="str">
        <f>IF(AND('331-CT'!$E$7=TH!H2289,OR(N2289="331",O2289="331")),"x","")</f>
        <v/>
      </c>
      <c r="Q2289" s="81" t="str">
        <f>IF(AND(B2289='111'!$L$11,OR($N2289=$Q$7,$O2289=$Q$7)),"x","")</f>
        <v/>
      </c>
      <c r="R2289" s="81" t="str">
        <f>IF(AND($N2289=$Q$7,$B2289&lt;'111'!$L$11),"x","")</f>
        <v/>
      </c>
      <c r="S2289" s="81" t="str">
        <f>IF(AND($O2289=$Q$7,$B2289&lt;'111'!$L$11),"x","")</f>
        <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row>
    <row r="2290" spans="1:30" ht="15.75" customHeight="1">
      <c r="A2290" s="327" t="str">
        <f>IF(B2290&lt;&gt;"",IF(AND(B2290='IN-TC'!$S$4,OR(TH!N2290="1111",TH!O2290="1111")),TH!D2290,""),"")</f>
        <v/>
      </c>
      <c r="B2290" s="62" t="str">
        <f t="shared" si="373"/>
        <v/>
      </c>
      <c r="C2290" s="63"/>
      <c r="D2290" s="63"/>
      <c r="E2290" s="63"/>
      <c r="F2290" s="71"/>
      <c r="G2290" s="816"/>
      <c r="H2290" s="71"/>
      <c r="I2290" s="405"/>
      <c r="J2290" s="405"/>
      <c r="K2290" s="398"/>
      <c r="L2290" s="405"/>
      <c r="M2290" s="64"/>
      <c r="N2290" s="65"/>
      <c r="O2290" s="65"/>
      <c r="P2290" s="81" t="str">
        <f>IF(AND('331-CT'!$E$7=TH!H2290,OR(N2290="331",O2290="331")),"x","")</f>
        <v/>
      </c>
      <c r="Q2290" s="81" t="str">
        <f>IF(AND(B2290='111'!$L$11,OR($N2290=$Q$7,$O2290=$Q$7)),"x","")</f>
        <v/>
      </c>
      <c r="R2290" s="81" t="str">
        <f>IF(AND($N2290=$Q$7,$B2290&lt;'111'!$L$11),"x","")</f>
        <v/>
      </c>
      <c r="S2290" s="81" t="str">
        <f>IF(AND($O2290=$Q$7,$B2290&lt;'111'!$L$11),"x","")</f>
        <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row>
    <row r="2291" spans="1:30" ht="15.75" customHeight="1">
      <c r="A2291" s="327" t="str">
        <f>IF(B2291&lt;&gt;"",IF(AND(B2291='IN-TC'!$S$4,OR(TH!N2291="1111",TH!O2291="1111")),TH!D2291,""),"")</f>
        <v/>
      </c>
      <c r="B2291" s="62" t="str">
        <f t="shared" si="373"/>
        <v/>
      </c>
      <c r="C2291" s="63"/>
      <c r="D2291" s="63"/>
      <c r="E2291" s="63"/>
      <c r="F2291" s="71"/>
      <c r="G2291" s="816"/>
      <c r="H2291" s="71"/>
      <c r="I2291" s="405"/>
      <c r="J2291" s="405"/>
      <c r="K2291" s="398"/>
      <c r="L2291" s="405"/>
      <c r="M2291" s="64"/>
      <c r="N2291" s="65"/>
      <c r="O2291" s="65"/>
      <c r="P2291" s="81" t="str">
        <f>IF(AND('331-CT'!$E$7=TH!H2291,OR(N2291="331",O2291="331")),"x","")</f>
        <v/>
      </c>
      <c r="Q2291" s="81" t="str">
        <f>IF(AND(B2291='111'!$L$11,OR($N2291=$Q$7,$O2291=$Q$7)),"x","")</f>
        <v/>
      </c>
      <c r="R2291" s="81" t="str">
        <f>IF(AND($N2291=$Q$7,$B2291&lt;'111'!$L$11),"x","")</f>
        <v/>
      </c>
      <c r="S2291" s="81" t="str">
        <f>IF(AND($O2291=$Q$7,$B2291&lt;'111'!$L$11),"x","")</f>
        <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row>
    <row r="2292" spans="1:30" ht="15.75" customHeight="1">
      <c r="A2292" s="327" t="str">
        <f>IF(B2292&lt;&gt;"",IF(AND(B2292='IN-TC'!$S$4,OR(TH!N2292="1111",TH!O2292="1111")),TH!D2292,""),"")</f>
        <v/>
      </c>
      <c r="B2292" s="62" t="str">
        <f t="shared" si="373"/>
        <v/>
      </c>
      <c r="C2292" s="63"/>
      <c r="D2292" s="63"/>
      <c r="E2292" s="63"/>
      <c r="F2292" s="71"/>
      <c r="G2292" s="816"/>
      <c r="H2292" s="71"/>
      <c r="I2292" s="405"/>
      <c r="J2292" s="405"/>
      <c r="K2292" s="398"/>
      <c r="L2292" s="405"/>
      <c r="M2292" s="64"/>
      <c r="N2292" s="65"/>
      <c r="O2292" s="65"/>
      <c r="P2292" s="81" t="str">
        <f>IF(AND('331-CT'!$E$7=TH!H2292,OR(N2292="331",O2292="331")),"x","")</f>
        <v/>
      </c>
      <c r="Q2292" s="81" t="str">
        <f>IF(AND(B2292='111'!$L$11,OR($N2292=$Q$7,$O2292=$Q$7)),"x","")</f>
        <v/>
      </c>
      <c r="R2292" s="81" t="str">
        <f>IF(AND($N2292=$Q$7,$B2292&lt;'111'!$L$11),"x","")</f>
        <v/>
      </c>
      <c r="S2292" s="81" t="str">
        <f>IF(AND($O2292=$Q$7,$B2292&lt;'111'!$L$11),"x","")</f>
        <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row>
    <row r="2293" spans="1:30" ht="15.75" customHeight="1">
      <c r="A2293" s="327" t="str">
        <f>IF(B2293&lt;&gt;"",IF(AND(B2293='IN-TC'!$S$4,OR(TH!N2293="1111",TH!O2293="1111")),TH!D2293,""),"")</f>
        <v/>
      </c>
      <c r="B2293" s="62" t="str">
        <f t="shared" si="373"/>
        <v/>
      </c>
      <c r="C2293" s="63"/>
      <c r="D2293" s="63"/>
      <c r="E2293" s="63"/>
      <c r="F2293" s="71"/>
      <c r="G2293" s="816"/>
      <c r="H2293" s="71"/>
      <c r="I2293" s="405"/>
      <c r="J2293" s="405"/>
      <c r="K2293" s="398"/>
      <c r="L2293" s="405"/>
      <c r="M2293" s="64"/>
      <c r="N2293" s="65"/>
      <c r="O2293" s="65"/>
      <c r="P2293" s="81" t="str">
        <f>IF(AND('331-CT'!$E$7=TH!H2293,OR(N2293="331",O2293="331")),"x","")</f>
        <v/>
      </c>
      <c r="Q2293" s="81" t="str">
        <f>IF(AND(B2293='111'!$L$11,OR($N2293=$Q$7,$O2293=$Q$7)),"x","")</f>
        <v/>
      </c>
      <c r="R2293" s="81" t="str">
        <f>IF(AND($N2293=$Q$7,$B2293&lt;'111'!$L$11),"x","")</f>
        <v/>
      </c>
      <c r="S2293" s="81" t="str">
        <f>IF(AND($O2293=$Q$7,$B2293&lt;'111'!$L$11),"x","")</f>
        <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row>
    <row r="2294" spans="1:30" ht="15.75" customHeight="1">
      <c r="A2294" s="327" t="str">
        <f>IF(B2294&lt;&gt;"",IF(AND(B2294='IN-TC'!$S$4,OR(TH!N2294="1111",TH!O2294="1111")),TH!D2294,""),"")</f>
        <v/>
      </c>
      <c r="B2294" s="62" t="str">
        <f t="shared" si="373"/>
        <v/>
      </c>
      <c r="C2294" s="63"/>
      <c r="D2294" s="63"/>
      <c r="E2294" s="63"/>
      <c r="F2294" s="71"/>
      <c r="G2294" s="816"/>
      <c r="H2294" s="71"/>
      <c r="I2294" s="405"/>
      <c r="J2294" s="405"/>
      <c r="K2294" s="398"/>
      <c r="L2294" s="405"/>
      <c r="M2294" s="64"/>
      <c r="N2294" s="65"/>
      <c r="O2294" s="65"/>
      <c r="P2294" s="81" t="str">
        <f>IF(AND('331-CT'!$E$7=TH!H2294,OR(N2294="331",O2294="331")),"x","")</f>
        <v/>
      </c>
      <c r="Q2294" s="81" t="str">
        <f>IF(AND(B2294='111'!$L$11,OR($N2294=$Q$7,$O2294=$Q$7)),"x","")</f>
        <v/>
      </c>
      <c r="R2294" s="81" t="str">
        <f>IF(AND($N2294=$Q$7,$B2294&lt;'111'!$L$11),"x","")</f>
        <v/>
      </c>
      <c r="S2294" s="81" t="str">
        <f>IF(AND($O2294=$Q$7,$B2294&lt;'111'!$L$11),"x","")</f>
        <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row>
    <row r="2295" spans="1:30" ht="15.75" customHeight="1">
      <c r="A2295" s="327" t="str">
        <f>IF(B2295&lt;&gt;"",IF(AND(B2295='IN-TC'!$S$4,OR(TH!N2295="1111",TH!O2295="1111")),TH!D2295,""),"")</f>
        <v/>
      </c>
      <c r="B2295" s="62" t="str">
        <f t="shared" si="373"/>
        <v/>
      </c>
      <c r="C2295" s="63"/>
      <c r="D2295" s="63"/>
      <c r="E2295" s="63"/>
      <c r="F2295" s="71"/>
      <c r="G2295" s="816"/>
      <c r="H2295" s="71"/>
      <c r="I2295" s="405"/>
      <c r="J2295" s="405"/>
      <c r="K2295" s="398"/>
      <c r="L2295" s="405"/>
      <c r="M2295" s="64"/>
      <c r="N2295" s="65"/>
      <c r="O2295" s="65"/>
      <c r="P2295" s="81" t="str">
        <f>IF(AND('331-CT'!$E$7=TH!H2295,OR(N2295="331",O2295="331")),"x","")</f>
        <v/>
      </c>
      <c r="Q2295" s="81" t="str">
        <f>IF(AND(B2295='111'!$L$11,OR($N2295=$Q$7,$O2295=$Q$7)),"x","")</f>
        <v/>
      </c>
      <c r="R2295" s="81" t="str">
        <f>IF(AND($N2295=$Q$7,$B2295&lt;'111'!$L$11),"x","")</f>
        <v/>
      </c>
      <c r="S2295" s="81" t="str">
        <f>IF(AND($O2295=$Q$7,$B2295&lt;'111'!$L$11),"x","")</f>
        <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row>
    <row r="2296" spans="1:30" ht="15.75" customHeight="1">
      <c r="A2296" s="327" t="str">
        <f>IF(B2296&lt;&gt;"",IF(AND(B2296='IN-TC'!$S$4,OR(TH!N2296="1111",TH!O2296="1111")),TH!D2296,""),"")</f>
        <v/>
      </c>
      <c r="B2296" s="62" t="str">
        <f t="shared" si="373"/>
        <v/>
      </c>
      <c r="C2296" s="63"/>
      <c r="D2296" s="63"/>
      <c r="E2296" s="63"/>
      <c r="F2296" s="71"/>
      <c r="G2296" s="816"/>
      <c r="H2296" s="71"/>
      <c r="I2296" s="405"/>
      <c r="J2296" s="405"/>
      <c r="K2296" s="398"/>
      <c r="L2296" s="405"/>
      <c r="M2296" s="64"/>
      <c r="N2296" s="65"/>
      <c r="O2296" s="65"/>
      <c r="P2296" s="81" t="str">
        <f>IF(AND('331-CT'!$E$7=TH!H2296,OR(N2296="331",O2296="331")),"x","")</f>
        <v/>
      </c>
      <c r="Q2296" s="81" t="str">
        <f>IF(AND(B2296='111'!$L$11,OR($N2296=$Q$7,$O2296=$Q$7)),"x","")</f>
        <v/>
      </c>
      <c r="R2296" s="81" t="str">
        <f>IF(AND($N2296=$Q$7,$B2296&lt;'111'!$L$11),"x","")</f>
        <v/>
      </c>
      <c r="S2296" s="81" t="str">
        <f>IF(AND($O2296=$Q$7,$B2296&lt;'111'!$L$11),"x","")</f>
        <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row>
    <row r="2297" spans="1:30" ht="15.75" customHeight="1">
      <c r="A2297" s="327" t="str">
        <f>IF(B2297&lt;&gt;"",IF(AND(B2297='IN-TC'!$S$4,OR(TH!N2297="1111",TH!O2297="1111")),TH!D2297,""),"")</f>
        <v/>
      </c>
      <c r="B2297" s="62" t="str">
        <f t="shared" si="373"/>
        <v/>
      </c>
      <c r="C2297" s="63"/>
      <c r="D2297" s="63"/>
      <c r="E2297" s="63"/>
      <c r="F2297" s="71"/>
      <c r="G2297" s="816"/>
      <c r="H2297" s="71"/>
      <c r="I2297" s="405"/>
      <c r="J2297" s="405"/>
      <c r="K2297" s="398"/>
      <c r="L2297" s="405"/>
      <c r="M2297" s="64"/>
      <c r="N2297" s="65"/>
      <c r="O2297" s="65"/>
      <c r="P2297" s="81" t="str">
        <f>IF(AND('331-CT'!$E$7=TH!H2297,OR(N2297="331",O2297="331")),"x","")</f>
        <v/>
      </c>
      <c r="Q2297" s="81" t="str">
        <f>IF(AND(B2297='111'!$L$11,OR($N2297=$Q$7,$O2297=$Q$7)),"x","")</f>
        <v/>
      </c>
      <c r="R2297" s="81" t="str">
        <f>IF(AND($N2297=$Q$7,$B2297&lt;'111'!$L$11),"x","")</f>
        <v/>
      </c>
      <c r="S2297" s="81" t="str">
        <f>IF(AND($O2297=$Q$7,$B2297&lt;'111'!$L$11),"x","")</f>
        <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row>
    <row r="2298" spans="1:30" ht="15.75" customHeight="1">
      <c r="A2298" s="327" t="str">
        <f>IF(B2298&lt;&gt;"",IF(AND(B2298='IN-TC'!$S$4,OR(TH!N2298="1111",TH!O2298="1111")),TH!D2298,""),"")</f>
        <v/>
      </c>
      <c r="B2298" s="62" t="str">
        <f t="shared" si="373"/>
        <v/>
      </c>
      <c r="C2298" s="63"/>
      <c r="D2298" s="63"/>
      <c r="E2298" s="63"/>
      <c r="F2298" s="71"/>
      <c r="G2298" s="816"/>
      <c r="H2298" s="71"/>
      <c r="I2298" s="405"/>
      <c r="J2298" s="405"/>
      <c r="K2298" s="398"/>
      <c r="L2298" s="405"/>
      <c r="M2298" s="64"/>
      <c r="N2298" s="65"/>
      <c r="O2298" s="65"/>
      <c r="P2298" s="81" t="str">
        <f>IF(AND('331-CT'!$E$7=TH!H2298,OR(N2298="331",O2298="331")),"x","")</f>
        <v/>
      </c>
      <c r="Q2298" s="81" t="str">
        <f>IF(AND(B2298='111'!$L$11,OR($N2298=$Q$7,$O2298=$Q$7)),"x","")</f>
        <v/>
      </c>
      <c r="R2298" s="81" t="str">
        <f>IF(AND($N2298=$Q$7,$B2298&lt;'111'!$L$11),"x","")</f>
        <v/>
      </c>
      <c r="S2298" s="81" t="str">
        <f>IF(AND($O2298=$Q$7,$B2298&lt;'111'!$L$11),"x","")</f>
        <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row>
    <row r="2299" spans="1:30" ht="15.75" customHeight="1">
      <c r="A2299" s="327" t="str">
        <f>IF(B2299&lt;&gt;"",IF(AND(B2299='IN-TC'!$S$4,OR(TH!N2299="1111",TH!O2299="1111")),TH!D2299,""),"")</f>
        <v/>
      </c>
      <c r="B2299" s="62" t="str">
        <f t="shared" si="373"/>
        <v/>
      </c>
      <c r="C2299" s="63"/>
      <c r="D2299" s="63"/>
      <c r="E2299" s="63"/>
      <c r="F2299" s="71"/>
      <c r="G2299" s="816"/>
      <c r="H2299" s="71"/>
      <c r="I2299" s="405"/>
      <c r="J2299" s="405"/>
      <c r="K2299" s="398"/>
      <c r="L2299" s="405"/>
      <c r="M2299" s="64"/>
      <c r="N2299" s="65"/>
      <c r="O2299" s="65"/>
      <c r="P2299" s="81" t="str">
        <f>IF(AND('331-CT'!$E$7=TH!H2299,OR(N2299="331",O2299="331")),"x","")</f>
        <v/>
      </c>
      <c r="Q2299" s="81" t="str">
        <f>IF(AND(B2299='111'!$L$11,OR($N2299=$Q$7,$O2299=$Q$7)),"x","")</f>
        <v/>
      </c>
      <c r="R2299" s="81" t="str">
        <f>IF(AND($N2299=$Q$7,$B2299&lt;'111'!$L$11),"x","")</f>
        <v/>
      </c>
      <c r="S2299" s="81" t="str">
        <f>IF(AND($O2299=$Q$7,$B2299&lt;'111'!$L$11),"x","")</f>
        <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row>
    <row r="2300" spans="1:30" ht="15.75" customHeight="1">
      <c r="A2300" s="327" t="str">
        <f>IF(B2300&lt;&gt;"",IF(AND(B2300='IN-TC'!$S$4,OR(TH!N2300="1111",TH!O2300="1111")),TH!D2300,""),"")</f>
        <v/>
      </c>
      <c r="B2300" s="62" t="str">
        <f t="shared" si="373"/>
        <v/>
      </c>
      <c r="C2300" s="63"/>
      <c r="D2300" s="63"/>
      <c r="E2300" s="63"/>
      <c r="F2300" s="71"/>
      <c r="G2300" s="816"/>
      <c r="H2300" s="71"/>
      <c r="I2300" s="405"/>
      <c r="J2300" s="405"/>
      <c r="K2300" s="398"/>
      <c r="L2300" s="405"/>
      <c r="M2300" s="64"/>
      <c r="N2300" s="65"/>
      <c r="O2300" s="65"/>
      <c r="P2300" s="81" t="str">
        <f>IF(AND('331-CT'!$E$7=TH!H2300,OR(N2300="331",O2300="331")),"x","")</f>
        <v/>
      </c>
      <c r="Q2300" s="81" t="str">
        <f>IF(AND(B2300='111'!$L$11,OR($N2300=$Q$7,$O2300=$Q$7)),"x","")</f>
        <v/>
      </c>
      <c r="R2300" s="81" t="str">
        <f>IF(AND($N2300=$Q$7,$B2300&lt;'111'!$L$11),"x","")</f>
        <v/>
      </c>
      <c r="S2300" s="81" t="str">
        <f>IF(AND($O2300=$Q$7,$B2300&lt;'111'!$L$11),"x","")</f>
        <v/>
      </c>
      <c r="T2300" s="81" t="str">
        <f>IF(ISERROR(FIND('112'!$M$9,G2300,1)),"",IF((AND(FIND('112'!$M$9,G2300,1)&gt;=1,B2300='112'!$K$9,OR($N2300='112'!$I$6,$O2300='112'!$I$6))),"x",""))</f>
        <v/>
      </c>
      <c r="U2300" s="81" t="str">
        <f>IF(ISERROR(FIND('112'!$M$9,G2300,1)),"",IF((AND(LEFT(G2300,2)=LEFT('112'!$M$9,2),B2300&lt;'112'!$K$9,$N2300='112'!$I$6)),"x",""))</f>
        <v/>
      </c>
      <c r="V2300" s="81" t="str">
        <f>IF(ISERROR(FIND('112'!$M$9,G2300,1)),"",IF((AND(RIGHT(G2300,2)=RIGHT('112'!$M$9,2),B2300&lt;'112'!$K$9,$O2300='112'!$I$6)),"x",""))</f>
        <v/>
      </c>
      <c r="W2300" s="81" t="str">
        <f>IF(AND('341-CT'!$H$9=H2300,OR(LEFT(N2300,3)=$W$7,LEFT(O2300,3)=$W$7)),"x","")</f>
        <v/>
      </c>
      <c r="X2300" s="81" t="str">
        <f>IF(OR(TH!N2300=TH!$X$7,O2300=TH!$X$7),"x","")</f>
        <v/>
      </c>
      <c r="Y2300" s="81" t="str">
        <f>IF(AND(OR(N2300="131",O2300="131"),H2300='131-CT'!$H$9),"x","")</f>
        <v/>
      </c>
      <c r="Z2300" s="81"/>
      <c r="AA2300" s="81" t="str">
        <f>IF(AND(MONTH(E2300)='IN-NX'!$J$5,'IN-NX'!$D$7=D2300),"x","")</f>
        <v/>
      </c>
      <c r="AB2300" s="81" t="str">
        <f>IF(AND(OR(LEFT(TH!N2300,2)="15",LEFT(TH!O2300,2)="15"),LEFT(TH!O2300,3)&lt;&gt;"111",'152-CT'!$J$8=TH!F2300),"x","")</f>
        <v/>
      </c>
      <c r="AC2300" s="81" t="str">
        <f>IF(AND(OR(LEFT(TH!N2300,2)="15",LEFT(TH!O2300,2)="15"),TK!$E$7=TH!F2300),"x","")</f>
        <v/>
      </c>
      <c r="AD2300" s="81" t="str">
        <f>IF(AND(N2300="1521",MONTH(C2300)='BK-NL'!$M$11),"x","")</f>
        <v/>
      </c>
    </row>
    <row r="2301" spans="1:30" ht="15.75" customHeight="1">
      <c r="A2301" s="327" t="str">
        <f>IF(B2301&lt;&gt;"",IF(AND(B2301='IN-TC'!$S$4,OR(TH!N2301="1111",TH!O2301="1111")),TH!D2301,""),"")</f>
        <v/>
      </c>
      <c r="B2301" s="62" t="str">
        <f t="shared" si="373"/>
        <v/>
      </c>
      <c r="C2301" s="63"/>
      <c r="D2301" s="63"/>
      <c r="E2301" s="63"/>
      <c r="F2301" s="71"/>
      <c r="G2301" s="816"/>
      <c r="H2301" s="71"/>
      <c r="I2301" s="405"/>
      <c r="J2301" s="405"/>
      <c r="K2301" s="398"/>
      <c r="L2301" s="405"/>
      <c r="M2301" s="64"/>
      <c r="N2301" s="65"/>
      <c r="O2301" s="65"/>
      <c r="P2301" s="81" t="str">
        <f>IF(AND('331-CT'!$E$7=TH!H2301,OR(N2301="331",O2301="331")),"x","")</f>
        <v/>
      </c>
      <c r="Q2301" s="81" t="str">
        <f>IF(AND(B2301='111'!$L$11,OR($N2301=$Q$7,$O2301=$Q$7)),"x","")</f>
        <v/>
      </c>
      <c r="R2301" s="81" t="str">
        <f>IF(AND($N2301=$Q$7,$B2301&lt;'111'!$L$11),"x","")</f>
        <v/>
      </c>
      <c r="S2301" s="81" t="str">
        <f>IF(AND($O2301=$Q$7,$B2301&lt;'111'!$L$11),"x","")</f>
        <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row>
    <row r="2302" spans="1:30" ht="15.75" customHeight="1">
      <c r="A2302" s="327" t="str">
        <f>IF(B2302&lt;&gt;"",IF(AND(B2302='IN-TC'!$S$4,OR(TH!N2302="1111",TH!O2302="1111")),TH!D2302,""),"")</f>
        <v/>
      </c>
      <c r="B2302" s="62" t="str">
        <f t="shared" si="373"/>
        <v/>
      </c>
      <c r="C2302" s="63"/>
      <c r="D2302" s="63"/>
      <c r="E2302" s="63"/>
      <c r="F2302" s="71"/>
      <c r="G2302" s="816"/>
      <c r="H2302" s="71"/>
      <c r="I2302" s="405"/>
      <c r="J2302" s="405"/>
      <c r="K2302" s="398"/>
      <c r="L2302" s="405"/>
      <c r="M2302" s="64"/>
      <c r="N2302" s="65"/>
      <c r="O2302" s="65"/>
      <c r="P2302" s="81" t="str">
        <f>IF(AND('331-CT'!$E$7=TH!H2302,OR(N2302="331",O2302="331")),"x","")</f>
        <v/>
      </c>
      <c r="Q2302" s="81" t="str">
        <f>IF(AND(B2302='111'!$L$11,OR($N2302=$Q$7,$O2302=$Q$7)),"x","")</f>
        <v/>
      </c>
      <c r="R2302" s="81" t="str">
        <f>IF(AND($N2302=$Q$7,$B2302&lt;'111'!$L$11),"x","")</f>
        <v/>
      </c>
      <c r="S2302" s="81" t="str">
        <f>IF(AND($O2302=$Q$7,$B2302&lt;'111'!$L$11),"x","")</f>
        <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row>
    <row r="2303" spans="1:30" ht="15.75" customHeight="1">
      <c r="A2303" s="327" t="str">
        <f>IF(B2303&lt;&gt;"",IF(AND(B2303='IN-TC'!$S$4,OR(TH!N2303="1111",TH!O2303="1111")),TH!D2303,""),"")</f>
        <v/>
      </c>
      <c r="B2303" s="62" t="str">
        <f t="shared" si="373"/>
        <v/>
      </c>
      <c r="C2303" s="63"/>
      <c r="D2303" s="63"/>
      <c r="E2303" s="63"/>
      <c r="F2303" s="71"/>
      <c r="G2303" s="816"/>
      <c r="H2303" s="71"/>
      <c r="I2303" s="405"/>
      <c r="J2303" s="405"/>
      <c r="K2303" s="398"/>
      <c r="L2303" s="405"/>
      <c r="M2303" s="64"/>
      <c r="N2303" s="65"/>
      <c r="O2303" s="65"/>
      <c r="P2303" s="81" t="str">
        <f>IF(AND('331-CT'!$E$7=TH!H2303,OR(N2303="331",O2303="331")),"x","")</f>
        <v/>
      </c>
      <c r="Q2303" s="81" t="str">
        <f>IF(AND(B2303='111'!$L$11,OR($N2303=$Q$7,$O2303=$Q$7)),"x","")</f>
        <v/>
      </c>
      <c r="R2303" s="81" t="str">
        <f>IF(AND($N2303=$Q$7,$B2303&lt;'111'!$L$11),"x","")</f>
        <v/>
      </c>
      <c r="S2303" s="81" t="str">
        <f>IF(AND($O2303=$Q$7,$B2303&lt;'111'!$L$11),"x","")</f>
        <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row>
    <row r="2304" spans="1:30" ht="15.75" customHeight="1">
      <c r="A2304" s="327" t="str">
        <f>IF(B2304&lt;&gt;"",IF(AND(B2304='IN-TC'!$S$4,OR(TH!N2304="1111",TH!O2304="1111")),TH!D2304,""),"")</f>
        <v/>
      </c>
      <c r="B2304" s="62" t="str">
        <f t="shared" si="373"/>
        <v/>
      </c>
      <c r="C2304" s="63"/>
      <c r="D2304" s="63"/>
      <c r="E2304" s="63"/>
      <c r="F2304" s="71"/>
      <c r="G2304" s="816"/>
      <c r="H2304" s="71"/>
      <c r="I2304" s="405"/>
      <c r="J2304" s="405"/>
      <c r="K2304" s="398"/>
      <c r="L2304" s="405"/>
      <c r="M2304" s="64"/>
      <c r="N2304" s="65"/>
      <c r="O2304" s="65"/>
      <c r="P2304" s="81" t="str">
        <f>IF(AND('331-CT'!$E$7=TH!H2304,OR(N2304="331",O2304="331")),"x","")</f>
        <v/>
      </c>
      <c r="Q2304" s="81" t="str">
        <f>IF(AND(B2304='111'!$L$11,OR($N2304=$Q$7,$O2304=$Q$7)),"x","")</f>
        <v/>
      </c>
      <c r="R2304" s="81" t="str">
        <f>IF(AND($N2304=$Q$7,$B2304&lt;'111'!$L$11),"x","")</f>
        <v/>
      </c>
      <c r="S2304" s="81" t="str">
        <f>IF(AND($O2304=$Q$7,$B2304&lt;'111'!$L$11),"x","")</f>
        <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row>
    <row r="2305" spans="1:30" ht="15.75" customHeight="1">
      <c r="A2305" s="327" t="str">
        <f>IF(B2305&lt;&gt;"",IF(AND(B2305='IN-TC'!$S$4,OR(TH!N2305="1111",TH!O2305="1111")),TH!D2305,""),"")</f>
        <v/>
      </c>
      <c r="B2305" s="62" t="str">
        <f t="shared" si="373"/>
        <v/>
      </c>
      <c r="C2305" s="63"/>
      <c r="D2305" s="63"/>
      <c r="E2305" s="63"/>
      <c r="F2305" s="71"/>
      <c r="G2305" s="816"/>
      <c r="H2305" s="71"/>
      <c r="I2305" s="405"/>
      <c r="J2305" s="405"/>
      <c r="K2305" s="398"/>
      <c r="L2305" s="405"/>
      <c r="M2305" s="64"/>
      <c r="N2305" s="65"/>
      <c r="O2305" s="65"/>
      <c r="P2305" s="81" t="str">
        <f>IF(AND('331-CT'!$E$7=TH!H2305,OR(N2305="331",O2305="331")),"x","")</f>
        <v/>
      </c>
      <c r="Q2305" s="81" t="str">
        <f>IF(AND(B2305='111'!$L$11,OR($N2305=$Q$7,$O2305=$Q$7)),"x","")</f>
        <v/>
      </c>
      <c r="R2305" s="81" t="str">
        <f>IF(AND($N2305=$Q$7,$B2305&lt;'111'!$L$11),"x","")</f>
        <v/>
      </c>
      <c r="S2305" s="81" t="str">
        <f>IF(AND($O2305=$Q$7,$B2305&lt;'111'!$L$11),"x","")</f>
        <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row>
    <row r="2306" spans="1:30" ht="15.75" customHeight="1">
      <c r="A2306" s="327" t="str">
        <f>IF(B2306&lt;&gt;"",IF(AND(B2306='IN-TC'!$S$4,OR(TH!N2306="1111",TH!O2306="1111")),TH!D2306,""),"")</f>
        <v/>
      </c>
      <c r="B2306" s="62" t="str">
        <f t="shared" si="373"/>
        <v/>
      </c>
      <c r="C2306" s="63"/>
      <c r="D2306" s="63"/>
      <c r="E2306" s="63"/>
      <c r="F2306" s="71"/>
      <c r="G2306" s="816"/>
      <c r="H2306" s="71"/>
      <c r="I2306" s="405"/>
      <c r="J2306" s="405"/>
      <c r="K2306" s="398"/>
      <c r="L2306" s="405"/>
      <c r="M2306" s="64"/>
      <c r="N2306" s="65"/>
      <c r="O2306" s="65"/>
      <c r="P2306" s="81" t="str">
        <f>IF(AND('331-CT'!$E$7=TH!H2306,OR(N2306="331",O2306="331")),"x","")</f>
        <v/>
      </c>
      <c r="Q2306" s="81" t="str">
        <f>IF(AND(B2306='111'!$L$11,OR($N2306=$Q$7,$O2306=$Q$7)),"x","")</f>
        <v/>
      </c>
      <c r="R2306" s="81" t="str">
        <f>IF(AND($N2306=$Q$7,$B2306&lt;'111'!$L$11),"x","")</f>
        <v/>
      </c>
      <c r="S2306" s="81" t="str">
        <f>IF(AND($O2306=$Q$7,$B2306&lt;'111'!$L$11),"x","")</f>
        <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row>
    <row r="2307" spans="1:30" ht="15.75" customHeight="1">
      <c r="A2307" s="327" t="str">
        <f>IF(B2307&lt;&gt;"",IF(AND(B2307='IN-TC'!$S$4,OR(TH!N2307="1111",TH!O2307="1111")),TH!D2307,""),"")</f>
        <v/>
      </c>
      <c r="B2307" s="62" t="str">
        <f t="shared" si="373"/>
        <v/>
      </c>
      <c r="C2307" s="63"/>
      <c r="D2307" s="63"/>
      <c r="E2307" s="63"/>
      <c r="F2307" s="71"/>
      <c r="G2307" s="816"/>
      <c r="H2307" s="71"/>
      <c r="I2307" s="405"/>
      <c r="J2307" s="405"/>
      <c r="K2307" s="398"/>
      <c r="L2307" s="405"/>
      <c r="M2307" s="64"/>
      <c r="N2307" s="65"/>
      <c r="O2307" s="65"/>
      <c r="P2307" s="81" t="str">
        <f>IF(AND('331-CT'!$E$7=TH!H2307,OR(N2307="331",O2307="331")),"x","")</f>
        <v/>
      </c>
      <c r="Q2307" s="81" t="str">
        <f>IF(AND(B2307='111'!$L$11,OR($N2307=$Q$7,$O2307=$Q$7)),"x","")</f>
        <v/>
      </c>
      <c r="R2307" s="81" t="str">
        <f>IF(AND($N2307=$Q$7,$B2307&lt;'111'!$L$11),"x","")</f>
        <v/>
      </c>
      <c r="S2307" s="81" t="str">
        <f>IF(AND($O2307=$Q$7,$B2307&lt;'111'!$L$11),"x","")</f>
        <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row>
    <row r="2308" spans="1:30" ht="15.75" customHeight="1">
      <c r="A2308" s="327" t="str">
        <f>IF(B2308&lt;&gt;"",IF(AND(B2308='IN-TC'!$S$4,OR(TH!N2308="1111",TH!O2308="1111")),TH!D2308,""),"")</f>
        <v/>
      </c>
      <c r="B2308" s="62" t="str">
        <f t="shared" si="373"/>
        <v/>
      </c>
      <c r="C2308" s="63"/>
      <c r="D2308" s="63"/>
      <c r="E2308" s="63"/>
      <c r="F2308" s="71"/>
      <c r="G2308" s="816"/>
      <c r="H2308" s="71"/>
      <c r="I2308" s="405"/>
      <c r="J2308" s="405"/>
      <c r="K2308" s="398"/>
      <c r="L2308" s="405"/>
      <c r="M2308" s="64"/>
      <c r="N2308" s="65"/>
      <c r="O2308" s="65"/>
      <c r="P2308" s="81" t="str">
        <f>IF(AND('331-CT'!$E$7=TH!H2308,OR(N2308="331",O2308="331")),"x","")</f>
        <v/>
      </c>
      <c r="Q2308" s="81" t="str">
        <f>IF(AND(B2308='111'!$L$11,OR($N2308=$Q$7,$O2308=$Q$7)),"x","")</f>
        <v/>
      </c>
      <c r="R2308" s="81" t="str">
        <f>IF(AND($N2308=$Q$7,$B2308&lt;'111'!$L$11),"x","")</f>
        <v/>
      </c>
      <c r="S2308" s="81" t="str">
        <f>IF(AND($O2308=$Q$7,$B2308&lt;'111'!$L$11),"x","")</f>
        <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row>
    <row r="2309" spans="1:30" ht="15.75" customHeight="1">
      <c r="A2309" s="327" t="str">
        <f>IF(B2309&lt;&gt;"",IF(AND(B2309='IN-TC'!$S$4,OR(TH!N2309="1111",TH!O2309="1111")),TH!D2309,""),"")</f>
        <v/>
      </c>
      <c r="B2309" s="62" t="str">
        <f t="shared" si="373"/>
        <v/>
      </c>
      <c r="C2309" s="63"/>
      <c r="D2309" s="63"/>
      <c r="E2309" s="63"/>
      <c r="F2309" s="71"/>
      <c r="G2309" s="816"/>
      <c r="H2309" s="71"/>
      <c r="I2309" s="405"/>
      <c r="J2309" s="405"/>
      <c r="K2309" s="398"/>
      <c r="L2309" s="405"/>
      <c r="M2309" s="64"/>
      <c r="N2309" s="65"/>
      <c r="O2309" s="65"/>
      <c r="P2309" s="81" t="str">
        <f>IF(AND('331-CT'!$E$7=TH!H2309,OR(N2309="331",O2309="331")),"x","")</f>
        <v/>
      </c>
      <c r="Q2309" s="81" t="str">
        <f>IF(AND(B2309='111'!$L$11,OR($N2309=$Q$7,$O2309=$Q$7)),"x","")</f>
        <v/>
      </c>
      <c r="R2309" s="81" t="str">
        <f>IF(AND($N2309=$Q$7,$B2309&lt;'111'!$L$11),"x","")</f>
        <v/>
      </c>
      <c r="S2309" s="81" t="str">
        <f>IF(AND($O2309=$Q$7,$B2309&lt;'111'!$L$11),"x","")</f>
        <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row>
    <row r="2310" spans="1:30" ht="15.75" customHeight="1">
      <c r="A2310" s="998" t="str">
        <f>IF(B2310&lt;&gt;"",IF(AND(B2310='IN-TC'!$S$4,OR(TH!N2310="1111",TH!O2310="1111")),TH!D2310,""),"")</f>
        <v/>
      </c>
      <c r="B2310" s="62" t="str">
        <f t="shared" si="373"/>
        <v/>
      </c>
      <c r="C2310" s="63"/>
      <c r="D2310" s="63"/>
      <c r="E2310" s="63"/>
      <c r="F2310" s="71"/>
      <c r="G2310" s="816"/>
      <c r="H2310" s="71"/>
      <c r="I2310" s="405"/>
      <c r="J2310" s="405"/>
      <c r="K2310" s="398"/>
      <c r="L2310" s="405"/>
      <c r="M2310" s="64"/>
      <c r="N2310" s="65"/>
      <c r="O2310" s="65"/>
      <c r="P2310" s="81" t="str">
        <f>IF(AND('331-CT'!$E$7=TH!H2310,OR(N2310="331",O2310="331")),"x","")</f>
        <v/>
      </c>
      <c r="Q2310" s="81" t="str">
        <f>IF(AND(B2310='111'!$L$11,OR($N2310=$Q$7,$O2310=$Q$7)),"x","")</f>
        <v/>
      </c>
      <c r="R2310" s="81" t="str">
        <f>IF(AND($N2310=$Q$7,$B2310&lt;'111'!$L$11),"x","")</f>
        <v/>
      </c>
      <c r="S2310" s="81" t="str">
        <f>IF(AND($O2310=$Q$7,$B2310&lt;'111'!$L$11),"x","")</f>
        <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row>
    <row r="2311" spans="1:30" ht="15.75" customHeight="1">
      <c r="A2311" s="998" t="str">
        <f>IF(B2311&lt;&gt;"",IF(AND(B2311='IN-TC'!$S$4,OR(TH!N2311="1111",TH!O2311="1111")),TH!D2311,""),"")</f>
        <v/>
      </c>
      <c r="B2311" s="62" t="str">
        <f t="shared" si="373"/>
        <v/>
      </c>
      <c r="C2311" s="63"/>
      <c r="D2311" s="63"/>
      <c r="E2311" s="63"/>
      <c r="F2311" s="71"/>
      <c r="G2311" s="816"/>
      <c r="H2311" s="71"/>
      <c r="I2311" s="405"/>
      <c r="J2311" s="405"/>
      <c r="K2311" s="398"/>
      <c r="L2311" s="405"/>
      <c r="M2311" s="64"/>
      <c r="N2311" s="65"/>
      <c r="O2311" s="65"/>
      <c r="P2311" s="81" t="str">
        <f>IF(AND('331-CT'!$E$7=TH!H2311,OR(N2311="331",O2311="331")),"x","")</f>
        <v/>
      </c>
      <c r="Q2311" s="81" t="str">
        <f>IF(AND(B2311='111'!$L$11,OR($N2311=$Q$7,$O2311=$Q$7)),"x","")</f>
        <v/>
      </c>
      <c r="R2311" s="81" t="str">
        <f>IF(AND($N2311=$Q$7,$B2311&lt;'111'!$L$11),"x","")</f>
        <v/>
      </c>
      <c r="S2311" s="81" t="str">
        <f>IF(AND($O2311=$Q$7,$B2311&lt;'111'!$L$11),"x","")</f>
        <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row>
    <row r="2312" spans="1:30" ht="15.75" customHeight="1">
      <c r="A2312" s="998" t="str">
        <f>IF(B2312&lt;&gt;"",IF(AND(B2312='IN-TC'!$S$4,OR(TH!N2312="1111",TH!O2312="1111")),TH!D2312,""),"")</f>
        <v/>
      </c>
      <c r="B2312" s="62" t="str">
        <f t="shared" si="373"/>
        <v/>
      </c>
      <c r="C2312" s="63"/>
      <c r="D2312" s="63"/>
      <c r="E2312" s="63"/>
      <c r="F2312" s="71"/>
      <c r="G2312" s="816"/>
      <c r="H2312" s="71"/>
      <c r="I2312" s="405"/>
      <c r="J2312" s="405"/>
      <c r="K2312" s="398"/>
      <c r="L2312" s="405"/>
      <c r="M2312" s="64"/>
      <c r="N2312" s="65"/>
      <c r="O2312" s="65"/>
      <c r="P2312" s="81" t="str">
        <f>IF(AND('331-CT'!$E$7=TH!H2312,OR(N2312="331",O2312="331")),"x","")</f>
        <v/>
      </c>
      <c r="Q2312" s="81" t="str">
        <f>IF(AND(B2312='111'!$L$11,OR($N2312=$Q$7,$O2312=$Q$7)),"x","")</f>
        <v/>
      </c>
      <c r="R2312" s="81" t="str">
        <f>IF(AND($N2312=$Q$7,$B2312&lt;'111'!$L$11),"x","")</f>
        <v/>
      </c>
      <c r="S2312" s="81" t="str">
        <f>IF(AND($O2312=$Q$7,$B2312&lt;'111'!$L$11),"x","")</f>
        <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row>
    <row r="2313" spans="1:30" ht="15.75" customHeight="1">
      <c r="A2313" s="998" t="str">
        <f>IF(B2313&lt;&gt;"",IF(AND(B2313='IN-TC'!$S$4,OR(TH!N2313="1111",TH!O2313="1111")),TH!D2313,""),"")</f>
        <v/>
      </c>
      <c r="B2313" s="62" t="str">
        <f t="shared" si="373"/>
        <v/>
      </c>
      <c r="C2313" s="63"/>
      <c r="D2313" s="63"/>
      <c r="E2313" s="63"/>
      <c r="F2313" s="71"/>
      <c r="G2313" s="816"/>
      <c r="H2313" s="71"/>
      <c r="I2313" s="405"/>
      <c r="J2313" s="405"/>
      <c r="K2313" s="398"/>
      <c r="L2313" s="405"/>
      <c r="M2313" s="64"/>
      <c r="N2313" s="65"/>
      <c r="O2313" s="65"/>
      <c r="P2313" s="81" t="str">
        <f>IF(AND('331-CT'!$E$7=TH!H2313,OR(N2313="331",O2313="331")),"x","")</f>
        <v/>
      </c>
      <c r="Q2313" s="81" t="str">
        <f>IF(AND(B2313='111'!$L$11,OR($N2313=$Q$7,$O2313=$Q$7)),"x","")</f>
        <v/>
      </c>
      <c r="R2313" s="81" t="str">
        <f>IF(AND($N2313=$Q$7,$B2313&lt;'111'!$L$11),"x","")</f>
        <v/>
      </c>
      <c r="S2313" s="81" t="str">
        <f>IF(AND($O2313=$Q$7,$B2313&lt;'111'!$L$11),"x","")</f>
        <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row>
    <row r="2314" spans="1:30" ht="15.75" customHeight="1">
      <c r="A2314" s="327" t="str">
        <f>IF(B2314&lt;&gt;"",IF(AND(B2314='IN-TC'!$S$4,OR(TH!N2314="1111",TH!O2314="1111")),TH!D2314,""),"")</f>
        <v/>
      </c>
      <c r="B2314" s="62" t="str">
        <f t="shared" si="373"/>
        <v/>
      </c>
      <c r="C2314" s="63"/>
      <c r="D2314" s="63"/>
      <c r="E2314" s="63"/>
      <c r="F2314" s="71"/>
      <c r="G2314" s="816"/>
      <c r="H2314" s="71"/>
      <c r="I2314" s="405"/>
      <c r="J2314" s="405"/>
      <c r="K2314" s="398"/>
      <c r="L2314" s="405"/>
      <c r="M2314" s="64"/>
      <c r="N2314" s="65"/>
      <c r="O2314" s="65"/>
      <c r="P2314" s="81" t="str">
        <f>IF(AND('331-CT'!$E$7=TH!H2314,OR(N2314="331",O2314="331")),"x","")</f>
        <v/>
      </c>
      <c r="Q2314" s="81" t="str">
        <f>IF(AND(B2314='111'!$L$11,OR($N2314=$Q$7,$O2314=$Q$7)),"x","")</f>
        <v/>
      </c>
      <c r="R2314" s="81" t="str">
        <f>IF(AND($N2314=$Q$7,$B2314&lt;'111'!$L$11),"x","")</f>
        <v/>
      </c>
      <c r="S2314" s="81" t="str">
        <f>IF(AND($O2314=$Q$7,$B2314&lt;'111'!$L$11),"x","")</f>
        <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row>
    <row r="2315" spans="1:30" ht="15.75" customHeight="1">
      <c r="A2315" s="327" t="str">
        <f>IF(B2315&lt;&gt;"",IF(AND(B2315='IN-TC'!$S$4,OR(TH!N2315="1111",TH!O2315="1111")),TH!D2315,""),"")</f>
        <v/>
      </c>
      <c r="B2315" s="62" t="str">
        <f t="shared" si="373"/>
        <v/>
      </c>
      <c r="C2315" s="63"/>
      <c r="D2315" s="63"/>
      <c r="E2315" s="63"/>
      <c r="F2315" s="71"/>
      <c r="G2315" s="816"/>
      <c r="H2315" s="71"/>
      <c r="I2315" s="405"/>
      <c r="J2315" s="405"/>
      <c r="K2315" s="398"/>
      <c r="L2315" s="405"/>
      <c r="M2315" s="64"/>
      <c r="N2315" s="65"/>
      <c r="O2315" s="65"/>
      <c r="P2315" s="81" t="str">
        <f>IF(AND('331-CT'!$E$7=TH!H2315,OR(N2315="331",O2315="331")),"x","")</f>
        <v/>
      </c>
      <c r="Q2315" s="81" t="str">
        <f>IF(AND(B2315='111'!$L$11,OR($N2315=$Q$7,$O2315=$Q$7)),"x","")</f>
        <v/>
      </c>
      <c r="R2315" s="81" t="str">
        <f>IF(AND($N2315=$Q$7,$B2315&lt;'111'!$L$11),"x","")</f>
        <v/>
      </c>
      <c r="S2315" s="81" t="str">
        <f>IF(AND($O2315=$Q$7,$B2315&lt;'111'!$L$11),"x","")</f>
        <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row>
    <row r="2316" spans="1:30" ht="15.75" customHeight="1">
      <c r="A2316" s="327" t="str">
        <f>IF(B2316&lt;&gt;"",IF(AND(B2316='IN-TC'!$S$4,OR(TH!N2316="1111",TH!O2316="1111")),TH!D2316,""),"")</f>
        <v/>
      </c>
      <c r="B2316" s="62" t="str">
        <f t="shared" si="373"/>
        <v/>
      </c>
      <c r="C2316" s="63"/>
      <c r="D2316" s="63"/>
      <c r="E2316" s="63"/>
      <c r="F2316" s="71"/>
      <c r="G2316" s="816"/>
      <c r="H2316" s="71"/>
      <c r="I2316" s="405"/>
      <c r="J2316" s="405"/>
      <c r="K2316" s="398"/>
      <c r="L2316" s="405"/>
      <c r="M2316" s="64"/>
      <c r="N2316" s="65"/>
      <c r="O2316" s="65"/>
      <c r="P2316" s="81" t="str">
        <f>IF(AND('331-CT'!$E$7=TH!H2316,OR(N2316="331",O2316="331")),"x","")</f>
        <v/>
      </c>
      <c r="Q2316" s="81" t="str">
        <f>IF(AND(B2316='111'!$L$11,OR($N2316=$Q$7,$O2316=$Q$7)),"x","")</f>
        <v/>
      </c>
      <c r="R2316" s="81" t="str">
        <f>IF(AND($N2316=$Q$7,$B2316&lt;'111'!$L$11),"x","")</f>
        <v/>
      </c>
      <c r="S2316" s="81" t="str">
        <f>IF(AND($O2316=$Q$7,$B2316&lt;'111'!$L$11),"x","")</f>
        <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row>
    <row r="2317" spans="1:30" ht="15.75" customHeight="1">
      <c r="A2317" s="327" t="str">
        <f>IF(B2317&lt;&gt;"",IF(AND(B2317='IN-TC'!$S$4,OR(TH!N2317="1111",TH!O2317="1111")),TH!D2317,""),"")</f>
        <v/>
      </c>
      <c r="B2317" s="62" t="str">
        <f t="shared" si="373"/>
        <v/>
      </c>
      <c r="C2317" s="63"/>
      <c r="D2317" s="63"/>
      <c r="E2317" s="63"/>
      <c r="F2317" s="71"/>
      <c r="G2317" s="816"/>
      <c r="H2317" s="71"/>
      <c r="I2317" s="405"/>
      <c r="J2317" s="405"/>
      <c r="K2317" s="398"/>
      <c r="L2317" s="405"/>
      <c r="M2317" s="64"/>
      <c r="N2317" s="65"/>
      <c r="O2317" s="65"/>
      <c r="P2317" s="81" t="str">
        <f>IF(AND('331-CT'!$E$7=TH!H2317,OR(N2317="331",O2317="331")),"x","")</f>
        <v/>
      </c>
      <c r="Q2317" s="81" t="str">
        <f>IF(AND(B2317='111'!$L$11,OR($N2317=$Q$7,$O2317=$Q$7)),"x","")</f>
        <v/>
      </c>
      <c r="R2317" s="81" t="str">
        <f>IF(AND($N2317=$Q$7,$B2317&lt;'111'!$L$11),"x","")</f>
        <v/>
      </c>
      <c r="S2317" s="81" t="str">
        <f>IF(AND($O2317=$Q$7,$B2317&lt;'111'!$L$11),"x","")</f>
        <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row>
    <row r="2318" spans="1:30" ht="15.75" customHeight="1">
      <c r="A2318" s="327" t="str">
        <f>IF(B2318&lt;&gt;"",IF(AND(B2318='IN-TC'!$S$4,OR(TH!N2318="1111",TH!O2318="1111")),TH!D2318,""),"")</f>
        <v/>
      </c>
      <c r="B2318" s="62" t="str">
        <f t="shared" si="373"/>
        <v/>
      </c>
      <c r="C2318" s="63"/>
      <c r="D2318" s="63"/>
      <c r="E2318" s="63"/>
      <c r="F2318" s="71"/>
      <c r="G2318" s="816"/>
      <c r="H2318" s="71"/>
      <c r="I2318" s="405"/>
      <c r="J2318" s="405"/>
      <c r="K2318" s="398"/>
      <c r="L2318" s="405"/>
      <c r="M2318" s="64"/>
      <c r="N2318" s="65"/>
      <c r="O2318" s="65"/>
      <c r="P2318" s="81" t="str">
        <f>IF(AND('331-CT'!$E$7=TH!H2318,OR(N2318="331",O2318="331")),"x","")</f>
        <v/>
      </c>
      <c r="Q2318" s="81" t="str">
        <f>IF(AND(B2318='111'!$L$11,OR($N2318=$Q$7,$O2318=$Q$7)),"x","")</f>
        <v/>
      </c>
      <c r="R2318" s="81" t="str">
        <f>IF(AND($N2318=$Q$7,$B2318&lt;'111'!$L$11),"x","")</f>
        <v/>
      </c>
      <c r="S2318" s="81" t="str">
        <f>IF(AND($O2318=$Q$7,$B2318&lt;'111'!$L$11),"x","")</f>
        <v/>
      </c>
      <c r="T2318" s="81" t="str">
        <f>IF(ISERROR(FIND('112'!$M$9,G2318,1)),"",IF((AND(FIND('112'!$M$9,G2318,1)&gt;=1,B2318='112'!$K$9,OR($N2318='112'!$I$6,$O2318='112'!$I$6))),"x",""))</f>
        <v/>
      </c>
      <c r="U2318" s="81" t="str">
        <f>IF(ISERROR(FIND('112'!$M$9,G2318,1)),"",IF((AND(LEFT(G2318,2)=LEFT('112'!$M$9,2),B2318&lt;'112'!$K$9,$N2318='112'!$I$6)),"x",""))</f>
        <v/>
      </c>
      <c r="V2318" s="81" t="str">
        <f>IF(ISERROR(FIND('112'!$M$9,G2318,1)),"",IF((AND(RIGHT(G2318,2)=RIGHT('112'!$M$9,2),B2318&lt;'112'!$K$9,$O2318='112'!$I$6)),"x",""))</f>
        <v/>
      </c>
      <c r="W2318" s="81" t="str">
        <f>IF(AND('341-CT'!$H$9=H2318,OR(LEFT(N2318,3)=$W$7,LEFT(O2318,3)=$W$7)),"x","")</f>
        <v/>
      </c>
      <c r="X2318" s="81" t="str">
        <f>IF(OR(TH!N2318=TH!$X$7,O2318=TH!$X$7),"x","")</f>
        <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row>
    <row r="2319" spans="1:30" ht="15.75" customHeight="1">
      <c r="A2319" s="327" t="str">
        <f>IF(B2319&lt;&gt;"",IF(AND(B2319='IN-TC'!$S$4,OR(TH!N2319="1111",TH!O2319="1111")),TH!D2319,""),"")</f>
        <v/>
      </c>
      <c r="B2319" s="62" t="str">
        <f t="shared" si="373"/>
        <v/>
      </c>
      <c r="C2319" s="63"/>
      <c r="D2319" s="63"/>
      <c r="E2319" s="63"/>
      <c r="F2319" s="71"/>
      <c r="G2319" s="816"/>
      <c r="H2319" s="71"/>
      <c r="I2319" s="405"/>
      <c r="J2319" s="405"/>
      <c r="K2319" s="398"/>
      <c r="L2319" s="405"/>
      <c r="M2319" s="64"/>
      <c r="N2319" s="65"/>
      <c r="O2319" s="65"/>
      <c r="P2319" s="81" t="str">
        <f>IF(AND('331-CT'!$E$7=TH!H2319,OR(N2319="331",O2319="331")),"x","")</f>
        <v/>
      </c>
      <c r="Q2319" s="81" t="str">
        <f>IF(AND(B2319='111'!$L$11,OR($N2319=$Q$7,$O2319=$Q$7)),"x","")</f>
        <v/>
      </c>
      <c r="R2319" s="81" t="str">
        <f>IF(AND($N2319=$Q$7,$B2319&lt;'111'!$L$11),"x","")</f>
        <v/>
      </c>
      <c r="S2319" s="81" t="str">
        <f>IF(AND($O2319=$Q$7,$B2319&lt;'111'!$L$11),"x","")</f>
        <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row>
    <row r="2320" spans="1:30" ht="15.75" customHeight="1">
      <c r="A2320" s="327" t="str">
        <f>IF(B2320&lt;&gt;"",IF(AND(B2320='IN-TC'!$S$4,OR(TH!N2320="1111",TH!O2320="1111")),TH!D2320,""),"")</f>
        <v/>
      </c>
      <c r="B2320" s="62" t="str">
        <f t="shared" si="373"/>
        <v/>
      </c>
      <c r="C2320" s="63"/>
      <c r="D2320" s="63"/>
      <c r="E2320" s="63"/>
      <c r="F2320" s="71"/>
      <c r="G2320" s="816"/>
      <c r="H2320" s="71"/>
      <c r="I2320" s="405"/>
      <c r="J2320" s="405"/>
      <c r="K2320" s="398"/>
      <c r="L2320" s="405"/>
      <c r="M2320" s="64"/>
      <c r="N2320" s="65"/>
      <c r="O2320" s="65"/>
      <c r="P2320" s="81" t="str">
        <f>IF(AND('331-CT'!$E$7=TH!H2320,OR(N2320="331",O2320="331")),"x","")</f>
        <v/>
      </c>
      <c r="Q2320" s="81" t="str">
        <f>IF(AND(B2320='111'!$L$11,OR($N2320=$Q$7,$O2320=$Q$7)),"x","")</f>
        <v/>
      </c>
      <c r="R2320" s="81" t="str">
        <f>IF(AND($N2320=$Q$7,$B2320&lt;'111'!$L$11),"x","")</f>
        <v/>
      </c>
      <c r="S2320" s="81" t="str">
        <f>IF(AND($O2320=$Q$7,$B2320&lt;'111'!$L$11),"x","")</f>
        <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row>
    <row r="2321" spans="1:30" ht="15.75" customHeight="1">
      <c r="A2321" s="327" t="str">
        <f>IF(B2321&lt;&gt;"",IF(AND(B2321='IN-TC'!$S$4,OR(TH!N2321="1111",TH!O2321="1111")),TH!D2321,""),"")</f>
        <v/>
      </c>
      <c r="B2321" s="62" t="str">
        <f t="shared" si="373"/>
        <v/>
      </c>
      <c r="C2321" s="63"/>
      <c r="D2321" s="63"/>
      <c r="E2321" s="63"/>
      <c r="F2321" s="71"/>
      <c r="G2321" s="816"/>
      <c r="H2321" s="71"/>
      <c r="I2321" s="405"/>
      <c r="J2321" s="405"/>
      <c r="K2321" s="398"/>
      <c r="L2321" s="405"/>
      <c r="M2321" s="64"/>
      <c r="N2321" s="65"/>
      <c r="O2321" s="65"/>
      <c r="P2321" s="81" t="str">
        <f>IF(AND('331-CT'!$E$7=TH!H2321,OR(N2321="331",O2321="331")),"x","")</f>
        <v/>
      </c>
      <c r="Q2321" s="81" t="str">
        <f>IF(AND(B2321='111'!$L$11,OR($N2321=$Q$7,$O2321=$Q$7)),"x","")</f>
        <v/>
      </c>
      <c r="R2321" s="81" t="str">
        <f>IF(AND($N2321=$Q$7,$B2321&lt;'111'!$L$11),"x","")</f>
        <v/>
      </c>
      <c r="S2321" s="81" t="str">
        <f>IF(AND($O2321=$Q$7,$B2321&lt;'111'!$L$11),"x","")</f>
        <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row>
    <row r="2322" spans="1:30" ht="15.75" customHeight="1">
      <c r="A2322" s="327" t="str">
        <f>IF(B2322&lt;&gt;"",IF(AND(B2322='IN-TC'!$S$4,OR(TH!N2322="1111",TH!O2322="1111")),TH!D2322,""),"")</f>
        <v/>
      </c>
      <c r="B2322" s="62" t="str">
        <f t="shared" si="373"/>
        <v/>
      </c>
      <c r="C2322" s="63"/>
      <c r="D2322" s="63"/>
      <c r="E2322" s="63"/>
      <c r="F2322" s="71"/>
      <c r="G2322" s="816"/>
      <c r="H2322" s="71"/>
      <c r="I2322" s="405"/>
      <c r="J2322" s="405"/>
      <c r="K2322" s="398"/>
      <c r="L2322" s="405"/>
      <c r="M2322" s="64"/>
      <c r="N2322" s="65"/>
      <c r="O2322" s="65"/>
      <c r="P2322" s="81" t="str">
        <f>IF(AND('331-CT'!$E$7=TH!H2322,OR(N2322="331",O2322="331")),"x","")</f>
        <v/>
      </c>
      <c r="Q2322" s="81" t="str">
        <f>IF(AND(B2322='111'!$L$11,OR($N2322=$Q$7,$O2322=$Q$7)),"x","")</f>
        <v/>
      </c>
      <c r="R2322" s="81" t="str">
        <f>IF(AND($N2322=$Q$7,$B2322&lt;'111'!$L$11),"x","")</f>
        <v/>
      </c>
      <c r="S2322" s="81" t="str">
        <f>IF(AND($O2322=$Q$7,$B2322&lt;'111'!$L$11),"x","")</f>
        <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row>
    <row r="2323" spans="1:30" ht="15.75" customHeight="1">
      <c r="A2323" s="327" t="str">
        <f>IF(B2323&lt;&gt;"",IF(AND(B2323='IN-TC'!$S$4,OR(TH!N2323="1111",TH!O2323="1111")),TH!D2323,""),"")</f>
        <v/>
      </c>
      <c r="B2323" s="62" t="str">
        <f t="shared" si="373"/>
        <v/>
      </c>
      <c r="C2323" s="63"/>
      <c r="D2323" s="63"/>
      <c r="E2323" s="63"/>
      <c r="F2323" s="71"/>
      <c r="G2323" s="816"/>
      <c r="H2323" s="71"/>
      <c r="I2323" s="405"/>
      <c r="J2323" s="405"/>
      <c r="K2323" s="398"/>
      <c r="L2323" s="405"/>
      <c r="M2323" s="64"/>
      <c r="N2323" s="65"/>
      <c r="O2323" s="65"/>
      <c r="P2323" s="81" t="str">
        <f>IF(AND('331-CT'!$E$7=TH!H2323,OR(N2323="331",O2323="331")),"x","")</f>
        <v/>
      </c>
      <c r="Q2323" s="81" t="str">
        <f>IF(AND(B2323='111'!$L$11,OR($N2323=$Q$7,$O2323=$Q$7)),"x","")</f>
        <v/>
      </c>
      <c r="R2323" s="81" t="str">
        <f>IF(AND($N2323=$Q$7,$B2323&lt;'111'!$L$11),"x","")</f>
        <v/>
      </c>
      <c r="S2323" s="81" t="str">
        <f>IF(AND($O2323=$Q$7,$B2323&lt;'111'!$L$11),"x","")</f>
        <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row>
    <row r="2324" spans="1:30" ht="15.75" customHeight="1">
      <c r="A2324" s="327" t="str">
        <f>IF(B2324&lt;&gt;"",IF(AND(B2324='IN-TC'!$S$4,OR(TH!N2324="1111",TH!O2324="1111")),TH!D2324,""),"")</f>
        <v/>
      </c>
      <c r="B2324" s="62" t="str">
        <f t="shared" si="373"/>
        <v/>
      </c>
      <c r="C2324" s="63"/>
      <c r="D2324" s="63"/>
      <c r="E2324" s="63"/>
      <c r="F2324" s="71"/>
      <c r="G2324" s="816"/>
      <c r="H2324" s="71"/>
      <c r="I2324" s="405"/>
      <c r="J2324" s="405"/>
      <c r="K2324" s="398"/>
      <c r="L2324" s="405"/>
      <c r="M2324" s="64"/>
      <c r="N2324" s="65"/>
      <c r="O2324" s="65"/>
      <c r="P2324" s="81" t="str">
        <f>IF(AND('331-CT'!$E$7=TH!H2324,OR(N2324="331",O2324="331")),"x","")</f>
        <v/>
      </c>
      <c r="Q2324" s="81" t="str">
        <f>IF(AND(B2324='111'!$L$11,OR($N2324=$Q$7,$O2324=$Q$7)),"x","")</f>
        <v/>
      </c>
      <c r="R2324" s="81" t="str">
        <f>IF(AND($N2324=$Q$7,$B2324&lt;'111'!$L$11),"x","")</f>
        <v/>
      </c>
      <c r="S2324" s="81" t="str">
        <f>IF(AND($O2324=$Q$7,$B2324&lt;'111'!$L$11),"x","")</f>
        <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row>
    <row r="2325" spans="1:30" ht="15.75" customHeight="1">
      <c r="A2325" s="327" t="str">
        <f>IF(B2325&lt;&gt;"",IF(AND(B2325='IN-TC'!$S$4,OR(TH!N2325="1111",TH!O2325="1111")),TH!D2325,""),"")</f>
        <v/>
      </c>
      <c r="B2325" s="62" t="str">
        <f t="shared" si="373"/>
        <v/>
      </c>
      <c r="C2325" s="63"/>
      <c r="D2325" s="63"/>
      <c r="E2325" s="63"/>
      <c r="F2325" s="71"/>
      <c r="G2325" s="816"/>
      <c r="H2325" s="71"/>
      <c r="I2325" s="405"/>
      <c r="J2325" s="405"/>
      <c r="K2325" s="398"/>
      <c r="L2325" s="405"/>
      <c r="M2325" s="64"/>
      <c r="N2325" s="65"/>
      <c r="O2325" s="65"/>
      <c r="P2325" s="81" t="str">
        <f>IF(AND('331-CT'!$E$7=TH!H2325,OR(N2325="331",O2325="331")),"x","")</f>
        <v/>
      </c>
      <c r="Q2325" s="81" t="str">
        <f>IF(AND(B2325='111'!$L$11,OR($N2325=$Q$7,$O2325=$Q$7)),"x","")</f>
        <v/>
      </c>
      <c r="R2325" s="81" t="str">
        <f>IF(AND($N2325=$Q$7,$B2325&lt;'111'!$L$11),"x","")</f>
        <v/>
      </c>
      <c r="S2325" s="81" t="str">
        <f>IF(AND($O2325=$Q$7,$B2325&lt;'111'!$L$11),"x","")</f>
        <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row>
    <row r="2326" spans="1:30" ht="15.75" customHeight="1">
      <c r="A2326" s="327" t="str">
        <f>IF(B2326&lt;&gt;"",IF(AND(B2326='IN-TC'!$S$4,OR(TH!N2326="1111",TH!O2326="1111")),TH!D2326,""),"")</f>
        <v/>
      </c>
      <c r="B2326" s="62" t="str">
        <f t="shared" si="373"/>
        <v/>
      </c>
      <c r="C2326" s="63"/>
      <c r="D2326" s="63"/>
      <c r="E2326" s="63"/>
      <c r="F2326" s="71"/>
      <c r="G2326" s="816"/>
      <c r="H2326" s="71"/>
      <c r="I2326" s="405"/>
      <c r="J2326" s="405"/>
      <c r="K2326" s="398"/>
      <c r="L2326" s="405"/>
      <c r="M2326" s="64"/>
      <c r="N2326" s="65"/>
      <c r="O2326" s="65"/>
      <c r="P2326" s="81" t="str">
        <f>IF(AND('331-CT'!$E$7=TH!H2326,OR(N2326="331",O2326="331")),"x","")</f>
        <v/>
      </c>
      <c r="Q2326" s="81" t="str">
        <f>IF(AND(B2326='111'!$L$11,OR($N2326=$Q$7,$O2326=$Q$7)),"x","")</f>
        <v/>
      </c>
      <c r="R2326" s="81" t="str">
        <f>IF(AND($N2326=$Q$7,$B2326&lt;'111'!$L$11),"x","")</f>
        <v/>
      </c>
      <c r="S2326" s="81" t="str">
        <f>IF(AND($O2326=$Q$7,$B2326&lt;'111'!$L$11),"x","")</f>
        <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row>
    <row r="2327" spans="1:30" ht="15.75" customHeight="1">
      <c r="A2327" s="327" t="str">
        <f>IF(B2327&lt;&gt;"",IF(AND(B2327='IN-TC'!$S$4,OR(TH!N2327="1111",TH!O2327="1111")),TH!D2327,""),"")</f>
        <v/>
      </c>
      <c r="B2327" s="62" t="str">
        <f t="shared" si="373"/>
        <v/>
      </c>
      <c r="C2327" s="63"/>
      <c r="D2327" s="63"/>
      <c r="E2327" s="63"/>
      <c r="F2327" s="71"/>
      <c r="G2327" s="816"/>
      <c r="H2327" s="71"/>
      <c r="I2327" s="405"/>
      <c r="J2327" s="405"/>
      <c r="K2327" s="398"/>
      <c r="L2327" s="405"/>
      <c r="M2327" s="64"/>
      <c r="N2327" s="65"/>
      <c r="O2327" s="65"/>
      <c r="P2327" s="81" t="str">
        <f>IF(AND('331-CT'!$E$7=TH!H2327,OR(N2327="331",O2327="331")),"x","")</f>
        <v/>
      </c>
      <c r="Q2327" s="81" t="str">
        <f>IF(AND(B2327='111'!$L$11,OR($N2327=$Q$7,$O2327=$Q$7)),"x","")</f>
        <v/>
      </c>
      <c r="R2327" s="81" t="str">
        <f>IF(AND($N2327=$Q$7,$B2327&lt;'111'!$L$11),"x","")</f>
        <v/>
      </c>
      <c r="S2327" s="81" t="str">
        <f>IF(AND($O2327=$Q$7,$B2327&lt;'111'!$L$11),"x","")</f>
        <v/>
      </c>
      <c r="T2327" s="81" t="str">
        <f>IF(ISERROR(FIND('112'!$M$9,G2327,1)),"",IF((AND(FIND('112'!$M$9,G2327,1)&gt;=1,B2327='112'!$K$9,OR($N2327='112'!$I$6,$O2327='112'!$I$6))),"x",""))</f>
        <v/>
      </c>
      <c r="U2327" s="81" t="str">
        <f>IF(ISERROR(FIND('112'!$M$9,G2327,1)),"",IF((AND(LEFT(G2327,2)=LEFT('112'!$M$9,2),B2327&lt;'112'!$K$9,$N2327='112'!$I$6)),"x",""))</f>
        <v/>
      </c>
      <c r="V2327" s="81" t="str">
        <f>IF(ISERROR(FIND('112'!$M$9,G2327,1)),"",IF((AND(RIGHT(G2327,2)=RIGHT('112'!$M$9,2),B2327&lt;'112'!$K$9,$O2327='112'!$I$6)),"x",""))</f>
        <v/>
      </c>
      <c r="W2327" s="81" t="str">
        <f>IF(AND('341-CT'!$H$9=H2327,OR(LEFT(N2327,3)=$W$7,LEFT(O2327,3)=$W$7)),"x","")</f>
        <v/>
      </c>
      <c r="X2327" s="81" t="str">
        <f>IF(OR(TH!N2327=TH!$X$7,O2327=TH!$X$7),"x","")</f>
        <v/>
      </c>
      <c r="Y2327" s="81" t="str">
        <f>IF(AND(OR(N2327="131",O2327="131"),H2327='131-CT'!$H$9),"x","")</f>
        <v/>
      </c>
      <c r="Z2327" s="81"/>
      <c r="AA2327" s="81" t="str">
        <f>IF(AND(MONTH(E2327)='IN-NX'!$J$5,'IN-NX'!$D$7=D2327),"x","")</f>
        <v/>
      </c>
      <c r="AB2327" s="81" t="str">
        <f>IF(AND(OR(LEFT(TH!N2327,2)="15",LEFT(TH!O2327,2)="15"),LEFT(TH!O2327,3)&lt;&gt;"111",'152-CT'!$J$8=TH!F2327),"x","")</f>
        <v/>
      </c>
      <c r="AC2327" s="81" t="str">
        <f>IF(AND(OR(LEFT(TH!N2327,2)="15",LEFT(TH!O2327,2)="15"),TK!$E$7=TH!F2327),"x","")</f>
        <v/>
      </c>
      <c r="AD2327" s="81" t="str">
        <f>IF(AND(N2327="1521",MONTH(C2327)='BK-NL'!$M$11),"x","")</f>
        <v/>
      </c>
    </row>
    <row r="2328" spans="1:30" ht="15.75" customHeight="1">
      <c r="A2328" s="327" t="str">
        <f>IF(B2328&lt;&gt;"",IF(AND(B2328='IN-TC'!$S$4,OR(TH!N2328="1111",TH!O2328="1111")),TH!D2328,""),"")</f>
        <v/>
      </c>
      <c r="B2328" s="62" t="str">
        <f t="shared" si="373"/>
        <v/>
      </c>
      <c r="C2328" s="63"/>
      <c r="D2328" s="63"/>
      <c r="E2328" s="63"/>
      <c r="F2328" s="71"/>
      <c r="G2328" s="816"/>
      <c r="H2328" s="71"/>
      <c r="I2328" s="405"/>
      <c r="J2328" s="405"/>
      <c r="K2328" s="398"/>
      <c r="L2328" s="405"/>
      <c r="M2328" s="64"/>
      <c r="N2328" s="65"/>
      <c r="O2328" s="65"/>
      <c r="P2328" s="81" t="str">
        <f>IF(AND('331-CT'!$E$7=TH!H2328,OR(N2328="331",O2328="331")),"x","")</f>
        <v/>
      </c>
      <c r="Q2328" s="81" t="str">
        <f>IF(AND(B2328='111'!$L$11,OR($N2328=$Q$7,$O2328=$Q$7)),"x","")</f>
        <v/>
      </c>
      <c r="R2328" s="81" t="str">
        <f>IF(AND($N2328=$Q$7,$B2328&lt;'111'!$L$11),"x","")</f>
        <v/>
      </c>
      <c r="S2328" s="81" t="str">
        <f>IF(AND($O2328=$Q$7,$B2328&lt;'111'!$L$11),"x","")</f>
        <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row>
    <row r="2329" spans="1:30" ht="15.75" customHeight="1">
      <c r="A2329" s="327" t="str">
        <f>IF(B2329&lt;&gt;"",IF(AND(B2329='IN-TC'!$S$4,OR(TH!N2329="1111",TH!O2329="1111")),TH!D2329,""),"")</f>
        <v/>
      </c>
      <c r="B2329" s="62" t="str">
        <f t="shared" si="373"/>
        <v/>
      </c>
      <c r="C2329" s="63"/>
      <c r="D2329" s="63"/>
      <c r="E2329" s="63"/>
      <c r="F2329" s="71"/>
      <c r="G2329" s="816"/>
      <c r="H2329" s="71"/>
      <c r="I2329" s="405"/>
      <c r="J2329" s="405"/>
      <c r="K2329" s="398"/>
      <c r="L2329" s="405"/>
      <c r="M2329" s="64"/>
      <c r="N2329" s="65"/>
      <c r="O2329" s="65"/>
      <c r="P2329" s="81" t="str">
        <f>IF(AND('331-CT'!$E$7=TH!H2329,OR(N2329="331",O2329="331")),"x","")</f>
        <v/>
      </c>
      <c r="Q2329" s="81" t="str">
        <f>IF(AND(B2329='111'!$L$11,OR($N2329=$Q$7,$O2329=$Q$7)),"x","")</f>
        <v/>
      </c>
      <c r="R2329" s="81" t="str">
        <f>IF(AND($N2329=$Q$7,$B2329&lt;'111'!$L$11),"x","")</f>
        <v/>
      </c>
      <c r="S2329" s="81" t="str">
        <f>IF(AND($O2329=$Q$7,$B2329&lt;'111'!$L$11),"x","")</f>
        <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row>
    <row r="2330" spans="1:30" ht="15.75" customHeight="1">
      <c r="A2330" s="327" t="str">
        <f>IF(B2330&lt;&gt;"",IF(AND(B2330='IN-TC'!$S$4,OR(TH!N2330="1111",TH!O2330="1111")),TH!D2330,""),"")</f>
        <v/>
      </c>
      <c r="B2330" s="62" t="str">
        <f t="shared" si="373"/>
        <v/>
      </c>
      <c r="C2330" s="63"/>
      <c r="D2330" s="63"/>
      <c r="E2330" s="63"/>
      <c r="F2330" s="71"/>
      <c r="G2330" s="816"/>
      <c r="H2330" s="71"/>
      <c r="I2330" s="405"/>
      <c r="J2330" s="405"/>
      <c r="K2330" s="398"/>
      <c r="L2330" s="405"/>
      <c r="M2330" s="64"/>
      <c r="N2330" s="65"/>
      <c r="O2330" s="65"/>
      <c r="P2330" s="81" t="str">
        <f>IF(AND('331-CT'!$E$7=TH!H2330,OR(N2330="331",O2330="331")),"x","")</f>
        <v/>
      </c>
      <c r="Q2330" s="81" t="str">
        <f>IF(AND(B2330='111'!$L$11,OR($N2330=$Q$7,$O2330=$Q$7)),"x","")</f>
        <v/>
      </c>
      <c r="R2330" s="81" t="str">
        <f>IF(AND($N2330=$Q$7,$B2330&lt;'111'!$L$11),"x","")</f>
        <v/>
      </c>
      <c r="S2330" s="81" t="str">
        <f>IF(AND($O2330=$Q$7,$B2330&lt;'111'!$L$11),"x","")</f>
        <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row>
    <row r="2331" spans="1:30" ht="15.75" customHeight="1">
      <c r="A2331" s="327" t="str">
        <f>IF(B2331&lt;&gt;"",IF(AND(B2331='IN-TC'!$S$4,OR(TH!N2331="1111",TH!O2331="1111")),TH!D2331,""),"")</f>
        <v/>
      </c>
      <c r="B2331" s="62" t="str">
        <f t="shared" si="373"/>
        <v/>
      </c>
      <c r="C2331" s="63"/>
      <c r="D2331" s="63"/>
      <c r="E2331" s="63"/>
      <c r="F2331" s="71"/>
      <c r="G2331" s="816"/>
      <c r="H2331" s="71"/>
      <c r="I2331" s="405"/>
      <c r="J2331" s="405"/>
      <c r="K2331" s="398"/>
      <c r="L2331" s="405"/>
      <c r="M2331" s="64"/>
      <c r="N2331" s="65"/>
      <c r="O2331" s="65"/>
      <c r="P2331" s="81" t="str">
        <f>IF(AND('331-CT'!$E$7=TH!H2331,OR(N2331="331",O2331="331")),"x","")</f>
        <v/>
      </c>
      <c r="Q2331" s="81" t="str">
        <f>IF(AND(B2331='111'!$L$11,OR($N2331=$Q$7,$O2331=$Q$7)),"x","")</f>
        <v/>
      </c>
      <c r="R2331" s="81" t="str">
        <f>IF(AND($N2331=$Q$7,$B2331&lt;'111'!$L$11),"x","")</f>
        <v/>
      </c>
      <c r="S2331" s="81" t="str">
        <f>IF(AND($O2331=$Q$7,$B2331&lt;'111'!$L$11),"x","")</f>
        <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row>
    <row r="2332" spans="1:30" ht="15.75" customHeight="1">
      <c r="A2332" s="327" t="str">
        <f>IF(B2332&lt;&gt;"",IF(AND(B2332='IN-TC'!$S$4,OR(TH!N2332="1111",TH!O2332="1111")),TH!D2332,""),"")</f>
        <v/>
      </c>
      <c r="B2332" s="62" t="str">
        <f t="shared" si="373"/>
        <v/>
      </c>
      <c r="C2332" s="63"/>
      <c r="D2332" s="63"/>
      <c r="E2332" s="63"/>
      <c r="F2332" s="71"/>
      <c r="G2332" s="816"/>
      <c r="H2332" s="71"/>
      <c r="I2332" s="405"/>
      <c r="J2332" s="405"/>
      <c r="K2332" s="398"/>
      <c r="L2332" s="405"/>
      <c r="M2332" s="64"/>
      <c r="N2332" s="65"/>
      <c r="O2332" s="65"/>
      <c r="P2332" s="81" t="str">
        <f>IF(AND('331-CT'!$E$7=TH!H2332,OR(N2332="331",O2332="331")),"x","")</f>
        <v/>
      </c>
      <c r="Q2332" s="81" t="str">
        <f>IF(AND(B2332='111'!$L$11,OR($N2332=$Q$7,$O2332=$Q$7)),"x","")</f>
        <v/>
      </c>
      <c r="R2332" s="81" t="str">
        <f>IF(AND($N2332=$Q$7,$B2332&lt;'111'!$L$11),"x","")</f>
        <v/>
      </c>
      <c r="S2332" s="81" t="str">
        <f>IF(AND($O2332=$Q$7,$B2332&lt;'111'!$L$11),"x","")</f>
        <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row>
    <row r="2333" spans="1:30" ht="15.75" customHeight="1">
      <c r="A2333" s="327" t="str">
        <f>IF(B2333&lt;&gt;"",IF(AND(B2333='IN-TC'!$S$4,OR(TH!N2333="1111",TH!O2333="1111")),TH!D2333,""),"")</f>
        <v/>
      </c>
      <c r="B2333" s="62" t="str">
        <f t="shared" si="373"/>
        <v/>
      </c>
      <c r="C2333" s="63"/>
      <c r="D2333" s="63"/>
      <c r="E2333" s="63"/>
      <c r="F2333" s="71"/>
      <c r="G2333" s="816"/>
      <c r="H2333" s="71"/>
      <c r="I2333" s="405"/>
      <c r="J2333" s="405"/>
      <c r="K2333" s="398"/>
      <c r="L2333" s="405"/>
      <c r="M2333" s="64"/>
      <c r="N2333" s="65"/>
      <c r="O2333" s="65"/>
      <c r="P2333" s="81" t="str">
        <f>IF(AND('331-CT'!$E$7=TH!H2333,OR(N2333="331",O2333="331")),"x","")</f>
        <v/>
      </c>
      <c r="Q2333" s="81" t="str">
        <f>IF(AND(B2333='111'!$L$11,OR($N2333=$Q$7,$O2333=$Q$7)),"x","")</f>
        <v/>
      </c>
      <c r="R2333" s="81" t="str">
        <f>IF(AND($N2333=$Q$7,$B2333&lt;'111'!$L$11),"x","")</f>
        <v/>
      </c>
      <c r="S2333" s="81" t="str">
        <f>IF(AND($O2333=$Q$7,$B2333&lt;'111'!$L$11),"x","")</f>
        <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row>
    <row r="2334" spans="1:30" ht="15.75" customHeight="1">
      <c r="A2334" s="327" t="str">
        <f>IF(B2334&lt;&gt;"",IF(AND(B2334='IN-TC'!$S$4,OR(TH!N2334="1111",TH!O2334="1111")),TH!D2334,""),"")</f>
        <v/>
      </c>
      <c r="B2334" s="62" t="str">
        <f t="shared" si="373"/>
        <v/>
      </c>
      <c r="C2334" s="63"/>
      <c r="D2334" s="63"/>
      <c r="E2334" s="63"/>
      <c r="F2334" s="71"/>
      <c r="G2334" s="816"/>
      <c r="H2334" s="71"/>
      <c r="I2334" s="405"/>
      <c r="J2334" s="405"/>
      <c r="K2334" s="398"/>
      <c r="L2334" s="405"/>
      <c r="M2334" s="64"/>
      <c r="N2334" s="65"/>
      <c r="O2334" s="65"/>
      <c r="P2334" s="81" t="str">
        <f>IF(AND('331-CT'!$E$7=TH!H2334,OR(N2334="331",O2334="331")),"x","")</f>
        <v/>
      </c>
      <c r="Q2334" s="81" t="str">
        <f>IF(AND(B2334='111'!$L$11,OR($N2334=$Q$7,$O2334=$Q$7)),"x","")</f>
        <v/>
      </c>
      <c r="R2334" s="81" t="str">
        <f>IF(AND($N2334=$Q$7,$B2334&lt;'111'!$L$11),"x","")</f>
        <v/>
      </c>
      <c r="S2334" s="81" t="str">
        <f>IF(AND($O2334=$Q$7,$B2334&lt;'111'!$L$11),"x","")</f>
        <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row>
    <row r="2335" spans="1:30" ht="15.75" customHeight="1">
      <c r="A2335" s="327" t="str">
        <f>IF(B2335&lt;&gt;"",IF(AND(B2335='IN-TC'!$S$4,OR(TH!N2335="1111",TH!O2335="1111")),TH!D2335,""),"")</f>
        <v/>
      </c>
      <c r="B2335" s="62" t="str">
        <f t="shared" si="373"/>
        <v/>
      </c>
      <c r="C2335" s="63"/>
      <c r="D2335" s="63"/>
      <c r="E2335" s="63"/>
      <c r="F2335" s="71"/>
      <c r="G2335" s="816"/>
      <c r="H2335" s="71"/>
      <c r="I2335" s="405"/>
      <c r="J2335" s="405"/>
      <c r="K2335" s="398"/>
      <c r="L2335" s="405"/>
      <c r="M2335" s="64"/>
      <c r="N2335" s="65"/>
      <c r="O2335" s="65"/>
      <c r="P2335" s="81" t="str">
        <f>IF(AND('331-CT'!$E$7=TH!H2335,OR(N2335="331",O2335="331")),"x","")</f>
        <v/>
      </c>
      <c r="Q2335" s="81" t="str">
        <f>IF(AND(B2335='111'!$L$11,OR($N2335=$Q$7,$O2335=$Q$7)),"x","")</f>
        <v/>
      </c>
      <c r="R2335" s="81" t="str">
        <f>IF(AND($N2335=$Q$7,$B2335&lt;'111'!$L$11),"x","")</f>
        <v/>
      </c>
      <c r="S2335" s="81" t="str">
        <f>IF(AND($O2335=$Q$7,$B2335&lt;'111'!$L$11),"x","")</f>
        <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row>
    <row r="2336" spans="1:30" ht="15.75" customHeight="1">
      <c r="A2336" s="327" t="str">
        <f>IF(B2336&lt;&gt;"",IF(AND(B2336='IN-TC'!$S$4,OR(TH!N2336="1111",TH!O2336="1111")),TH!D2336,""),"")</f>
        <v/>
      </c>
      <c r="B2336" s="62" t="str">
        <f t="shared" ref="B2336:B2339" si="374">IF(C2336&lt;&gt;"",MONTH(C2336),"")</f>
        <v/>
      </c>
      <c r="C2336" s="63"/>
      <c r="D2336" s="63"/>
      <c r="E2336" s="63"/>
      <c r="F2336" s="71"/>
      <c r="G2336" s="816"/>
      <c r="H2336" s="71"/>
      <c r="I2336" s="405"/>
      <c r="J2336" s="405"/>
      <c r="K2336" s="398"/>
      <c r="L2336" s="405"/>
      <c r="M2336" s="64"/>
      <c r="N2336" s="65"/>
      <c r="O2336" s="65"/>
      <c r="P2336" s="81" t="str">
        <f>IF(AND('331-CT'!$E$7=TH!H2336,OR(N2336="331",O2336="331")),"x","")</f>
        <v/>
      </c>
      <c r="Q2336" s="81" t="str">
        <f>IF(AND(B2336='111'!$L$11,OR($N2336=$Q$7,$O2336=$Q$7)),"x","")</f>
        <v/>
      </c>
      <c r="R2336" s="81" t="str">
        <f>IF(AND($N2336=$Q$7,$B2336&lt;'111'!$L$11),"x","")</f>
        <v/>
      </c>
      <c r="S2336" s="81" t="str">
        <f>IF(AND($O2336=$Q$7,$B2336&lt;'111'!$L$11),"x","")</f>
        <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row>
    <row r="2337" spans="1:30" ht="15.75" customHeight="1">
      <c r="A2337" s="327" t="str">
        <f>IF(B2337&lt;&gt;"",IF(AND(B2337='IN-TC'!$S$4,OR(TH!N2337="1111",TH!O2337="1111")),TH!D2337,""),"")</f>
        <v/>
      </c>
      <c r="B2337" s="62" t="str">
        <f t="shared" si="374"/>
        <v/>
      </c>
      <c r="C2337" s="63"/>
      <c r="D2337" s="63"/>
      <c r="E2337" s="63"/>
      <c r="F2337" s="71"/>
      <c r="G2337" s="816"/>
      <c r="H2337" s="71"/>
      <c r="I2337" s="405"/>
      <c r="J2337" s="405"/>
      <c r="K2337" s="398"/>
      <c r="L2337" s="405"/>
      <c r="M2337" s="64"/>
      <c r="N2337" s="65"/>
      <c r="O2337" s="65"/>
      <c r="P2337" s="81" t="str">
        <f>IF(AND('331-CT'!$E$7=TH!H2337,OR(N2337="331",O2337="331")),"x","")</f>
        <v/>
      </c>
      <c r="Q2337" s="81" t="str">
        <f>IF(AND(B2337='111'!$L$11,OR($N2337=$Q$7,$O2337=$Q$7)),"x","")</f>
        <v/>
      </c>
      <c r="R2337" s="81" t="str">
        <f>IF(AND($N2337=$Q$7,$B2337&lt;'111'!$L$11),"x","")</f>
        <v/>
      </c>
      <c r="S2337" s="81" t="str">
        <f>IF(AND($O2337=$Q$7,$B2337&lt;'111'!$L$11),"x","")</f>
        <v/>
      </c>
      <c r="T2337" s="81" t="str">
        <f>IF(ISERROR(FIND('112'!$M$9,G2337,1)),"",IF((AND(FIND('112'!$M$9,G2337,1)&gt;=1,B2337='112'!$K$9,OR($N2337='112'!$I$6,$O2337='112'!$I$6))),"x",""))</f>
        <v/>
      </c>
      <c r="U2337" s="81" t="str">
        <f>IF(ISERROR(FIND('112'!$M$9,G2337,1)),"",IF((AND(LEFT(G2337,2)=LEFT('112'!$M$9,2),B2337&lt;'112'!$K$9,$N2337='112'!$I$6)),"x",""))</f>
        <v/>
      </c>
      <c r="V2337" s="81" t="str">
        <f>IF(ISERROR(FIND('112'!$M$9,G2337,1)),"",IF((AND(RIGHT(G2337,2)=RIGHT('112'!$M$9,2),B2337&lt;'112'!$K$9,$O2337='112'!$I$6)),"x",""))</f>
        <v/>
      </c>
      <c r="W2337" s="81" t="str">
        <f>IF(AND('341-CT'!$H$9=H2337,OR(LEFT(N2337,3)=$W$7,LEFT(O2337,3)=$W$7)),"x","")</f>
        <v/>
      </c>
      <c r="X2337" s="81" t="str">
        <f>IF(OR(TH!N2337=TH!$X$7,O2337=TH!$X$7),"x","")</f>
        <v/>
      </c>
      <c r="Y2337" s="81" t="str">
        <f>IF(AND(OR(N2337="131",O2337="131"),H2337='131-CT'!$H$9),"x","")</f>
        <v/>
      </c>
      <c r="Z2337" s="81"/>
      <c r="AA2337" s="81" t="str">
        <f>IF(AND(MONTH(E2337)='IN-NX'!$J$5,'IN-NX'!$D$7=D2337),"x","")</f>
        <v/>
      </c>
      <c r="AB2337" s="81" t="str">
        <f>IF(AND(OR(LEFT(TH!N2337,2)="15",LEFT(TH!O2337,2)="15"),LEFT(TH!O2337,3)&lt;&gt;"111",'152-CT'!$J$8=TH!F2337),"x","")</f>
        <v/>
      </c>
      <c r="AC2337" s="81" t="str">
        <f>IF(AND(OR(LEFT(TH!N2337,2)="15",LEFT(TH!O2337,2)="15"),TK!$E$7=TH!F2337),"x","")</f>
        <v/>
      </c>
      <c r="AD2337" s="81" t="str">
        <f>IF(AND(N2337="1521",MONTH(C2337)='BK-NL'!$M$11),"x","")</f>
        <v/>
      </c>
    </row>
    <row r="2338" spans="1:30" ht="15.75" customHeight="1">
      <c r="A2338" s="327" t="str">
        <f>IF(B2338&lt;&gt;"",IF(AND(B2338='IN-TC'!$S$4,OR(TH!N2338="1111",TH!O2338="1111")),TH!D2338,""),"")</f>
        <v/>
      </c>
      <c r="B2338" s="62" t="str">
        <f t="shared" si="374"/>
        <v/>
      </c>
      <c r="C2338" s="63"/>
      <c r="D2338" s="63"/>
      <c r="E2338" s="63"/>
      <c r="F2338" s="71"/>
      <c r="G2338" s="816"/>
      <c r="H2338" s="71"/>
      <c r="I2338" s="405"/>
      <c r="J2338" s="405"/>
      <c r="K2338" s="398"/>
      <c r="L2338" s="405"/>
      <c r="M2338" s="64"/>
      <c r="N2338" s="65"/>
      <c r="O2338" s="65"/>
      <c r="P2338" s="81" t="str">
        <f>IF(AND('331-CT'!$E$7=TH!H2338,OR(N2338="331",O2338="331")),"x","")</f>
        <v/>
      </c>
      <c r="Q2338" s="81" t="str">
        <f>IF(AND(B2338='111'!$L$11,OR($N2338=$Q$7,$O2338=$Q$7)),"x","")</f>
        <v/>
      </c>
      <c r="R2338" s="81" t="str">
        <f>IF(AND($N2338=$Q$7,$B2338&lt;'111'!$L$11),"x","")</f>
        <v/>
      </c>
      <c r="S2338" s="81" t="str">
        <f>IF(AND($O2338=$Q$7,$B2338&lt;'111'!$L$11),"x","")</f>
        <v/>
      </c>
      <c r="T2338" s="81" t="str">
        <f>IF(ISERROR(FIND('112'!$M$9,G2338,1)),"",IF((AND(FIND('112'!$M$9,G2338,1)&gt;=1,B2338='112'!$K$9,OR($N2338='112'!$I$6,$O2338='112'!$I$6))),"x",""))</f>
        <v/>
      </c>
      <c r="U2338" s="81" t="str">
        <f>IF(ISERROR(FIND('112'!$M$9,G2338,1)),"",IF((AND(LEFT(G2338,2)=LEFT('112'!$M$9,2),B2338&lt;'112'!$K$9,$N2338='112'!$I$6)),"x",""))</f>
        <v/>
      </c>
      <c r="V2338" s="81" t="str">
        <f>IF(ISERROR(FIND('112'!$M$9,G2338,1)),"",IF((AND(RIGHT(G2338,2)=RIGHT('112'!$M$9,2),B2338&lt;'112'!$K$9,$O2338='112'!$I$6)),"x",""))</f>
        <v/>
      </c>
      <c r="W2338" s="81" t="str">
        <f>IF(AND('341-CT'!$H$9=H2338,OR(LEFT(N2338,3)=$W$7,LEFT(O2338,3)=$W$7)),"x","")</f>
        <v/>
      </c>
      <c r="X2338" s="81" t="str">
        <f>IF(OR(TH!N2338=TH!$X$7,O2338=TH!$X$7),"x","")</f>
        <v/>
      </c>
      <c r="Y2338" s="81" t="str">
        <f>IF(AND(OR(N2338="131",O2338="131"),H2338='131-CT'!$H$9),"x","")</f>
        <v/>
      </c>
      <c r="Z2338" s="81"/>
      <c r="AA2338" s="81" t="str">
        <f>IF(AND(MONTH(E2338)='IN-NX'!$J$5,'IN-NX'!$D$7=D2338),"x","")</f>
        <v/>
      </c>
      <c r="AB2338" s="81" t="str">
        <f>IF(AND(OR(LEFT(TH!N2338,2)="15",LEFT(TH!O2338,2)="15"),LEFT(TH!O2338,3)&lt;&gt;"111",'152-CT'!$J$8=TH!F2338),"x","")</f>
        <v/>
      </c>
      <c r="AC2338" s="81" t="str">
        <f>IF(AND(OR(LEFT(TH!N2338,2)="15",LEFT(TH!O2338,2)="15"),TK!$E$7=TH!F2338),"x","")</f>
        <v/>
      </c>
      <c r="AD2338" s="81" t="str">
        <f>IF(AND(N2338="1521",MONTH(C2338)='BK-NL'!$M$11),"x","")</f>
        <v/>
      </c>
    </row>
    <row r="2339" spans="1:30" ht="15.75" customHeight="1">
      <c r="A2339" s="327" t="str">
        <f>IF(B2339&lt;&gt;"",IF(AND(B2339='IN-TC'!$S$4,OR(TH!N2339="1111",TH!O2339="1111")),TH!D2339,""),"")</f>
        <v/>
      </c>
      <c r="B2339" s="62" t="str">
        <f t="shared" si="374"/>
        <v/>
      </c>
      <c r="C2339" s="63"/>
      <c r="D2339" s="63"/>
      <c r="E2339" s="63"/>
      <c r="F2339" s="71"/>
      <c r="G2339" s="816"/>
      <c r="H2339" s="71"/>
      <c r="I2339" s="405"/>
      <c r="J2339" s="405"/>
      <c r="K2339" s="398"/>
      <c r="L2339" s="405"/>
      <c r="M2339" s="64"/>
      <c r="N2339" s="65"/>
      <c r="O2339" s="65"/>
      <c r="P2339" s="81" t="str">
        <f>IF(AND('331-CT'!$E$7=TH!H2339,OR(N2339="331",O2339="331")),"x","")</f>
        <v/>
      </c>
      <c r="Q2339" s="81" t="str">
        <f>IF(AND(B2339='111'!$L$11,OR($N2339=$Q$7,$O2339=$Q$7)),"x","")</f>
        <v/>
      </c>
      <c r="R2339" s="81" t="str">
        <f>IF(AND($N2339=$Q$7,$B2339&lt;'111'!$L$11),"x","")</f>
        <v/>
      </c>
      <c r="S2339" s="81" t="str">
        <f>IF(AND($O2339=$Q$7,$B2339&lt;'111'!$L$11),"x","")</f>
        <v/>
      </c>
      <c r="T2339" s="81" t="str">
        <f>IF(ISERROR(FIND('112'!$M$9,G2339,1)),"",IF((AND(FIND('112'!$M$9,G2339,1)&gt;=1,B2339='112'!$K$9,OR($N2339='112'!$I$6,$O2339='112'!$I$6))),"x",""))</f>
        <v/>
      </c>
      <c r="U2339" s="81" t="str">
        <f>IF(ISERROR(FIND('112'!$M$9,G2339,1)),"",IF((AND(LEFT(G2339,2)=LEFT('112'!$M$9,2),B2339&lt;'112'!$K$9,$N2339='112'!$I$6)),"x",""))</f>
        <v/>
      </c>
      <c r="V2339" s="81" t="str">
        <f>IF(ISERROR(FIND('112'!$M$9,G2339,1)),"",IF((AND(RIGHT(G2339,2)=RIGHT('112'!$M$9,2),B2339&lt;'112'!$K$9,$O2339='112'!$I$6)),"x",""))</f>
        <v/>
      </c>
      <c r="W2339" s="81" t="str">
        <f>IF(AND('341-CT'!$H$9=H2339,OR(LEFT(N2339,3)=$W$7,LEFT(O2339,3)=$W$7)),"x","")</f>
        <v/>
      </c>
      <c r="X2339" s="81" t="str">
        <f>IF(OR(TH!N2339=TH!$X$7,O2339=TH!$X$7),"x","")</f>
        <v/>
      </c>
      <c r="Y2339" s="81" t="str">
        <f>IF(AND(OR(N2339="131",O2339="131"),H2339='131-CT'!$H$9),"x","")</f>
        <v/>
      </c>
      <c r="Z2339" s="81"/>
      <c r="AA2339" s="81" t="str">
        <f>IF(AND(MONTH(E2339)='IN-NX'!$J$5,'IN-NX'!$D$7=D2339),"x","")</f>
        <v/>
      </c>
      <c r="AB2339" s="81" t="str">
        <f>IF(AND(OR(LEFT(TH!N2339,2)="15",LEFT(TH!O2339,2)="15"),LEFT(TH!O2339,3)&lt;&gt;"111",'152-CT'!$J$8=TH!F2339),"x","")</f>
        <v/>
      </c>
      <c r="AC2339" s="81" t="str">
        <f>IF(AND(OR(LEFT(TH!N2339,2)="15",LEFT(TH!O2339,2)="15"),TK!$E$7=TH!F2339),"x","")</f>
        <v/>
      </c>
      <c r="AD2339" s="81" t="str">
        <f>IF(AND(N2339="1521",MONTH(C2339)='BK-NL'!$M$11),"x","")</f>
        <v/>
      </c>
    </row>
    <row r="2340" spans="1:30" ht="15.75" customHeight="1">
      <c r="A2340" s="327" t="str">
        <f>IF(B2340&lt;&gt;"",IF(AND(B2340='IN-TC'!$S$4,OR(TH!N2340="1111",TH!O2340="1111")),TH!D2340,""),"")</f>
        <v/>
      </c>
      <c r="B2340" s="62" t="str">
        <f t="shared" si="373"/>
        <v/>
      </c>
      <c r="C2340" s="63"/>
      <c r="D2340" s="63"/>
      <c r="E2340" s="63"/>
      <c r="F2340" s="71"/>
      <c r="G2340" s="816"/>
      <c r="H2340" s="71"/>
      <c r="I2340" s="405"/>
      <c r="J2340" s="405"/>
      <c r="K2340" s="398"/>
      <c r="L2340" s="405"/>
      <c r="M2340" s="64"/>
      <c r="N2340" s="65"/>
      <c r="O2340" s="65"/>
      <c r="P2340" s="81" t="str">
        <f>IF(AND('331-CT'!$E$7=TH!H2340,OR(N2340="331",O2340="331")),"x","")</f>
        <v/>
      </c>
      <c r="Q2340" s="81" t="str">
        <f>IF(AND(B2340='111'!$L$11,OR($N2340=$Q$7,$O2340=$Q$7)),"x","")</f>
        <v/>
      </c>
      <c r="R2340" s="81" t="str">
        <f>IF(AND($N2340=$Q$7,$B2340&lt;'111'!$L$11),"x","")</f>
        <v/>
      </c>
      <c r="S2340" s="81" t="str">
        <f>IF(AND($O2340=$Q$7,$B2340&lt;'111'!$L$11),"x","")</f>
        <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row>
    <row r="2341" spans="1:30" ht="15.75" customHeight="1">
      <c r="A2341" s="327" t="str">
        <f>IF(B2341&lt;&gt;"",IF(AND(B2341='IN-TC'!$S$4,OR(TH!N2341="1111",TH!O2341="1111")),TH!D2341,""),"")</f>
        <v/>
      </c>
      <c r="B2341" s="62" t="str">
        <f t="shared" si="373"/>
        <v/>
      </c>
      <c r="C2341" s="63"/>
      <c r="D2341" s="63"/>
      <c r="E2341" s="63"/>
      <c r="F2341" s="71"/>
      <c r="G2341" s="816"/>
      <c r="H2341" s="71"/>
      <c r="I2341" s="405"/>
      <c r="J2341" s="405"/>
      <c r="K2341" s="398"/>
      <c r="L2341" s="405"/>
      <c r="M2341" s="64"/>
      <c r="N2341" s="65"/>
      <c r="O2341" s="65"/>
      <c r="P2341" s="81" t="str">
        <f>IF(AND('331-CT'!$E$7=TH!H2341,OR(N2341="331",O2341="331")),"x","")</f>
        <v/>
      </c>
      <c r="Q2341" s="81" t="str">
        <f>IF(AND(B2341='111'!$L$11,OR($N2341=$Q$7,$O2341=$Q$7)),"x","")</f>
        <v/>
      </c>
      <c r="R2341" s="81" t="str">
        <f>IF(AND($N2341=$Q$7,$B2341&lt;'111'!$L$11),"x","")</f>
        <v/>
      </c>
      <c r="S2341" s="81" t="str">
        <f>IF(AND($O2341=$Q$7,$B2341&lt;'111'!$L$11),"x","")</f>
        <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row>
    <row r="2342" spans="1:30" ht="15.75" customHeight="1">
      <c r="A2342" s="327" t="str">
        <f>IF(B2342&lt;&gt;"",IF(AND(B2342='IN-TC'!$S$4,OR(TH!N2342="1111",TH!O2342="1111")),TH!D2342,""),"")</f>
        <v/>
      </c>
      <c r="B2342" s="62" t="str">
        <f t="shared" si="373"/>
        <v/>
      </c>
      <c r="C2342" s="63"/>
      <c r="D2342" s="63"/>
      <c r="E2342" s="63"/>
      <c r="F2342" s="71"/>
      <c r="G2342" s="816"/>
      <c r="H2342" s="71"/>
      <c r="I2342" s="405"/>
      <c r="J2342" s="405"/>
      <c r="K2342" s="398"/>
      <c r="L2342" s="405"/>
      <c r="M2342" s="64"/>
      <c r="N2342" s="65"/>
      <c r="O2342" s="65"/>
      <c r="P2342" s="81" t="str">
        <f>IF(AND('331-CT'!$E$7=TH!H2342,OR(N2342="331",O2342="331")),"x","")</f>
        <v/>
      </c>
      <c r="Q2342" s="81" t="str">
        <f>IF(AND(B2342='111'!$L$11,OR($N2342=$Q$7,$O2342=$Q$7)),"x","")</f>
        <v/>
      </c>
      <c r="R2342" s="81" t="str">
        <f>IF(AND($N2342=$Q$7,$B2342&lt;'111'!$L$11),"x","")</f>
        <v/>
      </c>
      <c r="S2342" s="81" t="str">
        <f>IF(AND($O2342=$Q$7,$B2342&lt;'111'!$L$11),"x","")</f>
        <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row>
    <row r="2343" spans="1:30" ht="15.75" customHeight="1">
      <c r="A2343" s="327" t="str">
        <f>IF(B2343&lt;&gt;"",IF(AND(B2343='IN-TC'!$S$4,OR(TH!N2343="1111",TH!O2343="1111")),TH!D2343,""),"")</f>
        <v/>
      </c>
      <c r="B2343" s="62" t="str">
        <f t="shared" si="373"/>
        <v/>
      </c>
      <c r="C2343" s="63"/>
      <c r="D2343" s="63"/>
      <c r="E2343" s="63"/>
      <c r="F2343" s="71"/>
      <c r="G2343" s="816"/>
      <c r="H2343" s="71"/>
      <c r="I2343" s="405"/>
      <c r="J2343" s="405"/>
      <c r="K2343" s="398"/>
      <c r="L2343" s="405"/>
      <c r="M2343" s="64"/>
      <c r="N2343" s="65"/>
      <c r="O2343" s="65"/>
      <c r="P2343" s="81" t="str">
        <f>IF(AND('331-CT'!$E$7=TH!H2343,OR(N2343="331",O2343="331")),"x","")</f>
        <v/>
      </c>
      <c r="Q2343" s="81" t="str">
        <f>IF(AND(B2343='111'!$L$11,OR($N2343=$Q$7,$O2343=$Q$7)),"x","")</f>
        <v/>
      </c>
      <c r="R2343" s="81" t="str">
        <f>IF(AND($N2343=$Q$7,$B2343&lt;'111'!$L$11),"x","")</f>
        <v/>
      </c>
      <c r="S2343" s="81" t="str">
        <f>IF(AND($O2343=$Q$7,$B2343&lt;'111'!$L$11),"x","")</f>
        <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row>
    <row r="2344" spans="1:30" ht="15.75" customHeight="1">
      <c r="A2344" s="327" t="str">
        <f>IF(B2344&lt;&gt;"",IF(AND(B2344='IN-TC'!$S$4,OR(TH!N2344="1111",TH!O2344="1111")),TH!D2344,""),"")</f>
        <v/>
      </c>
      <c r="B2344" s="62" t="str">
        <f t="shared" si="373"/>
        <v/>
      </c>
      <c r="C2344" s="63"/>
      <c r="D2344" s="63"/>
      <c r="E2344" s="63"/>
      <c r="F2344" s="71"/>
      <c r="G2344" s="816"/>
      <c r="H2344" s="71"/>
      <c r="I2344" s="405"/>
      <c r="J2344" s="405"/>
      <c r="K2344" s="398"/>
      <c r="L2344" s="405"/>
      <c r="M2344" s="64"/>
      <c r="N2344" s="65"/>
      <c r="O2344" s="65"/>
      <c r="P2344" s="81" t="str">
        <f>IF(AND('331-CT'!$E$7=TH!H2344,OR(N2344="331",O2344="331")),"x","")</f>
        <v/>
      </c>
      <c r="Q2344" s="81" t="str">
        <f>IF(AND(B2344='111'!$L$11,OR($N2344=$Q$7,$O2344=$Q$7)),"x","")</f>
        <v/>
      </c>
      <c r="R2344" s="81" t="str">
        <f>IF(AND($N2344=$Q$7,$B2344&lt;'111'!$L$11),"x","")</f>
        <v/>
      </c>
      <c r="S2344" s="81" t="str">
        <f>IF(AND($O2344=$Q$7,$B2344&lt;'111'!$L$11),"x","")</f>
        <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row>
    <row r="2345" spans="1:30" ht="15.75" customHeight="1">
      <c r="A2345" s="327" t="str">
        <f>IF(B2345&lt;&gt;"",IF(AND(B2345='IN-TC'!$S$4,OR(TH!N2345="1111",TH!O2345="1111")),TH!D2345,""),"")</f>
        <v/>
      </c>
      <c r="B2345" s="62" t="str">
        <f t="shared" si="373"/>
        <v/>
      </c>
      <c r="C2345" s="63"/>
      <c r="D2345" s="63"/>
      <c r="E2345" s="63"/>
      <c r="F2345" s="71"/>
      <c r="G2345" s="816"/>
      <c r="H2345" s="71"/>
      <c r="I2345" s="405"/>
      <c r="J2345" s="405"/>
      <c r="K2345" s="398"/>
      <c r="L2345" s="405"/>
      <c r="M2345" s="64"/>
      <c r="N2345" s="65"/>
      <c r="O2345" s="65"/>
      <c r="P2345" s="81" t="str">
        <f>IF(AND('331-CT'!$E$7=TH!H2345,OR(N2345="331",O2345="331")),"x","")</f>
        <v/>
      </c>
      <c r="Q2345" s="81" t="str">
        <f>IF(AND(B2345='111'!$L$11,OR($N2345=$Q$7,$O2345=$Q$7)),"x","")</f>
        <v/>
      </c>
      <c r="R2345" s="81" t="str">
        <f>IF(AND($N2345=$Q$7,$B2345&lt;'111'!$L$11),"x","")</f>
        <v/>
      </c>
      <c r="S2345" s="81" t="str">
        <f>IF(AND($O2345=$Q$7,$B2345&lt;'111'!$L$11),"x","")</f>
        <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row>
    <row r="2346" spans="1:30" ht="15.75" customHeight="1">
      <c r="A2346" s="327" t="str">
        <f>IF(B2346&lt;&gt;"",IF(AND(B2346='IN-TC'!$S$4,OR(TH!N2346="1111",TH!O2346="1111")),TH!D2346,""),"")</f>
        <v/>
      </c>
      <c r="B2346" s="62" t="str">
        <f t="shared" si="373"/>
        <v/>
      </c>
      <c r="C2346" s="63"/>
      <c r="D2346" s="63"/>
      <c r="E2346" s="63"/>
      <c r="F2346" s="71"/>
      <c r="G2346" s="816"/>
      <c r="H2346" s="71"/>
      <c r="I2346" s="405"/>
      <c r="J2346" s="405"/>
      <c r="K2346" s="398"/>
      <c r="L2346" s="405"/>
      <c r="M2346" s="64"/>
      <c r="N2346" s="65"/>
      <c r="O2346" s="65"/>
      <c r="P2346" s="81" t="str">
        <f>IF(AND('331-CT'!$E$7=TH!H2346,OR(N2346="331",O2346="331")),"x","")</f>
        <v/>
      </c>
      <c r="Q2346" s="81" t="str">
        <f>IF(AND(B2346='111'!$L$11,OR($N2346=$Q$7,$O2346=$Q$7)),"x","")</f>
        <v/>
      </c>
      <c r="R2346" s="81" t="str">
        <f>IF(AND($N2346=$Q$7,$B2346&lt;'111'!$L$11),"x","")</f>
        <v/>
      </c>
      <c r="S2346" s="81" t="str">
        <f>IF(AND($O2346=$Q$7,$B2346&lt;'111'!$L$11),"x","")</f>
        <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row>
    <row r="2347" spans="1:30" ht="15.75" customHeight="1">
      <c r="A2347" s="327" t="str">
        <f>IF(B2347&lt;&gt;"",IF(AND(B2347='IN-TC'!$S$4,OR(TH!N2347="1111",TH!O2347="1111")),TH!D2347,""),"")</f>
        <v/>
      </c>
      <c r="B2347" s="62" t="str">
        <f t="shared" si="373"/>
        <v/>
      </c>
      <c r="C2347" s="63"/>
      <c r="D2347" s="63"/>
      <c r="E2347" s="63"/>
      <c r="F2347" s="71"/>
      <c r="G2347" s="816"/>
      <c r="H2347" s="71"/>
      <c r="I2347" s="405"/>
      <c r="J2347" s="405"/>
      <c r="K2347" s="398"/>
      <c r="L2347" s="405"/>
      <c r="M2347" s="64"/>
      <c r="N2347" s="65"/>
      <c r="O2347" s="65"/>
      <c r="P2347" s="81" t="str">
        <f>IF(AND('331-CT'!$E$7=TH!H2347,OR(N2347="331",O2347="331")),"x","")</f>
        <v/>
      </c>
      <c r="Q2347" s="81" t="str">
        <f>IF(AND(B2347='111'!$L$11,OR($N2347=$Q$7,$O2347=$Q$7)),"x","")</f>
        <v/>
      </c>
      <c r="R2347" s="81" t="str">
        <f>IF(AND($N2347=$Q$7,$B2347&lt;'111'!$L$11),"x","")</f>
        <v/>
      </c>
      <c r="S2347" s="81" t="str">
        <f>IF(AND($O2347=$Q$7,$B2347&lt;'111'!$L$11),"x","")</f>
        <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row>
    <row r="2348" spans="1:30" ht="15.75" customHeight="1">
      <c r="A2348" s="327" t="str">
        <f>IF(B2348&lt;&gt;"",IF(AND(B2348='IN-TC'!$S$4,OR(TH!N2348="1111",TH!O2348="1111")),TH!D2348,""),"")</f>
        <v/>
      </c>
      <c r="B2348" s="62" t="str">
        <f t="shared" si="373"/>
        <v/>
      </c>
      <c r="C2348" s="63"/>
      <c r="D2348" s="63"/>
      <c r="E2348" s="63"/>
      <c r="F2348" s="71"/>
      <c r="G2348" s="816"/>
      <c r="H2348" s="71"/>
      <c r="I2348" s="405"/>
      <c r="J2348" s="405"/>
      <c r="K2348" s="398"/>
      <c r="L2348" s="405"/>
      <c r="M2348" s="64"/>
      <c r="N2348" s="65"/>
      <c r="O2348" s="65"/>
      <c r="P2348" s="81" t="str">
        <f>IF(AND('331-CT'!$E$7=TH!H2348,OR(N2348="331",O2348="331")),"x","")</f>
        <v/>
      </c>
      <c r="Q2348" s="81" t="str">
        <f>IF(AND(B2348='111'!$L$11,OR($N2348=$Q$7,$O2348=$Q$7)),"x","")</f>
        <v/>
      </c>
      <c r="R2348" s="81" t="str">
        <f>IF(AND($N2348=$Q$7,$B2348&lt;'111'!$L$11),"x","")</f>
        <v/>
      </c>
      <c r="S2348" s="81" t="str">
        <f>IF(AND($O2348=$Q$7,$B2348&lt;'111'!$L$11),"x","")</f>
        <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row>
    <row r="2349" spans="1:30" ht="15.75" customHeight="1">
      <c r="A2349" s="327" t="str">
        <f>IF(B2349&lt;&gt;"",IF(AND(B2349='IN-TC'!$S$4,OR(TH!N2349="1111",TH!O2349="1111")),TH!D2349,""),"")</f>
        <v/>
      </c>
      <c r="B2349" s="62" t="str">
        <f t="shared" si="373"/>
        <v/>
      </c>
      <c r="C2349" s="63"/>
      <c r="D2349" s="63"/>
      <c r="E2349" s="63"/>
      <c r="F2349" s="71"/>
      <c r="G2349" s="816"/>
      <c r="H2349" s="71"/>
      <c r="I2349" s="405"/>
      <c r="J2349" s="405"/>
      <c r="K2349" s="398"/>
      <c r="L2349" s="405"/>
      <c r="M2349" s="64"/>
      <c r="N2349" s="65"/>
      <c r="O2349" s="65"/>
      <c r="P2349" s="81" t="str">
        <f>IF(AND('331-CT'!$E$7=TH!H2349,OR(N2349="331",O2349="331")),"x","")</f>
        <v/>
      </c>
      <c r="Q2349" s="81" t="str">
        <f>IF(AND(B2349='111'!$L$11,OR($N2349=$Q$7,$O2349=$Q$7)),"x","")</f>
        <v/>
      </c>
      <c r="R2349" s="81" t="str">
        <f>IF(AND($N2349=$Q$7,$B2349&lt;'111'!$L$11),"x","")</f>
        <v/>
      </c>
      <c r="S2349" s="81" t="str">
        <f>IF(AND($O2349=$Q$7,$B2349&lt;'111'!$L$11),"x","")</f>
        <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row>
    <row r="2350" spans="1:30" ht="15.75" customHeight="1">
      <c r="A2350" s="327" t="str">
        <f>IF(B2350&lt;&gt;"",IF(AND(B2350='IN-TC'!$S$4,OR(TH!N2350="1111",TH!O2350="1111")),TH!D2350,""),"")</f>
        <v/>
      </c>
      <c r="B2350" s="62" t="str">
        <f t="shared" si="373"/>
        <v/>
      </c>
      <c r="C2350" s="63"/>
      <c r="D2350" s="63"/>
      <c r="E2350" s="63"/>
      <c r="F2350" s="71"/>
      <c r="G2350" s="816"/>
      <c r="H2350" s="71"/>
      <c r="I2350" s="405"/>
      <c r="J2350" s="405"/>
      <c r="K2350" s="398"/>
      <c r="L2350" s="405"/>
      <c r="M2350" s="64"/>
      <c r="N2350" s="65"/>
      <c r="O2350" s="65"/>
      <c r="P2350" s="81" t="str">
        <f>IF(AND('331-CT'!$E$7=TH!H2350,OR(N2350="331",O2350="331")),"x","")</f>
        <v/>
      </c>
      <c r="Q2350" s="81" t="str">
        <f>IF(AND(B2350='111'!$L$11,OR($N2350=$Q$7,$O2350=$Q$7)),"x","")</f>
        <v/>
      </c>
      <c r="R2350" s="81" t="str">
        <f>IF(AND($N2350=$Q$7,$B2350&lt;'111'!$L$11),"x","")</f>
        <v/>
      </c>
      <c r="S2350" s="81" t="str">
        <f>IF(AND($O2350=$Q$7,$B2350&lt;'111'!$L$11),"x","")</f>
        <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row>
    <row r="2351" spans="1:30" ht="15.75" customHeight="1">
      <c r="A2351" s="327" t="str">
        <f>IF(B2351&lt;&gt;"",IF(AND(B2351='IN-TC'!$S$4,OR(TH!N2351="1111",TH!O2351="1111")),TH!D2351,""),"")</f>
        <v/>
      </c>
      <c r="B2351" s="62" t="str">
        <f t="shared" si="373"/>
        <v/>
      </c>
      <c r="C2351" s="63"/>
      <c r="D2351" s="63"/>
      <c r="E2351" s="63"/>
      <c r="F2351" s="71"/>
      <c r="G2351" s="816"/>
      <c r="H2351" s="71"/>
      <c r="I2351" s="405"/>
      <c r="J2351" s="405"/>
      <c r="K2351" s="398"/>
      <c r="L2351" s="405"/>
      <c r="M2351" s="64"/>
      <c r="N2351" s="65"/>
      <c r="O2351" s="65"/>
      <c r="P2351" s="81" t="str">
        <f>IF(AND('331-CT'!$E$7=TH!H2351,OR(N2351="331",O2351="331")),"x","")</f>
        <v/>
      </c>
      <c r="Q2351" s="81" t="str">
        <f>IF(AND(B2351='111'!$L$11,OR($N2351=$Q$7,$O2351=$Q$7)),"x","")</f>
        <v/>
      </c>
      <c r="R2351" s="81" t="str">
        <f>IF(AND($N2351=$Q$7,$B2351&lt;'111'!$L$11),"x","")</f>
        <v/>
      </c>
      <c r="S2351" s="81" t="str">
        <f>IF(AND($O2351=$Q$7,$B2351&lt;'111'!$L$11),"x","")</f>
        <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row>
    <row r="2352" spans="1:30" ht="15.75" customHeight="1">
      <c r="A2352" s="327" t="str">
        <f>IF(B2352&lt;&gt;"",IF(AND(B2352='IN-TC'!$S$4,OR(TH!N2352="1111",TH!O2352="1111")),TH!D2352,""),"")</f>
        <v/>
      </c>
      <c r="B2352" s="62" t="str">
        <f t="shared" ref="B2352:B2453" si="375">IF(C2352&lt;&gt;"",MONTH(C2352),"")</f>
        <v/>
      </c>
      <c r="C2352" s="63"/>
      <c r="D2352" s="63"/>
      <c r="E2352" s="63"/>
      <c r="F2352" s="71"/>
      <c r="G2352" s="816"/>
      <c r="H2352" s="71"/>
      <c r="I2352" s="405"/>
      <c r="J2352" s="405"/>
      <c r="K2352" s="398"/>
      <c r="L2352" s="405"/>
      <c r="M2352" s="64"/>
      <c r="N2352" s="65"/>
      <c r="O2352" s="65"/>
      <c r="P2352" s="81" t="str">
        <f>IF(AND('331-CT'!$E$7=TH!H2352,OR(N2352="331",O2352="331")),"x","")</f>
        <v/>
      </c>
      <c r="Q2352" s="81" t="str">
        <f>IF(AND(B2352='111'!$L$11,OR($N2352=$Q$7,$O2352=$Q$7)),"x","")</f>
        <v/>
      </c>
      <c r="R2352" s="81" t="str">
        <f>IF(AND($N2352=$Q$7,$B2352&lt;'111'!$L$11),"x","")</f>
        <v/>
      </c>
      <c r="S2352" s="81" t="str">
        <f>IF(AND($O2352=$Q$7,$B2352&lt;'111'!$L$11),"x","")</f>
        <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row>
    <row r="2353" spans="1:30" ht="15.75" customHeight="1">
      <c r="A2353" s="327" t="str">
        <f>IF(B2353&lt;&gt;"",IF(AND(B2353='IN-TC'!$S$4,OR(TH!N2353="1111",TH!O2353="1111")),TH!D2353,""),"")</f>
        <v/>
      </c>
      <c r="B2353" s="62" t="str">
        <f t="shared" si="375"/>
        <v/>
      </c>
      <c r="C2353" s="63"/>
      <c r="D2353" s="63"/>
      <c r="E2353" s="63"/>
      <c r="F2353" s="71"/>
      <c r="G2353" s="816"/>
      <c r="H2353" s="71"/>
      <c r="I2353" s="405"/>
      <c r="J2353" s="405"/>
      <c r="K2353" s="398"/>
      <c r="L2353" s="405"/>
      <c r="M2353" s="64"/>
      <c r="N2353" s="65"/>
      <c r="O2353" s="65"/>
      <c r="P2353" s="81" t="str">
        <f>IF(AND('331-CT'!$E$7=TH!H2353,OR(N2353="331",O2353="331")),"x","")</f>
        <v/>
      </c>
      <c r="Q2353" s="81" t="str">
        <f>IF(AND(B2353='111'!$L$11,OR($N2353=$Q$7,$O2353=$Q$7)),"x","")</f>
        <v/>
      </c>
      <c r="R2353" s="81" t="str">
        <f>IF(AND($N2353=$Q$7,$B2353&lt;'111'!$L$11),"x","")</f>
        <v/>
      </c>
      <c r="S2353" s="81" t="str">
        <f>IF(AND($O2353=$Q$7,$B2353&lt;'111'!$L$11),"x","")</f>
        <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row>
    <row r="2354" spans="1:30" ht="15.75" customHeight="1">
      <c r="A2354" s="327" t="str">
        <f>IF(B2354&lt;&gt;"",IF(AND(B2354='IN-TC'!$S$4,OR(TH!N2354="1111",TH!O2354="1111")),TH!D2354,""),"")</f>
        <v/>
      </c>
      <c r="B2354" s="62" t="str">
        <f t="shared" si="375"/>
        <v/>
      </c>
      <c r="C2354" s="63"/>
      <c r="D2354" s="63"/>
      <c r="E2354" s="63"/>
      <c r="F2354" s="71"/>
      <c r="G2354" s="816"/>
      <c r="H2354" s="71"/>
      <c r="I2354" s="405"/>
      <c r="J2354" s="405"/>
      <c r="K2354" s="398"/>
      <c r="L2354" s="405"/>
      <c r="M2354" s="64"/>
      <c r="N2354" s="65"/>
      <c r="O2354" s="65"/>
      <c r="P2354" s="81" t="str">
        <f>IF(AND('331-CT'!$E$7=TH!H2354,OR(N2354="331",O2354="331")),"x","")</f>
        <v/>
      </c>
      <c r="Q2354" s="81" t="str">
        <f>IF(AND(B2354='111'!$L$11,OR($N2354=$Q$7,$O2354=$Q$7)),"x","")</f>
        <v/>
      </c>
      <c r="R2354" s="81" t="str">
        <f>IF(AND($N2354=$Q$7,$B2354&lt;'111'!$L$11),"x","")</f>
        <v/>
      </c>
      <c r="S2354" s="81" t="str">
        <f>IF(AND($O2354=$Q$7,$B2354&lt;'111'!$L$11),"x","")</f>
        <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row>
    <row r="2355" spans="1:30" ht="15.75" customHeight="1">
      <c r="A2355" s="327" t="str">
        <f>IF(B2355&lt;&gt;"",IF(AND(B2355='IN-TC'!$S$4,OR(TH!N2355="1111",TH!O2355="1111")),TH!D2355,""),"")</f>
        <v/>
      </c>
      <c r="B2355" s="62" t="str">
        <f t="shared" si="375"/>
        <v/>
      </c>
      <c r="C2355" s="63"/>
      <c r="D2355" s="63"/>
      <c r="E2355" s="63"/>
      <c r="F2355" s="71"/>
      <c r="G2355" s="816"/>
      <c r="H2355" s="71"/>
      <c r="I2355" s="405"/>
      <c r="J2355" s="405"/>
      <c r="K2355" s="398"/>
      <c r="L2355" s="405"/>
      <c r="M2355" s="64"/>
      <c r="N2355" s="65"/>
      <c r="O2355" s="65"/>
      <c r="P2355" s="81" t="str">
        <f>IF(AND('331-CT'!$E$7=TH!H2355,OR(N2355="331",O2355="331")),"x","")</f>
        <v/>
      </c>
      <c r="Q2355" s="81" t="str">
        <f>IF(AND(B2355='111'!$L$11,OR($N2355=$Q$7,$O2355=$Q$7)),"x","")</f>
        <v/>
      </c>
      <c r="R2355" s="81" t="str">
        <f>IF(AND($N2355=$Q$7,$B2355&lt;'111'!$L$11),"x","")</f>
        <v/>
      </c>
      <c r="S2355" s="81" t="str">
        <f>IF(AND($O2355=$Q$7,$B2355&lt;'111'!$L$11),"x","")</f>
        <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row>
    <row r="2356" spans="1:30" ht="15.75" customHeight="1">
      <c r="A2356" s="327" t="str">
        <f>IF(B2356&lt;&gt;"",IF(AND(B2356='IN-TC'!$S$4,OR(TH!N2356="1111",TH!O2356="1111")),TH!D2356,""),"")</f>
        <v/>
      </c>
      <c r="B2356" s="62" t="str">
        <f t="shared" si="375"/>
        <v/>
      </c>
      <c r="C2356" s="63"/>
      <c r="D2356" s="63"/>
      <c r="E2356" s="63"/>
      <c r="F2356" s="71"/>
      <c r="G2356" s="816"/>
      <c r="H2356" s="71"/>
      <c r="I2356" s="405"/>
      <c r="J2356" s="405"/>
      <c r="K2356" s="398"/>
      <c r="L2356" s="405"/>
      <c r="M2356" s="64"/>
      <c r="N2356" s="65"/>
      <c r="O2356" s="65"/>
      <c r="P2356" s="81" t="str">
        <f>IF(AND('331-CT'!$E$7=TH!H2356,OR(N2356="331",O2356="331")),"x","")</f>
        <v/>
      </c>
      <c r="Q2356" s="81" t="str">
        <f>IF(AND(B2356='111'!$L$11,OR($N2356=$Q$7,$O2356=$Q$7)),"x","")</f>
        <v/>
      </c>
      <c r="R2356" s="81" t="str">
        <f>IF(AND($N2356=$Q$7,$B2356&lt;'111'!$L$11),"x","")</f>
        <v/>
      </c>
      <c r="S2356" s="81" t="str">
        <f>IF(AND($O2356=$Q$7,$B2356&lt;'111'!$L$11),"x","")</f>
        <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row>
    <row r="2357" spans="1:30" ht="15.75" customHeight="1">
      <c r="A2357" s="327" t="str">
        <f>IF(B2357&lt;&gt;"",IF(AND(B2357='IN-TC'!$S$4,OR(TH!N2357="1111",TH!O2357="1111")),TH!D2357,""),"")</f>
        <v/>
      </c>
      <c r="B2357" s="62" t="str">
        <f t="shared" si="375"/>
        <v/>
      </c>
      <c r="C2357" s="63"/>
      <c r="D2357" s="63"/>
      <c r="E2357" s="63"/>
      <c r="F2357" s="71"/>
      <c r="G2357" s="816"/>
      <c r="H2357" s="71"/>
      <c r="I2357" s="405"/>
      <c r="J2357" s="405"/>
      <c r="K2357" s="398"/>
      <c r="L2357" s="405"/>
      <c r="M2357" s="64"/>
      <c r="N2357" s="65"/>
      <c r="O2357" s="65"/>
      <c r="P2357" s="81" t="str">
        <f>IF(AND('331-CT'!$E$7=TH!H2357,OR(N2357="331",O2357="331")),"x","")</f>
        <v/>
      </c>
      <c r="Q2357" s="81" t="str">
        <f>IF(AND(B2357='111'!$L$11,OR($N2357=$Q$7,$O2357=$Q$7)),"x","")</f>
        <v/>
      </c>
      <c r="R2357" s="81" t="str">
        <f>IF(AND($N2357=$Q$7,$B2357&lt;'111'!$L$11),"x","")</f>
        <v/>
      </c>
      <c r="S2357" s="81" t="str">
        <f>IF(AND($O2357=$Q$7,$B2357&lt;'111'!$L$11),"x","")</f>
        <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row>
    <row r="2358" spans="1:30" ht="15.75" customHeight="1">
      <c r="A2358" s="327" t="str">
        <f>IF(B2358&lt;&gt;"",IF(AND(B2358='IN-TC'!$S$4,OR(TH!N2358="1111",TH!O2358="1111")),TH!D2358,""),"")</f>
        <v/>
      </c>
      <c r="B2358" s="62" t="str">
        <f t="shared" si="375"/>
        <v/>
      </c>
      <c r="C2358" s="63"/>
      <c r="D2358" s="63"/>
      <c r="E2358" s="63"/>
      <c r="F2358" s="71"/>
      <c r="G2358" s="816"/>
      <c r="H2358" s="71"/>
      <c r="I2358" s="405"/>
      <c r="J2358" s="405"/>
      <c r="K2358" s="398"/>
      <c r="L2358" s="405"/>
      <c r="M2358" s="64"/>
      <c r="N2358" s="65"/>
      <c r="O2358" s="65"/>
      <c r="P2358" s="81" t="str">
        <f>IF(AND('331-CT'!$E$7=TH!H2358,OR(N2358="331",O2358="331")),"x","")</f>
        <v/>
      </c>
      <c r="Q2358" s="81" t="str">
        <f>IF(AND(B2358='111'!$L$11,OR($N2358=$Q$7,$O2358=$Q$7)),"x","")</f>
        <v/>
      </c>
      <c r="R2358" s="81" t="str">
        <f>IF(AND($N2358=$Q$7,$B2358&lt;'111'!$L$11),"x","")</f>
        <v/>
      </c>
      <c r="S2358" s="81" t="str">
        <f>IF(AND($O2358=$Q$7,$B2358&lt;'111'!$L$11),"x","")</f>
        <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row>
    <row r="2359" spans="1:30" ht="15.75" customHeight="1">
      <c r="A2359" s="327" t="str">
        <f>IF(B2359&lt;&gt;"",IF(AND(B2359='IN-TC'!$S$4,OR(TH!N2359="1111",TH!O2359="1111")),TH!D2359,""),"")</f>
        <v/>
      </c>
      <c r="B2359" s="62" t="str">
        <f t="shared" si="375"/>
        <v/>
      </c>
      <c r="C2359" s="63"/>
      <c r="D2359" s="63"/>
      <c r="E2359" s="63"/>
      <c r="F2359" s="71"/>
      <c r="G2359" s="816"/>
      <c r="H2359" s="71"/>
      <c r="I2359" s="405"/>
      <c r="J2359" s="405"/>
      <c r="K2359" s="398"/>
      <c r="L2359" s="405"/>
      <c r="M2359" s="64"/>
      <c r="N2359" s="65"/>
      <c r="O2359" s="65"/>
      <c r="P2359" s="81" t="str">
        <f>IF(AND('331-CT'!$E$7=TH!H2359,OR(N2359="331",O2359="331")),"x","")</f>
        <v/>
      </c>
      <c r="Q2359" s="81" t="str">
        <f>IF(AND(B2359='111'!$L$11,OR($N2359=$Q$7,$O2359=$Q$7)),"x","")</f>
        <v/>
      </c>
      <c r="R2359" s="81" t="str">
        <f>IF(AND($N2359=$Q$7,$B2359&lt;'111'!$L$11),"x","")</f>
        <v/>
      </c>
      <c r="S2359" s="81" t="str">
        <f>IF(AND($O2359=$Q$7,$B2359&lt;'111'!$L$11),"x","")</f>
        <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row>
    <row r="2360" spans="1:30" ht="15.75" customHeight="1">
      <c r="A2360" s="327" t="str">
        <f>IF(B2360&lt;&gt;"",IF(AND(B2360='IN-TC'!$S$4,OR(TH!N2360="1111",TH!O2360="1111")),TH!D2360,""),"")</f>
        <v/>
      </c>
      <c r="B2360" s="62" t="str">
        <f t="shared" si="375"/>
        <v/>
      </c>
      <c r="C2360" s="63"/>
      <c r="D2360" s="63"/>
      <c r="E2360" s="63"/>
      <c r="F2360" s="71"/>
      <c r="G2360" s="816"/>
      <c r="H2360" s="71"/>
      <c r="I2360" s="405"/>
      <c r="J2360" s="405"/>
      <c r="K2360" s="398"/>
      <c r="L2360" s="405"/>
      <c r="M2360" s="64"/>
      <c r="N2360" s="65"/>
      <c r="O2360" s="65"/>
      <c r="P2360" s="81" t="str">
        <f>IF(AND('331-CT'!$E$7=TH!H2360,OR(N2360="331",O2360="331")),"x","")</f>
        <v/>
      </c>
      <c r="Q2360" s="81" t="str">
        <f>IF(AND(B2360='111'!$L$11,OR($N2360=$Q$7,$O2360=$Q$7)),"x","")</f>
        <v/>
      </c>
      <c r="R2360" s="81" t="str">
        <f>IF(AND($N2360=$Q$7,$B2360&lt;'111'!$L$11),"x","")</f>
        <v/>
      </c>
      <c r="S2360" s="81" t="str">
        <f>IF(AND($O2360=$Q$7,$B2360&lt;'111'!$L$11),"x","")</f>
        <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row>
    <row r="2361" spans="1:30" ht="15.75" customHeight="1">
      <c r="A2361" s="327" t="str">
        <f>IF(B2361&lt;&gt;"",IF(AND(B2361='IN-TC'!$S$4,OR(TH!N2361="1111",TH!O2361="1111")),TH!D2361,""),"")</f>
        <v/>
      </c>
      <c r="B2361" s="62" t="str">
        <f t="shared" ref="B2361:B2362" si="376">IF(C2361&lt;&gt;"",MONTH(C2361),"")</f>
        <v/>
      </c>
      <c r="C2361" s="63"/>
      <c r="D2361" s="63"/>
      <c r="E2361" s="63"/>
      <c r="F2361" s="71"/>
      <c r="G2361" s="816"/>
      <c r="H2361" s="71"/>
      <c r="I2361" s="405"/>
      <c r="J2361" s="405"/>
      <c r="K2361" s="398"/>
      <c r="L2361" s="405"/>
      <c r="M2361" s="64"/>
      <c r="N2361" s="65"/>
      <c r="O2361" s="65"/>
      <c r="P2361" s="81" t="str">
        <f>IF(AND('331-CT'!$E$7=TH!H2361,OR(N2361="331",O2361="331")),"x","")</f>
        <v/>
      </c>
      <c r="Q2361" s="81" t="str">
        <f>IF(AND(B2361='111'!$L$11,OR($N2361=$Q$7,$O2361=$Q$7)),"x","")</f>
        <v/>
      </c>
      <c r="R2361" s="81" t="str">
        <f>IF(AND($N2361=$Q$7,$B2361&lt;'111'!$L$11),"x","")</f>
        <v/>
      </c>
      <c r="S2361" s="81" t="str">
        <f>IF(AND($O2361=$Q$7,$B2361&lt;'111'!$L$11),"x","")</f>
        <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row>
    <row r="2362" spans="1:30" ht="15.75" customHeight="1">
      <c r="A2362" s="327" t="str">
        <f>IF(B2362&lt;&gt;"",IF(AND(B2362='IN-TC'!$S$4,OR(TH!N2362="1111",TH!O2362="1111")),TH!D2362,""),"")</f>
        <v/>
      </c>
      <c r="B2362" s="62" t="str">
        <f t="shared" si="376"/>
        <v/>
      </c>
      <c r="C2362" s="63"/>
      <c r="D2362" s="63"/>
      <c r="E2362" s="63"/>
      <c r="F2362" s="71"/>
      <c r="G2362" s="816"/>
      <c r="H2362" s="71"/>
      <c r="I2362" s="405"/>
      <c r="J2362" s="405"/>
      <c r="K2362" s="398"/>
      <c r="L2362" s="405"/>
      <c r="M2362" s="64"/>
      <c r="N2362" s="65"/>
      <c r="O2362" s="65"/>
      <c r="P2362" s="81" t="str">
        <f>IF(AND('331-CT'!$E$7=TH!H2362,OR(N2362="331",O2362="331")),"x","")</f>
        <v/>
      </c>
      <c r="Q2362" s="81" t="str">
        <f>IF(AND(B2362='111'!$L$11,OR($N2362=$Q$7,$O2362=$Q$7)),"x","")</f>
        <v/>
      </c>
      <c r="R2362" s="81" t="str">
        <f>IF(AND($N2362=$Q$7,$B2362&lt;'111'!$L$11),"x","")</f>
        <v/>
      </c>
      <c r="S2362" s="81" t="str">
        <f>IF(AND($O2362=$Q$7,$B2362&lt;'111'!$L$11),"x","")</f>
        <v/>
      </c>
      <c r="T2362" s="81" t="str">
        <f>IF(ISERROR(FIND('112'!$M$9,G2362,1)),"",IF((AND(FIND('112'!$M$9,G2362,1)&gt;=1,B2362='112'!$K$9,OR($N2362='112'!$I$6,$O2362='112'!$I$6))),"x",""))</f>
        <v/>
      </c>
      <c r="U2362" s="81" t="str">
        <f>IF(ISERROR(FIND('112'!$M$9,G2362,1)),"",IF((AND(LEFT(G2362,2)=LEFT('112'!$M$9,2),B2362&lt;'112'!$K$9,$N2362='112'!$I$6)),"x",""))</f>
        <v/>
      </c>
      <c r="V2362" s="81" t="str">
        <f>IF(ISERROR(FIND('112'!$M$9,G2362,1)),"",IF((AND(RIGHT(G2362,2)=RIGHT('112'!$M$9,2),B2362&lt;'112'!$K$9,$O2362='112'!$I$6)),"x",""))</f>
        <v/>
      </c>
      <c r="W2362" s="81" t="str">
        <f>IF(AND('341-CT'!$H$9=H2362,OR(LEFT(N2362,3)=$W$7,LEFT(O2362,3)=$W$7)),"x","")</f>
        <v/>
      </c>
      <c r="X2362" s="81" t="str">
        <f>IF(OR(TH!N2362=TH!$X$7,O2362=TH!$X$7),"x","")</f>
        <v/>
      </c>
      <c r="Y2362" s="81" t="str">
        <f>IF(AND(OR(N2362="131",O2362="131"),H2362='131-CT'!$H$9),"x","")</f>
        <v/>
      </c>
      <c r="Z2362" s="81"/>
      <c r="AA2362" s="81" t="str">
        <f>IF(AND(MONTH(E2362)='IN-NX'!$J$5,'IN-NX'!$D$7=D2362),"x","")</f>
        <v/>
      </c>
      <c r="AB2362" s="81" t="str">
        <f>IF(AND(OR(LEFT(TH!N2362,2)="15",LEFT(TH!O2362,2)="15"),LEFT(TH!O2362,3)&lt;&gt;"111",'152-CT'!$J$8=TH!F2362),"x","")</f>
        <v/>
      </c>
      <c r="AC2362" s="81" t="str">
        <f>IF(AND(OR(LEFT(TH!N2362,2)="15",LEFT(TH!O2362,2)="15"),TK!$E$7=TH!F2362),"x","")</f>
        <v/>
      </c>
      <c r="AD2362" s="81" t="str">
        <f>IF(AND(N2362="1521",MONTH(C2362)='BK-NL'!$M$11),"x","")</f>
        <v/>
      </c>
    </row>
    <row r="2363" spans="1:30" ht="15.75" customHeight="1">
      <c r="A2363" s="998" t="str">
        <f>IF(B2363&lt;&gt;"",IF(AND(B2363='IN-TC'!$S$4,OR(TH!N2363="1111",TH!O2363="1111")),TH!D2363,""),"")</f>
        <v/>
      </c>
      <c r="B2363" s="831" t="str">
        <f t="shared" ref="B2363:B2370" si="377">IF(C2363&lt;&gt;"",MONTH(C2363),"")</f>
        <v/>
      </c>
      <c r="C2363" s="63"/>
      <c r="D2363" s="63"/>
      <c r="E2363" s="63"/>
      <c r="F2363" s="71"/>
      <c r="G2363" s="816"/>
      <c r="H2363" s="71"/>
      <c r="I2363" s="405"/>
      <c r="J2363" s="405"/>
      <c r="K2363" s="398"/>
      <c r="L2363" s="405"/>
      <c r="M2363" s="64"/>
      <c r="N2363" s="65"/>
      <c r="O2363" s="65"/>
      <c r="P2363" s="81" t="str">
        <f>IF(AND('331-CT'!$E$7=TH!H2363,OR(N2363="331",O2363="331")),"x","")</f>
        <v/>
      </c>
      <c r="Q2363" s="81" t="str">
        <f>IF(AND(B2363='111'!$L$11,OR($N2363=$Q$7,$O2363=$Q$7)),"x","")</f>
        <v/>
      </c>
      <c r="R2363" s="81" t="str">
        <f>IF(AND($N2363=$Q$7,$B2363&lt;'111'!$L$11),"x","")</f>
        <v/>
      </c>
      <c r="S2363" s="81" t="str">
        <f>IF(AND($O2363=$Q$7,$B2363&lt;'111'!$L$11),"x","")</f>
        <v/>
      </c>
      <c r="T2363" s="81" t="str">
        <f>IF(ISERROR(FIND('112'!$M$9,G2363,1)),"",IF((AND(FIND('112'!$M$9,G2363,1)&gt;=1,B2363='112'!$K$9,OR($N2363='112'!$I$6,$O2363='112'!$I$6))),"x",""))</f>
        <v/>
      </c>
      <c r="U2363" s="81" t="str">
        <f>IF(ISERROR(FIND('112'!$M$9,G2363,1)),"",IF((AND(LEFT(G2363,2)=LEFT('112'!$M$9,2),B2363&lt;'112'!$K$9,$N2363='112'!$I$6)),"x",""))</f>
        <v/>
      </c>
      <c r="V2363" s="81" t="str">
        <f>IF(ISERROR(FIND('112'!$M$9,G2363,1)),"",IF((AND(RIGHT(G2363,2)=RIGHT('112'!$M$9,2),B2363&lt;'112'!$K$9,$O2363='112'!$I$6)),"x",""))</f>
        <v/>
      </c>
      <c r="W2363" s="81" t="str">
        <f>IF(AND('341-CT'!$H$9=H2363,OR(LEFT(N2363,3)=$W$7,LEFT(O2363,3)=$W$7)),"x","")</f>
        <v/>
      </c>
      <c r="X2363" s="81" t="str">
        <f>IF(OR(TH!N2363=TH!$X$7,O2363=TH!$X$7),"x","")</f>
        <v/>
      </c>
      <c r="Y2363" s="81" t="str">
        <f>IF(AND(OR(N2363="131",O2363="131"),H2363='131-CT'!$H$9),"x","")</f>
        <v/>
      </c>
      <c r="Z2363" s="81"/>
      <c r="AA2363" s="81" t="str">
        <f>IF(AND(MONTH(E2363)='IN-NX'!$J$5,'IN-NX'!$D$7=D2363),"x","")</f>
        <v/>
      </c>
      <c r="AB2363" s="81" t="str">
        <f>IF(AND(OR(LEFT(TH!N2363,2)="15",LEFT(TH!O2363,2)="15"),LEFT(TH!O2363,3)&lt;&gt;"111",'152-CT'!$J$8=TH!F2363),"x","")</f>
        <v/>
      </c>
      <c r="AC2363" s="81" t="str">
        <f>IF(AND(OR(LEFT(TH!N2363,2)="15",LEFT(TH!O2363,2)="15"),TK!$E$7=TH!F2363),"x","")</f>
        <v/>
      </c>
      <c r="AD2363" s="81" t="str">
        <f>IF(AND(N2363="1521",MONTH(C2363)='BK-NL'!$M$11),"x","")</f>
        <v/>
      </c>
    </row>
    <row r="2364" spans="1:30" ht="15.75" customHeight="1">
      <c r="A2364" s="998" t="str">
        <f>IF(B2364&lt;&gt;"",IF(AND(B2364='IN-TC'!$S$4,OR(TH!N2364="1111",TH!O2364="1111")),TH!D2364,""),"")</f>
        <v/>
      </c>
      <c r="B2364" s="831" t="str">
        <f t="shared" si="377"/>
        <v/>
      </c>
      <c r="C2364" s="63"/>
      <c r="D2364" s="63"/>
      <c r="E2364" s="63"/>
      <c r="F2364" s="71"/>
      <c r="G2364" s="816"/>
      <c r="H2364" s="71"/>
      <c r="I2364" s="405"/>
      <c r="J2364" s="405"/>
      <c r="K2364" s="398"/>
      <c r="L2364" s="405"/>
      <c r="M2364" s="64"/>
      <c r="N2364" s="65"/>
      <c r="O2364" s="65"/>
      <c r="P2364" s="81" t="str">
        <f>IF(AND('331-CT'!$E$7=TH!H2364,OR(N2364="331",O2364="331")),"x","")</f>
        <v/>
      </c>
      <c r="Q2364" s="81" t="str">
        <f>IF(AND(B2364='111'!$L$11,OR($N2364=$Q$7,$O2364=$Q$7)),"x","")</f>
        <v/>
      </c>
      <c r="R2364" s="81" t="str">
        <f>IF(AND($N2364=$Q$7,$B2364&lt;'111'!$L$11),"x","")</f>
        <v/>
      </c>
      <c r="S2364" s="81" t="str">
        <f>IF(AND($O2364=$Q$7,$B2364&lt;'111'!$L$11),"x","")</f>
        <v/>
      </c>
      <c r="T2364" s="81" t="str">
        <f>IF(ISERROR(FIND('112'!$M$9,G2364,1)),"",IF((AND(FIND('112'!$M$9,G2364,1)&gt;=1,B2364='112'!$K$9,OR($N2364='112'!$I$6,$O2364='112'!$I$6))),"x",""))</f>
        <v/>
      </c>
      <c r="U2364" s="81" t="str">
        <f>IF(ISERROR(FIND('112'!$M$9,G2364,1)),"",IF((AND(LEFT(G2364,2)=LEFT('112'!$M$9,2),B2364&lt;'112'!$K$9,$N2364='112'!$I$6)),"x",""))</f>
        <v/>
      </c>
      <c r="V2364" s="81" t="str">
        <f>IF(ISERROR(FIND('112'!$M$9,G2364,1)),"",IF((AND(RIGHT(G2364,2)=RIGHT('112'!$M$9,2),B2364&lt;'112'!$K$9,$O2364='112'!$I$6)),"x",""))</f>
        <v/>
      </c>
      <c r="W2364" s="81" t="str">
        <f>IF(AND('341-CT'!$H$9=H2364,OR(LEFT(N2364,3)=$W$7,LEFT(O2364,3)=$W$7)),"x","")</f>
        <v/>
      </c>
      <c r="X2364" s="81" t="str">
        <f>IF(OR(TH!N2364=TH!$X$7,O2364=TH!$X$7),"x","")</f>
        <v/>
      </c>
      <c r="Y2364" s="81" t="str">
        <f>IF(AND(OR(N2364="131",O2364="131"),H2364='131-CT'!$H$9),"x","")</f>
        <v/>
      </c>
      <c r="Z2364" s="81"/>
      <c r="AA2364" s="81" t="str">
        <f>IF(AND(MONTH(E2364)='IN-NX'!$J$5,'IN-NX'!$D$7=D2364),"x","")</f>
        <v/>
      </c>
      <c r="AB2364" s="81" t="str">
        <f>IF(AND(OR(LEFT(TH!N2364,2)="15",LEFT(TH!O2364,2)="15"),LEFT(TH!O2364,3)&lt;&gt;"111",'152-CT'!$J$8=TH!F2364),"x","")</f>
        <v/>
      </c>
      <c r="AC2364" s="81" t="str">
        <f>IF(AND(OR(LEFT(TH!N2364,2)="15",LEFT(TH!O2364,2)="15"),TK!$E$7=TH!F2364),"x","")</f>
        <v/>
      </c>
      <c r="AD2364" s="81" t="str">
        <f>IF(AND(N2364="1521",MONTH(C2364)='BK-NL'!$M$11),"x","")</f>
        <v/>
      </c>
    </row>
    <row r="2365" spans="1:30" ht="15.75" customHeight="1">
      <c r="A2365" s="998" t="str">
        <f>IF(B2365&lt;&gt;"",IF(AND(B2365='IN-TC'!$S$4,OR(TH!N2365="1111",TH!O2365="1111")),TH!D2365,""),"")</f>
        <v/>
      </c>
      <c r="B2365" s="831" t="str">
        <f t="shared" si="377"/>
        <v/>
      </c>
      <c r="C2365" s="63"/>
      <c r="D2365" s="63"/>
      <c r="E2365" s="63"/>
      <c r="F2365" s="71"/>
      <c r="G2365" s="816"/>
      <c r="H2365" s="71"/>
      <c r="I2365" s="405"/>
      <c r="J2365" s="405"/>
      <c r="K2365" s="398"/>
      <c r="L2365" s="405"/>
      <c r="M2365" s="64"/>
      <c r="N2365" s="65"/>
      <c r="O2365" s="65"/>
      <c r="P2365" s="81" t="str">
        <f>IF(AND('331-CT'!$E$7=TH!H2365,OR(N2365="331",O2365="331")),"x","")</f>
        <v/>
      </c>
      <c r="Q2365" s="81" t="str">
        <f>IF(AND(B2365='111'!$L$11,OR($N2365=$Q$7,$O2365=$Q$7)),"x","")</f>
        <v/>
      </c>
      <c r="R2365" s="81" t="str">
        <f>IF(AND($N2365=$Q$7,$B2365&lt;'111'!$L$11),"x","")</f>
        <v/>
      </c>
      <c r="S2365" s="81" t="str">
        <f>IF(AND($O2365=$Q$7,$B2365&lt;'111'!$L$11),"x","")</f>
        <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row>
    <row r="2366" spans="1:30" ht="15.75" customHeight="1">
      <c r="A2366" s="998" t="str">
        <f>IF(B2366&lt;&gt;"",IF(AND(B2366='IN-TC'!$S$4,OR(TH!N2366="1111",TH!O2366="1111")),TH!D2366,""),"")</f>
        <v/>
      </c>
      <c r="B2366" s="831" t="str">
        <f t="shared" si="377"/>
        <v/>
      </c>
      <c r="C2366" s="63"/>
      <c r="D2366" s="63"/>
      <c r="E2366" s="63"/>
      <c r="F2366" s="71"/>
      <c r="G2366" s="816"/>
      <c r="H2366" s="71"/>
      <c r="I2366" s="405"/>
      <c r="J2366" s="405"/>
      <c r="K2366" s="398"/>
      <c r="L2366" s="405"/>
      <c r="M2366" s="64"/>
      <c r="N2366" s="65"/>
      <c r="O2366" s="65"/>
      <c r="P2366" s="81" t="str">
        <f>IF(AND('331-CT'!$E$7=TH!H2366,OR(N2366="331",O2366="331")),"x","")</f>
        <v/>
      </c>
      <c r="Q2366" s="81" t="str">
        <f>IF(AND(B2366='111'!$L$11,OR($N2366=$Q$7,$O2366=$Q$7)),"x","")</f>
        <v/>
      </c>
      <c r="R2366" s="81" t="str">
        <f>IF(AND($N2366=$Q$7,$B2366&lt;'111'!$L$11),"x","")</f>
        <v/>
      </c>
      <c r="S2366" s="81" t="str">
        <f>IF(AND($O2366=$Q$7,$B2366&lt;'111'!$L$11),"x","")</f>
        <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row>
    <row r="2367" spans="1:30" ht="15.75" customHeight="1">
      <c r="A2367" s="998" t="str">
        <f>IF(B2367&lt;&gt;"",IF(AND(B2367='IN-TC'!$S$4,OR(TH!N2367="1111",TH!O2367="1111")),TH!D2367,""),"")</f>
        <v/>
      </c>
      <c r="B2367" s="831" t="str">
        <f t="shared" si="377"/>
        <v/>
      </c>
      <c r="C2367" s="63"/>
      <c r="D2367" s="63"/>
      <c r="E2367" s="63"/>
      <c r="F2367" s="71"/>
      <c r="G2367" s="816"/>
      <c r="H2367" s="71"/>
      <c r="I2367" s="405"/>
      <c r="J2367" s="405"/>
      <c r="K2367" s="398"/>
      <c r="L2367" s="405"/>
      <c r="M2367" s="64"/>
      <c r="N2367" s="65"/>
      <c r="O2367" s="65"/>
      <c r="P2367" s="81" t="str">
        <f>IF(AND('331-CT'!$E$7=TH!H2367,OR(N2367="331",O2367="331")),"x","")</f>
        <v/>
      </c>
      <c r="Q2367" s="81" t="str">
        <f>IF(AND(B2367='111'!$L$11,OR($N2367=$Q$7,$O2367=$Q$7)),"x","")</f>
        <v/>
      </c>
      <c r="R2367" s="81" t="str">
        <f>IF(AND($N2367=$Q$7,$B2367&lt;'111'!$L$11),"x","")</f>
        <v/>
      </c>
      <c r="S2367" s="81" t="str">
        <f>IF(AND($O2367=$Q$7,$B2367&lt;'111'!$L$11),"x","")</f>
        <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row>
    <row r="2368" spans="1:30" ht="15.75" customHeight="1">
      <c r="A2368" s="998" t="str">
        <f>IF(B2368&lt;&gt;"",IF(AND(B2368='IN-TC'!$S$4,OR(TH!N2368="1111",TH!O2368="1111")),TH!D2368,""),"")</f>
        <v/>
      </c>
      <c r="B2368" s="831" t="str">
        <f t="shared" si="377"/>
        <v/>
      </c>
      <c r="C2368" s="63"/>
      <c r="D2368" s="63"/>
      <c r="E2368" s="63"/>
      <c r="F2368" s="71"/>
      <c r="G2368" s="816"/>
      <c r="H2368" s="71"/>
      <c r="I2368" s="405"/>
      <c r="J2368" s="405"/>
      <c r="K2368" s="398"/>
      <c r="L2368" s="405"/>
      <c r="M2368" s="64"/>
      <c r="N2368" s="65"/>
      <c r="O2368" s="65"/>
      <c r="P2368" s="81" t="str">
        <f>IF(AND('331-CT'!$E$7=TH!H2368,OR(N2368="331",O2368="331")),"x","")</f>
        <v/>
      </c>
      <c r="Q2368" s="81" t="str">
        <f>IF(AND(B2368='111'!$L$11,OR($N2368=$Q$7,$O2368=$Q$7)),"x","")</f>
        <v/>
      </c>
      <c r="R2368" s="81" t="str">
        <f>IF(AND($N2368=$Q$7,$B2368&lt;'111'!$L$11),"x","")</f>
        <v/>
      </c>
      <c r="S2368" s="81" t="str">
        <f>IF(AND($O2368=$Q$7,$B2368&lt;'111'!$L$11),"x","")</f>
        <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0" ht="15.75" customHeight="1">
      <c r="A2369" s="998" t="str">
        <f>IF(B2369&lt;&gt;"",IF(AND(B2369='IN-TC'!$S$4,OR(TH!N2369="1111",TH!O2369="1111")),TH!D2369,""),"")</f>
        <v/>
      </c>
      <c r="B2369" s="831" t="str">
        <f t="shared" si="377"/>
        <v/>
      </c>
      <c r="C2369" s="63"/>
      <c r="D2369" s="63"/>
      <c r="E2369" s="63"/>
      <c r="F2369" s="71"/>
      <c r="G2369" s="816"/>
      <c r="H2369" s="71"/>
      <c r="I2369" s="405"/>
      <c r="J2369" s="405"/>
      <c r="K2369" s="398"/>
      <c r="L2369" s="405"/>
      <c r="M2369" s="64"/>
      <c r="N2369" s="65"/>
      <c r="O2369" s="65"/>
      <c r="P2369" s="81" t="str">
        <f>IF(AND('331-CT'!$E$7=TH!H2369,OR(N2369="331",O2369="331")),"x","")</f>
        <v/>
      </c>
      <c r="Q2369" s="81" t="str">
        <f>IF(AND(B2369='111'!$L$11,OR($N2369=$Q$7,$O2369=$Q$7)),"x","")</f>
        <v/>
      </c>
      <c r="R2369" s="81" t="str">
        <f>IF(AND($N2369=$Q$7,$B2369&lt;'111'!$L$11),"x","")</f>
        <v/>
      </c>
      <c r="S2369" s="81" t="str">
        <f>IF(AND($O2369=$Q$7,$B2369&lt;'111'!$L$11),"x","")</f>
        <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row>
    <row r="2370" spans="1:30" ht="15.75" customHeight="1">
      <c r="A2370" s="998" t="str">
        <f>IF(B2370&lt;&gt;"",IF(AND(B2370='IN-TC'!$S$4,OR(TH!N2370="1111",TH!O2370="1111")),TH!D2370,""),"")</f>
        <v/>
      </c>
      <c r="B2370" s="831" t="str">
        <f t="shared" si="377"/>
        <v/>
      </c>
      <c r="C2370" s="63"/>
      <c r="D2370" s="63"/>
      <c r="E2370" s="63"/>
      <c r="F2370" s="71"/>
      <c r="G2370" s="816"/>
      <c r="H2370" s="71"/>
      <c r="I2370" s="405"/>
      <c r="J2370" s="405"/>
      <c r="K2370" s="398"/>
      <c r="L2370" s="405"/>
      <c r="M2370" s="64"/>
      <c r="N2370" s="65"/>
      <c r="O2370" s="65"/>
      <c r="P2370" s="81" t="str">
        <f>IF(AND('331-CT'!$E$7=TH!H2370,OR(N2370="331",O2370="331")),"x","")</f>
        <v/>
      </c>
      <c r="Q2370" s="81" t="str">
        <f>IF(AND(B2370='111'!$L$11,OR($N2370=$Q$7,$O2370=$Q$7)),"x","")</f>
        <v/>
      </c>
      <c r="R2370" s="81" t="str">
        <f>IF(AND($N2370=$Q$7,$B2370&lt;'111'!$L$11),"x","")</f>
        <v/>
      </c>
      <c r="S2370" s="81" t="str">
        <f>IF(AND($O2370=$Q$7,$B2370&lt;'111'!$L$11),"x","")</f>
        <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row>
    <row r="2371" spans="1:30" ht="15.75" customHeight="1">
      <c r="A2371" s="998" t="str">
        <f>IF(B2371&lt;&gt;"",IF(AND(B2371='IN-TC'!$S$4,OR(TH!N2371="1111",TH!O2371="1111")),TH!D2371,""),"")</f>
        <v/>
      </c>
      <c r="B2371" s="831" t="str">
        <f t="shared" si="375"/>
        <v/>
      </c>
      <c r="C2371" s="63"/>
      <c r="D2371" s="63"/>
      <c r="E2371" s="63"/>
      <c r="F2371" s="71"/>
      <c r="G2371" s="816"/>
      <c r="H2371" s="71"/>
      <c r="I2371" s="405"/>
      <c r="J2371" s="405"/>
      <c r="K2371" s="398"/>
      <c r="L2371" s="405"/>
      <c r="M2371" s="64"/>
      <c r="N2371" s="65"/>
      <c r="O2371" s="65"/>
      <c r="P2371" s="81" t="str">
        <f>IF(AND('331-CT'!$E$7=TH!H2371,OR(N2371="331",O2371="331")),"x","")</f>
        <v/>
      </c>
      <c r="Q2371" s="81" t="str">
        <f>IF(AND(B2371='111'!$L$11,OR($N2371=$Q$7,$O2371=$Q$7)),"x","")</f>
        <v/>
      </c>
      <c r="R2371" s="81" t="str">
        <f>IF(AND($N2371=$Q$7,$B2371&lt;'111'!$L$11),"x","")</f>
        <v/>
      </c>
      <c r="S2371" s="81" t="str">
        <f>IF(AND($O2371=$Q$7,$B2371&lt;'111'!$L$11),"x","")</f>
        <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row>
    <row r="2372" spans="1:30" ht="15.75" customHeight="1">
      <c r="A2372" s="998" t="str">
        <f>IF(B2372&lt;&gt;"",IF(AND(B2372='IN-TC'!$S$4,OR(TH!N2372="1111",TH!O2372="1111")),TH!D2372,""),"")</f>
        <v/>
      </c>
      <c r="B2372" s="831" t="str">
        <f t="shared" si="375"/>
        <v/>
      </c>
      <c r="C2372" s="63"/>
      <c r="D2372" s="63"/>
      <c r="E2372" s="63"/>
      <c r="F2372" s="71"/>
      <c r="G2372" s="816"/>
      <c r="H2372" s="71"/>
      <c r="I2372" s="405"/>
      <c r="J2372" s="405"/>
      <c r="K2372" s="398"/>
      <c r="L2372" s="405"/>
      <c r="M2372" s="64"/>
      <c r="N2372" s="65"/>
      <c r="O2372" s="65"/>
      <c r="P2372" s="81" t="str">
        <f>IF(AND('331-CT'!$E$7=TH!H2372,OR(N2372="331",O2372="331")),"x","")</f>
        <v/>
      </c>
      <c r="Q2372" s="81" t="str">
        <f>IF(AND(B2372='111'!$L$11,OR($N2372=$Q$7,$O2372=$Q$7)),"x","")</f>
        <v/>
      </c>
      <c r="R2372" s="81" t="str">
        <f>IF(AND($N2372=$Q$7,$B2372&lt;'111'!$L$11),"x","")</f>
        <v/>
      </c>
      <c r="S2372" s="81" t="str">
        <f>IF(AND($O2372=$Q$7,$B2372&lt;'111'!$L$11),"x","")</f>
        <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row>
    <row r="2373" spans="1:30" ht="15.75" customHeight="1">
      <c r="A2373" s="998" t="str">
        <f>IF(B2373&lt;&gt;"",IF(AND(B2373='IN-TC'!$S$4,OR(TH!N2373="1111",TH!O2373="1111")),TH!D2373,""),"")</f>
        <v/>
      </c>
      <c r="B2373" s="831" t="str">
        <f t="shared" ref="B2373" si="378">IF(C2373&lt;&gt;"",MONTH(C2373),"")</f>
        <v/>
      </c>
      <c r="C2373" s="63"/>
      <c r="D2373" s="63"/>
      <c r="E2373" s="63"/>
      <c r="F2373" s="71"/>
      <c r="G2373" s="816"/>
      <c r="H2373" s="71"/>
      <c r="I2373" s="405"/>
      <c r="J2373" s="405"/>
      <c r="K2373" s="398"/>
      <c r="L2373" s="405"/>
      <c r="M2373" s="64"/>
      <c r="N2373" s="65"/>
      <c r="O2373" s="65"/>
      <c r="P2373" s="81" t="str">
        <f>IF(AND('331-CT'!$E$7=TH!H2373,OR(N2373="331",O2373="331")),"x","")</f>
        <v/>
      </c>
      <c r="Q2373" s="81" t="str">
        <f>IF(AND(B2373='111'!$L$11,OR($N2373=$Q$7,$O2373=$Q$7)),"x","")</f>
        <v/>
      </c>
      <c r="R2373" s="81" t="str">
        <f>IF(AND($N2373=$Q$7,$B2373&lt;'111'!$L$11),"x","")</f>
        <v/>
      </c>
      <c r="S2373" s="81" t="str">
        <f>IF(AND($O2373=$Q$7,$B2373&lt;'111'!$L$11),"x","")</f>
        <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row>
    <row r="2374" spans="1:30" ht="15.75" customHeight="1">
      <c r="A2374" s="998" t="str">
        <f>IF(B2374&lt;&gt;"",IF(AND(B2374='IN-TC'!$S$4,OR(TH!N2374="1111",TH!O2374="1111")),TH!D2374,""),"")</f>
        <v/>
      </c>
      <c r="B2374" s="831" t="str">
        <f t="shared" ref="B2374:B2400" si="379">IF(C2374&lt;&gt;"",MONTH(C2374),"")</f>
        <v/>
      </c>
      <c r="C2374" s="63"/>
      <c r="D2374" s="63"/>
      <c r="E2374" s="63"/>
      <c r="F2374" s="71"/>
      <c r="G2374" s="816"/>
      <c r="H2374" s="71"/>
      <c r="I2374" s="405"/>
      <c r="J2374" s="405"/>
      <c r="K2374" s="398"/>
      <c r="L2374" s="405"/>
      <c r="M2374" s="64"/>
      <c r="N2374" s="65"/>
      <c r="O2374" s="65"/>
      <c r="P2374" s="81" t="str">
        <f>IF(AND('331-CT'!$E$7=TH!H2374,OR(N2374="331",O2374="331")),"x","")</f>
        <v/>
      </c>
      <c r="Q2374" s="81" t="str">
        <f>IF(AND(B2374='111'!$L$11,OR($N2374=$Q$7,$O2374=$Q$7)),"x","")</f>
        <v/>
      </c>
      <c r="R2374" s="81" t="str">
        <f>IF(AND($N2374=$Q$7,$B2374&lt;'111'!$L$11),"x","")</f>
        <v/>
      </c>
      <c r="S2374" s="81" t="str">
        <f>IF(AND($O2374=$Q$7,$B2374&lt;'111'!$L$11),"x","")</f>
        <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row>
    <row r="2375" spans="1:30" ht="15.75" customHeight="1">
      <c r="A2375" s="998" t="str">
        <f>IF(B2375&lt;&gt;"",IF(AND(B2375='IN-TC'!$S$4,OR(TH!N2375="1111",TH!O2375="1111")),TH!D2375,""),"")</f>
        <v/>
      </c>
      <c r="B2375" s="831" t="str">
        <f t="shared" si="379"/>
        <v/>
      </c>
      <c r="C2375" s="63"/>
      <c r="D2375" s="63"/>
      <c r="E2375" s="63"/>
      <c r="F2375" s="71"/>
      <c r="G2375" s="816"/>
      <c r="H2375" s="71"/>
      <c r="I2375" s="405"/>
      <c r="J2375" s="405"/>
      <c r="K2375" s="398"/>
      <c r="L2375" s="405"/>
      <c r="M2375" s="64"/>
      <c r="N2375" s="65"/>
      <c r="O2375" s="65"/>
      <c r="P2375" s="81" t="str">
        <f>IF(AND('331-CT'!$E$7=TH!H2375,OR(N2375="331",O2375="331")),"x","")</f>
        <v/>
      </c>
      <c r="Q2375" s="81" t="str">
        <f>IF(AND(B2375='111'!$L$11,OR($N2375=$Q$7,$O2375=$Q$7)),"x","")</f>
        <v/>
      </c>
      <c r="R2375" s="81" t="str">
        <f>IF(AND($N2375=$Q$7,$B2375&lt;'111'!$L$11),"x","")</f>
        <v/>
      </c>
      <c r="S2375" s="81" t="str">
        <f>IF(AND($O2375=$Q$7,$B2375&lt;'111'!$L$11),"x","")</f>
        <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row>
    <row r="2376" spans="1:30" ht="15.75" customHeight="1">
      <c r="A2376" s="998" t="str">
        <f>IF(B2376&lt;&gt;"",IF(AND(B2376='IN-TC'!$S$4,OR(TH!N2376="1111",TH!O2376="1111")),TH!D2376,""),"")</f>
        <v/>
      </c>
      <c r="B2376" s="831" t="str">
        <f t="shared" si="379"/>
        <v/>
      </c>
      <c r="C2376" s="63"/>
      <c r="D2376" s="63"/>
      <c r="E2376" s="63"/>
      <c r="F2376" s="71"/>
      <c r="G2376" s="816"/>
      <c r="H2376" s="71"/>
      <c r="I2376" s="405"/>
      <c r="J2376" s="405"/>
      <c r="K2376" s="398"/>
      <c r="L2376" s="405"/>
      <c r="M2376" s="64"/>
      <c r="N2376" s="65"/>
      <c r="O2376" s="65"/>
      <c r="P2376" s="81" t="str">
        <f>IF(AND('331-CT'!$E$7=TH!H2376,OR(N2376="331",O2376="331")),"x","")</f>
        <v/>
      </c>
      <c r="Q2376" s="81" t="str">
        <f>IF(AND(B2376='111'!$L$11,OR($N2376=$Q$7,$O2376=$Q$7)),"x","")</f>
        <v/>
      </c>
      <c r="R2376" s="81" t="str">
        <f>IF(AND($N2376=$Q$7,$B2376&lt;'111'!$L$11),"x","")</f>
        <v/>
      </c>
      <c r="S2376" s="81" t="str">
        <f>IF(AND($O2376=$Q$7,$B2376&lt;'111'!$L$11),"x","")</f>
        <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row>
    <row r="2377" spans="1:30" ht="15.75" customHeight="1">
      <c r="A2377" s="998" t="str">
        <f>IF(B2377&lt;&gt;"",IF(AND(B2377='IN-TC'!$S$4,OR(TH!N2377="1111",TH!O2377="1111")),TH!D2377,""),"")</f>
        <v/>
      </c>
      <c r="B2377" s="831" t="str">
        <f t="shared" si="379"/>
        <v/>
      </c>
      <c r="C2377" s="63"/>
      <c r="D2377" s="63"/>
      <c r="E2377" s="63"/>
      <c r="F2377" s="71"/>
      <c r="G2377" s="816"/>
      <c r="H2377" s="71"/>
      <c r="I2377" s="405"/>
      <c r="J2377" s="405"/>
      <c r="K2377" s="398"/>
      <c r="L2377" s="405"/>
      <c r="M2377" s="64"/>
      <c r="N2377" s="65"/>
      <c r="O2377" s="65"/>
      <c r="P2377" s="81" t="str">
        <f>IF(AND('331-CT'!$E$7=TH!H2377,OR(N2377="331",O2377="331")),"x","")</f>
        <v/>
      </c>
      <c r="Q2377" s="81" t="str">
        <f>IF(AND(B2377='111'!$L$11,OR($N2377=$Q$7,$O2377=$Q$7)),"x","")</f>
        <v/>
      </c>
      <c r="R2377" s="81" t="str">
        <f>IF(AND($N2377=$Q$7,$B2377&lt;'111'!$L$11),"x","")</f>
        <v/>
      </c>
      <c r="S2377" s="81" t="str">
        <f>IF(AND($O2377=$Q$7,$B2377&lt;'111'!$L$11),"x","")</f>
        <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row>
    <row r="2378" spans="1:30" ht="15.75" customHeight="1">
      <c r="A2378" s="998" t="str">
        <f>IF(B2378&lt;&gt;"",IF(AND(B2378='IN-TC'!$S$4,OR(TH!N2378="1111",TH!O2378="1111")),TH!D2378,""),"")</f>
        <v/>
      </c>
      <c r="B2378" s="831" t="str">
        <f t="shared" si="379"/>
        <v/>
      </c>
      <c r="C2378" s="63"/>
      <c r="D2378" s="63"/>
      <c r="E2378" s="63"/>
      <c r="F2378" s="71"/>
      <c r="G2378" s="816"/>
      <c r="H2378" s="71"/>
      <c r="I2378" s="405"/>
      <c r="J2378" s="405"/>
      <c r="K2378" s="398"/>
      <c r="L2378" s="405"/>
      <c r="M2378" s="64"/>
      <c r="N2378" s="65"/>
      <c r="O2378" s="65"/>
      <c r="P2378" s="81" t="str">
        <f>IF(AND('331-CT'!$E$7=TH!H2378,OR(N2378="331",O2378="331")),"x","")</f>
        <v/>
      </c>
      <c r="Q2378" s="81" t="str">
        <f>IF(AND(B2378='111'!$L$11,OR($N2378=$Q$7,$O2378=$Q$7)),"x","")</f>
        <v/>
      </c>
      <c r="R2378" s="81" t="str">
        <f>IF(AND($N2378=$Q$7,$B2378&lt;'111'!$L$11),"x","")</f>
        <v/>
      </c>
      <c r="S2378" s="81" t="str">
        <f>IF(AND($O2378=$Q$7,$B2378&lt;'111'!$L$11),"x","")</f>
        <v/>
      </c>
      <c r="T2378" s="81" t="str">
        <f>IF(ISERROR(FIND('112'!$M$9,G2378,1)),"",IF((AND(FIND('112'!$M$9,G2378,1)&gt;=1,B2378='112'!$K$9,OR($N2378='112'!$I$6,$O2378='112'!$I$6))),"x",""))</f>
        <v/>
      </c>
      <c r="U2378" s="81" t="str">
        <f>IF(ISERROR(FIND('112'!$M$9,G2378,1)),"",IF((AND(LEFT(G2378,2)=LEFT('112'!$M$9,2),B2378&lt;'112'!$K$9,$N2378='112'!$I$6)),"x",""))</f>
        <v/>
      </c>
      <c r="V2378" s="81" t="str">
        <f>IF(ISERROR(FIND('112'!$M$9,G2378,1)),"",IF((AND(RIGHT(G2378,2)=RIGHT('112'!$M$9,2),B2378&lt;'112'!$K$9,$O2378='112'!$I$6)),"x",""))</f>
        <v/>
      </c>
      <c r="W2378" s="81" t="str">
        <f>IF(AND('341-CT'!$H$9=H2378,OR(LEFT(N2378,3)=$W$7,LEFT(O2378,3)=$W$7)),"x","")</f>
        <v/>
      </c>
      <c r="X2378" s="81" t="str">
        <f>IF(OR(TH!N2378=TH!$X$7,O2378=TH!$X$7),"x","")</f>
        <v/>
      </c>
      <c r="Y2378" s="81" t="str">
        <f>IF(AND(OR(N2378="131",O2378="131"),H2378='131-CT'!$H$9),"x","")</f>
        <v/>
      </c>
      <c r="Z2378" s="81"/>
      <c r="AA2378" s="81" t="str">
        <f>IF(AND(MONTH(E2378)='IN-NX'!$J$5,'IN-NX'!$D$7=D2378),"x","")</f>
        <v/>
      </c>
      <c r="AB2378" s="81" t="str">
        <f>IF(AND(OR(LEFT(TH!N2378,2)="15",LEFT(TH!O2378,2)="15"),LEFT(TH!O2378,3)&lt;&gt;"111",'152-CT'!$J$8=TH!F2378),"x","")</f>
        <v/>
      </c>
      <c r="AC2378" s="81" t="str">
        <f>IF(AND(OR(LEFT(TH!N2378,2)="15",LEFT(TH!O2378,2)="15"),TK!$E$7=TH!F2378),"x","")</f>
        <v/>
      </c>
      <c r="AD2378" s="81" t="str">
        <f>IF(AND(N2378="1521",MONTH(C2378)='BK-NL'!$M$11),"x","")</f>
        <v/>
      </c>
    </row>
    <row r="2379" spans="1:30" ht="15.75" customHeight="1">
      <c r="A2379" s="998" t="str">
        <f>IF(B2379&lt;&gt;"",IF(AND(B2379='IN-TC'!$S$4,OR(TH!N2379="1111",TH!O2379="1111")),TH!D2379,""),"")</f>
        <v/>
      </c>
      <c r="B2379" s="831" t="str">
        <f t="shared" si="379"/>
        <v/>
      </c>
      <c r="C2379" s="63"/>
      <c r="D2379" s="63"/>
      <c r="E2379" s="63"/>
      <c r="F2379" s="71"/>
      <c r="G2379" s="816"/>
      <c r="H2379" s="71"/>
      <c r="I2379" s="405"/>
      <c r="J2379" s="405"/>
      <c r="K2379" s="398"/>
      <c r="L2379" s="405"/>
      <c r="M2379" s="64"/>
      <c r="N2379" s="65"/>
      <c r="O2379" s="65"/>
      <c r="P2379" s="81" t="str">
        <f>IF(AND('331-CT'!$E$7=TH!H2379,OR(N2379="331",O2379="331")),"x","")</f>
        <v/>
      </c>
      <c r="Q2379" s="81" t="str">
        <f>IF(AND(B2379='111'!$L$11,OR($N2379=$Q$7,$O2379=$Q$7)),"x","")</f>
        <v/>
      </c>
      <c r="R2379" s="81" t="str">
        <f>IF(AND($N2379=$Q$7,$B2379&lt;'111'!$L$11),"x","")</f>
        <v/>
      </c>
      <c r="S2379" s="81" t="str">
        <f>IF(AND($O2379=$Q$7,$B2379&lt;'111'!$L$11),"x","")</f>
        <v/>
      </c>
      <c r="T2379" s="81" t="str">
        <f>IF(ISERROR(FIND('112'!$M$9,G2379,1)),"",IF((AND(FIND('112'!$M$9,G2379,1)&gt;=1,B2379='112'!$K$9,OR($N2379='112'!$I$6,$O2379='112'!$I$6))),"x",""))</f>
        <v/>
      </c>
      <c r="U2379" s="81" t="str">
        <f>IF(ISERROR(FIND('112'!$M$9,G2379,1)),"",IF((AND(LEFT(G2379,2)=LEFT('112'!$M$9,2),B2379&lt;'112'!$K$9,$N2379='112'!$I$6)),"x",""))</f>
        <v/>
      </c>
      <c r="V2379" s="81" t="str">
        <f>IF(ISERROR(FIND('112'!$M$9,G2379,1)),"",IF((AND(RIGHT(G2379,2)=RIGHT('112'!$M$9,2),B2379&lt;'112'!$K$9,$O2379='112'!$I$6)),"x",""))</f>
        <v/>
      </c>
      <c r="W2379" s="81" t="str">
        <f>IF(AND('341-CT'!$H$9=H2379,OR(LEFT(N2379,3)=$W$7,LEFT(O2379,3)=$W$7)),"x","")</f>
        <v/>
      </c>
      <c r="X2379" s="81" t="str">
        <f>IF(OR(TH!N2379=TH!$X$7,O2379=TH!$X$7),"x","")</f>
        <v/>
      </c>
      <c r="Y2379" s="81" t="str">
        <f>IF(AND(OR(N2379="131",O2379="131"),H2379='131-CT'!$H$9),"x","")</f>
        <v/>
      </c>
      <c r="Z2379" s="81"/>
      <c r="AA2379" s="81" t="str">
        <f>IF(AND(MONTH(E2379)='IN-NX'!$J$5,'IN-NX'!$D$7=D2379),"x","")</f>
        <v/>
      </c>
      <c r="AB2379" s="81" t="str">
        <f>IF(AND(OR(LEFT(TH!N2379,2)="15",LEFT(TH!O2379,2)="15"),LEFT(TH!O2379,3)&lt;&gt;"111",'152-CT'!$J$8=TH!F2379),"x","")</f>
        <v/>
      </c>
      <c r="AC2379" s="81" t="str">
        <f>IF(AND(OR(LEFT(TH!N2379,2)="15",LEFT(TH!O2379,2)="15"),TK!$E$7=TH!F2379),"x","")</f>
        <v/>
      </c>
      <c r="AD2379" s="81" t="str">
        <f>IF(AND(N2379="1521",MONTH(C2379)='BK-NL'!$M$11),"x","")</f>
        <v/>
      </c>
    </row>
    <row r="2380" spans="1:30" ht="15.75" customHeight="1">
      <c r="A2380" s="998" t="str">
        <f>IF(B2380&lt;&gt;"",IF(AND(B2380='IN-TC'!$S$4,OR(TH!N2380="1111",TH!O2380="1111")),TH!D2380,""),"")</f>
        <v/>
      </c>
      <c r="B2380" s="831" t="str">
        <f t="shared" si="379"/>
        <v/>
      </c>
      <c r="C2380" s="63"/>
      <c r="D2380" s="63"/>
      <c r="E2380" s="63"/>
      <c r="F2380" s="71"/>
      <c r="G2380" s="816"/>
      <c r="H2380" s="71"/>
      <c r="I2380" s="405"/>
      <c r="J2380" s="405"/>
      <c r="K2380" s="398"/>
      <c r="L2380" s="405"/>
      <c r="M2380" s="64"/>
      <c r="N2380" s="65"/>
      <c r="O2380" s="65"/>
      <c r="P2380" s="81" t="str">
        <f>IF(AND('331-CT'!$E$7=TH!H2380,OR(N2380="331",O2380="331")),"x","")</f>
        <v/>
      </c>
      <c r="Q2380" s="81" t="str">
        <f>IF(AND(B2380='111'!$L$11,OR($N2380=$Q$7,$O2380=$Q$7)),"x","")</f>
        <v/>
      </c>
      <c r="R2380" s="81" t="str">
        <f>IF(AND($N2380=$Q$7,$B2380&lt;'111'!$L$11),"x","")</f>
        <v/>
      </c>
      <c r="S2380" s="81" t="str">
        <f>IF(AND($O2380=$Q$7,$B2380&lt;'111'!$L$11),"x","")</f>
        <v/>
      </c>
      <c r="T2380" s="81" t="str">
        <f>IF(ISERROR(FIND('112'!$M$9,G2380,1)),"",IF((AND(FIND('112'!$M$9,G2380,1)&gt;=1,B2380='112'!$K$9,OR($N2380='112'!$I$6,$O2380='112'!$I$6))),"x",""))</f>
        <v/>
      </c>
      <c r="U2380" s="81" t="str">
        <f>IF(ISERROR(FIND('112'!$M$9,G2380,1)),"",IF((AND(LEFT(G2380,2)=LEFT('112'!$M$9,2),B2380&lt;'112'!$K$9,$N2380='112'!$I$6)),"x",""))</f>
        <v/>
      </c>
      <c r="V2380" s="81" t="str">
        <f>IF(ISERROR(FIND('112'!$M$9,G2380,1)),"",IF((AND(RIGHT(G2380,2)=RIGHT('112'!$M$9,2),B2380&lt;'112'!$K$9,$O2380='112'!$I$6)),"x",""))</f>
        <v/>
      </c>
      <c r="W2380" s="81" t="str">
        <f>IF(AND('341-CT'!$H$9=H2380,OR(LEFT(N2380,3)=$W$7,LEFT(O2380,3)=$W$7)),"x","")</f>
        <v/>
      </c>
      <c r="X2380" s="81" t="str">
        <f>IF(OR(TH!N2380=TH!$X$7,O2380=TH!$X$7),"x","")</f>
        <v/>
      </c>
      <c r="Y2380" s="81" t="str">
        <f>IF(AND(OR(N2380="131",O2380="131"),H2380='131-CT'!$H$9),"x","")</f>
        <v/>
      </c>
      <c r="Z2380" s="81"/>
      <c r="AA2380" s="81" t="str">
        <f>IF(AND(MONTH(E2380)='IN-NX'!$J$5,'IN-NX'!$D$7=D2380),"x","")</f>
        <v/>
      </c>
      <c r="AB2380" s="81" t="str">
        <f>IF(AND(OR(LEFT(TH!N2380,2)="15",LEFT(TH!O2380,2)="15"),LEFT(TH!O2380,3)&lt;&gt;"111",'152-CT'!$J$8=TH!F2380),"x","")</f>
        <v/>
      </c>
      <c r="AC2380" s="81" t="str">
        <f>IF(AND(OR(LEFT(TH!N2380,2)="15",LEFT(TH!O2380,2)="15"),TK!$E$7=TH!F2380),"x","")</f>
        <v/>
      </c>
      <c r="AD2380" s="81" t="str">
        <f>IF(AND(N2380="1521",MONTH(C2380)='BK-NL'!$M$11),"x","")</f>
        <v/>
      </c>
    </row>
    <row r="2381" spans="1:30" ht="15.75" customHeight="1">
      <c r="A2381" s="998" t="str">
        <f>IF(B2381&lt;&gt;"",IF(AND(B2381='IN-TC'!$S$4,OR(TH!N2381="1111",TH!O2381="1111")),TH!D2381,""),"")</f>
        <v/>
      </c>
      <c r="B2381" s="831" t="str">
        <f t="shared" si="379"/>
        <v/>
      </c>
      <c r="C2381" s="63"/>
      <c r="D2381" s="63"/>
      <c r="E2381" s="63"/>
      <c r="F2381" s="71"/>
      <c r="G2381" s="816"/>
      <c r="H2381" s="71"/>
      <c r="I2381" s="405"/>
      <c r="J2381" s="405"/>
      <c r="K2381" s="398"/>
      <c r="L2381" s="405"/>
      <c r="M2381" s="64"/>
      <c r="N2381" s="65"/>
      <c r="O2381" s="65"/>
      <c r="P2381" s="81" t="str">
        <f>IF(AND('331-CT'!$E$7=TH!H2381,OR(N2381="331",O2381="331")),"x","")</f>
        <v/>
      </c>
      <c r="Q2381" s="81" t="str">
        <f>IF(AND(B2381='111'!$L$11,OR($N2381=$Q$7,$O2381=$Q$7)),"x","")</f>
        <v/>
      </c>
      <c r="R2381" s="81" t="str">
        <f>IF(AND($N2381=$Q$7,$B2381&lt;'111'!$L$11),"x","")</f>
        <v/>
      </c>
      <c r="S2381" s="81" t="str">
        <f>IF(AND($O2381=$Q$7,$B2381&lt;'111'!$L$11),"x","")</f>
        <v/>
      </c>
      <c r="T2381" s="81" t="str">
        <f>IF(ISERROR(FIND('112'!$M$9,G2381,1)),"",IF((AND(FIND('112'!$M$9,G2381,1)&gt;=1,B2381='112'!$K$9,OR($N2381='112'!$I$6,$O2381='112'!$I$6))),"x",""))</f>
        <v/>
      </c>
      <c r="U2381" s="81" t="str">
        <f>IF(ISERROR(FIND('112'!$M$9,G2381,1)),"",IF((AND(LEFT(G2381,2)=LEFT('112'!$M$9,2),B2381&lt;'112'!$K$9,$N2381='112'!$I$6)),"x",""))</f>
        <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0" ht="15.75" customHeight="1">
      <c r="A2382" s="998" t="str">
        <f>IF(B2382&lt;&gt;"",IF(AND(B2382='IN-TC'!$S$4,OR(TH!N2382="1111",TH!O2382="1111")),TH!D2382,""),"")</f>
        <v/>
      </c>
      <c r="B2382" s="831" t="str">
        <f t="shared" si="379"/>
        <v/>
      </c>
      <c r="C2382" s="63"/>
      <c r="D2382" s="63"/>
      <c r="E2382" s="63"/>
      <c r="F2382" s="71"/>
      <c r="G2382" s="816"/>
      <c r="H2382" s="71"/>
      <c r="I2382" s="405"/>
      <c r="J2382" s="405"/>
      <c r="K2382" s="398"/>
      <c r="L2382" s="405"/>
      <c r="M2382" s="64"/>
      <c r="N2382" s="65"/>
      <c r="O2382" s="65"/>
      <c r="P2382" s="81" t="str">
        <f>IF(AND('331-CT'!$E$7=TH!H2382,OR(N2382="331",O2382="331")),"x","")</f>
        <v/>
      </c>
      <c r="Q2382" s="81" t="str">
        <f>IF(AND(B2382='111'!$L$11,OR($N2382=$Q$7,$O2382=$Q$7)),"x","")</f>
        <v/>
      </c>
      <c r="R2382" s="81" t="str">
        <f>IF(AND($N2382=$Q$7,$B2382&lt;'111'!$L$11),"x","")</f>
        <v/>
      </c>
      <c r="S2382" s="81" t="str">
        <f>IF(AND($O2382=$Q$7,$B2382&lt;'111'!$L$11),"x","")</f>
        <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row>
    <row r="2383" spans="1:30" ht="15.75" customHeight="1">
      <c r="A2383" s="998" t="str">
        <f>IF(B2383&lt;&gt;"",IF(AND(B2383='IN-TC'!$S$4,OR(TH!N2383="1111",TH!O2383="1111")),TH!D2383,""),"")</f>
        <v/>
      </c>
      <c r="B2383" s="831" t="str">
        <f t="shared" si="379"/>
        <v/>
      </c>
      <c r="C2383" s="63"/>
      <c r="D2383" s="63"/>
      <c r="E2383" s="63"/>
      <c r="F2383" s="71"/>
      <c r="G2383" s="816"/>
      <c r="H2383" s="71"/>
      <c r="I2383" s="405"/>
      <c r="J2383" s="405"/>
      <c r="K2383" s="398"/>
      <c r="L2383" s="405"/>
      <c r="M2383" s="64"/>
      <c r="N2383" s="65"/>
      <c r="O2383" s="65"/>
      <c r="P2383" s="81" t="str">
        <f>IF(AND('331-CT'!$E$7=TH!H2383,OR(N2383="331",O2383="331")),"x","")</f>
        <v/>
      </c>
      <c r="Q2383" s="81" t="str">
        <f>IF(AND(B2383='111'!$L$11,OR($N2383=$Q$7,$O2383=$Q$7)),"x","")</f>
        <v/>
      </c>
      <c r="R2383" s="81" t="str">
        <f>IF(AND($N2383=$Q$7,$B2383&lt;'111'!$L$11),"x","")</f>
        <v/>
      </c>
      <c r="S2383" s="81" t="str">
        <f>IF(AND($O2383=$Q$7,$B2383&lt;'111'!$L$11),"x","")</f>
        <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row>
    <row r="2384" spans="1:30" ht="15.75" customHeight="1">
      <c r="A2384" s="998" t="str">
        <f>IF(B2384&lt;&gt;"",IF(AND(B2384='IN-TC'!$S$4,OR(TH!N2384="1111",TH!O2384="1111")),TH!D2384,""),"")</f>
        <v/>
      </c>
      <c r="B2384" s="831" t="str">
        <f t="shared" si="379"/>
        <v/>
      </c>
      <c r="C2384" s="63"/>
      <c r="D2384" s="63"/>
      <c r="E2384" s="63"/>
      <c r="F2384" s="71"/>
      <c r="G2384" s="816"/>
      <c r="H2384" s="71"/>
      <c r="I2384" s="405"/>
      <c r="J2384" s="405"/>
      <c r="K2384" s="398"/>
      <c r="L2384" s="405"/>
      <c r="M2384" s="64"/>
      <c r="N2384" s="65"/>
      <c r="O2384" s="65"/>
      <c r="P2384" s="81" t="str">
        <f>IF(AND('331-CT'!$E$7=TH!H2384,OR(N2384="331",O2384="331")),"x","")</f>
        <v/>
      </c>
      <c r="Q2384" s="81" t="str">
        <f>IF(AND(B2384='111'!$L$11,OR($N2384=$Q$7,$O2384=$Q$7)),"x","")</f>
        <v/>
      </c>
      <c r="R2384" s="81" t="str">
        <f>IF(AND($N2384=$Q$7,$B2384&lt;'111'!$L$11),"x","")</f>
        <v/>
      </c>
      <c r="S2384" s="81" t="str">
        <f>IF(AND($O2384=$Q$7,$B2384&lt;'111'!$L$11),"x","")</f>
        <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0" ht="15.75" customHeight="1">
      <c r="A2385" s="327" t="str">
        <f>IF(B2385&lt;&gt;"",IF(AND(B2385='IN-TC'!$S$4,OR(TH!N2385="1111",TH!O2385="1111")),TH!D2385,""),"")</f>
        <v/>
      </c>
      <c r="B2385" s="62" t="str">
        <f t="shared" si="379"/>
        <v/>
      </c>
      <c r="C2385" s="63"/>
      <c r="D2385" s="63"/>
      <c r="E2385" s="63"/>
      <c r="F2385" s="71"/>
      <c r="G2385" s="816"/>
      <c r="H2385" s="71"/>
      <c r="I2385" s="405"/>
      <c r="J2385" s="405"/>
      <c r="K2385" s="398"/>
      <c r="L2385" s="405"/>
      <c r="M2385" s="64"/>
      <c r="N2385" s="65"/>
      <c r="O2385" s="65"/>
      <c r="P2385" s="81" t="str">
        <f>IF(AND('331-CT'!$E$7=TH!H2385,OR(N2385="331",O2385="331")),"x","")</f>
        <v/>
      </c>
      <c r="Q2385" s="81" t="str">
        <f>IF(AND(B2385='111'!$L$11,OR($N2385=$Q$7,$O2385=$Q$7)),"x","")</f>
        <v/>
      </c>
      <c r="R2385" s="81" t="str">
        <f>IF(AND($N2385=$Q$7,$B2385&lt;'111'!$L$11),"x","")</f>
        <v/>
      </c>
      <c r="S2385" s="81" t="str">
        <f>IF(AND($O2385=$Q$7,$B2385&lt;'111'!$L$11),"x","")</f>
        <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row>
    <row r="2386" spans="1:30" ht="15.75" customHeight="1">
      <c r="A2386" s="327" t="str">
        <f>IF(B2386&lt;&gt;"",IF(AND(B2386='IN-TC'!$S$4,OR(TH!N2386="1111",TH!O2386="1111")),TH!D2386,""),"")</f>
        <v/>
      </c>
      <c r="B2386" s="62" t="str">
        <f t="shared" si="379"/>
        <v/>
      </c>
      <c r="C2386" s="63"/>
      <c r="D2386" s="63"/>
      <c r="E2386" s="63"/>
      <c r="F2386" s="71"/>
      <c r="G2386" s="816"/>
      <c r="H2386" s="71"/>
      <c r="I2386" s="405"/>
      <c r="J2386" s="405"/>
      <c r="K2386" s="398"/>
      <c r="L2386" s="405"/>
      <c r="M2386" s="64"/>
      <c r="N2386" s="65"/>
      <c r="O2386" s="65"/>
      <c r="P2386" s="81" t="str">
        <f>IF(AND('331-CT'!$E$7=TH!H2386,OR(N2386="331",O2386="331")),"x","")</f>
        <v/>
      </c>
      <c r="Q2386" s="81" t="str">
        <f>IF(AND(B2386='111'!$L$11,OR($N2386=$Q$7,$O2386=$Q$7)),"x","")</f>
        <v/>
      </c>
      <c r="R2386" s="81" t="str">
        <f>IF(AND($N2386=$Q$7,$B2386&lt;'111'!$L$11),"x","")</f>
        <v/>
      </c>
      <c r="S2386" s="81" t="str">
        <f>IF(AND($O2386=$Q$7,$B2386&lt;'111'!$L$11),"x","")</f>
        <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row>
    <row r="2387" spans="1:30" ht="15.75" customHeight="1">
      <c r="A2387" s="998" t="str">
        <f>IF(B2387&lt;&gt;"",IF(AND(B2387='IN-TC'!$S$4,OR(TH!N2387="1111",TH!O2387="1111")),TH!D2387,""),"")</f>
        <v/>
      </c>
      <c r="B2387" s="831" t="str">
        <f t="shared" si="379"/>
        <v/>
      </c>
      <c r="C2387" s="63"/>
      <c r="D2387" s="63"/>
      <c r="E2387" s="63"/>
      <c r="F2387" s="71"/>
      <c r="G2387" s="816"/>
      <c r="H2387" s="71"/>
      <c r="I2387" s="405"/>
      <c r="J2387" s="405"/>
      <c r="K2387" s="398"/>
      <c r="L2387" s="405"/>
      <c r="M2387" s="64"/>
      <c r="N2387" s="65"/>
      <c r="O2387" s="65"/>
      <c r="P2387" s="81" t="str">
        <f>IF(AND('331-CT'!$E$7=TH!H2387,OR(N2387="331",O2387="331")),"x","")</f>
        <v/>
      </c>
      <c r="Q2387" s="81" t="str">
        <f>IF(AND(B2387='111'!$L$11,OR($N2387=$Q$7,$O2387=$Q$7)),"x","")</f>
        <v/>
      </c>
      <c r="R2387" s="81" t="str">
        <f>IF(AND($N2387=$Q$7,$B2387&lt;'111'!$L$11),"x","")</f>
        <v/>
      </c>
      <c r="S2387" s="81" t="str">
        <f>IF(AND($O2387=$Q$7,$B2387&lt;'111'!$L$11),"x","")</f>
        <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row>
    <row r="2388" spans="1:30" ht="15.75" customHeight="1">
      <c r="A2388" s="998" t="str">
        <f>IF(B2388&lt;&gt;"",IF(AND(B2388='IN-TC'!$S$4,OR(TH!N2388="1111",TH!O2388="1111")),TH!D2388,""),"")</f>
        <v/>
      </c>
      <c r="B2388" s="831" t="str">
        <f t="shared" si="379"/>
        <v/>
      </c>
      <c r="C2388" s="63"/>
      <c r="D2388" s="63"/>
      <c r="E2388" s="63"/>
      <c r="F2388" s="71"/>
      <c r="G2388" s="816"/>
      <c r="H2388" s="71"/>
      <c r="I2388" s="405"/>
      <c r="J2388" s="405"/>
      <c r="K2388" s="398"/>
      <c r="L2388" s="405"/>
      <c r="M2388" s="64"/>
      <c r="N2388" s="65"/>
      <c r="O2388" s="65"/>
      <c r="P2388" s="81" t="str">
        <f>IF(AND('331-CT'!$E$7=TH!H2388,OR(N2388="331",O2388="331")),"x","")</f>
        <v/>
      </c>
      <c r="Q2388" s="81" t="str">
        <f>IF(AND(B2388='111'!$L$11,OR($N2388=$Q$7,$O2388=$Q$7)),"x","")</f>
        <v/>
      </c>
      <c r="R2388" s="81" t="str">
        <f>IF(AND($N2388=$Q$7,$B2388&lt;'111'!$L$11),"x","")</f>
        <v/>
      </c>
      <c r="S2388" s="81" t="str">
        <f>IF(AND($O2388=$Q$7,$B2388&lt;'111'!$L$11),"x","")</f>
        <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row>
    <row r="2389" spans="1:30" ht="15.75" customHeight="1">
      <c r="A2389" s="998" t="str">
        <f>IF(B2389&lt;&gt;"",IF(AND(B2389='IN-TC'!$S$4,OR(TH!N2389="1111",TH!O2389="1111")),TH!D2389,""),"")</f>
        <v/>
      </c>
      <c r="B2389" s="831" t="str">
        <f t="shared" si="379"/>
        <v/>
      </c>
      <c r="C2389" s="63"/>
      <c r="D2389" s="63"/>
      <c r="E2389" s="63"/>
      <c r="F2389" s="71"/>
      <c r="G2389" s="816"/>
      <c r="H2389" s="71"/>
      <c r="I2389" s="405"/>
      <c r="J2389" s="405"/>
      <c r="K2389" s="398"/>
      <c r="L2389" s="405"/>
      <c r="M2389" s="64"/>
      <c r="N2389" s="65"/>
      <c r="O2389" s="65"/>
      <c r="P2389" s="81" t="str">
        <f>IF(AND('331-CT'!$E$7=TH!H2389,OR(N2389="331",O2389="331")),"x","")</f>
        <v/>
      </c>
      <c r="Q2389" s="81" t="str">
        <f>IF(AND(B2389='111'!$L$11,OR($N2389=$Q$7,$O2389=$Q$7)),"x","")</f>
        <v/>
      </c>
      <c r="R2389" s="81" t="str">
        <f>IF(AND($N2389=$Q$7,$B2389&lt;'111'!$L$11),"x","")</f>
        <v/>
      </c>
      <c r="S2389" s="81" t="str">
        <f>IF(AND($O2389=$Q$7,$B2389&lt;'111'!$L$11),"x","")</f>
        <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0" ht="15.75" customHeight="1">
      <c r="A2390" s="998" t="str">
        <f>IF(B2390&lt;&gt;"",IF(AND(B2390='IN-TC'!$S$4,OR(TH!N2390="1111",TH!O2390="1111")),TH!D2390,""),"")</f>
        <v/>
      </c>
      <c r="B2390" s="831" t="str">
        <f t="shared" si="379"/>
        <v/>
      </c>
      <c r="C2390" s="63"/>
      <c r="D2390" s="63"/>
      <c r="E2390" s="63"/>
      <c r="F2390" s="71"/>
      <c r="G2390" s="816"/>
      <c r="H2390" s="71"/>
      <c r="I2390" s="405"/>
      <c r="J2390" s="405"/>
      <c r="K2390" s="398"/>
      <c r="L2390" s="405"/>
      <c r="M2390" s="64"/>
      <c r="N2390" s="65"/>
      <c r="O2390" s="65"/>
      <c r="P2390" s="81" t="str">
        <f>IF(AND('331-CT'!$E$7=TH!H2390,OR(N2390="331",O2390="331")),"x","")</f>
        <v/>
      </c>
      <c r="Q2390" s="81" t="str">
        <f>IF(AND(B2390='111'!$L$11,OR($N2390=$Q$7,$O2390=$Q$7)),"x","")</f>
        <v/>
      </c>
      <c r="R2390" s="81" t="str">
        <f>IF(AND($N2390=$Q$7,$B2390&lt;'111'!$L$11),"x","")</f>
        <v/>
      </c>
      <c r="S2390" s="81" t="str">
        <f>IF(AND($O2390=$Q$7,$B2390&lt;'111'!$L$11),"x","")</f>
        <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row>
    <row r="2391" spans="1:30" ht="15.75" customHeight="1">
      <c r="A2391" s="998" t="str">
        <f>IF(B2391&lt;&gt;"",IF(AND(B2391='IN-TC'!$S$4,OR(TH!N2391="1111",TH!O2391="1111")),TH!D2391,""),"")</f>
        <v/>
      </c>
      <c r="B2391" s="831" t="str">
        <f t="shared" si="379"/>
        <v/>
      </c>
      <c r="C2391" s="63"/>
      <c r="D2391" s="63"/>
      <c r="E2391" s="63"/>
      <c r="F2391" s="71"/>
      <c r="G2391" s="816"/>
      <c r="H2391" s="71"/>
      <c r="I2391" s="405"/>
      <c r="J2391" s="405"/>
      <c r="K2391" s="398"/>
      <c r="L2391" s="405"/>
      <c r="M2391" s="64"/>
      <c r="N2391" s="65"/>
      <c r="O2391" s="65"/>
      <c r="P2391" s="81" t="str">
        <f>IF(AND('331-CT'!$E$7=TH!H2391,OR(N2391="331",O2391="331")),"x","")</f>
        <v/>
      </c>
      <c r="Q2391" s="81" t="str">
        <f>IF(AND(B2391='111'!$L$11,OR($N2391=$Q$7,$O2391=$Q$7)),"x","")</f>
        <v/>
      </c>
      <c r="R2391" s="81" t="str">
        <f>IF(AND($N2391=$Q$7,$B2391&lt;'111'!$L$11),"x","")</f>
        <v/>
      </c>
      <c r="S2391" s="81" t="str">
        <f>IF(AND($O2391=$Q$7,$B2391&lt;'111'!$L$11),"x","")</f>
        <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row>
    <row r="2392" spans="1:30" ht="15.75" customHeight="1">
      <c r="A2392" s="998" t="str">
        <f>IF(B2392&lt;&gt;"",IF(AND(B2392='IN-TC'!$S$4,OR(TH!N2392="1111",TH!O2392="1111")),TH!D2392,""),"")</f>
        <v/>
      </c>
      <c r="B2392" s="831" t="str">
        <f t="shared" si="379"/>
        <v/>
      </c>
      <c r="C2392" s="63"/>
      <c r="D2392" s="63"/>
      <c r="E2392" s="63"/>
      <c r="F2392" s="71"/>
      <c r="G2392" s="816"/>
      <c r="H2392" s="71"/>
      <c r="I2392" s="405"/>
      <c r="J2392" s="405"/>
      <c r="K2392" s="398"/>
      <c r="L2392" s="405"/>
      <c r="M2392" s="64"/>
      <c r="N2392" s="65"/>
      <c r="O2392" s="65"/>
      <c r="P2392" s="81" t="str">
        <f>IF(AND('331-CT'!$E$7=TH!H2392,OR(N2392="331",O2392="331")),"x","")</f>
        <v/>
      </c>
      <c r="Q2392" s="81" t="str">
        <f>IF(AND(B2392='111'!$L$11,OR($N2392=$Q$7,$O2392=$Q$7)),"x","")</f>
        <v/>
      </c>
      <c r="R2392" s="81" t="str">
        <f>IF(AND($N2392=$Q$7,$B2392&lt;'111'!$L$11),"x","")</f>
        <v/>
      </c>
      <c r="S2392" s="81" t="str">
        <f>IF(AND($O2392=$Q$7,$B2392&lt;'111'!$L$11),"x","")</f>
        <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row>
    <row r="2393" spans="1:30" ht="15.75" customHeight="1">
      <c r="A2393" s="998" t="str">
        <f>IF(B2393&lt;&gt;"",IF(AND(B2393='IN-TC'!$S$4,OR(TH!N2393="1111",TH!O2393="1111")),TH!D2393,""),"")</f>
        <v/>
      </c>
      <c r="B2393" s="831" t="str">
        <f t="shared" si="379"/>
        <v/>
      </c>
      <c r="C2393" s="63"/>
      <c r="D2393" s="63"/>
      <c r="E2393" s="63"/>
      <c r="F2393" s="71"/>
      <c r="G2393" s="816"/>
      <c r="H2393" s="71"/>
      <c r="I2393" s="405"/>
      <c r="J2393" s="405"/>
      <c r="K2393" s="398"/>
      <c r="L2393" s="405"/>
      <c r="M2393" s="64"/>
      <c r="N2393" s="65"/>
      <c r="O2393" s="65"/>
      <c r="P2393" s="81" t="str">
        <f>IF(AND('331-CT'!$E$7=TH!H2393,OR(N2393="331",O2393="331")),"x","")</f>
        <v/>
      </c>
      <c r="Q2393" s="81" t="str">
        <f>IF(AND(B2393='111'!$L$11,OR($N2393=$Q$7,$O2393=$Q$7)),"x","")</f>
        <v/>
      </c>
      <c r="R2393" s="81" t="str">
        <f>IF(AND($N2393=$Q$7,$B2393&lt;'111'!$L$11),"x","")</f>
        <v/>
      </c>
      <c r="S2393" s="81" t="str">
        <f>IF(AND($O2393=$Q$7,$B2393&lt;'111'!$L$11),"x","")</f>
        <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
      </c>
      <c r="W2393" s="81" t="str">
        <f>IF(AND('341-CT'!$H$9=H2393,OR(LEFT(N2393,3)=$W$7,LEFT(O2393,3)=$W$7)),"x","")</f>
        <v/>
      </c>
      <c r="X2393" s="81" t="str">
        <f>IF(OR(TH!N2393=TH!$X$7,O2393=TH!$X$7),"x","")</f>
        <v/>
      </c>
      <c r="Y2393" s="81" t="str">
        <f>IF(AND(OR(N2393="131",O2393="131"),H2393='131-CT'!$H$9),"x","")</f>
        <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row>
    <row r="2394" spans="1:30" ht="15.75" customHeight="1">
      <c r="A2394" s="998" t="str">
        <f>IF(B2394&lt;&gt;"",IF(AND(B2394='IN-TC'!$S$4,OR(TH!N2394="1111",TH!O2394="1111")),TH!D2394,""),"")</f>
        <v/>
      </c>
      <c r="B2394" s="831" t="str">
        <f t="shared" si="379"/>
        <v/>
      </c>
      <c r="C2394" s="63"/>
      <c r="D2394" s="63"/>
      <c r="E2394" s="63"/>
      <c r="F2394" s="71"/>
      <c r="G2394" s="816"/>
      <c r="H2394" s="71"/>
      <c r="I2394" s="405"/>
      <c r="J2394" s="405"/>
      <c r="K2394" s="398"/>
      <c r="L2394" s="405"/>
      <c r="M2394" s="64"/>
      <c r="N2394" s="65"/>
      <c r="O2394" s="65"/>
      <c r="P2394" s="81" t="str">
        <f>IF(AND('331-CT'!$E$7=TH!H2394,OR(N2394="331",O2394="331")),"x","")</f>
        <v/>
      </c>
      <c r="Q2394" s="81" t="str">
        <f>IF(AND(B2394='111'!$L$11,OR($N2394=$Q$7,$O2394=$Q$7)),"x","")</f>
        <v/>
      </c>
      <c r="R2394" s="81" t="str">
        <f>IF(AND($N2394=$Q$7,$B2394&lt;'111'!$L$11),"x","")</f>
        <v/>
      </c>
      <c r="S2394" s="81" t="str">
        <f>IF(AND($O2394=$Q$7,$B2394&lt;'111'!$L$11),"x","")</f>
        <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0" ht="15.75" customHeight="1">
      <c r="A2395" s="998" t="str">
        <f>IF(B2395&lt;&gt;"",IF(AND(B2395='IN-TC'!$S$4,OR(TH!N2395="1111",TH!O2395="1111")),TH!D2395,""),"")</f>
        <v/>
      </c>
      <c r="B2395" s="831" t="str">
        <f t="shared" si="379"/>
        <v/>
      </c>
      <c r="C2395" s="63"/>
      <c r="D2395" s="63"/>
      <c r="E2395" s="63"/>
      <c r="F2395" s="71"/>
      <c r="G2395" s="816"/>
      <c r="H2395" s="71"/>
      <c r="I2395" s="405"/>
      <c r="J2395" s="405"/>
      <c r="K2395" s="398"/>
      <c r="L2395" s="405"/>
      <c r="M2395" s="64"/>
      <c r="N2395" s="65"/>
      <c r="O2395" s="65"/>
      <c r="P2395" s="81" t="str">
        <f>IF(AND('331-CT'!$E$7=TH!H2395,OR(N2395="331",O2395="331")),"x","")</f>
        <v/>
      </c>
      <c r="Q2395" s="81" t="str">
        <f>IF(AND(B2395='111'!$L$11,OR($N2395=$Q$7,$O2395=$Q$7)),"x","")</f>
        <v/>
      </c>
      <c r="R2395" s="81" t="str">
        <f>IF(AND($N2395=$Q$7,$B2395&lt;'111'!$L$11),"x","")</f>
        <v/>
      </c>
      <c r="S2395" s="81" t="str">
        <f>IF(AND($O2395=$Q$7,$B2395&lt;'111'!$L$11),"x","")</f>
        <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row>
    <row r="2396" spans="1:30" ht="15.75" customHeight="1">
      <c r="A2396" s="998" t="str">
        <f>IF(B2396&lt;&gt;"",IF(AND(B2396='IN-TC'!$S$4,OR(TH!N2396="1111",TH!O2396="1111")),TH!D2396,""),"")</f>
        <v/>
      </c>
      <c r="B2396" s="831" t="str">
        <f t="shared" si="379"/>
        <v/>
      </c>
      <c r="C2396" s="63"/>
      <c r="D2396" s="63"/>
      <c r="E2396" s="63"/>
      <c r="F2396" s="71"/>
      <c r="G2396" s="816"/>
      <c r="H2396" s="71"/>
      <c r="I2396" s="405"/>
      <c r="J2396" s="405"/>
      <c r="K2396" s="398"/>
      <c r="L2396" s="405"/>
      <c r="M2396" s="64"/>
      <c r="N2396" s="65"/>
      <c r="O2396" s="65"/>
      <c r="P2396" s="81" t="str">
        <f>IF(AND('331-CT'!$E$7=TH!H2396,OR(N2396="331",O2396="331")),"x","")</f>
        <v/>
      </c>
      <c r="Q2396" s="81" t="str">
        <f>IF(AND(B2396='111'!$L$11,OR($N2396=$Q$7,$O2396=$Q$7)),"x","")</f>
        <v/>
      </c>
      <c r="R2396" s="81" t="str">
        <f>IF(AND($N2396=$Q$7,$B2396&lt;'111'!$L$11),"x","")</f>
        <v/>
      </c>
      <c r="S2396" s="81" t="str">
        <f>IF(AND($O2396=$Q$7,$B2396&lt;'111'!$L$11),"x","")</f>
        <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row>
    <row r="2397" spans="1:30" ht="15.75" customHeight="1">
      <c r="A2397" s="998" t="str">
        <f>IF(B2397&lt;&gt;"",IF(AND(B2397='IN-TC'!$S$4,OR(TH!N2397="1111",TH!O2397="1111")),TH!D2397,""),"")</f>
        <v/>
      </c>
      <c r="B2397" s="831" t="str">
        <f t="shared" si="379"/>
        <v/>
      </c>
      <c r="C2397" s="63"/>
      <c r="D2397" s="63"/>
      <c r="E2397" s="63"/>
      <c r="F2397" s="71"/>
      <c r="G2397" s="816"/>
      <c r="H2397" s="71"/>
      <c r="I2397" s="405"/>
      <c r="J2397" s="405"/>
      <c r="K2397" s="398"/>
      <c r="L2397" s="405"/>
      <c r="M2397" s="64"/>
      <c r="N2397" s="65"/>
      <c r="O2397" s="65"/>
      <c r="P2397" s="81" t="str">
        <f>IF(AND('331-CT'!$E$7=TH!H2397,OR(N2397="331",O2397="331")),"x","")</f>
        <v/>
      </c>
      <c r="Q2397" s="81" t="str">
        <f>IF(AND(B2397='111'!$L$11,OR($N2397=$Q$7,$O2397=$Q$7)),"x","")</f>
        <v/>
      </c>
      <c r="R2397" s="81" t="str">
        <f>IF(AND($N2397=$Q$7,$B2397&lt;'111'!$L$11),"x","")</f>
        <v/>
      </c>
      <c r="S2397" s="81" t="str">
        <f>IF(AND($O2397=$Q$7,$B2397&lt;'111'!$L$11),"x","")</f>
        <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row>
    <row r="2398" spans="1:30" ht="15.75" customHeight="1">
      <c r="A2398" s="998" t="str">
        <f>IF(B2398&lt;&gt;"",IF(AND(B2398='IN-TC'!$S$4,OR(TH!N2398="1111",TH!O2398="1111")),TH!D2398,""),"")</f>
        <v/>
      </c>
      <c r="B2398" s="831" t="str">
        <f t="shared" si="379"/>
        <v/>
      </c>
      <c r="C2398" s="63"/>
      <c r="D2398" s="63"/>
      <c r="E2398" s="63"/>
      <c r="F2398" s="71"/>
      <c r="G2398" s="816"/>
      <c r="H2398" s="71"/>
      <c r="I2398" s="405"/>
      <c r="J2398" s="405"/>
      <c r="K2398" s="398"/>
      <c r="L2398" s="405"/>
      <c r="M2398" s="64"/>
      <c r="N2398" s="65"/>
      <c r="O2398" s="65"/>
      <c r="P2398" s="81" t="str">
        <f>IF(AND('331-CT'!$E$7=TH!H2398,OR(N2398="331",O2398="331")),"x","")</f>
        <v/>
      </c>
      <c r="Q2398" s="81" t="str">
        <f>IF(AND(B2398='111'!$L$11,OR($N2398=$Q$7,$O2398=$Q$7)),"x","")</f>
        <v/>
      </c>
      <c r="R2398" s="81" t="str">
        <f>IF(AND($N2398=$Q$7,$B2398&lt;'111'!$L$11),"x","")</f>
        <v/>
      </c>
      <c r="S2398" s="81" t="str">
        <f>IF(AND($O2398=$Q$7,$B2398&lt;'111'!$L$11),"x","")</f>
        <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row>
    <row r="2399" spans="1:30" ht="15.75" customHeight="1">
      <c r="A2399" s="998" t="str">
        <f>IF(B2399&lt;&gt;"",IF(AND(B2399='IN-TC'!$S$4,OR(TH!N2399="1111",TH!O2399="1111")),TH!D2399,""),"")</f>
        <v/>
      </c>
      <c r="B2399" s="831" t="str">
        <f t="shared" si="379"/>
        <v/>
      </c>
      <c r="C2399" s="63"/>
      <c r="D2399" s="63"/>
      <c r="E2399" s="63"/>
      <c r="F2399" s="71"/>
      <c r="G2399" s="816"/>
      <c r="H2399" s="71"/>
      <c r="I2399" s="405"/>
      <c r="J2399" s="405"/>
      <c r="K2399" s="398"/>
      <c r="L2399" s="405"/>
      <c r="M2399" s="64"/>
      <c r="N2399" s="65"/>
      <c r="O2399" s="65"/>
      <c r="P2399" s="81" t="str">
        <f>IF(AND('331-CT'!$E$7=TH!H2399,OR(N2399="331",O2399="331")),"x","")</f>
        <v/>
      </c>
      <c r="Q2399" s="81" t="str">
        <f>IF(AND(B2399='111'!$L$11,OR($N2399=$Q$7,$O2399=$Q$7)),"x","")</f>
        <v/>
      </c>
      <c r="R2399" s="81" t="str">
        <f>IF(AND($N2399=$Q$7,$B2399&lt;'111'!$L$11),"x","")</f>
        <v/>
      </c>
      <c r="S2399" s="81" t="str">
        <f>IF(AND($O2399=$Q$7,$B2399&lt;'111'!$L$11),"x","")</f>
        <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row>
    <row r="2400" spans="1:30" ht="15.75" customHeight="1">
      <c r="A2400" s="998" t="str">
        <f>IF(B2400&lt;&gt;"",IF(AND(B2400='IN-TC'!$S$4,OR(TH!N2400="1111",TH!O2400="1111")),TH!D2400,""),"")</f>
        <v/>
      </c>
      <c r="B2400" s="831" t="str">
        <f t="shared" si="379"/>
        <v/>
      </c>
      <c r="C2400" s="63"/>
      <c r="D2400" s="63"/>
      <c r="E2400" s="63"/>
      <c r="F2400" s="71"/>
      <c r="G2400" s="816"/>
      <c r="H2400" s="71"/>
      <c r="I2400" s="405"/>
      <c r="J2400" s="405"/>
      <c r="K2400" s="398"/>
      <c r="L2400" s="405"/>
      <c r="M2400" s="64"/>
      <c r="N2400" s="65"/>
      <c r="O2400" s="65"/>
      <c r="P2400" s="81" t="str">
        <f>IF(AND('331-CT'!$E$7=TH!H2400,OR(N2400="331",O2400="331")),"x","")</f>
        <v/>
      </c>
      <c r="Q2400" s="81" t="str">
        <f>IF(AND(B2400='111'!$L$11,OR($N2400=$Q$7,$O2400=$Q$7)),"x","")</f>
        <v/>
      </c>
      <c r="R2400" s="81" t="str">
        <f>IF(AND($N2400=$Q$7,$B2400&lt;'111'!$L$11),"x","")</f>
        <v/>
      </c>
      <c r="S2400" s="81" t="str">
        <f>IF(AND($O2400=$Q$7,$B2400&lt;'111'!$L$11),"x","")</f>
        <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row>
    <row r="2401" spans="1:30" ht="15.75" customHeight="1">
      <c r="A2401" s="999"/>
      <c r="B2401" s="62" t="str">
        <f t="shared" si="375"/>
        <v/>
      </c>
      <c r="C2401" s="63"/>
      <c r="D2401" s="63"/>
      <c r="E2401" s="63"/>
      <c r="F2401" s="71"/>
      <c r="G2401" s="816"/>
      <c r="H2401" s="71"/>
      <c r="I2401" s="405"/>
      <c r="J2401" s="405"/>
      <c r="K2401" s="398"/>
      <c r="L2401" s="405"/>
      <c r="M2401" s="64"/>
      <c r="N2401" s="65"/>
      <c r="O2401" s="65"/>
      <c r="P2401" s="81" t="str">
        <f>IF(AND('331-CT'!$E$7=TH!H2401,OR(N2401="331",O2401="331")),"x","")</f>
        <v/>
      </c>
      <c r="Q2401" s="81" t="str">
        <f>IF(AND(B2401='111'!$L$11,OR($N2401=$Q$7,$O2401=$Q$7)),"x","")</f>
        <v/>
      </c>
      <c r="R2401" s="81" t="str">
        <f>IF(AND($N2401=$Q$7,$B2401&lt;'111'!$L$11),"x","")</f>
        <v/>
      </c>
      <c r="S2401" s="81" t="str">
        <f>IF(AND($O2401=$Q$7,$B2401&lt;'111'!$L$11),"x","")</f>
        <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row>
    <row r="2402" spans="1:30" ht="15.75" customHeight="1">
      <c r="A2402" s="327" t="str">
        <f>IF(B2402&lt;&gt;"",IF(AND(B2402='IN-TC'!$S$4,OR(TH!N2402="1111",TH!O2402="1111")),TH!D2402,""),"")</f>
        <v/>
      </c>
      <c r="B2402" s="62" t="str">
        <f t="shared" si="375"/>
        <v/>
      </c>
      <c r="C2402" s="63"/>
      <c r="D2402" s="63"/>
      <c r="E2402" s="63"/>
      <c r="F2402" s="66"/>
      <c r="G2402" s="816"/>
      <c r="H2402" s="71"/>
      <c r="I2402" s="405"/>
      <c r="J2402" s="405"/>
      <c r="K2402" s="398"/>
      <c r="L2402" s="405"/>
      <c r="M2402" s="64"/>
      <c r="N2402" s="65"/>
      <c r="O2402" s="65"/>
      <c r="P2402" s="81" t="str">
        <f>IF(AND('331-CT'!$E$7=TH!H2402,OR(N2402="331",O2402="331")),"x","")</f>
        <v/>
      </c>
      <c r="Q2402" s="81" t="str">
        <f>IF(AND(B2402='111'!$L$11,OR($N2402=$Q$7,$O2402=$Q$7)),"x","")</f>
        <v/>
      </c>
      <c r="R2402" s="81" t="str">
        <f>IF(AND($N2402=$Q$7,$B2402&lt;'111'!$L$11),"x","")</f>
        <v/>
      </c>
      <c r="S2402" s="81" t="str">
        <f>IF(AND($O2402=$Q$7,$B2402&lt;'111'!$L$11),"x","")</f>
        <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row>
    <row r="2403" spans="1:30" ht="15.75" customHeight="1">
      <c r="A2403" s="327" t="str">
        <f>IF(B2403&lt;&gt;"",IF(AND(B2403='IN-TC'!$S$4,OR(TH!N2403="1111",TH!O2403="1111")),TH!D2403,""),"")</f>
        <v/>
      </c>
      <c r="B2403" s="62" t="str">
        <f t="shared" si="375"/>
        <v/>
      </c>
      <c r="C2403" s="63"/>
      <c r="D2403" s="63"/>
      <c r="E2403" s="63"/>
      <c r="F2403" s="66"/>
      <c r="G2403" s="816"/>
      <c r="H2403" s="71"/>
      <c r="I2403" s="405"/>
      <c r="J2403" s="405"/>
      <c r="K2403" s="398"/>
      <c r="L2403" s="405"/>
      <c r="M2403" s="64"/>
      <c r="N2403" s="65"/>
      <c r="O2403" s="65"/>
      <c r="P2403" s="81" t="str">
        <f>IF(AND('331-CT'!$E$7=TH!H2403,OR(N2403="331",O2403="331")),"x","")</f>
        <v/>
      </c>
      <c r="Q2403" s="81" t="str">
        <f>IF(AND(B2403='111'!$L$11,OR($N2403=$Q$7,$O2403=$Q$7)),"x","")</f>
        <v/>
      </c>
      <c r="R2403" s="81" t="str">
        <f>IF(AND($N2403=$Q$7,$B2403&lt;'111'!$L$11),"x","")</f>
        <v/>
      </c>
      <c r="S2403" s="81" t="str">
        <f>IF(AND($O2403=$Q$7,$B2403&lt;'111'!$L$11),"x","")</f>
        <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row>
    <row r="2404" spans="1:30" ht="15.75" customHeight="1">
      <c r="A2404" s="327" t="str">
        <f>IF(B2404&lt;&gt;"",IF(AND(B2404='IN-TC'!$S$4,OR(TH!N2404="1111",TH!O2404="1111")),TH!D2404,""),"")</f>
        <v/>
      </c>
      <c r="B2404" s="62" t="str">
        <f t="shared" si="375"/>
        <v/>
      </c>
      <c r="C2404" s="63"/>
      <c r="D2404" s="63"/>
      <c r="E2404" s="63"/>
      <c r="F2404" s="66"/>
      <c r="G2404" s="66"/>
      <c r="H2404" s="330"/>
      <c r="I2404" s="407"/>
      <c r="J2404" s="407"/>
      <c r="K2404" s="400"/>
      <c r="L2404" s="407"/>
      <c r="M2404" s="64"/>
      <c r="N2404" s="65"/>
      <c r="O2404" s="65"/>
      <c r="P2404" s="81" t="str">
        <f>IF(AND('331-CT'!$E$7=TH!H2404,OR(N2404="331",O2404="331")),"x","")</f>
        <v/>
      </c>
      <c r="Q2404" s="81" t="str">
        <f>IF(AND(B2404='111'!$L$11,OR($N2404=$Q$7,$O2404=$Q$7)),"x","")</f>
        <v/>
      </c>
      <c r="R2404" s="81" t="str">
        <f>IF(AND($N2404=$Q$7,$B2404&lt;'111'!$L$11),"x","")</f>
        <v/>
      </c>
      <c r="S2404" s="81" t="str">
        <f>IF(AND($O2404=$Q$7,$B2404&lt;'111'!$L$11),"x","")</f>
        <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row>
    <row r="2405" spans="1:30" ht="15.75" customHeight="1">
      <c r="A2405" s="327" t="str">
        <f>IF(B2405&lt;&gt;"",IF(AND(B2405='IN-TC'!$S$4,OR(TH!N2405="1111",TH!O2405="1111")),TH!D2405,""),"")</f>
        <v/>
      </c>
      <c r="B2405" s="62" t="str">
        <f t="shared" si="375"/>
        <v/>
      </c>
      <c r="C2405" s="63"/>
      <c r="D2405" s="63"/>
      <c r="E2405" s="63"/>
      <c r="F2405" s="66"/>
      <c r="G2405" s="66"/>
      <c r="H2405" s="71"/>
      <c r="I2405" s="405"/>
      <c r="J2405" s="405"/>
      <c r="K2405" s="398"/>
      <c r="L2405" s="405"/>
      <c r="M2405" s="64"/>
      <c r="N2405" s="65"/>
      <c r="O2405" s="65"/>
      <c r="P2405" s="81" t="str">
        <f>IF(AND('331-CT'!$E$7=TH!H2405,OR(N2405="331",O2405="331")),"x","")</f>
        <v/>
      </c>
      <c r="Q2405" s="81" t="str">
        <f>IF(AND(B2405='111'!$L$11,OR($N2405=$Q$7,$O2405=$Q$7)),"x","")</f>
        <v/>
      </c>
      <c r="R2405" s="81" t="str">
        <f>IF(AND($N2405=$Q$7,$B2405&lt;'111'!$L$11),"x","")</f>
        <v/>
      </c>
      <c r="S2405" s="81" t="str">
        <f>IF(AND($O2405=$Q$7,$B2405&lt;'111'!$L$11),"x","")</f>
        <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row>
    <row r="2406" spans="1:30" ht="15.75" customHeight="1">
      <c r="A2406" s="327" t="str">
        <f>IF(B2406&lt;&gt;"",IF(AND(B2406='IN-TC'!$S$4,OR(TH!N2406="1111",TH!O2406="1111")),TH!D2406,""),"")</f>
        <v/>
      </c>
      <c r="B2406" s="62" t="str">
        <f t="shared" si="375"/>
        <v/>
      </c>
      <c r="C2406" s="63"/>
      <c r="D2406" s="63"/>
      <c r="E2406" s="63"/>
      <c r="F2406" s="66"/>
      <c r="G2406" s="66"/>
      <c r="H2406" s="71"/>
      <c r="I2406" s="405"/>
      <c r="J2406" s="405"/>
      <c r="K2406" s="398"/>
      <c r="L2406" s="405"/>
      <c r="M2406" s="64"/>
      <c r="N2406" s="65"/>
      <c r="O2406" s="65"/>
      <c r="P2406" s="81" t="str">
        <f>IF(AND('331-CT'!$E$7=TH!H2406,OR(N2406="331",O2406="331")),"x","")</f>
        <v/>
      </c>
      <c r="Q2406" s="81" t="str">
        <f>IF(AND(B2406='111'!$L$11,OR($N2406=$Q$7,$O2406=$Q$7)),"x","")</f>
        <v/>
      </c>
      <c r="R2406" s="81" t="str">
        <f>IF(AND($N2406=$Q$7,$B2406&lt;'111'!$L$11),"x","")</f>
        <v/>
      </c>
      <c r="S2406" s="81" t="str">
        <f>IF(AND($O2406=$Q$7,$B2406&lt;'111'!$L$11),"x","")</f>
        <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row>
    <row r="2407" spans="1:30" ht="15.75" customHeight="1">
      <c r="A2407" s="327" t="str">
        <f>IF(B2407&lt;&gt;"",IF(AND(B2407='IN-TC'!$S$4,OR(TH!N2407="1111",TH!O2407="1111")),TH!D2407,""),"")</f>
        <v/>
      </c>
      <c r="B2407" s="62" t="str">
        <f t="shared" si="375"/>
        <v/>
      </c>
      <c r="C2407" s="63"/>
      <c r="D2407" s="63"/>
      <c r="E2407" s="63"/>
      <c r="F2407" s="66"/>
      <c r="G2407" s="66"/>
      <c r="H2407" s="330"/>
      <c r="I2407" s="407"/>
      <c r="J2407" s="407"/>
      <c r="K2407" s="400"/>
      <c r="L2407" s="407"/>
      <c r="M2407" s="64"/>
      <c r="N2407" s="65"/>
      <c r="O2407" s="65"/>
      <c r="P2407" s="81" t="str">
        <f>IF(AND('331-CT'!$E$7=TH!H2407,OR(N2407="331",O2407="331")),"x","")</f>
        <v/>
      </c>
      <c r="Q2407" s="81" t="str">
        <f>IF(AND(B2407='111'!$L$11,OR($N2407=$Q$7,$O2407=$Q$7)),"x","")</f>
        <v/>
      </c>
      <c r="R2407" s="81" t="str">
        <f>IF(AND($N2407=$Q$7,$B2407&lt;'111'!$L$11),"x","")</f>
        <v/>
      </c>
      <c r="S2407" s="81" t="str">
        <f>IF(AND($O2407=$Q$7,$B2407&lt;'111'!$L$11),"x","")</f>
        <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row>
    <row r="2408" spans="1:30" ht="15" customHeight="1">
      <c r="A2408" s="327" t="str">
        <f>IF(B2408&lt;&gt;"",IF(AND(B2408='IN-TC'!$S$4,OR(TH!N2408="1111",TH!O2408="1111")),TH!D2408,""),"")</f>
        <v/>
      </c>
      <c r="B2408" s="62" t="str">
        <f t="shared" si="375"/>
        <v/>
      </c>
      <c r="C2408" s="63"/>
      <c r="D2408" s="63"/>
      <c r="E2408" s="63"/>
      <c r="F2408" s="66"/>
      <c r="G2408" s="66"/>
      <c r="H2408" s="71"/>
      <c r="I2408" s="405"/>
      <c r="J2408" s="405"/>
      <c r="K2408" s="398"/>
      <c r="L2408" s="405"/>
      <c r="M2408" s="64"/>
      <c r="N2408" s="65"/>
      <c r="O2408" s="65"/>
      <c r="P2408" s="81" t="str">
        <f>IF(AND('331-CT'!$E$7=TH!H2408,OR(N2408="331",O2408="331")),"x","")</f>
        <v/>
      </c>
      <c r="Q2408" s="81" t="str">
        <f>IF(AND(B2408='111'!$L$11,OR($N2408=$Q$7,$O2408=$Q$7)),"x","")</f>
        <v/>
      </c>
      <c r="R2408" s="81" t="str">
        <f>IF(AND($N2408=$Q$7,$B2408&lt;'111'!$L$11),"x","")</f>
        <v/>
      </c>
      <c r="S2408" s="81" t="str">
        <f>IF(AND($O2408=$Q$7,$B2408&lt;'111'!$L$11),"x","")</f>
        <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row>
    <row r="2409" spans="1:30" ht="16.5" customHeight="1">
      <c r="A2409" s="327" t="str">
        <f>IF(B2409&lt;&gt;"",IF(AND(B2409='IN-TC'!$S$4,OR(TH!N2409="1111",TH!O2409="1111")),TH!D2409,""),"")</f>
        <v/>
      </c>
      <c r="B2409" s="62" t="str">
        <f t="shared" si="375"/>
        <v/>
      </c>
      <c r="C2409" s="63"/>
      <c r="D2409" s="63"/>
      <c r="E2409" s="63"/>
      <c r="F2409" s="66"/>
      <c r="G2409" s="66"/>
      <c r="H2409" s="71"/>
      <c r="I2409" s="405"/>
      <c r="J2409" s="405"/>
      <c r="K2409" s="398"/>
      <c r="L2409" s="405"/>
      <c r="M2409" s="64"/>
      <c r="N2409" s="65"/>
      <c r="O2409" s="65"/>
      <c r="P2409" s="81" t="str">
        <f>IF(AND('331-CT'!$E$7=TH!H2409,OR(N2409="331",O2409="331")),"x","")</f>
        <v/>
      </c>
      <c r="Q2409" s="81" t="str">
        <f>IF(AND(B2409='111'!$L$11,OR($N2409=$Q$7,$O2409=$Q$7)),"x","")</f>
        <v/>
      </c>
      <c r="R2409" s="81" t="str">
        <f>IF(AND($N2409=$Q$7,$B2409&lt;'111'!$L$11),"x","")</f>
        <v/>
      </c>
      <c r="S2409" s="81" t="str">
        <f>IF(AND($O2409=$Q$7,$B2409&lt;'111'!$L$11),"x","")</f>
        <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row>
    <row r="2410" spans="1:30" ht="15.75" customHeight="1">
      <c r="A2410" s="327" t="str">
        <f>IF(B2410&lt;&gt;"",IF(AND(B2410='IN-TC'!$S$4,OR(TH!N2410="1111",TH!O2410="1111")),TH!D2410,""),"")</f>
        <v/>
      </c>
      <c r="B2410" s="62" t="str">
        <f t="shared" si="375"/>
        <v/>
      </c>
      <c r="C2410" s="63"/>
      <c r="D2410" s="63"/>
      <c r="E2410" s="63"/>
      <c r="F2410" s="141"/>
      <c r="G2410" s="817"/>
      <c r="H2410" s="71"/>
      <c r="I2410" s="405"/>
      <c r="J2410" s="405"/>
      <c r="K2410" s="398"/>
      <c r="L2410" s="405"/>
      <c r="M2410" s="64"/>
      <c r="N2410" s="65"/>
      <c r="O2410" s="65"/>
      <c r="P2410" s="81" t="str">
        <f>IF(AND('331-CT'!$E$7=TH!H2410,OR(N2410="331",O2410="331")),"x","")</f>
        <v/>
      </c>
      <c r="Q2410" s="81" t="str">
        <f>IF(AND(B2410='111'!$L$11,OR($N2410=$Q$7,$O2410=$Q$7)),"x","")</f>
        <v/>
      </c>
      <c r="R2410" s="81" t="str">
        <f>IF(AND($N2410=$Q$7,$B2410&lt;'111'!$L$11),"x","")</f>
        <v/>
      </c>
      <c r="S2410" s="81" t="str">
        <f>IF(AND($O2410=$Q$7,$B2410&lt;'111'!$L$11),"x","")</f>
        <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row>
    <row r="2411" spans="1:30" ht="15.75" customHeight="1">
      <c r="A2411" s="327" t="str">
        <f>IF(B2411&lt;&gt;"",IF(AND(B2411='IN-TC'!$S$4,OR(TH!N2411="1111",TH!O2411="1111")),TH!D2411,""),"")</f>
        <v/>
      </c>
      <c r="B2411" s="62" t="str">
        <f t="shared" si="375"/>
        <v/>
      </c>
      <c r="C2411" s="63"/>
      <c r="D2411" s="63"/>
      <c r="E2411" s="63"/>
      <c r="F2411" s="66"/>
      <c r="G2411" s="816"/>
      <c r="H2411" s="71"/>
      <c r="I2411" s="405"/>
      <c r="J2411" s="405"/>
      <c r="K2411" s="398"/>
      <c r="L2411" s="405"/>
      <c r="M2411" s="64"/>
      <c r="N2411" s="65"/>
      <c r="O2411" s="65"/>
      <c r="P2411" s="81" t="str">
        <f>IF(AND('331-CT'!$E$7=TH!H2411,OR(N2411="331",O2411="331")),"x","")</f>
        <v/>
      </c>
      <c r="Q2411" s="81" t="str">
        <f>IF(AND(B2411='111'!$L$11,OR($N2411=$Q$7,$O2411=$Q$7)),"x","")</f>
        <v/>
      </c>
      <c r="R2411" s="81" t="str">
        <f>IF(AND($N2411=$Q$7,$B2411&lt;'111'!$L$11),"x","")</f>
        <v/>
      </c>
      <c r="S2411" s="81" t="str">
        <f>IF(AND($O2411=$Q$7,$B2411&lt;'111'!$L$11),"x","")</f>
        <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row>
    <row r="2412" spans="1:30" ht="15.75" customHeight="1">
      <c r="A2412" s="327" t="str">
        <f>IF(B2412&lt;&gt;"",IF(AND(B2412='IN-TC'!$S$4,OR(TH!N2412="1111",TH!O2412="1111")),TH!D2412,""),"")</f>
        <v/>
      </c>
      <c r="B2412" s="62" t="str">
        <f t="shared" si="375"/>
        <v/>
      </c>
      <c r="C2412" s="63"/>
      <c r="D2412" s="63"/>
      <c r="E2412" s="63"/>
      <c r="F2412" s="141"/>
      <c r="G2412" s="816"/>
      <c r="H2412" s="71"/>
      <c r="I2412" s="405"/>
      <c r="J2412" s="405"/>
      <c r="K2412" s="398"/>
      <c r="L2412" s="405"/>
      <c r="M2412" s="64"/>
      <c r="N2412" s="65"/>
      <c r="O2412" s="65"/>
      <c r="P2412" s="81" t="str">
        <f>IF(AND('331-CT'!$E$7=TH!H2412,OR(N2412="331",O2412="331")),"x","")</f>
        <v/>
      </c>
      <c r="Q2412" s="81" t="str">
        <f>IF(AND(B2412='111'!$L$11,OR($N2412=$Q$7,$O2412=$Q$7)),"x","")</f>
        <v/>
      </c>
      <c r="R2412" s="81" t="str">
        <f>IF(AND($N2412=$Q$7,$B2412&lt;'111'!$L$11),"x","")</f>
        <v/>
      </c>
      <c r="S2412" s="81" t="str">
        <f>IF(AND($O2412=$Q$7,$B2412&lt;'111'!$L$11),"x","")</f>
        <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row>
    <row r="2413" spans="1:30" ht="15.75" customHeight="1">
      <c r="A2413" s="327" t="str">
        <f>IF(B2413&lt;&gt;"",IF(AND(B2413='IN-TC'!$S$4,OR(TH!N2413="1111",TH!O2413="1111")),TH!D2413,""),"")</f>
        <v/>
      </c>
      <c r="B2413" s="62" t="str">
        <f t="shared" si="375"/>
        <v/>
      </c>
      <c r="C2413" s="63"/>
      <c r="D2413" s="63"/>
      <c r="E2413" s="63"/>
      <c r="F2413" s="71"/>
      <c r="G2413" s="66"/>
      <c r="H2413" s="71"/>
      <c r="I2413" s="405"/>
      <c r="J2413" s="405"/>
      <c r="K2413" s="398"/>
      <c r="L2413" s="405"/>
      <c r="M2413" s="64"/>
      <c r="N2413" s="65"/>
      <c r="O2413" s="65"/>
      <c r="P2413" s="81" t="str">
        <f>IF(AND('331-CT'!$E$7=TH!H2413,OR(N2413="331",O2413="331")),"x","")</f>
        <v/>
      </c>
      <c r="Q2413" s="81" t="str">
        <f>IF(AND(B2413='111'!$L$11,OR($N2413=$Q$7,$O2413=$Q$7)),"x","")</f>
        <v/>
      </c>
      <c r="R2413" s="81" t="str">
        <f>IF(AND($N2413=$Q$7,$B2413&lt;'111'!$L$11),"x","")</f>
        <v/>
      </c>
      <c r="S2413" s="81" t="str">
        <f>IF(AND($O2413=$Q$7,$B2413&lt;'111'!$L$11),"x","")</f>
        <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0" ht="15.75" customHeight="1">
      <c r="A2414" s="327" t="str">
        <f>IF(B2414&lt;&gt;"",IF(AND(B2414='IN-TC'!$S$4,OR(TH!N2414="1111",TH!O2414="1111")),TH!D2414,""),"")</f>
        <v/>
      </c>
      <c r="B2414" s="62" t="str">
        <f t="shared" si="375"/>
        <v/>
      </c>
      <c r="C2414" s="63"/>
      <c r="D2414" s="63"/>
      <c r="E2414" s="63"/>
      <c r="F2414" s="66"/>
      <c r="G2414" s="66"/>
      <c r="H2414" s="72"/>
      <c r="I2414" s="405"/>
      <c r="J2414" s="405"/>
      <c r="K2414" s="398"/>
      <c r="L2414" s="405"/>
      <c r="M2414" s="64"/>
      <c r="N2414" s="65"/>
      <c r="O2414" s="65"/>
      <c r="P2414" s="81" t="str">
        <f>IF(AND('331-CT'!$E$7=TH!H2414,OR(N2414="331",O2414="331")),"x","")</f>
        <v/>
      </c>
      <c r="Q2414" s="81" t="str">
        <f>IF(AND(B2414='111'!$L$11,OR($N2414=$Q$7,$O2414=$Q$7)),"x","")</f>
        <v/>
      </c>
      <c r="R2414" s="81" t="str">
        <f>IF(AND($N2414=$Q$7,$B2414&lt;'111'!$L$11),"x","")</f>
        <v/>
      </c>
      <c r="S2414" s="81" t="str">
        <f>IF(AND($O2414=$Q$7,$B2414&lt;'111'!$L$11),"x","")</f>
        <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row>
    <row r="2415" spans="1:30" ht="15.75" customHeight="1">
      <c r="A2415" s="327" t="str">
        <f>IF(B2415&lt;&gt;"",IF(AND(B2415='IN-TC'!$S$4,OR(TH!N2415="1111",TH!O2415="1111")),TH!D2415,""),"")</f>
        <v/>
      </c>
      <c r="B2415" s="62" t="str">
        <f t="shared" si="375"/>
        <v/>
      </c>
      <c r="C2415" s="63"/>
      <c r="D2415" s="63"/>
      <c r="E2415" s="63"/>
      <c r="F2415" s="66"/>
      <c r="G2415" s="816"/>
      <c r="H2415" s="71"/>
      <c r="I2415" s="405"/>
      <c r="J2415" s="405"/>
      <c r="K2415" s="398"/>
      <c r="L2415" s="405"/>
      <c r="M2415" s="64"/>
      <c r="N2415" s="65"/>
      <c r="O2415" s="65"/>
      <c r="P2415" s="81" t="str">
        <f>IF(AND('331-CT'!$E$7=TH!H2415,OR(N2415="331",O2415="331")),"x","")</f>
        <v/>
      </c>
      <c r="Q2415" s="81" t="str">
        <f>IF(AND(B2415='111'!$L$11,OR($N2415=$Q$7,$O2415=$Q$7)),"x","")</f>
        <v/>
      </c>
      <c r="R2415" s="81" t="str">
        <f>IF(AND($N2415=$Q$7,$B2415&lt;'111'!$L$11),"x","")</f>
        <v/>
      </c>
      <c r="S2415" s="81" t="str">
        <f>IF(AND($O2415=$Q$7,$B2415&lt;'111'!$L$11),"x","")</f>
        <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row>
    <row r="2416" spans="1:30" ht="15.75" customHeight="1">
      <c r="A2416" s="327" t="str">
        <f>IF(B2416&lt;&gt;"",IF(AND(B2416='IN-TC'!$S$4,OR(TH!N2416="1111",TH!O2416="1111")),TH!D2416,""),"")</f>
        <v/>
      </c>
      <c r="B2416" s="62" t="str">
        <f t="shared" si="375"/>
        <v/>
      </c>
      <c r="C2416" s="63"/>
      <c r="D2416" s="63"/>
      <c r="E2416" s="63"/>
      <c r="F2416" s="66"/>
      <c r="G2416" s="818"/>
      <c r="H2416" s="330"/>
      <c r="I2416" s="407"/>
      <c r="J2416" s="407"/>
      <c r="K2416" s="400"/>
      <c r="L2416" s="407"/>
      <c r="M2416" s="64"/>
      <c r="N2416" s="65"/>
      <c r="O2416" s="65"/>
      <c r="P2416" s="81" t="str">
        <f>IF(AND('331-CT'!$E$7=TH!H2416,OR(N2416="331",O2416="331")),"x","")</f>
        <v/>
      </c>
      <c r="Q2416" s="81" t="str">
        <f>IF(AND(B2416='111'!$L$11,OR($N2416=$Q$7,$O2416=$Q$7)),"x","")</f>
        <v/>
      </c>
      <c r="R2416" s="81" t="str">
        <f>IF(AND($N2416=$Q$7,$B2416&lt;'111'!$L$11),"x","")</f>
        <v/>
      </c>
      <c r="S2416" s="81" t="str">
        <f>IF(AND($O2416=$Q$7,$B2416&lt;'111'!$L$11),"x","")</f>
        <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row>
    <row r="2417" spans="1:30" ht="15.75" customHeight="1">
      <c r="A2417" s="327" t="str">
        <f>IF(B2417&lt;&gt;"",IF(AND(B2417='IN-TC'!$S$4,OR(TH!N2417="1111",TH!O2417="1111")),TH!D2417,""),"")</f>
        <v/>
      </c>
      <c r="B2417" s="62" t="str">
        <f t="shared" si="375"/>
        <v/>
      </c>
      <c r="C2417" s="63"/>
      <c r="D2417" s="63"/>
      <c r="E2417" s="63"/>
      <c r="F2417" s="66"/>
      <c r="G2417" s="818"/>
      <c r="H2417" s="330"/>
      <c r="I2417" s="407"/>
      <c r="J2417" s="407"/>
      <c r="K2417" s="400"/>
      <c r="L2417" s="407"/>
      <c r="M2417" s="64"/>
      <c r="N2417" s="65"/>
      <c r="O2417" s="65"/>
      <c r="P2417" s="81" t="str">
        <f>IF(AND('331-CT'!$E$7=TH!H2417,OR(N2417="331",O2417="331")),"x","")</f>
        <v/>
      </c>
      <c r="Q2417" s="81" t="str">
        <f>IF(AND(B2417='111'!$L$11,OR($N2417=$Q$7,$O2417=$Q$7)),"x","")</f>
        <v/>
      </c>
      <c r="R2417" s="81" t="str">
        <f>IF(AND($N2417=$Q$7,$B2417&lt;'111'!$L$11),"x","")</f>
        <v/>
      </c>
      <c r="S2417" s="81" t="str">
        <f>IF(AND($O2417=$Q$7,$B2417&lt;'111'!$L$11),"x","")</f>
        <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row>
    <row r="2418" spans="1:30" ht="15.75" customHeight="1">
      <c r="A2418" s="327" t="str">
        <f>IF(B2418&lt;&gt;"",IF(AND(B2418='IN-TC'!$S$4,OR(TH!N2418="1111",TH!O2418="1111")),TH!D2418,""),"")</f>
        <v/>
      </c>
      <c r="B2418" s="62" t="str">
        <f t="shared" si="375"/>
        <v/>
      </c>
      <c r="C2418" s="63"/>
      <c r="D2418" s="63"/>
      <c r="E2418" s="63"/>
      <c r="F2418" s="66"/>
      <c r="G2418" s="66"/>
      <c r="H2418" s="71"/>
      <c r="I2418" s="405"/>
      <c r="J2418" s="405"/>
      <c r="K2418" s="398"/>
      <c r="L2418" s="405"/>
      <c r="M2418" s="64"/>
      <c r="N2418" s="65"/>
      <c r="O2418" s="65"/>
      <c r="P2418" s="81" t="str">
        <f>IF(AND('331-CT'!$E$7=TH!H2418,OR(N2418="331",O2418="331")),"x","")</f>
        <v/>
      </c>
      <c r="Q2418" s="81" t="str">
        <f>IF(AND(B2418='111'!$L$11,OR($N2418=$Q$7,$O2418=$Q$7)),"x","")</f>
        <v/>
      </c>
      <c r="R2418" s="81" t="str">
        <f>IF(AND($N2418=$Q$7,$B2418&lt;'111'!$L$11),"x","")</f>
        <v/>
      </c>
      <c r="S2418" s="81" t="str">
        <f>IF(AND($O2418=$Q$7,$B2418&lt;'111'!$L$11),"x","")</f>
        <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row>
    <row r="2419" spans="1:30" ht="15.75" customHeight="1">
      <c r="A2419" s="327" t="str">
        <f>IF(B2419&lt;&gt;"",IF(AND(B2419='IN-TC'!$S$4,OR(TH!N2419="1111",TH!O2419="1111")),TH!D2419,""),"")</f>
        <v/>
      </c>
      <c r="B2419" s="62" t="str">
        <f t="shared" si="375"/>
        <v/>
      </c>
      <c r="C2419" s="63"/>
      <c r="D2419" s="63"/>
      <c r="E2419" s="63"/>
      <c r="F2419" s="66"/>
      <c r="G2419" s="816"/>
      <c r="H2419" s="71"/>
      <c r="I2419" s="405"/>
      <c r="J2419" s="405"/>
      <c r="K2419" s="398"/>
      <c r="L2419" s="405"/>
      <c r="M2419" s="64"/>
      <c r="N2419" s="65"/>
      <c r="O2419" s="65"/>
      <c r="P2419" s="81" t="str">
        <f>IF(AND('331-CT'!$E$7=TH!H2419,OR(N2419="331",O2419="331")),"x","")</f>
        <v/>
      </c>
      <c r="Q2419" s="81" t="str">
        <f>IF(AND(B2419='111'!$L$11,OR($N2419=$Q$7,$O2419=$Q$7)),"x","")</f>
        <v/>
      </c>
      <c r="R2419" s="81" t="str">
        <f>IF(AND($N2419=$Q$7,$B2419&lt;'111'!$L$11),"x","")</f>
        <v/>
      </c>
      <c r="S2419" s="81" t="str">
        <f>IF(AND($O2419=$Q$7,$B2419&lt;'111'!$L$11),"x","")</f>
        <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row>
    <row r="2420" spans="1:30" ht="15.75" customHeight="1">
      <c r="A2420" s="327" t="str">
        <f>IF(B2420&lt;&gt;"",IF(AND(B2420='IN-TC'!$S$4,OR(TH!N2420="1111",TH!O2420="1111")),TH!D2420,""),"")</f>
        <v/>
      </c>
      <c r="B2420" s="62" t="str">
        <f t="shared" si="375"/>
        <v/>
      </c>
      <c r="C2420" s="63"/>
      <c r="D2420" s="63"/>
      <c r="E2420" s="63"/>
      <c r="F2420" s="66"/>
      <c r="G2420" s="816"/>
      <c r="H2420" s="71"/>
      <c r="I2420" s="405"/>
      <c r="J2420" s="405"/>
      <c r="K2420" s="398"/>
      <c r="L2420" s="405"/>
      <c r="M2420" s="64"/>
      <c r="N2420" s="65"/>
      <c r="O2420" s="65"/>
      <c r="P2420" s="81" t="str">
        <f>IF(AND('331-CT'!$E$7=TH!H2420,OR(N2420="331",O2420="331")),"x","")</f>
        <v/>
      </c>
      <c r="Q2420" s="81" t="str">
        <f>IF(AND(B2420='111'!$L$11,OR($N2420=$Q$7,$O2420=$Q$7)),"x","")</f>
        <v/>
      </c>
      <c r="R2420" s="81" t="str">
        <f>IF(AND($N2420=$Q$7,$B2420&lt;'111'!$L$11),"x","")</f>
        <v/>
      </c>
      <c r="S2420" s="81" t="str">
        <f>IF(AND($O2420=$Q$7,$B2420&lt;'111'!$L$11),"x","")</f>
        <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row>
    <row r="2421" spans="1:30" ht="15.75" customHeight="1">
      <c r="A2421" s="327" t="str">
        <f>IF(B2421&lt;&gt;"",IF(AND(B2421='IN-TC'!$S$4,OR(TH!N2421="1111",TH!O2421="1111")),TH!D2421,""),"")</f>
        <v/>
      </c>
      <c r="B2421" s="62" t="str">
        <f t="shared" si="375"/>
        <v/>
      </c>
      <c r="C2421" s="63"/>
      <c r="D2421" s="63"/>
      <c r="E2421" s="63"/>
      <c r="F2421" s="66"/>
      <c r="G2421" s="816"/>
      <c r="H2421" s="71"/>
      <c r="I2421" s="405"/>
      <c r="J2421" s="405"/>
      <c r="K2421" s="398"/>
      <c r="L2421" s="405"/>
      <c r="M2421" s="64"/>
      <c r="N2421" s="65"/>
      <c r="O2421" s="65"/>
      <c r="P2421" s="81" t="str">
        <f>IF(AND('331-CT'!$E$7=TH!H2421,OR(N2421="331",O2421="331")),"x","")</f>
        <v/>
      </c>
      <c r="Q2421" s="81" t="str">
        <f>IF(AND(B2421='111'!$L$11,OR($N2421=$Q$7,$O2421=$Q$7)),"x","")</f>
        <v/>
      </c>
      <c r="R2421" s="81" t="str">
        <f>IF(AND($N2421=$Q$7,$B2421&lt;'111'!$L$11),"x","")</f>
        <v/>
      </c>
      <c r="S2421" s="81" t="str">
        <f>IF(AND($O2421=$Q$7,$B2421&lt;'111'!$L$11),"x","")</f>
        <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row>
    <row r="2422" spans="1:30" ht="15.75" customHeight="1">
      <c r="A2422" s="327" t="str">
        <f>IF(B2422&lt;&gt;"",IF(AND(B2422='IN-TC'!$S$4,OR(TH!N2422="1111",TH!O2422="1111")),TH!D2422,""),"")</f>
        <v/>
      </c>
      <c r="B2422" s="62" t="str">
        <f t="shared" si="375"/>
        <v/>
      </c>
      <c r="C2422" s="63"/>
      <c r="D2422" s="63"/>
      <c r="E2422" s="63"/>
      <c r="F2422" s="66"/>
      <c r="G2422" s="816"/>
      <c r="H2422" s="71"/>
      <c r="I2422" s="405"/>
      <c r="J2422" s="405"/>
      <c r="K2422" s="398"/>
      <c r="L2422" s="405"/>
      <c r="M2422" s="64"/>
      <c r="N2422" s="65"/>
      <c r="O2422" s="65"/>
      <c r="P2422" s="81" t="str">
        <f>IF(AND('331-CT'!$E$7=TH!H2422,OR(N2422="331",O2422="331")),"x","")</f>
        <v/>
      </c>
      <c r="Q2422" s="81" t="str">
        <f>IF(AND(B2422='111'!$L$11,OR($N2422=$Q$7,$O2422=$Q$7)),"x","")</f>
        <v/>
      </c>
      <c r="R2422" s="81" t="str">
        <f>IF(AND($N2422=$Q$7,$B2422&lt;'111'!$L$11),"x","")</f>
        <v/>
      </c>
      <c r="S2422" s="81" t="str">
        <f>IF(AND($O2422=$Q$7,$B2422&lt;'111'!$L$11),"x","")</f>
        <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row>
    <row r="2423" spans="1:30" ht="15.75" customHeight="1">
      <c r="A2423" s="327" t="str">
        <f>IF(B2423&lt;&gt;"",IF(AND(B2423='IN-TC'!$S$4,OR(TH!N2423="1111",TH!O2423="1111")),TH!D2423,""),"")</f>
        <v/>
      </c>
      <c r="B2423" s="62" t="str">
        <f t="shared" si="375"/>
        <v/>
      </c>
      <c r="C2423" s="63"/>
      <c r="D2423" s="63"/>
      <c r="E2423" s="63"/>
      <c r="F2423" s="66"/>
      <c r="G2423" s="66"/>
      <c r="H2423" s="71"/>
      <c r="I2423" s="405"/>
      <c r="J2423" s="405"/>
      <c r="K2423" s="398"/>
      <c r="L2423" s="405"/>
      <c r="M2423" s="64"/>
      <c r="N2423" s="65"/>
      <c r="O2423" s="65"/>
      <c r="P2423" s="81" t="str">
        <f>IF(AND('331-CT'!$E$7=TH!H2423,OR(N2423="331",O2423="331")),"x","")</f>
        <v/>
      </c>
      <c r="Q2423" s="81" t="str">
        <f>IF(AND(B2423='111'!$L$11,OR($N2423=$Q$7,$O2423=$Q$7)),"x","")</f>
        <v/>
      </c>
      <c r="R2423" s="81" t="str">
        <f>IF(AND($N2423=$Q$7,$B2423&lt;'111'!$L$11),"x","")</f>
        <v/>
      </c>
      <c r="S2423" s="81" t="str">
        <f>IF(AND($O2423=$Q$7,$B2423&lt;'111'!$L$11),"x","")</f>
        <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row>
    <row r="2424" spans="1:30" ht="15.75" customHeight="1">
      <c r="A2424" s="327" t="str">
        <f>IF(B2424&lt;&gt;"",IF(AND(B2424='IN-TC'!$S$4,OR(TH!N2424="1111",TH!O2424="1111")),TH!D2424,""),"")</f>
        <v/>
      </c>
      <c r="B2424" s="62" t="str">
        <f t="shared" si="375"/>
        <v/>
      </c>
      <c r="C2424" s="63"/>
      <c r="D2424" s="63"/>
      <c r="E2424" s="63"/>
      <c r="F2424" s="66"/>
      <c r="G2424" s="66"/>
      <c r="H2424" s="330"/>
      <c r="I2424" s="407"/>
      <c r="J2424" s="407"/>
      <c r="K2424" s="400"/>
      <c r="L2424" s="407"/>
      <c r="M2424" s="64"/>
      <c r="N2424" s="65"/>
      <c r="O2424" s="65"/>
      <c r="P2424" s="81" t="str">
        <f>IF(AND('331-CT'!$E$7=TH!H2424,OR(N2424="331",O2424="331")),"x","")</f>
        <v/>
      </c>
      <c r="Q2424" s="81" t="str">
        <f>IF(AND(B2424='111'!$L$11,OR($N2424=$Q$7,$O2424=$Q$7)),"x","")</f>
        <v/>
      </c>
      <c r="R2424" s="81" t="str">
        <f>IF(AND($N2424=$Q$7,$B2424&lt;'111'!$L$11),"x","")</f>
        <v/>
      </c>
      <c r="S2424" s="81" t="str">
        <f>IF(AND($O2424=$Q$7,$B2424&lt;'111'!$L$11),"x","")</f>
        <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row>
    <row r="2425" spans="1:30" ht="15.75" customHeight="1">
      <c r="A2425" s="327" t="str">
        <f>IF(B2425&lt;&gt;"",IF(AND(B2425='IN-TC'!$S$4,OR(TH!N2425="1111",TH!O2425="1111")),TH!D2425,""),"")</f>
        <v/>
      </c>
      <c r="B2425" s="62" t="str">
        <f t="shared" si="375"/>
        <v/>
      </c>
      <c r="C2425" s="63"/>
      <c r="D2425" s="63"/>
      <c r="E2425" s="63"/>
      <c r="F2425" s="66"/>
      <c r="G2425" s="66"/>
      <c r="H2425" s="71"/>
      <c r="I2425" s="405"/>
      <c r="J2425" s="405"/>
      <c r="K2425" s="398"/>
      <c r="L2425" s="405"/>
      <c r="M2425" s="64"/>
      <c r="N2425" s="65"/>
      <c r="O2425" s="65"/>
      <c r="P2425" s="81" t="str">
        <f>IF(AND('331-CT'!$E$7=TH!H2425,OR(N2425="331",O2425="331")),"x","")</f>
        <v/>
      </c>
      <c r="Q2425" s="81" t="str">
        <f>IF(AND(B2425='111'!$L$11,OR($N2425=$Q$7,$O2425=$Q$7)),"x","")</f>
        <v/>
      </c>
      <c r="R2425" s="81" t="str">
        <f>IF(AND($N2425=$Q$7,$B2425&lt;'111'!$L$11),"x","")</f>
        <v/>
      </c>
      <c r="S2425" s="81" t="str">
        <f>IF(AND($O2425=$Q$7,$B2425&lt;'111'!$L$11),"x","")</f>
        <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row>
    <row r="2426" spans="1:30" ht="15.75" customHeight="1">
      <c r="A2426" s="327" t="str">
        <f>IF(B2426&lt;&gt;"",IF(AND(B2426='IN-TC'!$S$4,OR(TH!N2426="1111",TH!O2426="1111")),TH!D2426,""),"")</f>
        <v/>
      </c>
      <c r="B2426" s="62" t="str">
        <f t="shared" si="375"/>
        <v/>
      </c>
      <c r="C2426" s="63"/>
      <c r="D2426" s="63"/>
      <c r="E2426" s="63"/>
      <c r="F2426" s="66"/>
      <c r="G2426" s="66"/>
      <c r="H2426" s="71"/>
      <c r="I2426" s="405"/>
      <c r="J2426" s="405"/>
      <c r="K2426" s="398"/>
      <c r="L2426" s="405"/>
      <c r="M2426" s="64"/>
      <c r="N2426" s="65"/>
      <c r="O2426" s="65"/>
      <c r="P2426" s="81" t="str">
        <f>IF(AND('331-CT'!$E$7=TH!H2426,OR(N2426="331",O2426="331")),"x","")</f>
        <v/>
      </c>
      <c r="Q2426" s="81" t="str">
        <f>IF(AND(B2426='111'!$L$11,OR($N2426=$Q$7,$O2426=$Q$7)),"x","")</f>
        <v/>
      </c>
      <c r="R2426" s="81" t="str">
        <f>IF(AND($N2426=$Q$7,$B2426&lt;'111'!$L$11),"x","")</f>
        <v/>
      </c>
      <c r="S2426" s="81" t="str">
        <f>IF(AND($O2426=$Q$7,$B2426&lt;'111'!$L$11),"x","")</f>
        <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row>
    <row r="2427" spans="1:30" ht="15.75" customHeight="1">
      <c r="A2427" s="327" t="str">
        <f>IF(B2427&lt;&gt;"",IF(AND(B2427='IN-TC'!$S$4,OR(TH!N2427="1111",TH!O2427="1111")),TH!D2427,""),"")</f>
        <v/>
      </c>
      <c r="B2427" s="62" t="str">
        <f t="shared" si="375"/>
        <v/>
      </c>
      <c r="C2427" s="63"/>
      <c r="D2427" s="63"/>
      <c r="E2427" s="63"/>
      <c r="F2427" s="66"/>
      <c r="G2427" s="66"/>
      <c r="H2427" s="71"/>
      <c r="I2427" s="405"/>
      <c r="J2427" s="405"/>
      <c r="K2427" s="398"/>
      <c r="L2427" s="405"/>
      <c r="M2427" s="64"/>
      <c r="N2427" s="65"/>
      <c r="O2427" s="65"/>
      <c r="P2427" s="81" t="str">
        <f>IF(AND('331-CT'!$E$7=TH!H2427,OR(N2427="331",O2427="331")),"x","")</f>
        <v/>
      </c>
      <c r="Q2427" s="81" t="str">
        <f>IF(AND(B2427='111'!$L$11,OR($N2427=$Q$7,$O2427=$Q$7)),"x","")</f>
        <v/>
      </c>
      <c r="R2427" s="81" t="str">
        <f>IF(AND($N2427=$Q$7,$B2427&lt;'111'!$L$11),"x","")</f>
        <v/>
      </c>
      <c r="S2427" s="81" t="str">
        <f>IF(AND($O2427=$Q$7,$B2427&lt;'111'!$L$11),"x","")</f>
        <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row>
    <row r="2428" spans="1:30" ht="15.75" customHeight="1">
      <c r="A2428" s="327" t="str">
        <f>IF(B2428&lt;&gt;"",IF(AND(B2428='IN-TC'!$S$4,OR(TH!N2428="1111",TH!O2428="1111")),TH!D2428,""),"")</f>
        <v/>
      </c>
      <c r="B2428" s="62" t="str">
        <f t="shared" si="375"/>
        <v/>
      </c>
      <c r="C2428" s="63"/>
      <c r="D2428" s="63"/>
      <c r="E2428" s="63"/>
      <c r="F2428" s="66"/>
      <c r="G2428" s="66"/>
      <c r="H2428" s="71"/>
      <c r="I2428" s="405"/>
      <c r="J2428" s="405"/>
      <c r="K2428" s="398"/>
      <c r="L2428" s="405"/>
      <c r="M2428" s="64"/>
      <c r="N2428" s="65"/>
      <c r="O2428" s="65"/>
      <c r="P2428" s="81" t="str">
        <f>IF(AND('331-CT'!$E$7=TH!H2428,OR(N2428="331",O2428="331")),"x","")</f>
        <v/>
      </c>
      <c r="Q2428" s="81" t="str">
        <f>IF(AND(B2428='111'!$L$11,OR($N2428=$Q$7,$O2428=$Q$7)),"x","")</f>
        <v/>
      </c>
      <c r="R2428" s="81" t="str">
        <f>IF(AND($N2428=$Q$7,$B2428&lt;'111'!$L$11),"x","")</f>
        <v/>
      </c>
      <c r="S2428" s="81" t="str">
        <f>IF(AND($O2428=$Q$7,$B2428&lt;'111'!$L$11),"x","")</f>
        <v/>
      </c>
      <c r="T2428" s="81" t="str">
        <f>IF(ISERROR(FIND('112'!$M$9,G2428,1)),"",IF((AND(FIND('112'!$M$9,G2428,1)&gt;=1,B2428='112'!$K$9,OR($N2428='112'!$I$6,$O2428='112'!$I$6))),"x",""))</f>
        <v/>
      </c>
      <c r="U2428" s="81" t="str">
        <f>IF(ISERROR(FIND('112'!$M$9,G2428,1)),"",IF((AND(LEFT(G2428,2)=LEFT('112'!$M$9,2),B2428&lt;'112'!$K$9,$N2428='112'!$I$6)),"x",""))</f>
        <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row>
    <row r="2429" spans="1:30" ht="15.75" customHeight="1">
      <c r="A2429" s="327" t="str">
        <f>IF(B2429&lt;&gt;"",IF(AND(B2429='IN-TC'!$S$4,OR(TH!N2429="1111",TH!O2429="1111")),TH!D2429,""),"")</f>
        <v/>
      </c>
      <c r="B2429" s="62" t="str">
        <f t="shared" si="375"/>
        <v/>
      </c>
      <c r="C2429" s="63"/>
      <c r="D2429" s="63"/>
      <c r="E2429" s="63"/>
      <c r="F2429" s="66"/>
      <c r="G2429" s="66"/>
      <c r="H2429" s="71"/>
      <c r="I2429" s="405"/>
      <c r="J2429" s="405"/>
      <c r="K2429" s="398"/>
      <c r="L2429" s="405"/>
      <c r="M2429" s="64"/>
      <c r="N2429" s="65"/>
      <c r="O2429" s="65"/>
      <c r="P2429" s="81" t="str">
        <f>IF(AND('331-CT'!$E$7=TH!H2429,OR(N2429="331",O2429="331")),"x","")</f>
        <v/>
      </c>
      <c r="Q2429" s="81" t="str">
        <f>IF(AND(B2429='111'!$L$11,OR($N2429=$Q$7,$O2429=$Q$7)),"x","")</f>
        <v/>
      </c>
      <c r="R2429" s="81" t="str">
        <f>IF(AND($N2429=$Q$7,$B2429&lt;'111'!$L$11),"x","")</f>
        <v/>
      </c>
      <c r="S2429" s="81" t="str">
        <f>IF(AND($O2429=$Q$7,$B2429&lt;'111'!$L$11),"x","")</f>
        <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row>
    <row r="2430" spans="1:30" ht="15.75" customHeight="1">
      <c r="A2430" s="327" t="str">
        <f>IF(B2430&lt;&gt;"",IF(AND(B2430='IN-TC'!$S$4,OR(TH!N2430="1111",TH!O2430="1111")),TH!D2430,""),"")</f>
        <v/>
      </c>
      <c r="B2430" s="62" t="str">
        <f t="shared" si="375"/>
        <v/>
      </c>
      <c r="C2430" s="63"/>
      <c r="D2430" s="63"/>
      <c r="E2430" s="63"/>
      <c r="F2430" s="88"/>
      <c r="G2430" s="66"/>
      <c r="H2430" s="71"/>
      <c r="I2430" s="405"/>
      <c r="J2430" s="405"/>
      <c r="K2430" s="398"/>
      <c r="L2430" s="405"/>
      <c r="M2430" s="64"/>
      <c r="N2430" s="65"/>
      <c r="O2430" s="65"/>
      <c r="P2430" s="81" t="str">
        <f>IF(AND('331-CT'!$E$7=TH!H2430,OR(N2430="331",O2430="331")),"x","")</f>
        <v/>
      </c>
      <c r="Q2430" s="81" t="str">
        <f>IF(AND(B2430='111'!$L$11,OR($N2430=$Q$7,$O2430=$Q$7)),"x","")</f>
        <v/>
      </c>
      <c r="R2430" s="81" t="str">
        <f>IF(AND($N2430=$Q$7,$B2430&lt;'111'!$L$11),"x","")</f>
        <v/>
      </c>
      <c r="S2430" s="81" t="str">
        <f>IF(AND($O2430=$Q$7,$B2430&lt;'111'!$L$11),"x","")</f>
        <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row>
    <row r="2431" spans="1:30" ht="15.75" customHeight="1">
      <c r="A2431" s="327" t="str">
        <f>IF(B2431&lt;&gt;"",IF(AND(B2431='IN-TC'!$S$4,OR(TH!N2431="1111",TH!O2431="1111")),TH!D2431,""),"")</f>
        <v/>
      </c>
      <c r="B2431" s="62" t="str">
        <f t="shared" si="375"/>
        <v/>
      </c>
      <c r="C2431" s="63"/>
      <c r="D2431" s="63"/>
      <c r="E2431" s="63"/>
      <c r="F2431" s="66"/>
      <c r="G2431" s="66"/>
      <c r="H2431" s="71"/>
      <c r="I2431" s="405"/>
      <c r="J2431" s="405"/>
      <c r="K2431" s="398"/>
      <c r="L2431" s="405"/>
      <c r="M2431" s="64"/>
      <c r="N2431" s="65"/>
      <c r="O2431" s="65"/>
      <c r="P2431" s="81" t="str">
        <f>IF(AND('331-CT'!$E$7=TH!H2431,OR(N2431="331",O2431="331")),"x","")</f>
        <v/>
      </c>
      <c r="Q2431" s="81" t="str">
        <f>IF(AND(B2431='111'!$L$11,OR($N2431=$Q$7,$O2431=$Q$7)),"x","")</f>
        <v/>
      </c>
      <c r="R2431" s="81" t="str">
        <f>IF(AND($N2431=$Q$7,$B2431&lt;'111'!$L$11),"x","")</f>
        <v/>
      </c>
      <c r="S2431" s="81" t="str">
        <f>IF(AND($O2431=$Q$7,$B2431&lt;'111'!$L$11),"x","")</f>
        <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row>
    <row r="2432" spans="1:30" ht="15.75" customHeight="1">
      <c r="A2432" s="327" t="str">
        <f>IF(B2432&lt;&gt;"",IF(AND(B2432='IN-TC'!$S$4,OR(TH!N2432="1111",TH!O2432="1111")),TH!D2432,""),"")</f>
        <v/>
      </c>
      <c r="B2432" s="62" t="str">
        <f t="shared" si="375"/>
        <v/>
      </c>
      <c r="C2432" s="63"/>
      <c r="D2432" s="63"/>
      <c r="E2432" s="63"/>
      <c r="F2432" s="66"/>
      <c r="G2432" s="66"/>
      <c r="H2432" s="72"/>
      <c r="I2432" s="408"/>
      <c r="J2432" s="408"/>
      <c r="K2432" s="401"/>
      <c r="L2432" s="408"/>
      <c r="M2432" s="64"/>
      <c r="N2432" s="65"/>
      <c r="O2432" s="65"/>
      <c r="P2432" s="81" t="str">
        <f>IF(AND('331-CT'!$E$7=TH!H2432,OR(N2432="331",O2432="331")),"x","")</f>
        <v/>
      </c>
      <c r="Q2432" s="81" t="str">
        <f>IF(AND(B2432='111'!$L$11,OR($N2432=$Q$7,$O2432=$Q$7)),"x","")</f>
        <v/>
      </c>
      <c r="R2432" s="81" t="str">
        <f>IF(AND($N2432=$Q$7,$B2432&lt;'111'!$L$11),"x","")</f>
        <v/>
      </c>
      <c r="S2432" s="81" t="str">
        <f>IF(AND($O2432=$Q$7,$B2432&lt;'111'!$L$11),"x","")</f>
        <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row>
    <row r="2433" spans="1:30" ht="15.75" customHeight="1">
      <c r="A2433" s="327" t="str">
        <f>IF(B2433&lt;&gt;"",IF(AND(B2433='IN-TC'!$S$4,OR(TH!N2433="1111",TH!O2433="1111")),TH!D2433,""),"")</f>
        <v/>
      </c>
      <c r="B2433" s="62" t="str">
        <f t="shared" si="375"/>
        <v/>
      </c>
      <c r="C2433" s="63"/>
      <c r="D2433" s="63"/>
      <c r="E2433" s="63"/>
      <c r="F2433" s="66"/>
      <c r="G2433" s="66"/>
      <c r="H2433" s="71"/>
      <c r="I2433" s="405"/>
      <c r="J2433" s="405"/>
      <c r="K2433" s="398"/>
      <c r="L2433" s="405"/>
      <c r="M2433" s="64"/>
      <c r="N2433" s="65"/>
      <c r="O2433" s="65"/>
      <c r="P2433" s="81" t="str">
        <f>IF(AND('331-CT'!$E$7=TH!H2433,OR(N2433="331",O2433="331")),"x","")</f>
        <v/>
      </c>
      <c r="Q2433" s="81" t="str">
        <f>IF(AND(B2433='111'!$L$11,OR($N2433=$Q$7,$O2433=$Q$7)),"x","")</f>
        <v/>
      </c>
      <c r="R2433" s="81" t="str">
        <f>IF(AND($N2433=$Q$7,$B2433&lt;'111'!$L$11),"x","")</f>
        <v/>
      </c>
      <c r="S2433" s="81" t="str">
        <f>IF(AND($O2433=$Q$7,$B2433&lt;'111'!$L$11),"x","")</f>
        <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row>
    <row r="2434" spans="1:30" ht="15.75" customHeight="1">
      <c r="A2434" s="327" t="str">
        <f>IF(B2434&lt;&gt;"",IF(AND(B2434='IN-TC'!$S$4,OR(TH!N2434="1111",TH!O2434="1111")),TH!D2434,""),"")</f>
        <v/>
      </c>
      <c r="B2434" s="62" t="str">
        <f t="shared" si="375"/>
        <v/>
      </c>
      <c r="C2434" s="63"/>
      <c r="D2434" s="63"/>
      <c r="E2434" s="63"/>
      <c r="F2434" s="66"/>
      <c r="G2434" s="66"/>
      <c r="H2434" s="71"/>
      <c r="I2434" s="405"/>
      <c r="J2434" s="405"/>
      <c r="K2434" s="398"/>
      <c r="L2434" s="405"/>
      <c r="M2434" s="64"/>
      <c r="N2434" s="65"/>
      <c r="O2434" s="65"/>
      <c r="P2434" s="81" t="str">
        <f>IF(AND('331-CT'!$E$7=TH!H2434,OR(N2434="331",O2434="331")),"x","")</f>
        <v/>
      </c>
      <c r="Q2434" s="81" t="str">
        <f>IF(AND(B2434='111'!$L$11,OR($N2434=$Q$7,$O2434=$Q$7)),"x","")</f>
        <v/>
      </c>
      <c r="R2434" s="81" t="str">
        <f>IF(AND($N2434=$Q$7,$B2434&lt;'111'!$L$11),"x","")</f>
        <v/>
      </c>
      <c r="S2434" s="81" t="str">
        <f>IF(AND($O2434=$Q$7,$B2434&lt;'111'!$L$11),"x","")</f>
        <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row>
    <row r="2435" spans="1:30" ht="15.75" customHeight="1">
      <c r="A2435" s="327" t="str">
        <f>IF(B2435&lt;&gt;"",IF(AND(B2435='IN-TC'!$S$4,OR(TH!N2435="1111",TH!O2435="1111")),TH!D2435,""),"")</f>
        <v/>
      </c>
      <c r="B2435" s="62" t="str">
        <f t="shared" si="375"/>
        <v/>
      </c>
      <c r="C2435" s="63"/>
      <c r="D2435" s="63"/>
      <c r="E2435" s="63"/>
      <c r="F2435" s="66"/>
      <c r="G2435" s="66"/>
      <c r="H2435" s="66"/>
      <c r="I2435" s="405"/>
      <c r="J2435" s="405"/>
      <c r="K2435" s="398"/>
      <c r="L2435" s="405"/>
      <c r="M2435" s="64"/>
      <c r="N2435" s="65"/>
      <c r="O2435" s="65"/>
      <c r="P2435" s="81" t="str">
        <f>IF(AND('331-CT'!$E$7=TH!H2435,OR(N2435="331",O2435="331")),"x","")</f>
        <v/>
      </c>
      <c r="Q2435" s="81" t="str">
        <f>IF(AND(B2435='111'!$L$11,OR($N2435=$Q$7,$O2435=$Q$7)),"x","")</f>
        <v/>
      </c>
      <c r="R2435" s="81" t="str">
        <f>IF(AND($N2435=$Q$7,$B2435&lt;'111'!$L$11),"x","")</f>
        <v/>
      </c>
      <c r="S2435" s="81" t="str">
        <f>IF(AND($O2435=$Q$7,$B2435&lt;'111'!$L$11),"x","")</f>
        <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row>
    <row r="2436" spans="1:30" ht="15.75" customHeight="1">
      <c r="A2436" s="327" t="str">
        <f>IF(B2436&lt;&gt;"",IF(AND(B2436='IN-TC'!$S$4,OR(TH!N2436="1111",TH!O2436="1111")),TH!D2436,""),"")</f>
        <v/>
      </c>
      <c r="B2436" s="62" t="str">
        <f t="shared" si="375"/>
        <v/>
      </c>
      <c r="C2436" s="63"/>
      <c r="D2436" s="63"/>
      <c r="E2436" s="63"/>
      <c r="F2436" s="66"/>
      <c r="G2436" s="66"/>
      <c r="H2436" s="66"/>
      <c r="I2436" s="405"/>
      <c r="J2436" s="405"/>
      <c r="K2436" s="398"/>
      <c r="L2436" s="405"/>
      <c r="M2436" s="64"/>
      <c r="N2436" s="65"/>
      <c r="O2436" s="65"/>
      <c r="P2436" s="81" t="str">
        <f>IF(AND('331-CT'!$E$7=TH!H2436,OR(N2436="331",O2436="331")),"x","")</f>
        <v/>
      </c>
      <c r="Q2436" s="81" t="str">
        <f>IF(AND(B2436='111'!$L$11,OR($N2436=$Q$7,$O2436=$Q$7)),"x","")</f>
        <v/>
      </c>
      <c r="R2436" s="81" t="str">
        <f>IF(AND($N2436=$Q$7,$B2436&lt;'111'!$L$11),"x","")</f>
        <v/>
      </c>
      <c r="S2436" s="81" t="str">
        <f>IF(AND($O2436=$Q$7,$B2436&lt;'111'!$L$11),"x","")</f>
        <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row>
    <row r="2437" spans="1:30" ht="15.75" customHeight="1">
      <c r="A2437" s="327" t="str">
        <f>IF(B2437&lt;&gt;"",IF(AND(B2437='IN-TC'!$S$4,OR(TH!N2437="1111",TH!O2437="1111")),TH!D2437,""),"")</f>
        <v/>
      </c>
      <c r="B2437" s="62" t="str">
        <f t="shared" si="375"/>
        <v/>
      </c>
      <c r="C2437" s="63"/>
      <c r="D2437" s="63"/>
      <c r="E2437" s="63"/>
      <c r="F2437" s="66"/>
      <c r="G2437" s="816"/>
      <c r="H2437" s="71"/>
      <c r="I2437" s="405"/>
      <c r="J2437" s="405"/>
      <c r="K2437" s="398"/>
      <c r="L2437" s="405"/>
      <c r="M2437" s="64"/>
      <c r="N2437" s="65"/>
      <c r="O2437" s="65"/>
      <c r="P2437" s="81" t="str">
        <f>IF(AND('331-CT'!$E$7=TH!H2437,OR(N2437="331",O2437="331")),"x","")</f>
        <v/>
      </c>
      <c r="Q2437" s="81" t="str">
        <f>IF(AND(B2437='111'!$L$11,OR($N2437=$Q$7,$O2437=$Q$7)),"x","")</f>
        <v/>
      </c>
      <c r="R2437" s="81" t="str">
        <f>IF(AND($N2437=$Q$7,$B2437&lt;'111'!$L$11),"x","")</f>
        <v/>
      </c>
      <c r="S2437" s="81" t="str">
        <f>IF(AND($O2437=$Q$7,$B2437&lt;'111'!$L$11),"x","")</f>
        <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row>
    <row r="2438" spans="1:30" ht="15.75" customHeight="1">
      <c r="A2438" s="327" t="str">
        <f>IF(B2438&lt;&gt;"",IF(AND(B2438='IN-TC'!$S$4,OR(TH!N2438="1111",TH!O2438="1111")),TH!D2438,""),"")</f>
        <v/>
      </c>
      <c r="B2438" s="62" t="str">
        <f t="shared" si="375"/>
        <v/>
      </c>
      <c r="C2438" s="63"/>
      <c r="D2438" s="63"/>
      <c r="E2438" s="63"/>
      <c r="F2438" s="66"/>
      <c r="G2438" s="816"/>
      <c r="H2438" s="71"/>
      <c r="I2438" s="405"/>
      <c r="J2438" s="405"/>
      <c r="K2438" s="398"/>
      <c r="L2438" s="405"/>
      <c r="M2438" s="64"/>
      <c r="N2438" s="65"/>
      <c r="O2438" s="65"/>
      <c r="P2438" s="81" t="str">
        <f>IF(AND('331-CT'!$E$7=TH!H2438,OR(N2438="331",O2438="331")),"x","")</f>
        <v/>
      </c>
      <c r="Q2438" s="81" t="str">
        <f>IF(AND(B2438='111'!$L$11,OR($N2438=$Q$7,$O2438=$Q$7)),"x","")</f>
        <v/>
      </c>
      <c r="R2438" s="81" t="str">
        <f>IF(AND($N2438=$Q$7,$B2438&lt;'111'!$L$11),"x","")</f>
        <v/>
      </c>
      <c r="S2438" s="81" t="str">
        <f>IF(AND($O2438=$Q$7,$B2438&lt;'111'!$L$11),"x","")</f>
        <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row>
    <row r="2439" spans="1:30" ht="15.75" customHeight="1">
      <c r="A2439" s="327" t="str">
        <f>IF(B2439&lt;&gt;"",IF(AND(B2439='IN-TC'!$S$4,OR(TH!N2439="1111",TH!O2439="1111")),TH!D2439,""),"")</f>
        <v/>
      </c>
      <c r="B2439" s="62" t="str">
        <f t="shared" si="375"/>
        <v/>
      </c>
      <c r="C2439" s="63"/>
      <c r="D2439" s="63"/>
      <c r="E2439" s="63"/>
      <c r="F2439" s="66"/>
      <c r="G2439" s="66"/>
      <c r="H2439" s="330"/>
      <c r="I2439" s="405"/>
      <c r="J2439" s="405"/>
      <c r="K2439" s="398"/>
      <c r="L2439" s="405"/>
      <c r="M2439" s="64"/>
      <c r="N2439" s="65"/>
      <c r="O2439" s="65"/>
      <c r="P2439" s="81" t="str">
        <f>IF(AND('331-CT'!$E$7=TH!H2439,OR(N2439="331",O2439="331")),"x","")</f>
        <v/>
      </c>
      <c r="Q2439" s="81" t="str">
        <f>IF(AND(B2439='111'!$L$11,OR($N2439=$Q$7,$O2439=$Q$7)),"x","")</f>
        <v/>
      </c>
      <c r="R2439" s="81" t="str">
        <f>IF(AND($N2439=$Q$7,$B2439&lt;'111'!$L$11),"x","")</f>
        <v/>
      </c>
      <c r="S2439" s="81" t="str">
        <f>IF(AND($O2439=$Q$7,$B2439&lt;'111'!$L$11),"x","")</f>
        <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row>
    <row r="2440" spans="1:30" ht="15.75" customHeight="1">
      <c r="A2440" s="327" t="str">
        <f>IF(B2440&lt;&gt;"",IF(AND(B2440='IN-TC'!$S$4,OR(TH!N2440="1111",TH!O2440="1111")),TH!D2440,""),"")</f>
        <v/>
      </c>
      <c r="B2440" s="62" t="str">
        <f t="shared" si="375"/>
        <v/>
      </c>
      <c r="C2440" s="63"/>
      <c r="D2440" s="63"/>
      <c r="E2440" s="63"/>
      <c r="F2440" s="66"/>
      <c r="G2440" s="66"/>
      <c r="H2440" s="330"/>
      <c r="I2440" s="405"/>
      <c r="J2440" s="405"/>
      <c r="K2440" s="398"/>
      <c r="L2440" s="405"/>
      <c r="M2440" s="64"/>
      <c r="N2440" s="65"/>
      <c r="O2440" s="65"/>
      <c r="P2440" s="81" t="str">
        <f>IF(AND('331-CT'!$E$7=TH!H2440,OR(N2440="331",O2440="331")),"x","")</f>
        <v/>
      </c>
      <c r="Q2440" s="81" t="str">
        <f>IF(AND(B2440='111'!$L$11,OR($N2440=$Q$7,$O2440=$Q$7)),"x","")</f>
        <v/>
      </c>
      <c r="R2440" s="81" t="str">
        <f>IF(AND($N2440=$Q$7,$B2440&lt;'111'!$L$11),"x","")</f>
        <v/>
      </c>
      <c r="S2440" s="81" t="str">
        <f>IF(AND($O2440=$Q$7,$B2440&lt;'111'!$L$11),"x","")</f>
        <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row>
    <row r="2441" spans="1:30" ht="15.75" customHeight="1">
      <c r="A2441" s="327" t="str">
        <f>IF(B2441&lt;&gt;"",IF(AND(B2441='IN-TC'!$S$4,OR(TH!N2441="1111",TH!O2441="1111")),TH!D2441,""),"")</f>
        <v/>
      </c>
      <c r="B2441" s="62" t="str">
        <f t="shared" si="375"/>
        <v/>
      </c>
      <c r="C2441" s="63"/>
      <c r="D2441" s="63"/>
      <c r="E2441" s="63"/>
      <c r="F2441" s="66"/>
      <c r="G2441" s="66"/>
      <c r="H2441" s="330"/>
      <c r="I2441" s="405"/>
      <c r="J2441" s="405"/>
      <c r="K2441" s="398"/>
      <c r="L2441" s="405"/>
      <c r="M2441" s="64"/>
      <c r="N2441" s="65"/>
      <c r="O2441" s="65"/>
      <c r="P2441" s="81" t="str">
        <f>IF(AND('331-CT'!$E$7=TH!H2441,OR(N2441="331",O2441="331")),"x","")</f>
        <v/>
      </c>
      <c r="Q2441" s="81" t="str">
        <f>IF(AND(B2441='111'!$L$11,OR($N2441=$Q$7,$O2441=$Q$7)),"x","")</f>
        <v/>
      </c>
      <c r="R2441" s="81" t="str">
        <f>IF(AND($N2441=$Q$7,$B2441&lt;'111'!$L$11),"x","")</f>
        <v/>
      </c>
      <c r="S2441" s="81" t="str">
        <f>IF(AND($O2441=$Q$7,$B2441&lt;'111'!$L$11),"x","")</f>
        <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row>
    <row r="2442" spans="1:30" ht="15.75" customHeight="1">
      <c r="A2442" s="327" t="str">
        <f>IF(B2442&lt;&gt;"",IF(AND(B2442='IN-TC'!$S$4,OR(TH!N2442="1111",TH!O2442="1111")),TH!D2442,""),"")</f>
        <v/>
      </c>
      <c r="B2442" s="62" t="str">
        <f t="shared" si="375"/>
        <v/>
      </c>
      <c r="C2442" s="63"/>
      <c r="D2442" s="63"/>
      <c r="E2442" s="63"/>
      <c r="F2442" s="66"/>
      <c r="G2442" s="66"/>
      <c r="H2442" s="330"/>
      <c r="I2442" s="405"/>
      <c r="J2442" s="405"/>
      <c r="K2442" s="398"/>
      <c r="L2442" s="405"/>
      <c r="M2442" s="64"/>
      <c r="N2442" s="65"/>
      <c r="O2442" s="65"/>
      <c r="P2442" s="81" t="str">
        <f>IF(AND('331-CT'!$E$7=TH!H2442,OR(N2442="331",O2442="331")),"x","")</f>
        <v/>
      </c>
      <c r="Q2442" s="81" t="str">
        <f>IF(AND(B2442='111'!$L$11,OR($N2442=$Q$7,$O2442=$Q$7)),"x","")</f>
        <v/>
      </c>
      <c r="R2442" s="81" t="str">
        <f>IF(AND($N2442=$Q$7,$B2442&lt;'111'!$L$11),"x","")</f>
        <v/>
      </c>
      <c r="S2442" s="81" t="str">
        <f>IF(AND($O2442=$Q$7,$B2442&lt;'111'!$L$11),"x","")</f>
        <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row>
    <row r="2443" spans="1:30" ht="15.75" customHeight="1">
      <c r="A2443" s="327" t="str">
        <f>IF(B2443&lt;&gt;"",IF(AND(B2443='IN-TC'!$S$4,OR(TH!N2443="1111",TH!O2443="1111")),TH!D2443,""),"")</f>
        <v/>
      </c>
      <c r="B2443" s="62" t="str">
        <f t="shared" si="375"/>
        <v/>
      </c>
      <c r="C2443" s="63"/>
      <c r="D2443" s="63"/>
      <c r="E2443" s="63"/>
      <c r="F2443" s="71"/>
      <c r="G2443" s="66"/>
      <c r="H2443" s="71"/>
      <c r="I2443" s="405"/>
      <c r="J2443" s="405"/>
      <c r="K2443" s="398"/>
      <c r="L2443" s="405"/>
      <c r="M2443" s="64"/>
      <c r="N2443" s="65"/>
      <c r="O2443" s="65"/>
      <c r="P2443" s="81" t="str">
        <f>IF(AND('331-CT'!$E$7=TH!H2443,OR(N2443="331",O2443="331")),"x","")</f>
        <v/>
      </c>
      <c r="Q2443" s="81" t="str">
        <f>IF(AND(B2443='111'!$L$11,OR($N2443=$Q$7,$O2443=$Q$7)),"x","")</f>
        <v/>
      </c>
      <c r="R2443" s="81" t="str">
        <f>IF(AND($N2443=$Q$7,$B2443&lt;'111'!$L$11),"x","")</f>
        <v/>
      </c>
      <c r="S2443" s="81" t="str">
        <f>IF(AND($O2443=$Q$7,$B2443&lt;'111'!$L$11),"x","")</f>
        <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0" ht="15.75" customHeight="1">
      <c r="A2444" s="327" t="str">
        <f>IF(B2444&lt;&gt;"",IF(AND(B2444='IN-TC'!$S$4,OR(TH!N2444="1111",TH!O2444="1111")),TH!D2444,""),"")</f>
        <v/>
      </c>
      <c r="B2444" s="62" t="str">
        <f t="shared" si="375"/>
        <v/>
      </c>
      <c r="C2444" s="63"/>
      <c r="D2444" s="63"/>
      <c r="E2444" s="63"/>
      <c r="F2444" s="66"/>
      <c r="G2444" s="66"/>
      <c r="H2444" s="330"/>
      <c r="I2444" s="407"/>
      <c r="J2444" s="407"/>
      <c r="K2444" s="400"/>
      <c r="L2444" s="407"/>
      <c r="M2444" s="64"/>
      <c r="N2444" s="65"/>
      <c r="O2444" s="65"/>
      <c r="P2444" s="81" t="str">
        <f>IF(AND('331-CT'!$E$7=TH!H2444,OR(N2444="331",O2444="331")),"x","")</f>
        <v/>
      </c>
      <c r="Q2444" s="81" t="str">
        <f>IF(AND(B2444='111'!$L$11,OR($N2444=$Q$7,$O2444=$Q$7)),"x","")</f>
        <v/>
      </c>
      <c r="R2444" s="81" t="str">
        <f>IF(AND($N2444=$Q$7,$B2444&lt;'111'!$L$11),"x","")</f>
        <v/>
      </c>
      <c r="S2444" s="81" t="str">
        <f>IF(AND($O2444=$Q$7,$B2444&lt;'111'!$L$11),"x","")</f>
        <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row>
    <row r="2445" spans="1:30" ht="15.75" customHeight="1">
      <c r="A2445" s="327" t="str">
        <f>IF(B2445&lt;&gt;"",IF(AND(B2445='IN-TC'!$S$4,OR(TH!N2445="1111",TH!O2445="1111")),TH!D2445,""),"")</f>
        <v/>
      </c>
      <c r="B2445" s="62" t="str">
        <f t="shared" si="375"/>
        <v/>
      </c>
      <c r="C2445" s="63"/>
      <c r="D2445" s="63"/>
      <c r="E2445" s="63"/>
      <c r="F2445" s="66"/>
      <c r="G2445" s="66"/>
      <c r="H2445" s="71"/>
      <c r="I2445" s="405"/>
      <c r="J2445" s="405"/>
      <c r="K2445" s="398"/>
      <c r="L2445" s="405"/>
      <c r="M2445" s="64"/>
      <c r="N2445" s="65"/>
      <c r="O2445" s="65"/>
      <c r="P2445" s="81" t="str">
        <f>IF(AND('331-CT'!$E$7=TH!H2445,OR(N2445="331",O2445="331")),"x","")</f>
        <v/>
      </c>
      <c r="Q2445" s="81" t="str">
        <f>IF(AND(B2445='111'!$L$11,OR($N2445=$Q$7,$O2445=$Q$7)),"x","")</f>
        <v/>
      </c>
      <c r="R2445" s="81" t="str">
        <f>IF(AND($N2445=$Q$7,$B2445&lt;'111'!$L$11),"x","")</f>
        <v/>
      </c>
      <c r="S2445" s="81" t="str">
        <f>IF(AND($O2445=$Q$7,$B2445&lt;'111'!$L$11),"x","")</f>
        <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row>
    <row r="2446" spans="1:30" ht="15.75" customHeight="1">
      <c r="A2446" s="327" t="str">
        <f>IF(B2446&lt;&gt;"",IF(AND(B2446='IN-TC'!$S$4,OR(TH!N2446="1111",TH!O2446="1111")),TH!D2446,""),"")</f>
        <v/>
      </c>
      <c r="B2446" s="62" t="str">
        <f t="shared" si="375"/>
        <v/>
      </c>
      <c r="C2446" s="63"/>
      <c r="D2446" s="63"/>
      <c r="E2446" s="63"/>
      <c r="F2446" s="66"/>
      <c r="G2446" s="66"/>
      <c r="H2446" s="71"/>
      <c r="I2446" s="405"/>
      <c r="J2446" s="405"/>
      <c r="K2446" s="398"/>
      <c r="L2446" s="405"/>
      <c r="M2446" s="64"/>
      <c r="N2446" s="65"/>
      <c r="O2446" s="65"/>
      <c r="P2446" s="81" t="str">
        <f>IF(AND('331-CT'!$E$7=TH!H2446,OR(N2446="331",O2446="331")),"x","")</f>
        <v/>
      </c>
      <c r="Q2446" s="81" t="str">
        <f>IF(AND(B2446='111'!$L$11,OR($N2446=$Q$7,$O2446=$Q$7)),"x","")</f>
        <v/>
      </c>
      <c r="R2446" s="81" t="str">
        <f>IF(AND($N2446=$Q$7,$B2446&lt;'111'!$L$11),"x","")</f>
        <v/>
      </c>
      <c r="S2446" s="81" t="str">
        <f>IF(AND($O2446=$Q$7,$B2446&lt;'111'!$L$11),"x","")</f>
        <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row>
    <row r="2447" spans="1:30" ht="15.75" customHeight="1">
      <c r="A2447" s="327" t="str">
        <f>IF(B2447&lt;&gt;"",IF(AND(B2447='IN-TC'!$S$4,OR(TH!N2447="1111",TH!O2447="1111")),TH!D2447,""),"")</f>
        <v/>
      </c>
      <c r="B2447" s="62" t="str">
        <f t="shared" si="375"/>
        <v/>
      </c>
      <c r="C2447" s="63"/>
      <c r="D2447" s="63"/>
      <c r="E2447" s="63"/>
      <c r="F2447" s="66"/>
      <c r="G2447" s="66"/>
      <c r="H2447" s="330"/>
      <c r="I2447" s="407"/>
      <c r="J2447" s="407"/>
      <c r="K2447" s="400"/>
      <c r="L2447" s="407"/>
      <c r="M2447" s="64"/>
      <c r="N2447" s="65"/>
      <c r="O2447" s="65"/>
      <c r="P2447" s="81" t="str">
        <f>IF(AND('331-CT'!$E$7=TH!H2447,OR(N2447="331",O2447="331")),"x","")</f>
        <v/>
      </c>
      <c r="Q2447" s="81" t="str">
        <f>IF(AND(B2447='111'!$L$11,OR($N2447=$Q$7,$O2447=$Q$7)),"x","")</f>
        <v/>
      </c>
      <c r="R2447" s="81" t="str">
        <f>IF(AND($N2447=$Q$7,$B2447&lt;'111'!$L$11),"x","")</f>
        <v/>
      </c>
      <c r="S2447" s="81" t="str">
        <f>IF(AND($O2447=$Q$7,$B2447&lt;'111'!$L$11),"x","")</f>
        <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row>
    <row r="2448" spans="1:30" ht="15.75" customHeight="1">
      <c r="A2448" s="327" t="str">
        <f>IF(B2448&lt;&gt;"",IF(AND(B2448='IN-TC'!$S$4,OR(TH!N2448="1111",TH!O2448="1111")),TH!D2448,""),"")</f>
        <v/>
      </c>
      <c r="B2448" s="62" t="str">
        <f t="shared" si="375"/>
        <v/>
      </c>
      <c r="C2448" s="63"/>
      <c r="D2448" s="63"/>
      <c r="E2448" s="63"/>
      <c r="F2448" s="66"/>
      <c r="G2448" s="66"/>
      <c r="H2448" s="71"/>
      <c r="I2448" s="405"/>
      <c r="J2448" s="405"/>
      <c r="K2448" s="398"/>
      <c r="L2448" s="405"/>
      <c r="M2448" s="64"/>
      <c r="N2448" s="65"/>
      <c r="O2448" s="65"/>
      <c r="P2448" s="81" t="str">
        <f>IF(AND('331-CT'!$E$7=TH!H2448,OR(N2448="331",O2448="331")),"x","")</f>
        <v/>
      </c>
      <c r="Q2448" s="81" t="str">
        <f>IF(AND(B2448='111'!$L$11,OR($N2448=$Q$7,$O2448=$Q$7)),"x","")</f>
        <v/>
      </c>
      <c r="R2448" s="81" t="str">
        <f>IF(AND($N2448=$Q$7,$B2448&lt;'111'!$L$11),"x","")</f>
        <v/>
      </c>
      <c r="S2448" s="81" t="str">
        <f>IF(AND($O2448=$Q$7,$B2448&lt;'111'!$L$11),"x","")</f>
        <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row>
    <row r="2449" spans="1:30" ht="15.75" customHeight="1">
      <c r="A2449" s="327" t="str">
        <f>IF(B2449&lt;&gt;"",IF(AND(B2449='IN-TC'!$S$4,OR(TH!N2449="1111",TH!O2449="1111")),TH!D2449,""),"")</f>
        <v/>
      </c>
      <c r="B2449" s="62" t="str">
        <f t="shared" si="375"/>
        <v/>
      </c>
      <c r="C2449" s="63"/>
      <c r="D2449" s="63"/>
      <c r="E2449" s="63"/>
      <c r="F2449" s="66"/>
      <c r="G2449" s="66"/>
      <c r="H2449" s="71"/>
      <c r="I2449" s="405"/>
      <c r="J2449" s="405"/>
      <c r="K2449" s="398"/>
      <c r="L2449" s="405"/>
      <c r="M2449" s="64"/>
      <c r="N2449" s="65"/>
      <c r="O2449" s="65"/>
      <c r="P2449" s="81" t="str">
        <f>IF(AND('331-CT'!$E$7=TH!H2449,OR(N2449="331",O2449="331")),"x","")</f>
        <v/>
      </c>
      <c r="Q2449" s="81" t="str">
        <f>IF(AND(B2449='111'!$L$11,OR($N2449=$Q$7,$O2449=$Q$7)),"x","")</f>
        <v/>
      </c>
      <c r="R2449" s="81" t="str">
        <f>IF(AND($N2449=$Q$7,$B2449&lt;'111'!$L$11),"x","")</f>
        <v/>
      </c>
      <c r="S2449" s="81" t="str">
        <f>IF(AND($O2449=$Q$7,$B2449&lt;'111'!$L$11),"x","")</f>
        <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0" ht="15.75" customHeight="1">
      <c r="A2450" s="327" t="str">
        <f>IF(B2450&lt;&gt;"",IF(AND(B2450='IN-TC'!$S$4,OR(TH!N2450="1111",TH!O2450="1111")),TH!D2450,""),"")</f>
        <v/>
      </c>
      <c r="B2450" s="62" t="str">
        <f t="shared" si="375"/>
        <v/>
      </c>
      <c r="C2450" s="63"/>
      <c r="D2450" s="63"/>
      <c r="E2450" s="63"/>
      <c r="F2450" s="66"/>
      <c r="G2450" s="66"/>
      <c r="H2450" s="71"/>
      <c r="I2450" s="405"/>
      <c r="J2450" s="405"/>
      <c r="K2450" s="398"/>
      <c r="L2450" s="405"/>
      <c r="M2450" s="64"/>
      <c r="N2450" s="65"/>
      <c r="O2450" s="65"/>
      <c r="P2450" s="81" t="str">
        <f>IF(AND('331-CT'!$E$7=TH!H2450,OR(N2450="331",O2450="331")),"x","")</f>
        <v/>
      </c>
      <c r="Q2450" s="81" t="str">
        <f>IF(AND(B2450='111'!$L$11,OR($N2450=$Q$7,$O2450=$Q$7)),"x","")</f>
        <v/>
      </c>
      <c r="R2450" s="81" t="str">
        <f>IF(AND($N2450=$Q$7,$B2450&lt;'111'!$L$11),"x","")</f>
        <v/>
      </c>
      <c r="S2450" s="81" t="str">
        <f>IF(AND($O2450=$Q$7,$B2450&lt;'111'!$L$11),"x","")</f>
        <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row>
    <row r="2451" spans="1:30" ht="15.75" customHeight="1">
      <c r="A2451" s="327" t="str">
        <f>IF(B2451&lt;&gt;"",IF(AND(B2451='IN-TC'!$S$4,OR(TH!N2451="1111",TH!O2451="1111")),TH!D2451,""),"")</f>
        <v/>
      </c>
      <c r="B2451" s="62" t="str">
        <f t="shared" si="375"/>
        <v/>
      </c>
      <c r="C2451" s="63"/>
      <c r="D2451" s="63"/>
      <c r="E2451" s="63"/>
      <c r="F2451" s="66"/>
      <c r="G2451" s="816"/>
      <c r="H2451" s="71"/>
      <c r="I2451" s="405"/>
      <c r="J2451" s="405"/>
      <c r="K2451" s="398"/>
      <c r="L2451" s="405"/>
      <c r="M2451" s="64"/>
      <c r="N2451" s="65"/>
      <c r="O2451" s="65"/>
      <c r="P2451" s="81" t="str">
        <f>IF(AND('331-CT'!$E$7=TH!H2451,OR(N2451="331",O2451="331")),"x","")</f>
        <v/>
      </c>
      <c r="Q2451" s="81" t="str">
        <f>IF(AND(B2451='111'!$L$11,OR($N2451=$Q$7,$O2451=$Q$7)),"x","")</f>
        <v/>
      </c>
      <c r="R2451" s="81" t="str">
        <f>IF(AND($N2451=$Q$7,$B2451&lt;'111'!$L$11),"x","")</f>
        <v/>
      </c>
      <c r="S2451" s="81" t="str">
        <f>IF(AND($O2451=$Q$7,$B2451&lt;'111'!$L$11),"x","")</f>
        <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row>
    <row r="2452" spans="1:30" ht="15.75" customHeight="1">
      <c r="A2452" s="327" t="str">
        <f>IF(B2452&lt;&gt;"",IF(AND(B2452='IN-TC'!$S$4,OR(TH!N2452="1111",TH!O2452="1111")),TH!D2452,""),"")</f>
        <v/>
      </c>
      <c r="B2452" s="62" t="str">
        <f t="shared" si="375"/>
        <v/>
      </c>
      <c r="C2452" s="63"/>
      <c r="D2452" s="63"/>
      <c r="E2452" s="63"/>
      <c r="F2452" s="66"/>
      <c r="G2452" s="66"/>
      <c r="H2452" s="71"/>
      <c r="I2452" s="405"/>
      <c r="J2452" s="405"/>
      <c r="K2452" s="398"/>
      <c r="L2452" s="405"/>
      <c r="M2452" s="64"/>
      <c r="N2452" s="65"/>
      <c r="O2452" s="65"/>
      <c r="P2452" s="81" t="str">
        <f>IF(AND('331-CT'!$E$7=TH!H2452,OR(N2452="331",O2452="331")),"x","")</f>
        <v/>
      </c>
      <c r="Q2452" s="81" t="str">
        <f>IF(AND(B2452='111'!$L$11,OR($N2452=$Q$7,$O2452=$Q$7)),"x","")</f>
        <v/>
      </c>
      <c r="R2452" s="81" t="str">
        <f>IF(AND($N2452=$Q$7,$B2452&lt;'111'!$L$11),"x","")</f>
        <v/>
      </c>
      <c r="S2452" s="81" t="str">
        <f>IF(AND($O2452=$Q$7,$B2452&lt;'111'!$L$11),"x","")</f>
        <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row>
    <row r="2453" spans="1:30" ht="15.75" customHeight="1">
      <c r="A2453" s="327" t="str">
        <f>IF(B2453&lt;&gt;"",IF(AND(B2453='IN-TC'!$S$4,OR(TH!N2453="1111",TH!O2453="1111")),TH!D2453,""),"")</f>
        <v/>
      </c>
      <c r="B2453" s="62" t="str">
        <f t="shared" si="375"/>
        <v/>
      </c>
      <c r="C2453" s="63"/>
      <c r="D2453" s="63"/>
      <c r="E2453" s="63"/>
      <c r="F2453" s="66"/>
      <c r="G2453" s="816"/>
      <c r="H2453" s="71"/>
      <c r="I2453" s="405"/>
      <c r="J2453" s="405"/>
      <c r="K2453" s="398"/>
      <c r="L2453" s="405"/>
      <c r="M2453" s="64"/>
      <c r="N2453" s="65"/>
      <c r="O2453" s="65"/>
      <c r="P2453" s="81" t="str">
        <f>IF(AND('331-CT'!$E$7=TH!H2453,OR(N2453="331",O2453="331")),"x","")</f>
        <v/>
      </c>
      <c r="Q2453" s="81" t="str">
        <f>IF(AND(B2453='111'!$L$11,OR($N2453=$Q$7,$O2453=$Q$7)),"x","")</f>
        <v/>
      </c>
      <c r="R2453" s="81" t="str">
        <f>IF(AND($N2453=$Q$7,$B2453&lt;'111'!$L$11),"x","")</f>
        <v/>
      </c>
      <c r="S2453" s="81" t="str">
        <f>IF(AND($O2453=$Q$7,$B2453&lt;'111'!$L$11),"x","")</f>
        <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row>
    <row r="2454" spans="1:30" ht="15.75" customHeight="1">
      <c r="A2454" s="327" t="str">
        <f>IF(B2454&lt;&gt;"",IF(AND(B2454='IN-TC'!$S$4,OR(TH!N2454="1111",TH!O2454="1111")),TH!D2454,""),"")</f>
        <v/>
      </c>
      <c r="B2454" s="62" t="str">
        <f t="shared" ref="B2454:B2517" si="380">IF(C2454&lt;&gt;"",MONTH(C2454),"")</f>
        <v/>
      </c>
      <c r="C2454" s="63"/>
      <c r="D2454" s="63"/>
      <c r="E2454" s="63"/>
      <c r="F2454" s="66"/>
      <c r="G2454" s="816"/>
      <c r="H2454" s="71"/>
      <c r="I2454" s="405"/>
      <c r="J2454" s="405"/>
      <c r="K2454" s="398"/>
      <c r="L2454" s="405"/>
      <c r="M2454" s="64"/>
      <c r="N2454" s="65"/>
      <c r="O2454" s="65"/>
      <c r="P2454" s="81" t="str">
        <f>IF(AND('331-CT'!$E$7=TH!H2454,OR(N2454="331",O2454="331")),"x","")</f>
        <v/>
      </c>
      <c r="Q2454" s="81" t="str">
        <f>IF(AND(B2454='111'!$L$11,OR($N2454=$Q$7,$O2454=$Q$7)),"x","")</f>
        <v/>
      </c>
      <c r="R2454" s="81" t="str">
        <f>IF(AND($N2454=$Q$7,$B2454&lt;'111'!$L$11),"x","")</f>
        <v/>
      </c>
      <c r="S2454" s="81" t="str">
        <f>IF(AND($O2454=$Q$7,$B2454&lt;'111'!$L$11),"x","")</f>
        <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row>
    <row r="2455" spans="1:30" ht="15.75" customHeight="1">
      <c r="A2455" s="327" t="str">
        <f>IF(B2455&lt;&gt;"",IF(AND(B2455='IN-TC'!$S$4,OR(TH!N2455="1111",TH!O2455="1111")),TH!D2455,""),"")</f>
        <v/>
      </c>
      <c r="B2455" s="62" t="str">
        <f t="shared" si="380"/>
        <v/>
      </c>
      <c r="C2455" s="63"/>
      <c r="D2455" s="63"/>
      <c r="E2455" s="63"/>
      <c r="F2455" s="66"/>
      <c r="G2455" s="816"/>
      <c r="H2455" s="71"/>
      <c r="I2455" s="405"/>
      <c r="J2455" s="405"/>
      <c r="K2455" s="398"/>
      <c r="L2455" s="405"/>
      <c r="M2455" s="64"/>
      <c r="N2455" s="65"/>
      <c r="O2455" s="65"/>
      <c r="P2455" s="81" t="str">
        <f>IF(AND('331-CT'!$E$7=TH!H2455,OR(N2455="331",O2455="331")),"x","")</f>
        <v/>
      </c>
      <c r="Q2455" s="81" t="str">
        <f>IF(AND(B2455='111'!$L$11,OR($N2455=$Q$7,$O2455=$Q$7)),"x","")</f>
        <v/>
      </c>
      <c r="R2455" s="81" t="str">
        <f>IF(AND($N2455=$Q$7,$B2455&lt;'111'!$L$11),"x","")</f>
        <v/>
      </c>
      <c r="S2455" s="81" t="str">
        <f>IF(AND($O2455=$Q$7,$B2455&lt;'111'!$L$11),"x","")</f>
        <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row>
    <row r="2456" spans="1:30" ht="15.75" customHeight="1">
      <c r="A2456" s="327" t="str">
        <f>IF(B2456&lt;&gt;"",IF(AND(B2456='IN-TC'!$S$4,OR(TH!N2456="1111",TH!O2456="1111")),TH!D2456,""),"")</f>
        <v/>
      </c>
      <c r="B2456" s="62" t="str">
        <f t="shared" si="380"/>
        <v/>
      </c>
      <c r="C2456" s="63"/>
      <c r="D2456" s="63"/>
      <c r="E2456" s="63"/>
      <c r="F2456" s="66"/>
      <c r="G2456" s="816"/>
      <c r="H2456" s="71"/>
      <c r="I2456" s="405"/>
      <c r="J2456" s="405"/>
      <c r="K2456" s="398"/>
      <c r="L2456" s="405"/>
      <c r="M2456" s="64"/>
      <c r="N2456" s="65"/>
      <c r="O2456" s="65"/>
      <c r="P2456" s="81" t="str">
        <f>IF(AND('331-CT'!$E$7=TH!H2456,OR(N2456="331",O2456="331")),"x","")</f>
        <v/>
      </c>
      <c r="Q2456" s="81" t="str">
        <f>IF(AND(B2456='111'!$L$11,OR($N2456=$Q$7,$O2456=$Q$7)),"x","")</f>
        <v/>
      </c>
      <c r="R2456" s="81" t="str">
        <f>IF(AND($N2456=$Q$7,$B2456&lt;'111'!$L$11),"x","")</f>
        <v/>
      </c>
      <c r="S2456" s="81" t="str">
        <f>IF(AND($O2456=$Q$7,$B2456&lt;'111'!$L$11),"x","")</f>
        <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row>
    <row r="2457" spans="1:30" ht="15.75" customHeight="1">
      <c r="A2457" s="327" t="str">
        <f>IF(B2457&lt;&gt;"",IF(AND(B2457='IN-TC'!$S$4,OR(TH!N2457="1111",TH!O2457="1111")),TH!D2457,""),"")</f>
        <v/>
      </c>
      <c r="B2457" s="62" t="str">
        <f t="shared" si="380"/>
        <v/>
      </c>
      <c r="C2457" s="63"/>
      <c r="D2457" s="63"/>
      <c r="E2457" s="63"/>
      <c r="F2457" s="66"/>
      <c r="G2457" s="66"/>
      <c r="H2457" s="66"/>
      <c r="I2457" s="408"/>
      <c r="J2457" s="408"/>
      <c r="K2457" s="401"/>
      <c r="L2457" s="408"/>
      <c r="M2457" s="64"/>
      <c r="N2457" s="65"/>
      <c r="O2457" s="65"/>
      <c r="P2457" s="81" t="str">
        <f>IF(AND('331-CT'!$E$7=TH!H2457,OR(N2457="331",O2457="331")),"x","")</f>
        <v/>
      </c>
      <c r="Q2457" s="81" t="str">
        <f>IF(AND(B2457='111'!$L$11,OR($N2457=$Q$7,$O2457=$Q$7)),"x","")</f>
        <v/>
      </c>
      <c r="R2457" s="81" t="str">
        <f>IF(AND($N2457=$Q$7,$B2457&lt;'111'!$L$11),"x","")</f>
        <v/>
      </c>
      <c r="S2457" s="81" t="str">
        <f>IF(AND($O2457=$Q$7,$B2457&lt;'111'!$L$11),"x","")</f>
        <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row>
    <row r="2458" spans="1:30" ht="15.75" customHeight="1">
      <c r="A2458" s="327" t="str">
        <f>IF(B2458&lt;&gt;"",IF(AND(B2458='IN-TC'!$S$4,OR(TH!N2458="1111",TH!O2458="1111")),TH!D2458,""),"")</f>
        <v/>
      </c>
      <c r="B2458" s="62" t="str">
        <f t="shared" si="380"/>
        <v/>
      </c>
      <c r="C2458" s="63"/>
      <c r="D2458" s="63"/>
      <c r="E2458" s="63"/>
      <c r="F2458" s="66"/>
      <c r="G2458" s="66"/>
      <c r="H2458" s="66"/>
      <c r="I2458" s="408"/>
      <c r="J2458" s="408"/>
      <c r="K2458" s="401"/>
      <c r="L2458" s="408"/>
      <c r="M2458" s="64"/>
      <c r="N2458" s="65"/>
      <c r="O2458" s="65"/>
      <c r="P2458" s="81" t="str">
        <f>IF(AND('331-CT'!$E$7=TH!H2458,OR(N2458="331",O2458="331")),"x","")</f>
        <v/>
      </c>
      <c r="Q2458" s="81" t="str">
        <f>IF(AND(B2458='111'!$L$11,OR($N2458=$Q$7,$O2458=$Q$7)),"x","")</f>
        <v/>
      </c>
      <c r="R2458" s="81" t="str">
        <f>IF(AND($N2458=$Q$7,$B2458&lt;'111'!$L$11),"x","")</f>
        <v/>
      </c>
      <c r="S2458" s="81" t="str">
        <f>IF(AND($O2458=$Q$7,$B2458&lt;'111'!$L$11),"x","")</f>
        <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row>
    <row r="2459" spans="1:30" ht="15.75" customHeight="1">
      <c r="A2459" s="327" t="str">
        <f>IF(B2459&lt;&gt;"",IF(AND(B2459='IN-TC'!$S$4,OR(TH!N2459="1111",TH!O2459="1111")),TH!D2459,""),"")</f>
        <v/>
      </c>
      <c r="B2459" s="62" t="str">
        <f t="shared" si="380"/>
        <v/>
      </c>
      <c r="C2459" s="63"/>
      <c r="D2459" s="63"/>
      <c r="E2459" s="63"/>
      <c r="F2459" s="66"/>
      <c r="G2459" s="66"/>
      <c r="H2459" s="71"/>
      <c r="I2459" s="405"/>
      <c r="J2459" s="405"/>
      <c r="K2459" s="398"/>
      <c r="L2459" s="405"/>
      <c r="M2459" s="64"/>
      <c r="N2459" s="65"/>
      <c r="O2459" s="65"/>
      <c r="P2459" s="81" t="str">
        <f>IF(AND('331-CT'!$E$7=TH!H2459,OR(N2459="331",O2459="331")),"x","")</f>
        <v/>
      </c>
      <c r="Q2459" s="81" t="str">
        <f>IF(AND(B2459='111'!$L$11,OR($N2459=$Q$7,$O2459=$Q$7)),"x","")</f>
        <v/>
      </c>
      <c r="R2459" s="81" t="str">
        <f>IF(AND($N2459=$Q$7,$B2459&lt;'111'!$L$11),"x","")</f>
        <v/>
      </c>
      <c r="S2459" s="81" t="str">
        <f>IF(AND($O2459=$Q$7,$B2459&lt;'111'!$L$11),"x","")</f>
        <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row>
    <row r="2460" spans="1:30" ht="15.75" customHeight="1">
      <c r="A2460" s="327" t="str">
        <f>IF(B2460&lt;&gt;"",IF(AND(B2460='IN-TC'!$S$4,OR(TH!N2460="1111",TH!O2460="1111")),TH!D2460,""),"")</f>
        <v/>
      </c>
      <c r="B2460" s="62" t="str">
        <f t="shared" si="380"/>
        <v/>
      </c>
      <c r="C2460" s="63"/>
      <c r="D2460" s="63"/>
      <c r="E2460" s="63"/>
      <c r="F2460" s="71"/>
      <c r="G2460" s="66"/>
      <c r="H2460" s="71"/>
      <c r="I2460" s="405"/>
      <c r="J2460" s="405"/>
      <c r="K2460" s="398"/>
      <c r="L2460" s="405"/>
      <c r="M2460" s="64"/>
      <c r="N2460" s="65"/>
      <c r="O2460" s="65"/>
      <c r="P2460" s="81" t="str">
        <f>IF(AND('331-CT'!$E$7=TH!H2460,OR(N2460="331",O2460="331")),"x","")</f>
        <v/>
      </c>
      <c r="Q2460" s="81" t="str">
        <f>IF(AND(B2460='111'!$L$11,OR($N2460=$Q$7,$O2460=$Q$7)),"x","")</f>
        <v/>
      </c>
      <c r="R2460" s="81" t="str">
        <f>IF(AND($N2460=$Q$7,$B2460&lt;'111'!$L$11),"x","")</f>
        <v/>
      </c>
      <c r="S2460" s="81" t="str">
        <f>IF(AND($O2460=$Q$7,$B2460&lt;'111'!$L$11),"x","")</f>
        <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row>
    <row r="2461" spans="1:30" ht="15.75" customHeight="1">
      <c r="A2461" s="327" t="str">
        <f>IF(B2461&lt;&gt;"",IF(AND(B2461='IN-TC'!$S$4,OR(TH!N2461="1111",TH!O2461="1111")),TH!D2461,""),"")</f>
        <v/>
      </c>
      <c r="B2461" s="62" t="str">
        <f t="shared" si="380"/>
        <v/>
      </c>
      <c r="C2461" s="63"/>
      <c r="D2461" s="63"/>
      <c r="E2461" s="63"/>
      <c r="F2461" s="66"/>
      <c r="G2461" s="66"/>
      <c r="H2461" s="66"/>
      <c r="I2461" s="407"/>
      <c r="J2461" s="407"/>
      <c r="K2461" s="400"/>
      <c r="L2461" s="407"/>
      <c r="M2461" s="64"/>
      <c r="N2461" s="65"/>
      <c r="O2461" s="65"/>
      <c r="P2461" s="81" t="str">
        <f>IF(AND('331-CT'!$E$7=TH!H2461,OR(N2461="331",O2461="331")),"x","")</f>
        <v/>
      </c>
      <c r="Q2461" s="81" t="str">
        <f>IF(AND(B2461='111'!$L$11,OR($N2461=$Q$7,$O2461=$Q$7)),"x","")</f>
        <v/>
      </c>
      <c r="R2461" s="81" t="str">
        <f>IF(AND($N2461=$Q$7,$B2461&lt;'111'!$L$11),"x","")</f>
        <v/>
      </c>
      <c r="S2461" s="81" t="str">
        <f>IF(AND($O2461=$Q$7,$B2461&lt;'111'!$L$11),"x","")</f>
        <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row>
    <row r="2462" spans="1:30" ht="15.75" customHeight="1">
      <c r="A2462" s="327" t="str">
        <f>IF(B2462&lt;&gt;"",IF(AND(B2462='IN-TC'!$S$4,OR(TH!N2462="1111",TH!O2462="1111")),TH!D2462,""),"")</f>
        <v/>
      </c>
      <c r="B2462" s="62" t="str">
        <f t="shared" si="380"/>
        <v/>
      </c>
      <c r="C2462" s="63"/>
      <c r="D2462" s="63"/>
      <c r="E2462" s="63"/>
      <c r="F2462" s="66"/>
      <c r="G2462" s="66"/>
      <c r="H2462" s="66"/>
      <c r="I2462" s="405"/>
      <c r="J2462" s="405"/>
      <c r="K2462" s="398"/>
      <c r="L2462" s="405"/>
      <c r="M2462" s="64"/>
      <c r="N2462" s="65"/>
      <c r="O2462" s="65"/>
      <c r="P2462" s="81" t="str">
        <f>IF(AND('331-CT'!$E$7=TH!H2462,OR(N2462="331",O2462="331")),"x","")</f>
        <v/>
      </c>
      <c r="Q2462" s="81" t="str">
        <f>IF(AND(B2462='111'!$L$11,OR($N2462=$Q$7,$O2462=$Q$7)),"x","")</f>
        <v/>
      </c>
      <c r="R2462" s="81" t="str">
        <f>IF(AND($N2462=$Q$7,$B2462&lt;'111'!$L$11),"x","")</f>
        <v/>
      </c>
      <c r="S2462" s="81" t="str">
        <f>IF(AND($O2462=$Q$7,$B2462&lt;'111'!$L$11),"x","")</f>
        <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row>
    <row r="2463" spans="1:30" ht="15.75" customHeight="1">
      <c r="A2463" s="327" t="str">
        <f>IF(B2463&lt;&gt;"",IF(AND(B2463='IN-TC'!$S$4,OR(TH!N2463="1111",TH!O2463="1111")),TH!D2463,""),"")</f>
        <v/>
      </c>
      <c r="B2463" s="62" t="str">
        <f t="shared" si="380"/>
        <v/>
      </c>
      <c r="C2463" s="63"/>
      <c r="D2463" s="63"/>
      <c r="E2463" s="63"/>
      <c r="F2463" s="66"/>
      <c r="G2463" s="66"/>
      <c r="H2463" s="66"/>
      <c r="I2463" s="405"/>
      <c r="J2463" s="405"/>
      <c r="K2463" s="398"/>
      <c r="L2463" s="405"/>
      <c r="M2463" s="64"/>
      <c r="N2463" s="65"/>
      <c r="O2463" s="65"/>
      <c r="P2463" s="81" t="str">
        <f>IF(AND('331-CT'!$E$7=TH!H2463,OR(N2463="331",O2463="331")),"x","")</f>
        <v/>
      </c>
      <c r="Q2463" s="81" t="str">
        <f>IF(AND(B2463='111'!$L$11,OR($N2463=$Q$7,$O2463=$Q$7)),"x","")</f>
        <v/>
      </c>
      <c r="R2463" s="81" t="str">
        <f>IF(AND($N2463=$Q$7,$B2463&lt;'111'!$L$11),"x","")</f>
        <v/>
      </c>
      <c r="S2463" s="81" t="str">
        <f>IF(AND($O2463=$Q$7,$B2463&lt;'111'!$L$11),"x","")</f>
        <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row>
    <row r="2464" spans="1:30" ht="15.75" customHeight="1">
      <c r="A2464" s="327" t="str">
        <f>IF(B2464&lt;&gt;"",IF(AND(B2464='IN-TC'!$S$4,OR(TH!N2464="1111",TH!O2464="1111")),TH!D2464,""),"")</f>
        <v/>
      </c>
      <c r="B2464" s="62" t="str">
        <f t="shared" si="380"/>
        <v/>
      </c>
      <c r="C2464" s="63"/>
      <c r="D2464" s="63"/>
      <c r="E2464" s="63"/>
      <c r="F2464" s="66"/>
      <c r="G2464" s="816"/>
      <c r="H2464" s="71"/>
      <c r="I2464" s="405"/>
      <c r="J2464" s="405"/>
      <c r="K2464" s="398"/>
      <c r="L2464" s="405"/>
      <c r="M2464" s="64"/>
      <c r="N2464" s="65"/>
      <c r="O2464" s="65"/>
      <c r="P2464" s="81" t="str">
        <f>IF(AND('331-CT'!$E$7=TH!H2464,OR(N2464="331",O2464="331")),"x","")</f>
        <v/>
      </c>
      <c r="Q2464" s="81" t="str">
        <f>IF(AND(B2464='111'!$L$11,OR($N2464=$Q$7,$O2464=$Q$7)),"x","")</f>
        <v/>
      </c>
      <c r="R2464" s="81" t="str">
        <f>IF(AND($N2464=$Q$7,$B2464&lt;'111'!$L$11),"x","")</f>
        <v/>
      </c>
      <c r="S2464" s="81" t="str">
        <f>IF(AND($O2464=$Q$7,$B2464&lt;'111'!$L$11),"x","")</f>
        <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0" ht="15.75" customHeight="1">
      <c r="A2465" s="327" t="str">
        <f>IF(B2465&lt;&gt;"",IF(AND(B2465='IN-TC'!$S$4,OR(TH!N2465="1111",TH!O2465="1111")),TH!D2465,""),"")</f>
        <v/>
      </c>
      <c r="B2465" s="62" t="str">
        <f t="shared" si="380"/>
        <v/>
      </c>
      <c r="C2465" s="63"/>
      <c r="D2465" s="63"/>
      <c r="E2465" s="63"/>
      <c r="F2465" s="66"/>
      <c r="G2465" s="816"/>
      <c r="H2465" s="71"/>
      <c r="I2465" s="405"/>
      <c r="J2465" s="405"/>
      <c r="K2465" s="398"/>
      <c r="L2465" s="405"/>
      <c r="M2465" s="64"/>
      <c r="N2465" s="65"/>
      <c r="O2465" s="65"/>
      <c r="P2465" s="81" t="str">
        <f>IF(AND('331-CT'!$E$7=TH!H2465,OR(N2465="331",O2465="331")),"x","")</f>
        <v/>
      </c>
      <c r="Q2465" s="81" t="str">
        <f>IF(AND(B2465='111'!$L$11,OR($N2465=$Q$7,$O2465=$Q$7)),"x","")</f>
        <v/>
      </c>
      <c r="R2465" s="81" t="str">
        <f>IF(AND($N2465=$Q$7,$B2465&lt;'111'!$L$11),"x","")</f>
        <v/>
      </c>
      <c r="S2465" s="81" t="str">
        <f>IF(AND($O2465=$Q$7,$B2465&lt;'111'!$L$11),"x","")</f>
        <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0" ht="15.75" customHeight="1">
      <c r="A2466" s="327" t="str">
        <f>IF(B2466&lt;&gt;"",IF(AND(B2466='IN-TC'!$S$4,OR(TH!N2466="1111",TH!O2466="1111")),TH!D2466,""),"")</f>
        <v/>
      </c>
      <c r="B2466" s="62" t="str">
        <f t="shared" si="380"/>
        <v/>
      </c>
      <c r="C2466" s="63"/>
      <c r="D2466" s="63"/>
      <c r="E2466" s="63"/>
      <c r="F2466" s="66"/>
      <c r="G2466" s="66"/>
      <c r="H2466" s="72"/>
      <c r="I2466" s="405"/>
      <c r="J2466" s="405"/>
      <c r="K2466" s="398"/>
      <c r="L2466" s="405"/>
      <c r="M2466" s="64"/>
      <c r="N2466" s="65"/>
      <c r="O2466" s="65"/>
      <c r="P2466" s="81" t="str">
        <f>IF(AND('331-CT'!$E$7=TH!H2466,OR(N2466="331",O2466="331")),"x","")</f>
        <v/>
      </c>
      <c r="Q2466" s="81" t="str">
        <f>IF(AND(B2466='111'!$L$11,OR($N2466=$Q$7,$O2466=$Q$7)),"x","")</f>
        <v/>
      </c>
      <c r="R2466" s="81" t="str">
        <f>IF(AND($N2466=$Q$7,$B2466&lt;'111'!$L$11),"x","")</f>
        <v/>
      </c>
      <c r="S2466" s="81" t="str">
        <f>IF(AND($O2466=$Q$7,$B2466&lt;'111'!$L$11),"x","")</f>
        <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row>
    <row r="2467" spans="1:30" ht="15.75" customHeight="1">
      <c r="A2467" s="327" t="str">
        <f>IF(B2467&lt;&gt;"",IF(AND(B2467='IN-TC'!$S$4,OR(TH!N2467="1111",TH!O2467="1111")),TH!D2467,""),"")</f>
        <v/>
      </c>
      <c r="B2467" s="62" t="str">
        <f t="shared" si="380"/>
        <v/>
      </c>
      <c r="C2467" s="63"/>
      <c r="D2467" s="63"/>
      <c r="E2467" s="63"/>
      <c r="F2467" s="66"/>
      <c r="G2467" s="66"/>
      <c r="H2467" s="330"/>
      <c r="I2467" s="407"/>
      <c r="J2467" s="407"/>
      <c r="K2467" s="400"/>
      <c r="L2467" s="407"/>
      <c r="M2467" s="64"/>
      <c r="N2467" s="65"/>
      <c r="O2467" s="65"/>
      <c r="P2467" s="81" t="str">
        <f>IF(AND('331-CT'!$E$7=TH!H2467,OR(N2467="331",O2467="331")),"x","")</f>
        <v/>
      </c>
      <c r="Q2467" s="81" t="str">
        <f>IF(AND(B2467='111'!$L$11,OR($N2467=$Q$7,$O2467=$Q$7)),"x","")</f>
        <v/>
      </c>
      <c r="R2467" s="81" t="str">
        <f>IF(AND($N2467=$Q$7,$B2467&lt;'111'!$L$11),"x","")</f>
        <v/>
      </c>
      <c r="S2467" s="81" t="str">
        <f>IF(AND($O2467=$Q$7,$B2467&lt;'111'!$L$11),"x","")</f>
        <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row>
    <row r="2468" spans="1:30" ht="15.75" customHeight="1">
      <c r="A2468" s="327" t="str">
        <f>IF(B2468&lt;&gt;"",IF(AND(B2468='IN-TC'!$S$4,OR(TH!N2468="1111",TH!O2468="1111")),TH!D2468,""),"")</f>
        <v/>
      </c>
      <c r="B2468" s="62" t="str">
        <f t="shared" si="380"/>
        <v/>
      </c>
      <c r="C2468" s="63"/>
      <c r="D2468" s="63"/>
      <c r="E2468" s="63"/>
      <c r="F2468" s="66"/>
      <c r="G2468" s="66"/>
      <c r="H2468" s="330"/>
      <c r="I2468" s="407"/>
      <c r="J2468" s="407"/>
      <c r="K2468" s="400"/>
      <c r="L2468" s="407"/>
      <c r="M2468" s="64"/>
      <c r="N2468" s="65"/>
      <c r="O2468" s="65"/>
      <c r="P2468" s="81" t="str">
        <f>IF(AND('331-CT'!$E$7=TH!H2468,OR(N2468="331",O2468="331")),"x","")</f>
        <v/>
      </c>
      <c r="Q2468" s="81" t="str">
        <f>IF(AND(B2468='111'!$L$11,OR($N2468=$Q$7,$O2468=$Q$7)),"x","")</f>
        <v/>
      </c>
      <c r="R2468" s="81" t="str">
        <f>IF(AND($N2468=$Q$7,$B2468&lt;'111'!$L$11),"x","")</f>
        <v/>
      </c>
      <c r="S2468" s="81" t="str">
        <f>IF(AND($O2468=$Q$7,$B2468&lt;'111'!$L$11),"x","")</f>
        <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0" ht="15.75" customHeight="1">
      <c r="A2469" s="327" t="str">
        <f>IF(B2469&lt;&gt;"",IF(AND(B2469='IN-TC'!$S$4,OR(TH!N2469="1111",TH!O2469="1111")),TH!D2469,""),"")</f>
        <v/>
      </c>
      <c r="B2469" s="62" t="str">
        <f t="shared" si="380"/>
        <v/>
      </c>
      <c r="C2469" s="63"/>
      <c r="D2469" s="63"/>
      <c r="E2469" s="63"/>
      <c r="F2469" s="66"/>
      <c r="G2469" s="66"/>
      <c r="H2469" s="330"/>
      <c r="I2469" s="407"/>
      <c r="J2469" s="407"/>
      <c r="K2469" s="400"/>
      <c r="L2469" s="407"/>
      <c r="M2469" s="64"/>
      <c r="N2469" s="65"/>
      <c r="O2469" s="65"/>
      <c r="P2469" s="81" t="str">
        <f>IF(AND('331-CT'!$E$7=TH!H2469,OR(N2469="331",O2469="331")),"x","")</f>
        <v/>
      </c>
      <c r="Q2469" s="81" t="str">
        <f>IF(AND(B2469='111'!$L$11,OR($N2469=$Q$7,$O2469=$Q$7)),"x","")</f>
        <v/>
      </c>
      <c r="R2469" s="81" t="str">
        <f>IF(AND($N2469=$Q$7,$B2469&lt;'111'!$L$11),"x","")</f>
        <v/>
      </c>
      <c r="S2469" s="81" t="str">
        <f>IF(AND($O2469=$Q$7,$B2469&lt;'111'!$L$11),"x","")</f>
        <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row>
    <row r="2470" spans="1:30" ht="15.75" customHeight="1">
      <c r="A2470" s="327" t="str">
        <f>IF(B2470&lt;&gt;"",IF(AND(B2470='IN-TC'!$S$4,OR(TH!N2470="1111",TH!O2470="1111")),TH!D2470,""),"")</f>
        <v/>
      </c>
      <c r="B2470" s="62" t="str">
        <f t="shared" si="380"/>
        <v/>
      </c>
      <c r="C2470" s="63"/>
      <c r="D2470" s="63"/>
      <c r="E2470" s="63"/>
      <c r="F2470" s="66"/>
      <c r="G2470" s="66"/>
      <c r="H2470" s="71"/>
      <c r="I2470" s="405"/>
      <c r="J2470" s="405"/>
      <c r="K2470" s="398"/>
      <c r="L2470" s="405"/>
      <c r="M2470" s="64"/>
      <c r="N2470" s="65"/>
      <c r="O2470" s="65"/>
      <c r="P2470" s="81" t="str">
        <f>IF(AND('331-CT'!$E$7=TH!H2470,OR(N2470="331",O2470="331")),"x","")</f>
        <v/>
      </c>
      <c r="Q2470" s="81" t="str">
        <f>IF(AND(B2470='111'!$L$11,OR($N2470=$Q$7,$O2470=$Q$7)),"x","")</f>
        <v/>
      </c>
      <c r="R2470" s="81" t="str">
        <f>IF(AND($N2470=$Q$7,$B2470&lt;'111'!$L$11),"x","")</f>
        <v/>
      </c>
      <c r="S2470" s="81" t="str">
        <f>IF(AND($O2470=$Q$7,$B2470&lt;'111'!$L$11),"x","")</f>
        <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row>
    <row r="2471" spans="1:30" ht="15.75" customHeight="1">
      <c r="A2471" s="327" t="str">
        <f>IF(B2471&lt;&gt;"",IF(AND(B2471='IN-TC'!$S$4,OR(TH!N2471="1111",TH!O2471="1111")),TH!D2471,""),"")</f>
        <v/>
      </c>
      <c r="B2471" s="62" t="str">
        <f t="shared" si="380"/>
        <v/>
      </c>
      <c r="C2471" s="63"/>
      <c r="D2471" s="63"/>
      <c r="E2471" s="63"/>
      <c r="F2471" s="66"/>
      <c r="G2471" s="66"/>
      <c r="H2471" s="71"/>
      <c r="I2471" s="405"/>
      <c r="J2471" s="405"/>
      <c r="K2471" s="398"/>
      <c r="L2471" s="405"/>
      <c r="M2471" s="64"/>
      <c r="N2471" s="65"/>
      <c r="O2471" s="65"/>
      <c r="P2471" s="81" t="str">
        <f>IF(AND('331-CT'!$E$7=TH!H2471,OR(N2471="331",O2471="331")),"x","")</f>
        <v/>
      </c>
      <c r="Q2471" s="81" t="str">
        <f>IF(AND(B2471='111'!$L$11,OR($N2471=$Q$7,$O2471=$Q$7)),"x","")</f>
        <v/>
      </c>
      <c r="R2471" s="81" t="str">
        <f>IF(AND($N2471=$Q$7,$B2471&lt;'111'!$L$11),"x","")</f>
        <v/>
      </c>
      <c r="S2471" s="81" t="str">
        <f>IF(AND($O2471=$Q$7,$B2471&lt;'111'!$L$11),"x","")</f>
        <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row>
    <row r="2472" spans="1:30" ht="15.75" customHeight="1">
      <c r="A2472" s="327" t="str">
        <f>IF(B2472&lt;&gt;"",IF(AND(B2472='IN-TC'!$S$4,OR(TH!N2472="1111",TH!O2472="1111")),TH!D2472,""),"")</f>
        <v/>
      </c>
      <c r="B2472" s="62" t="str">
        <f t="shared" si="380"/>
        <v/>
      </c>
      <c r="C2472" s="63"/>
      <c r="D2472" s="63"/>
      <c r="E2472" s="63"/>
      <c r="F2472" s="66"/>
      <c r="G2472" s="66"/>
      <c r="H2472" s="330"/>
      <c r="I2472" s="407"/>
      <c r="J2472" s="407"/>
      <c r="K2472" s="400"/>
      <c r="L2472" s="407"/>
      <c r="M2472" s="64"/>
      <c r="N2472" s="65"/>
      <c r="O2472" s="65"/>
      <c r="P2472" s="81" t="str">
        <f>IF(AND('331-CT'!$E$7=TH!H2472,OR(N2472="331",O2472="331")),"x","")</f>
        <v/>
      </c>
      <c r="Q2472" s="81" t="str">
        <f>IF(AND(B2472='111'!$L$11,OR($N2472=$Q$7,$O2472=$Q$7)),"x","")</f>
        <v/>
      </c>
      <c r="R2472" s="81" t="str">
        <f>IF(AND($N2472=$Q$7,$B2472&lt;'111'!$L$11),"x","")</f>
        <v/>
      </c>
      <c r="S2472" s="81" t="str">
        <f>IF(AND($O2472=$Q$7,$B2472&lt;'111'!$L$11),"x","")</f>
        <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0" ht="15.75" customHeight="1">
      <c r="A2473" s="327" t="str">
        <f>IF(B2473&lt;&gt;"",IF(AND(B2473='IN-TC'!$S$4,OR(TH!N2473="1111",TH!O2473="1111")),TH!D2473,""),"")</f>
        <v/>
      </c>
      <c r="B2473" s="62" t="str">
        <f t="shared" si="380"/>
        <v/>
      </c>
      <c r="C2473" s="63"/>
      <c r="D2473" s="63"/>
      <c r="E2473" s="63"/>
      <c r="F2473" s="66"/>
      <c r="G2473" s="66"/>
      <c r="H2473" s="71"/>
      <c r="I2473" s="407"/>
      <c r="J2473" s="407"/>
      <c r="K2473" s="400"/>
      <c r="L2473" s="407"/>
      <c r="M2473" s="64"/>
      <c r="N2473" s="65"/>
      <c r="O2473" s="65"/>
      <c r="P2473" s="81" t="str">
        <f>IF(AND('331-CT'!$E$7=TH!H2473,OR(N2473="331",O2473="331")),"x","")</f>
        <v/>
      </c>
      <c r="Q2473" s="81" t="str">
        <f>IF(AND(B2473='111'!$L$11,OR($N2473=$Q$7,$O2473=$Q$7)),"x","")</f>
        <v/>
      </c>
      <c r="R2473" s="81" t="str">
        <f>IF(AND($N2473=$Q$7,$B2473&lt;'111'!$L$11),"x","")</f>
        <v/>
      </c>
      <c r="S2473" s="81" t="str">
        <f>IF(AND($O2473=$Q$7,$B2473&lt;'111'!$L$11),"x","")</f>
        <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row>
    <row r="2474" spans="1:30" ht="15.75" customHeight="1">
      <c r="A2474" s="327" t="str">
        <f>IF(B2474&lt;&gt;"",IF(AND(B2474='IN-TC'!$S$4,OR(TH!N2474="1111",TH!O2474="1111")),TH!D2474,""),"")</f>
        <v/>
      </c>
      <c r="B2474" s="62" t="str">
        <f t="shared" si="380"/>
        <v/>
      </c>
      <c r="C2474" s="63"/>
      <c r="D2474" s="63"/>
      <c r="E2474" s="63"/>
      <c r="F2474" s="66"/>
      <c r="G2474" s="66"/>
      <c r="H2474" s="71"/>
      <c r="I2474" s="407"/>
      <c r="J2474" s="407"/>
      <c r="K2474" s="400"/>
      <c r="L2474" s="407"/>
      <c r="M2474" s="64"/>
      <c r="N2474" s="65"/>
      <c r="O2474" s="65"/>
      <c r="P2474" s="81" t="str">
        <f>IF(AND('331-CT'!$E$7=TH!H2474,OR(N2474="331",O2474="331")),"x","")</f>
        <v/>
      </c>
      <c r="Q2474" s="81" t="str">
        <f>IF(AND(B2474='111'!$L$11,OR($N2474=$Q$7,$O2474=$Q$7)),"x","")</f>
        <v/>
      </c>
      <c r="R2474" s="81" t="str">
        <f>IF(AND($N2474=$Q$7,$B2474&lt;'111'!$L$11),"x","")</f>
        <v/>
      </c>
      <c r="S2474" s="81" t="str">
        <f>IF(AND($O2474=$Q$7,$B2474&lt;'111'!$L$11),"x","")</f>
        <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row>
    <row r="2475" spans="1:30" ht="15.75" customHeight="1">
      <c r="A2475" s="327" t="str">
        <f>IF(B2475&lt;&gt;"",IF(AND(B2475='IN-TC'!$S$4,OR(TH!N2475="1111",TH!O2475="1111")),TH!D2475,""),"")</f>
        <v/>
      </c>
      <c r="B2475" s="62" t="str">
        <f t="shared" si="380"/>
        <v/>
      </c>
      <c r="C2475" s="63"/>
      <c r="D2475" s="63"/>
      <c r="E2475" s="63"/>
      <c r="F2475" s="66"/>
      <c r="G2475" s="66"/>
      <c r="H2475" s="66"/>
      <c r="I2475" s="405"/>
      <c r="J2475" s="405"/>
      <c r="K2475" s="398"/>
      <c r="L2475" s="405"/>
      <c r="M2475" s="64"/>
      <c r="N2475" s="65"/>
      <c r="O2475" s="65"/>
      <c r="P2475" s="81" t="str">
        <f>IF(AND('331-CT'!$E$7=TH!H2475,OR(N2475="331",O2475="331")),"x","")</f>
        <v/>
      </c>
      <c r="Q2475" s="81" t="str">
        <f>IF(AND(B2475='111'!$L$11,OR($N2475=$Q$7,$O2475=$Q$7)),"x","")</f>
        <v/>
      </c>
      <c r="R2475" s="81" t="str">
        <f>IF(AND($N2475=$Q$7,$B2475&lt;'111'!$L$11),"x","")</f>
        <v/>
      </c>
      <c r="S2475" s="81" t="str">
        <f>IF(AND($O2475=$Q$7,$B2475&lt;'111'!$L$11),"x","")</f>
        <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row>
    <row r="2476" spans="1:30" ht="15.75" customHeight="1">
      <c r="A2476" s="327" t="str">
        <f>IF(B2476&lt;&gt;"",IF(AND(B2476='IN-TC'!$S$4,OR(TH!N2476="1111",TH!O2476="1111")),TH!D2476,""),"")</f>
        <v/>
      </c>
      <c r="B2476" s="62" t="str">
        <f t="shared" si="380"/>
        <v/>
      </c>
      <c r="C2476" s="63"/>
      <c r="D2476" s="63"/>
      <c r="E2476" s="63"/>
      <c r="F2476" s="66"/>
      <c r="G2476" s="66"/>
      <c r="H2476" s="66"/>
      <c r="I2476" s="405"/>
      <c r="J2476" s="405"/>
      <c r="K2476" s="398"/>
      <c r="L2476" s="405"/>
      <c r="M2476" s="64"/>
      <c r="N2476" s="65"/>
      <c r="O2476" s="65"/>
      <c r="P2476" s="81" t="str">
        <f>IF(AND('331-CT'!$E$7=TH!H2476,OR(N2476="331",O2476="331")),"x","")</f>
        <v/>
      </c>
      <c r="Q2476" s="81" t="str">
        <f>IF(AND(B2476='111'!$L$11,OR($N2476=$Q$7,$O2476=$Q$7)),"x","")</f>
        <v/>
      </c>
      <c r="R2476" s="81" t="str">
        <f>IF(AND($N2476=$Q$7,$B2476&lt;'111'!$L$11),"x","")</f>
        <v/>
      </c>
      <c r="S2476" s="81" t="str">
        <f>IF(AND($O2476=$Q$7,$B2476&lt;'111'!$L$11),"x","")</f>
        <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row>
    <row r="2477" spans="1:30" ht="15.75" customHeight="1">
      <c r="A2477" s="327" t="str">
        <f>IF(B2477&lt;&gt;"",IF(AND(B2477='IN-TC'!$S$4,OR(TH!N2477="1111",TH!O2477="1111")),TH!D2477,""),"")</f>
        <v/>
      </c>
      <c r="B2477" s="62" t="str">
        <f t="shared" si="380"/>
        <v/>
      </c>
      <c r="C2477" s="63"/>
      <c r="D2477" s="63"/>
      <c r="E2477" s="63"/>
      <c r="F2477" s="331"/>
      <c r="G2477" s="66"/>
      <c r="H2477" s="330"/>
      <c r="I2477" s="407"/>
      <c r="J2477" s="407"/>
      <c r="K2477" s="400"/>
      <c r="L2477" s="407"/>
      <c r="M2477" s="64"/>
      <c r="N2477" s="65"/>
      <c r="O2477" s="65"/>
      <c r="P2477" s="81" t="str">
        <f>IF(AND('331-CT'!$E$7=TH!H2477,OR(N2477="331",O2477="331")),"x","")</f>
        <v/>
      </c>
      <c r="Q2477" s="81" t="str">
        <f>IF(AND(B2477='111'!$L$11,OR($N2477=$Q$7,$O2477=$Q$7)),"x","")</f>
        <v/>
      </c>
      <c r="R2477" s="81" t="str">
        <f>IF(AND($N2477=$Q$7,$B2477&lt;'111'!$L$11),"x","")</f>
        <v/>
      </c>
      <c r="S2477" s="81" t="str">
        <f>IF(AND($O2477=$Q$7,$B2477&lt;'111'!$L$11),"x","")</f>
        <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0" ht="15.75" customHeight="1">
      <c r="A2478" s="327" t="str">
        <f>IF(B2478&lt;&gt;"",IF(AND(B2478='IN-TC'!$S$4,OR(TH!N2478="1111",TH!O2478="1111")),TH!D2478,""),"")</f>
        <v/>
      </c>
      <c r="B2478" s="62" t="str">
        <f t="shared" si="380"/>
        <v/>
      </c>
      <c r="C2478" s="63"/>
      <c r="D2478" s="63"/>
      <c r="E2478" s="63"/>
      <c r="F2478" s="331"/>
      <c r="G2478" s="66"/>
      <c r="H2478" s="330"/>
      <c r="I2478" s="407"/>
      <c r="J2478" s="407"/>
      <c r="K2478" s="400"/>
      <c r="L2478" s="407"/>
      <c r="M2478" s="64"/>
      <c r="N2478" s="65"/>
      <c r="O2478" s="65"/>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row>
    <row r="2479" spans="1:30" ht="15.75" customHeight="1">
      <c r="A2479" s="327" t="str">
        <f>IF(B2479&lt;&gt;"",IF(AND(B2479='IN-TC'!$S$4,OR(TH!N2479="1111",TH!O2479="1111")),TH!D2479,""),"")</f>
        <v/>
      </c>
      <c r="B2479" s="62" t="str">
        <f t="shared" si="380"/>
        <v/>
      </c>
      <c r="C2479" s="63"/>
      <c r="D2479" s="63"/>
      <c r="E2479" s="63"/>
      <c r="F2479" s="331"/>
      <c r="G2479" s="66"/>
      <c r="H2479" s="71"/>
      <c r="I2479" s="405"/>
      <c r="J2479" s="405"/>
      <c r="K2479" s="398"/>
      <c r="L2479" s="405"/>
      <c r="M2479" s="64"/>
      <c r="N2479" s="65"/>
      <c r="O2479" s="65"/>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row>
    <row r="2480" spans="1:30" ht="15.75" customHeight="1">
      <c r="A2480" s="327" t="str">
        <f>IF(B2480&lt;&gt;"",IF(AND(B2480='IN-TC'!$S$4,OR(TH!N2480="1111",TH!O2480="1111")),TH!D2480,""),"")</f>
        <v/>
      </c>
      <c r="B2480" s="62" t="str">
        <f t="shared" si="380"/>
        <v/>
      </c>
      <c r="C2480" s="63"/>
      <c r="D2480" s="63"/>
      <c r="E2480" s="63"/>
      <c r="F2480" s="331"/>
      <c r="G2480" s="66"/>
      <c r="H2480" s="71"/>
      <c r="I2480" s="405"/>
      <c r="J2480" s="405"/>
      <c r="K2480" s="398"/>
      <c r="L2480" s="405"/>
      <c r="M2480" s="64"/>
      <c r="N2480" s="65"/>
      <c r="O2480" s="65"/>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row>
    <row r="2481" spans="1:30" ht="15.75" customHeight="1">
      <c r="A2481" s="327" t="str">
        <f>IF(B2481&lt;&gt;"",IF(AND(B2481='IN-TC'!$S$4,OR(TH!N2481="1111",TH!O2481="1111")),TH!D2481,""),"")</f>
        <v/>
      </c>
      <c r="B2481" s="62" t="str">
        <f t="shared" si="380"/>
        <v/>
      </c>
      <c r="C2481" s="63"/>
      <c r="D2481" s="63"/>
      <c r="E2481" s="63"/>
      <c r="F2481" s="331"/>
      <c r="G2481" s="66"/>
      <c r="H2481" s="71"/>
      <c r="I2481" s="405"/>
      <c r="J2481" s="405"/>
      <c r="K2481" s="398"/>
      <c r="L2481" s="405"/>
      <c r="M2481" s="64"/>
      <c r="N2481" s="65"/>
      <c r="O2481" s="65"/>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0" ht="15.75" customHeight="1">
      <c r="A2482" s="327" t="str">
        <f>IF(B2482&lt;&gt;"",IF(AND(B2482='IN-TC'!$S$4,OR(TH!N2482="1111",TH!O2482="1111")),TH!D2482,""),"")</f>
        <v/>
      </c>
      <c r="B2482" s="62" t="str">
        <f t="shared" si="380"/>
        <v/>
      </c>
      <c r="C2482" s="63"/>
      <c r="D2482" s="63"/>
      <c r="E2482" s="63"/>
      <c r="F2482" s="331"/>
      <c r="G2482" s="66"/>
      <c r="H2482" s="330"/>
      <c r="I2482" s="407"/>
      <c r="J2482" s="407"/>
      <c r="K2482" s="400"/>
      <c r="L2482" s="407"/>
      <c r="M2482" s="64"/>
      <c r="N2482" s="65"/>
      <c r="O2482" s="65"/>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row>
    <row r="2483" spans="1:30" ht="15.75" customHeight="1">
      <c r="A2483" s="327" t="str">
        <f>IF(B2483&lt;&gt;"",IF(AND(B2483='IN-TC'!$S$4,OR(TH!N2483="1111",TH!O2483="1111")),TH!D2483,""),"")</f>
        <v/>
      </c>
      <c r="B2483" s="62" t="str">
        <f t="shared" si="380"/>
        <v/>
      </c>
      <c r="C2483" s="63"/>
      <c r="D2483" s="63"/>
      <c r="E2483" s="63"/>
      <c r="F2483" s="331"/>
      <c r="G2483" s="66"/>
      <c r="H2483" s="71"/>
      <c r="I2483" s="405"/>
      <c r="J2483" s="405"/>
      <c r="K2483" s="398"/>
      <c r="L2483" s="405"/>
      <c r="M2483" s="64"/>
      <c r="N2483" s="65"/>
      <c r="O2483" s="65"/>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row>
    <row r="2484" spans="1:30" ht="15.75" customHeight="1">
      <c r="A2484" s="327" t="str">
        <f>IF(B2484&lt;&gt;"",IF(AND(B2484='IN-TC'!$S$4,OR(TH!N2484="1111",TH!O2484="1111")),TH!D2484,""),"")</f>
        <v/>
      </c>
      <c r="B2484" s="62" t="str">
        <f t="shared" si="380"/>
        <v/>
      </c>
      <c r="C2484" s="63"/>
      <c r="D2484" s="63"/>
      <c r="E2484" s="63"/>
      <c r="F2484" s="331"/>
      <c r="G2484" s="66"/>
      <c r="H2484" s="71"/>
      <c r="I2484" s="405"/>
      <c r="J2484" s="405"/>
      <c r="K2484" s="398"/>
      <c r="L2484" s="405"/>
      <c r="M2484" s="64"/>
      <c r="N2484" s="65"/>
      <c r="O2484" s="65"/>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0" ht="15.75" customHeight="1">
      <c r="A2485" s="327" t="str">
        <f>IF(B2485&lt;&gt;"",IF(AND(B2485='IN-TC'!$S$4,OR(TH!N2485="1111",TH!O2485="1111")),TH!D2485,""),"")</f>
        <v/>
      </c>
      <c r="B2485" s="62" t="str">
        <f t="shared" si="380"/>
        <v/>
      </c>
      <c r="C2485" s="63"/>
      <c r="D2485" s="63"/>
      <c r="E2485" s="63"/>
      <c r="F2485" s="331"/>
      <c r="G2485" s="66"/>
      <c r="H2485" s="330"/>
      <c r="I2485" s="407"/>
      <c r="J2485" s="407"/>
      <c r="K2485" s="400"/>
      <c r="L2485" s="407"/>
      <c r="M2485" s="64"/>
      <c r="N2485" s="65"/>
      <c r="O2485" s="65"/>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0" ht="15.75" customHeight="1">
      <c r="A2486" s="327" t="str">
        <f>IF(B2486&lt;&gt;"",IF(AND(B2486='IN-TC'!$S$4,OR(TH!N2486="1111",TH!O2486="1111")),TH!D2486,""),"")</f>
        <v/>
      </c>
      <c r="B2486" s="62" t="str">
        <f t="shared" si="380"/>
        <v/>
      </c>
      <c r="C2486" s="63"/>
      <c r="D2486" s="63"/>
      <c r="E2486" s="63"/>
      <c r="F2486" s="331"/>
      <c r="G2486" s="66"/>
      <c r="H2486" s="71"/>
      <c r="I2486" s="405"/>
      <c r="J2486" s="405"/>
      <c r="K2486" s="398"/>
      <c r="L2486" s="405"/>
      <c r="M2486" s="64"/>
      <c r="N2486" s="65"/>
      <c r="O2486" s="65"/>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0" ht="15.75" customHeight="1">
      <c r="A2487" s="327" t="str">
        <f>IF(B2487&lt;&gt;"",IF(AND(B2487='IN-TC'!$S$4,OR(TH!N2487="1111",TH!O2487="1111")),TH!D2487,""),"")</f>
        <v/>
      </c>
      <c r="B2487" s="62" t="str">
        <f t="shared" si="380"/>
        <v/>
      </c>
      <c r="C2487" s="63"/>
      <c r="D2487" s="63"/>
      <c r="E2487" s="63"/>
      <c r="F2487" s="331"/>
      <c r="G2487" s="66"/>
      <c r="H2487" s="71"/>
      <c r="I2487" s="405"/>
      <c r="J2487" s="405"/>
      <c r="K2487" s="398"/>
      <c r="L2487" s="405"/>
      <c r="M2487" s="64"/>
      <c r="N2487" s="65"/>
      <c r="O2487" s="65"/>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0" ht="15.75" customHeight="1">
      <c r="A2488" s="327" t="str">
        <f>IF(B2488&lt;&gt;"",IF(AND(B2488='IN-TC'!$S$4,OR(TH!N2488="1111",TH!O2488="1111")),TH!D2488,""),"")</f>
        <v/>
      </c>
      <c r="B2488" s="62" t="str">
        <f t="shared" si="380"/>
        <v/>
      </c>
      <c r="C2488" s="63"/>
      <c r="D2488" s="63"/>
      <c r="E2488" s="63"/>
      <c r="F2488" s="331"/>
      <c r="G2488" s="66"/>
      <c r="H2488" s="66"/>
      <c r="I2488" s="407"/>
      <c r="J2488" s="407"/>
      <c r="K2488" s="400"/>
      <c r="L2488" s="407"/>
      <c r="M2488" s="64"/>
      <c r="N2488" s="65"/>
      <c r="O2488" s="65"/>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0" ht="15.75" customHeight="1">
      <c r="A2489" s="327" t="str">
        <f>IF(B2489&lt;&gt;"",IF(AND(B2489='IN-TC'!$S$4,OR(TH!N2489="1111",TH!O2489="1111")),TH!D2489,""),"")</f>
        <v/>
      </c>
      <c r="B2489" s="62" t="str">
        <f t="shared" si="380"/>
        <v/>
      </c>
      <c r="C2489" s="63"/>
      <c r="D2489" s="63"/>
      <c r="E2489" s="63"/>
      <c r="F2489" s="331"/>
      <c r="G2489" s="66"/>
      <c r="H2489" s="71"/>
      <c r="I2489" s="405"/>
      <c r="J2489" s="405"/>
      <c r="K2489" s="398"/>
      <c r="L2489" s="405"/>
      <c r="M2489" s="64"/>
      <c r="N2489" s="65"/>
      <c r="O2489" s="65"/>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row>
    <row r="2490" spans="1:30" ht="15.75" customHeight="1">
      <c r="A2490" s="327" t="str">
        <f>IF(B2490&lt;&gt;"",IF(AND(B2490='IN-TC'!$S$4,OR(TH!N2490="1111",TH!O2490="1111")),TH!D2490,""),"")</f>
        <v/>
      </c>
      <c r="B2490" s="62" t="str">
        <f t="shared" si="380"/>
        <v/>
      </c>
      <c r="C2490" s="63"/>
      <c r="D2490" s="63"/>
      <c r="E2490" s="63"/>
      <c r="F2490" s="331"/>
      <c r="G2490" s="66"/>
      <c r="H2490" s="71"/>
      <c r="I2490" s="405"/>
      <c r="J2490" s="405"/>
      <c r="K2490" s="398"/>
      <c r="L2490" s="405"/>
      <c r="M2490" s="64"/>
      <c r="N2490" s="65"/>
      <c r="O2490" s="65"/>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row>
    <row r="2491" spans="1:30" ht="15.75" customHeight="1">
      <c r="A2491" s="327" t="str">
        <f>IF(B2491&lt;&gt;"",IF(AND(B2491='IN-TC'!$S$4,OR(TH!N2491="1111",TH!O2491="1111")),TH!D2491,""),"")</f>
        <v/>
      </c>
      <c r="B2491" s="62" t="str">
        <f t="shared" si="380"/>
        <v/>
      </c>
      <c r="C2491" s="63"/>
      <c r="D2491" s="63"/>
      <c r="E2491" s="63"/>
      <c r="F2491" s="331"/>
      <c r="G2491" s="66"/>
      <c r="H2491" s="71"/>
      <c r="I2491" s="405"/>
      <c r="J2491" s="405"/>
      <c r="K2491" s="398"/>
      <c r="L2491" s="405"/>
      <c r="M2491" s="64"/>
      <c r="N2491" s="65"/>
      <c r="O2491" s="65"/>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row>
    <row r="2492" spans="1:30" ht="15.75" customHeight="1">
      <c r="A2492" s="327" t="str">
        <f>IF(B2492&lt;&gt;"",IF(AND(B2492='IN-TC'!$S$4,OR(TH!N2492="1111",TH!O2492="1111")),TH!D2492,""),"")</f>
        <v/>
      </c>
      <c r="B2492" s="62" t="str">
        <f t="shared" si="380"/>
        <v/>
      </c>
      <c r="C2492" s="63"/>
      <c r="D2492" s="63"/>
      <c r="E2492" s="63"/>
      <c r="F2492" s="331"/>
      <c r="G2492" s="66"/>
      <c r="H2492" s="71"/>
      <c r="I2492" s="405"/>
      <c r="J2492" s="405"/>
      <c r="K2492" s="398"/>
      <c r="L2492" s="405"/>
      <c r="M2492" s="64"/>
      <c r="N2492" s="65"/>
      <c r="O2492" s="65"/>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row>
    <row r="2493" spans="1:30" ht="15.75" customHeight="1">
      <c r="A2493" s="327" t="str">
        <f>IF(B2493&lt;&gt;"",IF(AND(B2493='IN-TC'!$S$4,OR(TH!N2493="1111",TH!O2493="1111")),TH!D2493,""),"")</f>
        <v/>
      </c>
      <c r="B2493" s="62" t="str">
        <f t="shared" si="380"/>
        <v/>
      </c>
      <c r="C2493" s="63"/>
      <c r="D2493" s="63"/>
      <c r="E2493" s="63"/>
      <c r="F2493" s="331"/>
      <c r="G2493" s="66"/>
      <c r="H2493" s="71"/>
      <c r="I2493" s="405"/>
      <c r="J2493" s="405"/>
      <c r="K2493" s="398"/>
      <c r="L2493" s="405"/>
      <c r="M2493" s="64"/>
      <c r="N2493" s="65"/>
      <c r="O2493" s="65"/>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row>
    <row r="2494" spans="1:30" ht="15.75" customHeight="1">
      <c r="A2494" s="327" t="str">
        <f>IF(B2494&lt;&gt;"",IF(AND(B2494='IN-TC'!$S$4,OR(TH!N2494="1111",TH!O2494="1111")),TH!D2494,""),"")</f>
        <v/>
      </c>
      <c r="B2494" s="62" t="str">
        <f t="shared" si="380"/>
        <v/>
      </c>
      <c r="C2494" s="63"/>
      <c r="D2494" s="63"/>
      <c r="E2494" s="63"/>
      <c r="F2494" s="331"/>
      <c r="G2494" s="66"/>
      <c r="H2494" s="66"/>
      <c r="I2494" s="405"/>
      <c r="J2494" s="405"/>
      <c r="K2494" s="398"/>
      <c r="L2494" s="405"/>
      <c r="M2494" s="64"/>
      <c r="N2494" s="65"/>
      <c r="O2494" s="65"/>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0" ht="15.75" customHeight="1">
      <c r="A2495" s="327" t="str">
        <f>IF(B2495&lt;&gt;"",IF(AND(B2495='IN-TC'!$S$4,OR(TH!N2495="1111",TH!O2495="1111")),TH!D2495,""),"")</f>
        <v/>
      </c>
      <c r="B2495" s="62" t="str">
        <f t="shared" si="380"/>
        <v/>
      </c>
      <c r="C2495" s="63"/>
      <c r="D2495" s="63"/>
      <c r="E2495" s="63"/>
      <c r="F2495" s="331"/>
      <c r="G2495" s="66"/>
      <c r="H2495" s="71"/>
      <c r="I2495" s="405"/>
      <c r="J2495" s="405"/>
      <c r="K2495" s="398"/>
      <c r="L2495" s="405"/>
      <c r="M2495" s="64"/>
      <c r="N2495" s="65"/>
      <c r="O2495" s="65"/>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row>
    <row r="2496" spans="1:30" ht="15.75" customHeight="1">
      <c r="A2496" s="327" t="str">
        <f>IF(B2496&lt;&gt;"",IF(AND(B2496='IN-TC'!$S$4,OR(TH!N2496="1111",TH!O2496="1111")),TH!D2496,""),"")</f>
        <v/>
      </c>
      <c r="B2496" s="62" t="str">
        <f t="shared" si="380"/>
        <v/>
      </c>
      <c r="C2496" s="63"/>
      <c r="D2496" s="63"/>
      <c r="E2496" s="63"/>
      <c r="F2496" s="331"/>
      <c r="G2496" s="66"/>
      <c r="H2496" s="71"/>
      <c r="I2496" s="405"/>
      <c r="J2496" s="405"/>
      <c r="K2496" s="398"/>
      <c r="L2496" s="405"/>
      <c r="M2496" s="64"/>
      <c r="N2496" s="65"/>
      <c r="O2496" s="65"/>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row>
    <row r="2497" spans="1:30" ht="15.75" customHeight="1">
      <c r="A2497" s="327" t="str">
        <f>IF(B2497&lt;&gt;"",IF(AND(B2497='IN-TC'!$S$4,OR(TH!N2497="1111",TH!O2497="1111")),TH!D2497,""),"")</f>
        <v/>
      </c>
      <c r="B2497" s="62" t="str">
        <f t="shared" si="380"/>
        <v/>
      </c>
      <c r="C2497" s="63"/>
      <c r="D2497" s="63"/>
      <c r="E2497" s="63"/>
      <c r="F2497" s="331"/>
      <c r="G2497" s="66"/>
      <c r="H2497" s="330"/>
      <c r="I2497" s="407"/>
      <c r="J2497" s="407"/>
      <c r="K2497" s="400"/>
      <c r="L2497" s="407"/>
      <c r="M2497" s="64"/>
      <c r="N2497" s="65"/>
      <c r="O2497" s="65"/>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0" ht="15.75" customHeight="1">
      <c r="A2498" s="327" t="str">
        <f>IF(B2498&lt;&gt;"",IF(AND(B2498='IN-TC'!$S$4,OR(TH!N2498="1111",TH!O2498="1111")),TH!D2498,""),"")</f>
        <v/>
      </c>
      <c r="B2498" s="62" t="str">
        <f t="shared" si="380"/>
        <v/>
      </c>
      <c r="C2498" s="63"/>
      <c r="D2498" s="63"/>
      <c r="E2498" s="63"/>
      <c r="F2498" s="331"/>
      <c r="G2498" s="66"/>
      <c r="H2498" s="71"/>
      <c r="I2498" s="405"/>
      <c r="J2498" s="405"/>
      <c r="K2498" s="398"/>
      <c r="L2498" s="405"/>
      <c r="M2498" s="64"/>
      <c r="N2498" s="65"/>
      <c r="O2498" s="65"/>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0" ht="15.75" customHeight="1">
      <c r="A2499" s="327" t="str">
        <f>IF(B2499&lt;&gt;"",IF(AND(B2499='IN-TC'!$S$4,OR(TH!N2499="1111",TH!O2499="1111")),TH!D2499,""),"")</f>
        <v/>
      </c>
      <c r="B2499" s="62" t="str">
        <f t="shared" si="380"/>
        <v/>
      </c>
      <c r="C2499" s="63"/>
      <c r="D2499" s="63"/>
      <c r="E2499" s="63"/>
      <c r="F2499" s="331"/>
      <c r="G2499" s="66"/>
      <c r="H2499" s="71"/>
      <c r="I2499" s="405"/>
      <c r="J2499" s="405"/>
      <c r="K2499" s="398"/>
      <c r="L2499" s="405"/>
      <c r="M2499" s="64"/>
      <c r="N2499" s="65"/>
      <c r="O2499" s="65"/>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row>
    <row r="2500" spans="1:30" ht="15.75" customHeight="1">
      <c r="A2500" s="327" t="str">
        <f>IF(B2500&lt;&gt;"",IF(AND(B2500='IN-TC'!$S$4,OR(TH!N2500="1111",TH!O2500="1111")),TH!D2500,""),"")</f>
        <v/>
      </c>
      <c r="B2500" s="62" t="str">
        <f t="shared" si="380"/>
        <v/>
      </c>
      <c r="C2500" s="63"/>
      <c r="D2500" s="63"/>
      <c r="E2500" s="63"/>
      <c r="F2500" s="331"/>
      <c r="G2500" s="66"/>
      <c r="H2500" s="71"/>
      <c r="I2500" s="405"/>
      <c r="J2500" s="405"/>
      <c r="K2500" s="398"/>
      <c r="L2500" s="405"/>
      <c r="M2500" s="64"/>
      <c r="N2500" s="65"/>
      <c r="O2500" s="65"/>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row>
    <row r="2501" spans="1:30" ht="15.75" customHeight="1">
      <c r="A2501" s="327" t="str">
        <f>IF(B2501&lt;&gt;"",IF(AND(B2501='IN-TC'!$S$4,OR(TH!N2501="1111",TH!O2501="1111")),TH!D2501,""),"")</f>
        <v/>
      </c>
      <c r="B2501" s="62" t="str">
        <f t="shared" si="380"/>
        <v/>
      </c>
      <c r="C2501" s="63"/>
      <c r="D2501" s="63"/>
      <c r="E2501" s="63"/>
      <c r="F2501" s="331"/>
      <c r="G2501" s="66"/>
      <c r="H2501" s="71"/>
      <c r="I2501" s="405"/>
      <c r="J2501" s="405"/>
      <c r="K2501" s="398"/>
      <c r="L2501" s="405"/>
      <c r="M2501" s="64"/>
      <c r="N2501" s="65"/>
      <c r="O2501" s="65"/>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0" ht="15.75" customHeight="1">
      <c r="A2502" s="327" t="str">
        <f>IF(B2502&lt;&gt;"",IF(AND(B2502='IN-TC'!$S$4,OR(TH!N2502="1111",TH!O2502="1111")),TH!D2502,""),"")</f>
        <v/>
      </c>
      <c r="B2502" s="62" t="str">
        <f t="shared" si="380"/>
        <v/>
      </c>
      <c r="C2502" s="63"/>
      <c r="D2502" s="63"/>
      <c r="E2502" s="63"/>
      <c r="F2502" s="66"/>
      <c r="G2502" s="66"/>
      <c r="H2502" s="330"/>
      <c r="I2502" s="405"/>
      <c r="J2502" s="405"/>
      <c r="K2502" s="398"/>
      <c r="L2502" s="405"/>
      <c r="M2502" s="64"/>
      <c r="N2502" s="65"/>
      <c r="O2502" s="65"/>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row>
    <row r="2503" spans="1:30" ht="15.75" customHeight="1">
      <c r="A2503" s="327" t="str">
        <f>IF(B2503&lt;&gt;"",IF(AND(B2503='IN-TC'!$S$4,OR(TH!N2503="1111",TH!O2503="1111")),TH!D2503,""),"")</f>
        <v/>
      </c>
      <c r="B2503" s="62" t="str">
        <f t="shared" si="380"/>
        <v/>
      </c>
      <c r="C2503" s="63"/>
      <c r="D2503" s="63"/>
      <c r="E2503" s="63"/>
      <c r="F2503" s="331"/>
      <c r="G2503" s="66"/>
      <c r="H2503" s="330"/>
      <c r="I2503" s="407"/>
      <c r="J2503" s="407"/>
      <c r="K2503" s="400"/>
      <c r="L2503" s="407"/>
      <c r="M2503" s="64"/>
      <c r="N2503" s="65"/>
      <c r="O2503" s="65"/>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row>
    <row r="2504" spans="1:30" ht="15.75" customHeight="1">
      <c r="A2504" s="327" t="str">
        <f>IF(B2504&lt;&gt;"",IF(AND(B2504='IN-TC'!$S$4,OR(TH!N2504="1111",TH!O2504="1111")),TH!D2504,""),"")</f>
        <v/>
      </c>
      <c r="B2504" s="62" t="str">
        <f t="shared" si="380"/>
        <v/>
      </c>
      <c r="C2504" s="63"/>
      <c r="D2504" s="63"/>
      <c r="E2504" s="63"/>
      <c r="F2504" s="331"/>
      <c r="G2504" s="66"/>
      <c r="H2504" s="330"/>
      <c r="I2504" s="405"/>
      <c r="J2504" s="405"/>
      <c r="K2504" s="398"/>
      <c r="L2504" s="405"/>
      <c r="M2504" s="64"/>
      <c r="N2504" s="65"/>
      <c r="O2504" s="65"/>
      <c r="P2504" s="81" t="str">
        <f>IF(AND('331-CT'!$E$7=TH!H2504,OR(N2504="331",O2504="331")),"x","")</f>
        <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0" ht="15.75" customHeight="1">
      <c r="A2505" s="327" t="str">
        <f>IF(B2505&lt;&gt;"",IF(AND(B2505='IN-TC'!$S$4,OR(TH!N2505="1111",TH!O2505="1111")),TH!D2505,""),"")</f>
        <v/>
      </c>
      <c r="B2505" s="62" t="str">
        <f t="shared" si="380"/>
        <v/>
      </c>
      <c r="C2505" s="329"/>
      <c r="D2505" s="63"/>
      <c r="E2505" s="63"/>
      <c r="F2505" s="66"/>
      <c r="G2505" s="66"/>
      <c r="H2505" s="71"/>
      <c r="I2505" s="405"/>
      <c r="J2505" s="405"/>
      <c r="K2505" s="398"/>
      <c r="L2505" s="405"/>
      <c r="M2505" s="64"/>
      <c r="N2505" s="65"/>
      <c r="O2505" s="65"/>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row>
    <row r="2506" spans="1:30" ht="15.75" customHeight="1">
      <c r="A2506" s="327" t="str">
        <f>IF(B2506&lt;&gt;"",IF(AND(B2506='IN-TC'!$S$4,OR(TH!N2506="1111",TH!O2506="1111")),TH!D2506,""),"")</f>
        <v/>
      </c>
      <c r="B2506" s="62" t="str">
        <f t="shared" si="380"/>
        <v/>
      </c>
      <c r="C2506" s="63"/>
      <c r="D2506" s="63"/>
      <c r="E2506" s="63"/>
      <c r="F2506" s="71"/>
      <c r="G2506" s="66"/>
      <c r="H2506" s="71"/>
      <c r="I2506" s="405"/>
      <c r="J2506" s="405"/>
      <c r="K2506" s="398"/>
      <c r="L2506" s="405"/>
      <c r="M2506" s="64"/>
      <c r="N2506" s="65"/>
      <c r="O2506" s="65"/>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row>
    <row r="2507" spans="1:30" ht="15.75" customHeight="1">
      <c r="A2507" s="327" t="str">
        <f>IF(B2507&lt;&gt;"",IF(AND(B2507='IN-TC'!$S$4,OR(TH!N2507="1111",TH!O2507="1111")),TH!D2507,""),"")</f>
        <v/>
      </c>
      <c r="B2507" s="62" t="str">
        <f t="shared" si="380"/>
        <v/>
      </c>
      <c r="C2507" s="63"/>
      <c r="D2507" s="63"/>
      <c r="E2507" s="63"/>
      <c r="F2507" s="66"/>
      <c r="G2507" s="66"/>
      <c r="H2507" s="72"/>
      <c r="I2507" s="407"/>
      <c r="J2507" s="407"/>
      <c r="K2507" s="400"/>
      <c r="L2507" s="407"/>
      <c r="M2507" s="64"/>
      <c r="N2507" s="65"/>
      <c r="O2507" s="65"/>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0" ht="15.75" customHeight="1">
      <c r="A2508" s="327" t="str">
        <f>IF(B2508&lt;&gt;"",IF(AND(B2508='IN-TC'!$S$4,OR(TH!N2508="1111",TH!O2508="1111")),TH!D2508,""),"")</f>
        <v/>
      </c>
      <c r="B2508" s="62" t="str">
        <f t="shared" si="380"/>
        <v/>
      </c>
      <c r="C2508" s="63"/>
      <c r="D2508" s="63"/>
      <c r="E2508" s="63"/>
      <c r="F2508" s="66"/>
      <c r="G2508" s="66"/>
      <c r="H2508" s="71"/>
      <c r="I2508" s="405"/>
      <c r="J2508" s="405"/>
      <c r="K2508" s="398"/>
      <c r="L2508" s="405"/>
      <c r="M2508" s="64"/>
      <c r="N2508" s="65"/>
      <c r="O2508" s="65"/>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row>
    <row r="2509" spans="1:30" ht="15.75" customHeight="1">
      <c r="A2509" s="327" t="str">
        <f>IF(B2509&lt;&gt;"",IF(AND(B2509='IN-TC'!$S$4,OR(TH!N2509="1111",TH!O2509="1111")),TH!D2509,""),"")</f>
        <v/>
      </c>
      <c r="B2509" s="62" t="str">
        <f t="shared" si="380"/>
        <v/>
      </c>
      <c r="C2509" s="63"/>
      <c r="D2509" s="63"/>
      <c r="E2509" s="63"/>
      <c r="F2509" s="66"/>
      <c r="G2509" s="66"/>
      <c r="H2509" s="71"/>
      <c r="I2509" s="405"/>
      <c r="J2509" s="405"/>
      <c r="K2509" s="398"/>
      <c r="L2509" s="405"/>
      <c r="M2509" s="64"/>
      <c r="N2509" s="65"/>
      <c r="O2509" s="65"/>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row>
    <row r="2510" spans="1:30" ht="15.75" customHeight="1">
      <c r="A2510" s="327" t="str">
        <f>IF(B2510&lt;&gt;"",IF(AND(B2510='IN-TC'!$S$4,OR(TH!N2510="1111",TH!O2510="1111")),TH!D2510,""),"")</f>
        <v/>
      </c>
      <c r="B2510" s="62" t="str">
        <f t="shared" si="380"/>
        <v/>
      </c>
      <c r="C2510" s="63"/>
      <c r="D2510" s="63"/>
      <c r="E2510" s="63"/>
      <c r="F2510" s="66"/>
      <c r="G2510" s="66"/>
      <c r="H2510" s="71"/>
      <c r="I2510" s="407"/>
      <c r="J2510" s="407"/>
      <c r="K2510" s="398"/>
      <c r="L2510" s="405"/>
      <c r="M2510" s="64"/>
      <c r="N2510" s="65"/>
      <c r="O2510" s="65"/>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0" ht="15.75" customHeight="1">
      <c r="A2511" s="327" t="str">
        <f>IF(B2511&lt;&gt;"",IF(AND(B2511='IN-TC'!$S$4,OR(TH!N2511="1111",TH!O2511="1111")),TH!D2511,""),"")</f>
        <v/>
      </c>
      <c r="B2511" s="62" t="str">
        <f t="shared" si="380"/>
        <v/>
      </c>
      <c r="C2511" s="63"/>
      <c r="D2511" s="63"/>
      <c r="E2511" s="63"/>
      <c r="F2511" s="66"/>
      <c r="G2511" s="66"/>
      <c r="H2511" s="477"/>
      <c r="I2511" s="405"/>
      <c r="J2511" s="405"/>
      <c r="K2511" s="398"/>
      <c r="L2511" s="405"/>
      <c r="M2511" s="64"/>
      <c r="N2511" s="65"/>
      <c r="O2511" s="65"/>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0" ht="15.75" customHeight="1">
      <c r="A2512" s="327" t="str">
        <f>IF(B2512&lt;&gt;"",IF(AND(B2512='IN-TC'!$S$4,OR(TH!N2512="1111",TH!O2512="1111")),TH!D2512,""),"")</f>
        <v/>
      </c>
      <c r="B2512" s="62" t="str">
        <f t="shared" si="380"/>
        <v/>
      </c>
      <c r="C2512" s="63"/>
      <c r="D2512" s="63"/>
      <c r="E2512" s="63"/>
      <c r="F2512" s="477"/>
      <c r="G2512" s="66"/>
      <c r="H2512" s="477"/>
      <c r="I2512" s="405"/>
      <c r="J2512" s="405"/>
      <c r="K2512" s="398"/>
      <c r="L2512" s="405"/>
      <c r="M2512" s="64"/>
      <c r="N2512" s="65"/>
      <c r="O2512" s="65"/>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row>
    <row r="2513" spans="1:30" ht="15.75" customHeight="1">
      <c r="A2513" s="327" t="str">
        <f>IF(B2513&lt;&gt;"",IF(AND(B2513='IN-TC'!$S$4,OR(TH!N2513="1111",TH!O2513="1111")),TH!D2513,""),"")</f>
        <v/>
      </c>
      <c r="B2513" s="62" t="str">
        <f t="shared" si="380"/>
        <v/>
      </c>
      <c r="C2513" s="63"/>
      <c r="D2513" s="63"/>
      <c r="E2513" s="63"/>
      <c r="F2513" s="477"/>
      <c r="G2513" s="66"/>
      <c r="H2513" s="477"/>
      <c r="I2513" s="407"/>
      <c r="J2513" s="405"/>
      <c r="K2513" s="400"/>
      <c r="L2513" s="407"/>
      <c r="M2513" s="64"/>
      <c r="N2513" s="65"/>
      <c r="O2513" s="65"/>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row>
    <row r="2514" spans="1:30" ht="15.75" customHeight="1">
      <c r="A2514" s="327" t="str">
        <f>IF(B2514&lt;&gt;"",IF(AND(B2514='IN-TC'!$S$4,OR(TH!N2514="1111",TH!O2514="1111")),TH!D2514,""),"")</f>
        <v/>
      </c>
      <c r="B2514" s="62" t="str">
        <f t="shared" si="380"/>
        <v/>
      </c>
      <c r="C2514" s="63"/>
      <c r="D2514" s="63"/>
      <c r="E2514" s="63"/>
      <c r="F2514" s="477"/>
      <c r="G2514" s="66"/>
      <c r="H2514" s="477"/>
      <c r="I2514" s="405"/>
      <c r="J2514" s="405"/>
      <c r="K2514" s="398"/>
      <c r="L2514" s="405"/>
      <c r="M2514" s="64"/>
      <c r="N2514" s="65"/>
      <c r="O2514" s="65"/>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0" ht="15.75" customHeight="1">
      <c r="A2515" s="327" t="str">
        <f>IF(B2515&lt;&gt;"",IF(AND(B2515='IN-TC'!$S$4,OR(TH!N2515="1111",TH!O2515="1111")),TH!D2515,""),"")</f>
        <v/>
      </c>
      <c r="B2515" s="62" t="str">
        <f t="shared" si="380"/>
        <v/>
      </c>
      <c r="C2515" s="63"/>
      <c r="D2515" s="63"/>
      <c r="E2515" s="63"/>
      <c r="F2515" s="477"/>
      <c r="G2515" s="66"/>
      <c r="H2515" s="477"/>
      <c r="I2515" s="405"/>
      <c r="J2515" s="405"/>
      <c r="K2515" s="398"/>
      <c r="L2515" s="405"/>
      <c r="M2515" s="64"/>
      <c r="N2515" s="65"/>
      <c r="O2515" s="65"/>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row>
    <row r="2516" spans="1:30" ht="15.75" customHeight="1">
      <c r="A2516" s="327" t="str">
        <f>IF(B2516&lt;&gt;"",IF(AND(B2516='IN-TC'!$S$4,OR(TH!N2516="1111",TH!O2516="1111")),TH!D2516,""),"")</f>
        <v/>
      </c>
      <c r="B2516" s="62" t="str">
        <f t="shared" si="380"/>
        <v/>
      </c>
      <c r="C2516" s="63"/>
      <c r="D2516" s="63"/>
      <c r="E2516" s="63"/>
      <c r="F2516" s="477"/>
      <c r="G2516" s="66"/>
      <c r="H2516" s="71"/>
      <c r="I2516" s="405"/>
      <c r="J2516" s="405"/>
      <c r="K2516" s="398"/>
      <c r="L2516" s="405"/>
      <c r="M2516" s="64"/>
      <c r="N2516" s="65"/>
      <c r="O2516" s="65"/>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row>
    <row r="2517" spans="1:30" ht="15.75" customHeight="1">
      <c r="A2517" s="327" t="str">
        <f>IF(B2517&lt;&gt;"",IF(AND(B2517='IN-TC'!$S$4,OR(TH!N2517="1111",TH!O2517="1111")),TH!D2517,""),"")</f>
        <v/>
      </c>
      <c r="B2517" s="62" t="str">
        <f t="shared" si="380"/>
        <v/>
      </c>
      <c r="C2517" s="63"/>
      <c r="D2517" s="63"/>
      <c r="E2517" s="63"/>
      <c r="F2517" s="477"/>
      <c r="G2517" s="66"/>
      <c r="H2517" s="71"/>
      <c r="I2517" s="405"/>
      <c r="J2517" s="405"/>
      <c r="K2517" s="398"/>
      <c r="L2517" s="405"/>
      <c r="M2517" s="64"/>
      <c r="N2517" s="65"/>
      <c r="O2517" s="65"/>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row>
    <row r="2518" spans="1:30" ht="15.75" customHeight="1">
      <c r="A2518" s="327" t="str">
        <f>IF(B2518&lt;&gt;"",IF(AND(B2518='IN-TC'!$S$4,OR(TH!N2518="1111",TH!O2518="1111")),TH!D2518,""),"")</f>
        <v/>
      </c>
      <c r="B2518" s="62" t="str">
        <f t="shared" ref="B2518:B2581" si="381">IF(C2518&lt;&gt;"",MONTH(C2518),"")</f>
        <v/>
      </c>
      <c r="C2518" s="63"/>
      <c r="D2518" s="63"/>
      <c r="E2518" s="63"/>
      <c r="F2518" s="477"/>
      <c r="G2518" s="66"/>
      <c r="H2518" s="71"/>
      <c r="I2518" s="405"/>
      <c r="J2518" s="405"/>
      <c r="K2518" s="398"/>
      <c r="L2518" s="405"/>
      <c r="M2518" s="64"/>
      <c r="N2518" s="65"/>
      <c r="O2518" s="65"/>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row>
    <row r="2519" spans="1:30" ht="15.75" customHeight="1">
      <c r="A2519" s="327" t="str">
        <f>IF(B2519&lt;&gt;"",IF(AND(B2519='IN-TC'!$S$4,OR(TH!N2519="1111",TH!O2519="1111")),TH!D2519,""),"")</f>
        <v/>
      </c>
      <c r="B2519" s="62" t="str">
        <f t="shared" si="381"/>
        <v/>
      </c>
      <c r="C2519" s="63"/>
      <c r="D2519" s="63"/>
      <c r="E2519" s="63"/>
      <c r="F2519" s="477"/>
      <c r="G2519" s="66"/>
      <c r="H2519" s="71"/>
      <c r="I2519" s="405"/>
      <c r="J2519" s="405"/>
      <c r="K2519" s="398"/>
      <c r="L2519" s="405"/>
      <c r="M2519" s="64"/>
      <c r="N2519" s="65"/>
      <c r="O2519" s="65"/>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row>
    <row r="2520" spans="1:30" ht="15.75" customHeight="1">
      <c r="A2520" s="327" t="str">
        <f>IF(B2520&lt;&gt;"",IF(AND(B2520='IN-TC'!$S$4,OR(TH!N2520="1111",TH!O2520="1111")),TH!D2520,""),"")</f>
        <v/>
      </c>
      <c r="B2520" s="62" t="str">
        <f t="shared" si="381"/>
        <v/>
      </c>
      <c r="C2520" s="63"/>
      <c r="D2520" s="63"/>
      <c r="E2520" s="63"/>
      <c r="F2520" s="71"/>
      <c r="G2520" s="66"/>
      <c r="H2520" s="71"/>
      <c r="I2520" s="405"/>
      <c r="J2520" s="405"/>
      <c r="K2520" s="398"/>
      <c r="L2520" s="405"/>
      <c r="M2520" s="64"/>
      <c r="N2520" s="65"/>
      <c r="O2520" s="65"/>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0" ht="15.75" customHeight="1">
      <c r="A2521" s="327" t="str">
        <f>IF(B2521&lt;&gt;"",IF(AND(B2521='IN-TC'!$S$4,OR(TH!N2521="1111",TH!O2521="1111")),TH!D2521,""),"")</f>
        <v/>
      </c>
      <c r="B2521" s="62" t="str">
        <f t="shared" si="381"/>
        <v/>
      </c>
      <c r="C2521" s="63"/>
      <c r="D2521" s="63"/>
      <c r="E2521" s="63"/>
      <c r="F2521" s="477"/>
      <c r="G2521" s="66"/>
      <c r="H2521" s="72"/>
      <c r="I2521" s="408"/>
      <c r="J2521" s="405"/>
      <c r="K2521" s="401"/>
      <c r="L2521" s="408"/>
      <c r="M2521" s="64"/>
      <c r="N2521" s="65"/>
      <c r="O2521" s="65"/>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0" ht="15.75" customHeight="1">
      <c r="A2522" s="327" t="str">
        <f>IF(B2522&lt;&gt;"",IF(AND(B2522='IN-TC'!$S$4,OR(TH!N2522="1111",TH!O2522="1111")),TH!D2522,""),"")</f>
        <v/>
      </c>
      <c r="B2522" s="62" t="str">
        <f t="shared" si="381"/>
        <v/>
      </c>
      <c r="C2522" s="63"/>
      <c r="D2522" s="63"/>
      <c r="E2522" s="63"/>
      <c r="F2522" s="477"/>
      <c r="G2522" s="66"/>
      <c r="H2522" s="477"/>
      <c r="I2522" s="405"/>
      <c r="J2522" s="405"/>
      <c r="K2522" s="398"/>
      <c r="L2522" s="405"/>
      <c r="M2522" s="64"/>
      <c r="N2522" s="65"/>
      <c r="O2522" s="65"/>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0" ht="15.75" customHeight="1">
      <c r="A2523" s="327" t="str">
        <f>IF(B2523&lt;&gt;"",IF(AND(B2523='IN-TC'!$S$4,OR(TH!N2523="1111",TH!O2523="1111")),TH!D2523,""),"")</f>
        <v/>
      </c>
      <c r="B2523" s="62" t="str">
        <f t="shared" si="381"/>
        <v/>
      </c>
      <c r="C2523" s="63"/>
      <c r="D2523" s="63"/>
      <c r="E2523" s="63"/>
      <c r="F2523" s="477"/>
      <c r="G2523" s="66"/>
      <c r="H2523" s="477"/>
      <c r="I2523" s="405"/>
      <c r="J2523" s="405"/>
      <c r="K2523" s="398"/>
      <c r="L2523" s="405"/>
      <c r="M2523" s="64"/>
      <c r="N2523" s="65"/>
      <c r="O2523" s="65"/>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0" ht="15.75" customHeight="1">
      <c r="A2524" s="327" t="str">
        <f>IF(B2524&lt;&gt;"",IF(AND(B2524='IN-TC'!$S$4,OR(TH!N2524="1111",TH!O2524="1111")),TH!D2524,""),"")</f>
        <v/>
      </c>
      <c r="B2524" s="62" t="str">
        <f t="shared" si="381"/>
        <v/>
      </c>
      <c r="C2524" s="63"/>
      <c r="D2524" s="63"/>
      <c r="E2524" s="63"/>
      <c r="F2524" s="477"/>
      <c r="G2524" s="66"/>
      <c r="H2524" s="1048"/>
      <c r="I2524" s="407"/>
      <c r="J2524" s="407"/>
      <c r="K2524" s="400"/>
      <c r="L2524" s="407"/>
      <c r="M2524" s="64"/>
      <c r="N2524" s="65"/>
      <c r="O2524" s="65"/>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0" ht="15.75" customHeight="1">
      <c r="A2525" s="327" t="str">
        <f>IF(B2525&lt;&gt;"",IF(AND(B2525='IN-TC'!$S$4,OR(TH!N2525="1111",TH!O2525="1111")),TH!D2525,""),"")</f>
        <v/>
      </c>
      <c r="B2525" s="62" t="str">
        <f t="shared" si="381"/>
        <v/>
      </c>
      <c r="C2525" s="63"/>
      <c r="D2525" s="63"/>
      <c r="E2525" s="63"/>
      <c r="F2525" s="477"/>
      <c r="G2525" s="66"/>
      <c r="H2525" s="71"/>
      <c r="I2525" s="405"/>
      <c r="J2525" s="405"/>
      <c r="K2525" s="398"/>
      <c r="L2525" s="405"/>
      <c r="M2525" s="64"/>
      <c r="N2525" s="65"/>
      <c r="O2525" s="65"/>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0" ht="15.75" customHeight="1">
      <c r="A2526" s="327" t="str">
        <f>IF(B2526&lt;&gt;"",IF(AND(B2526='IN-TC'!$S$4,OR(TH!N2526="1111",TH!O2526="1111")),TH!D2526,""),"")</f>
        <v/>
      </c>
      <c r="B2526" s="62" t="str">
        <f t="shared" si="381"/>
        <v/>
      </c>
      <c r="C2526" s="63"/>
      <c r="D2526" s="63"/>
      <c r="E2526" s="63"/>
      <c r="F2526" s="477"/>
      <c r="G2526" s="66"/>
      <c r="H2526" s="71"/>
      <c r="I2526" s="405"/>
      <c r="J2526" s="405"/>
      <c r="K2526" s="398"/>
      <c r="L2526" s="405"/>
      <c r="M2526" s="64"/>
      <c r="N2526" s="65"/>
      <c r="O2526" s="65"/>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0" ht="15.75" customHeight="1">
      <c r="A2527" s="327" t="str">
        <f>IF(B2527&lt;&gt;"",IF(AND(B2527='IN-TC'!$S$4,OR(TH!N2527="1111",TH!O2527="1111")),TH!D2527,""),"")</f>
        <v/>
      </c>
      <c r="B2527" s="62" t="str">
        <f t="shared" si="381"/>
        <v/>
      </c>
      <c r="C2527" s="63"/>
      <c r="D2527" s="63"/>
      <c r="E2527" s="63"/>
      <c r="F2527" s="477"/>
      <c r="G2527" s="66"/>
      <c r="H2527" s="71"/>
      <c r="I2527" s="405"/>
      <c r="J2527" s="405"/>
      <c r="K2527" s="398"/>
      <c r="L2527" s="405"/>
      <c r="M2527" s="64"/>
      <c r="N2527" s="65"/>
      <c r="O2527" s="65"/>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0" ht="15.75" customHeight="1">
      <c r="A2528" s="327" t="str">
        <f>IF(B2528&lt;&gt;"",IF(AND(B2528='IN-TC'!$S$4,OR(TH!N2528="1111",TH!O2528="1111")),TH!D2528,""),"")</f>
        <v/>
      </c>
      <c r="B2528" s="62" t="str">
        <f t="shared" si="381"/>
        <v/>
      </c>
      <c r="C2528" s="63"/>
      <c r="D2528" s="63"/>
      <c r="E2528" s="63"/>
      <c r="F2528" s="477"/>
      <c r="G2528" s="66"/>
      <c r="H2528" s="71"/>
      <c r="I2528" s="405"/>
      <c r="J2528" s="405"/>
      <c r="K2528" s="398"/>
      <c r="L2528" s="405"/>
      <c r="M2528" s="64"/>
      <c r="N2528" s="65"/>
      <c r="O2528" s="65"/>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0" ht="15.75" customHeight="1">
      <c r="A2529" s="327" t="str">
        <f>IF(B2529&lt;&gt;"",IF(AND(B2529='IN-TC'!$S$4,OR(TH!N2529="1111",TH!O2529="1111")),TH!D2529,""),"")</f>
        <v/>
      </c>
      <c r="B2529" s="62" t="str">
        <f t="shared" si="381"/>
        <v/>
      </c>
      <c r="C2529" s="63"/>
      <c r="D2529" s="63"/>
      <c r="E2529" s="63"/>
      <c r="F2529" s="477"/>
      <c r="G2529" s="66"/>
      <c r="H2529" s="330"/>
      <c r="I2529" s="407"/>
      <c r="J2529" s="407"/>
      <c r="K2529" s="400"/>
      <c r="L2529" s="407"/>
      <c r="M2529" s="64"/>
      <c r="N2529" s="65"/>
      <c r="O2529" s="65"/>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row>
    <row r="2530" spans="1:30" ht="15.75" customHeight="1">
      <c r="A2530" s="327" t="str">
        <f>IF(B2530&lt;&gt;"",IF(AND(B2530='IN-TC'!$S$4,OR(TH!N2530="1111",TH!O2530="1111")),TH!D2530,""),"")</f>
        <v/>
      </c>
      <c r="B2530" s="62" t="str">
        <f t="shared" si="381"/>
        <v/>
      </c>
      <c r="C2530" s="63"/>
      <c r="D2530" s="63"/>
      <c r="E2530" s="63"/>
      <c r="F2530" s="71"/>
      <c r="G2530" s="66"/>
      <c r="H2530" s="71"/>
      <c r="I2530" s="405"/>
      <c r="J2530" s="405"/>
      <c r="K2530" s="398"/>
      <c r="L2530" s="405"/>
      <c r="M2530" s="64"/>
      <c r="N2530" s="65"/>
      <c r="O2530" s="65"/>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
      </c>
      <c r="W2530" s="81" t="str">
        <f>IF(AND('341-CT'!$H$9=H2530,OR(LEFT(N2530,3)=$W$7,LEFT(O2530,3)=$W$7)),"x","")</f>
        <v/>
      </c>
      <c r="X2530" s="81" t="str">
        <f>IF(OR(TH!N2530=TH!$X$7,O2530=TH!$X$7),"x","")</f>
        <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row>
    <row r="2531" spans="1:30" ht="15.75" customHeight="1">
      <c r="A2531" s="327" t="str">
        <f>IF(B2531&lt;&gt;"",IF(AND(B2531='IN-TC'!$S$4,OR(TH!N2531="1111",TH!O2531="1111")),TH!D2531,""),"")</f>
        <v/>
      </c>
      <c r="B2531" s="62" t="str">
        <f t="shared" si="381"/>
        <v/>
      </c>
      <c r="C2531" s="63"/>
      <c r="D2531" s="63"/>
      <c r="E2531" s="63"/>
      <c r="F2531" s="477"/>
      <c r="G2531" s="66"/>
      <c r="H2531" s="71"/>
      <c r="I2531" s="405"/>
      <c r="J2531" s="405"/>
      <c r="K2531" s="398"/>
      <c r="L2531" s="405"/>
      <c r="M2531" s="64"/>
      <c r="N2531" s="65"/>
      <c r="O2531" s="65"/>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0" ht="15.75" customHeight="1">
      <c r="A2532" s="327" t="str">
        <f>IF(B2532&lt;&gt;"",IF(AND(B2532='IN-TC'!$S$4,OR(TH!N2532="1111",TH!O2532="1111")),TH!D2532,""),"")</f>
        <v/>
      </c>
      <c r="B2532" s="62" t="str">
        <f t="shared" si="381"/>
        <v/>
      </c>
      <c r="C2532" s="63"/>
      <c r="D2532" s="63"/>
      <c r="E2532" s="63"/>
      <c r="F2532" s="331"/>
      <c r="G2532" s="66"/>
      <c r="H2532" s="71"/>
      <c r="I2532" s="405"/>
      <c r="J2532" s="405"/>
      <c r="K2532" s="398"/>
      <c r="L2532" s="405"/>
      <c r="M2532" s="64"/>
      <c r="N2532" s="65"/>
      <c r="O2532" s="65"/>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0" ht="15.75" customHeight="1">
      <c r="A2533" s="327" t="str">
        <f>IF(B2533&lt;&gt;"",IF(AND(B2533='IN-TC'!$S$4,OR(TH!N2533="1111",TH!O2533="1111")),TH!D2533,""),"")</f>
        <v/>
      </c>
      <c r="B2533" s="62" t="str">
        <f t="shared" si="381"/>
        <v/>
      </c>
      <c r="C2533" s="63"/>
      <c r="D2533" s="63"/>
      <c r="E2533" s="63"/>
      <c r="F2533" s="477"/>
      <c r="G2533" s="66"/>
      <c r="H2533" s="71"/>
      <c r="I2533" s="405"/>
      <c r="J2533" s="405"/>
      <c r="K2533" s="398"/>
      <c r="L2533" s="405"/>
      <c r="M2533" s="64"/>
      <c r="N2533" s="65"/>
      <c r="O2533" s="65"/>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0" ht="15.75" customHeight="1">
      <c r="A2534" s="327" t="str">
        <f>IF(B2534&lt;&gt;"",IF(AND(B2534='IN-TC'!$S$4,OR(TH!N2534="1111",TH!O2534="1111")),TH!D2534,""),"")</f>
        <v/>
      </c>
      <c r="B2534" s="62" t="str">
        <f t="shared" si="381"/>
        <v/>
      </c>
      <c r="C2534" s="63"/>
      <c r="D2534" s="63"/>
      <c r="E2534" s="63"/>
      <c r="F2534" s="477"/>
      <c r="G2534" s="66"/>
      <c r="H2534" s="71"/>
      <c r="I2534" s="405"/>
      <c r="J2534" s="405"/>
      <c r="K2534" s="398"/>
      <c r="L2534" s="405"/>
      <c r="M2534" s="64"/>
      <c r="N2534" s="65"/>
      <c r="O2534" s="65"/>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0" ht="15.75" customHeight="1">
      <c r="A2535" s="327" t="str">
        <f>IF(B2535&lt;&gt;"",IF(AND(B2535='IN-TC'!$S$4,OR(TH!N2535="1111",TH!O2535="1111")),TH!D2535,""),"")</f>
        <v/>
      </c>
      <c r="B2535" s="62" t="str">
        <f t="shared" si="381"/>
        <v/>
      </c>
      <c r="C2535" s="63"/>
      <c r="D2535" s="63"/>
      <c r="E2535" s="63"/>
      <c r="F2535" s="477"/>
      <c r="G2535" s="66"/>
      <c r="H2535" s="71"/>
      <c r="I2535" s="405"/>
      <c r="J2535" s="405"/>
      <c r="K2535" s="398"/>
      <c r="L2535" s="405"/>
      <c r="M2535" s="64"/>
      <c r="N2535" s="65"/>
      <c r="O2535" s="65"/>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0" ht="15.75" customHeight="1">
      <c r="A2536" s="327" t="str">
        <f>IF(B2536&lt;&gt;"",IF(AND(B2536='IN-TC'!$S$4,OR(TH!N2536="1111",TH!O2536="1111")),TH!D2536,""),"")</f>
        <v/>
      </c>
      <c r="B2536" s="62" t="str">
        <f t="shared" si="381"/>
        <v/>
      </c>
      <c r="C2536" s="63"/>
      <c r="D2536" s="63"/>
      <c r="E2536" s="63"/>
      <c r="F2536" s="477"/>
      <c r="G2536" s="66"/>
      <c r="H2536" s="66"/>
      <c r="I2536" s="405"/>
      <c r="J2536" s="405"/>
      <c r="K2536" s="398"/>
      <c r="L2536" s="405"/>
      <c r="M2536" s="64"/>
      <c r="N2536" s="65"/>
      <c r="O2536" s="65"/>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0" ht="15.75" customHeight="1">
      <c r="A2537" s="327" t="str">
        <f>IF(B2537&lt;&gt;"",IF(AND(B2537='IN-TC'!$S$4,OR(TH!N2537="1111",TH!O2537="1111")),TH!D2537,""),"")</f>
        <v/>
      </c>
      <c r="B2537" s="62" t="str">
        <f t="shared" si="381"/>
        <v/>
      </c>
      <c r="C2537" s="63"/>
      <c r="D2537" s="63"/>
      <c r="E2537" s="63"/>
      <c r="F2537" s="477"/>
      <c r="G2537" s="66"/>
      <c r="H2537" s="72"/>
      <c r="I2537" s="405"/>
      <c r="J2537" s="405"/>
      <c r="K2537" s="398"/>
      <c r="L2537" s="405"/>
      <c r="M2537" s="64"/>
      <c r="N2537" s="65"/>
      <c r="O2537" s="65"/>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0" ht="15.75" customHeight="1">
      <c r="A2538" s="327" t="str">
        <f>IF(B2538&lt;&gt;"",IF(AND(B2538='IN-TC'!$S$4,OR(TH!N2538="1111",TH!O2538="1111")),TH!D2538,""),"")</f>
        <v/>
      </c>
      <c r="B2538" s="62" t="str">
        <f t="shared" si="381"/>
        <v/>
      </c>
      <c r="C2538" s="63"/>
      <c r="D2538" s="63"/>
      <c r="E2538" s="63"/>
      <c r="F2538" s="477"/>
      <c r="G2538" s="66"/>
      <c r="H2538" s="72"/>
      <c r="I2538" s="408"/>
      <c r="J2538" s="408"/>
      <c r="K2538" s="401"/>
      <c r="L2538" s="408"/>
      <c r="M2538" s="64"/>
      <c r="N2538" s="65"/>
      <c r="O2538" s="65"/>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0" ht="15.75" customHeight="1">
      <c r="A2539" s="327" t="str">
        <f>IF(B2539&lt;&gt;"",IF(AND(B2539='IN-TC'!$S$4,OR(TH!N2539="1111",TH!O2539="1111")),TH!D2539,""),"")</f>
        <v/>
      </c>
      <c r="B2539" s="62" t="str">
        <f t="shared" si="381"/>
        <v/>
      </c>
      <c r="C2539" s="63"/>
      <c r="D2539" s="63"/>
      <c r="E2539" s="63"/>
      <c r="F2539" s="477"/>
      <c r="G2539" s="66"/>
      <c r="H2539" s="71"/>
      <c r="I2539" s="405"/>
      <c r="J2539" s="405"/>
      <c r="K2539" s="398"/>
      <c r="L2539" s="405"/>
      <c r="M2539" s="64"/>
      <c r="N2539" s="65"/>
      <c r="O2539" s="65"/>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0" ht="15.75" customHeight="1">
      <c r="A2540" s="327" t="str">
        <f>IF(B2540&lt;&gt;"",IF(AND(B2540='IN-TC'!$S$4,OR(TH!N2540="1111",TH!O2540="1111")),TH!D2540,""),"")</f>
        <v/>
      </c>
      <c r="B2540" s="62" t="str">
        <f t="shared" si="381"/>
        <v/>
      </c>
      <c r="C2540" s="63"/>
      <c r="D2540" s="63"/>
      <c r="E2540" s="63"/>
      <c r="F2540" s="477"/>
      <c r="G2540" s="66"/>
      <c r="H2540" s="71"/>
      <c r="I2540" s="405"/>
      <c r="J2540" s="405"/>
      <c r="K2540" s="398"/>
      <c r="L2540" s="405"/>
      <c r="M2540" s="64"/>
      <c r="N2540" s="65"/>
      <c r="O2540" s="65"/>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0" ht="15.75" customHeight="1">
      <c r="A2541" s="327" t="str">
        <f>IF(B2541&lt;&gt;"",IF(AND(B2541='IN-TC'!$S$4,OR(TH!N2541="1111",TH!O2541="1111")),TH!D2541,""),"")</f>
        <v/>
      </c>
      <c r="B2541" s="62" t="str">
        <f t="shared" si="381"/>
        <v/>
      </c>
      <c r="C2541" s="63"/>
      <c r="D2541" s="63"/>
      <c r="E2541" s="63"/>
      <c r="F2541" s="477"/>
      <c r="G2541" s="66"/>
      <c r="H2541" s="330"/>
      <c r="I2541" s="407"/>
      <c r="J2541" s="407"/>
      <c r="K2541" s="400"/>
      <c r="L2541" s="407"/>
      <c r="M2541" s="64"/>
      <c r="N2541" s="65"/>
      <c r="O2541" s="65"/>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0" ht="15.75" customHeight="1">
      <c r="A2542" s="327" t="str">
        <f>IF(B2542&lt;&gt;"",IF(AND(B2542='IN-TC'!$S$4,OR(TH!N2542="1111",TH!O2542="1111")),TH!D2542,""),"")</f>
        <v/>
      </c>
      <c r="B2542" s="62" t="str">
        <f t="shared" si="381"/>
        <v/>
      </c>
      <c r="C2542" s="63"/>
      <c r="D2542" s="63"/>
      <c r="E2542" s="63"/>
      <c r="F2542" s="477"/>
      <c r="G2542" s="66"/>
      <c r="H2542" s="71"/>
      <c r="I2542" s="405"/>
      <c r="J2542" s="405"/>
      <c r="K2542" s="398"/>
      <c r="L2542" s="405"/>
      <c r="M2542" s="64"/>
      <c r="N2542" s="65"/>
      <c r="O2542" s="65"/>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0" ht="15.75" customHeight="1">
      <c r="A2543" s="327" t="str">
        <f>IF(B2543&lt;&gt;"",IF(AND(B2543='IN-TC'!$S$4,OR(TH!N2543="1111",TH!O2543="1111")),TH!D2543,""),"")</f>
        <v/>
      </c>
      <c r="B2543" s="62" t="str">
        <f t="shared" si="381"/>
        <v/>
      </c>
      <c r="C2543" s="63"/>
      <c r="D2543" s="63"/>
      <c r="E2543" s="63"/>
      <c r="F2543" s="477"/>
      <c r="G2543" s="66"/>
      <c r="H2543" s="72"/>
      <c r="I2543" s="408"/>
      <c r="J2543" s="408"/>
      <c r="K2543" s="401"/>
      <c r="L2543" s="408"/>
      <c r="M2543" s="64"/>
      <c r="N2543" s="65"/>
      <c r="O2543" s="65"/>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0" ht="15.75" customHeight="1">
      <c r="A2544" s="327" t="str">
        <f>IF(B2544&lt;&gt;"",IF(AND(B2544='IN-TC'!$S$4,OR(TH!N2544="1111",TH!O2544="1111")),TH!D2544,""),"")</f>
        <v/>
      </c>
      <c r="B2544" s="62" t="str">
        <f t="shared" si="381"/>
        <v/>
      </c>
      <c r="C2544" s="63"/>
      <c r="D2544" s="63"/>
      <c r="E2544" s="63"/>
      <c r="F2544" s="477"/>
      <c r="G2544" s="66"/>
      <c r="H2544" s="71"/>
      <c r="I2544" s="405"/>
      <c r="J2544" s="405"/>
      <c r="K2544" s="398"/>
      <c r="L2544" s="405"/>
      <c r="M2544" s="64"/>
      <c r="N2544" s="65"/>
      <c r="O2544" s="65"/>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0" ht="15.75" customHeight="1">
      <c r="A2545" s="327" t="str">
        <f>IF(B2545&lt;&gt;"",IF(AND(B2545='IN-TC'!$S$4,OR(TH!N2545="1111",TH!O2545="1111")),TH!D2545,""),"")</f>
        <v/>
      </c>
      <c r="B2545" s="62" t="str">
        <f t="shared" si="381"/>
        <v/>
      </c>
      <c r="C2545" s="63"/>
      <c r="D2545" s="63"/>
      <c r="E2545" s="63"/>
      <c r="F2545" s="477"/>
      <c r="G2545" s="66"/>
      <c r="H2545" s="71"/>
      <c r="I2545" s="405"/>
      <c r="J2545" s="405"/>
      <c r="K2545" s="398"/>
      <c r="L2545" s="405"/>
      <c r="M2545" s="64"/>
      <c r="N2545" s="65"/>
      <c r="O2545" s="65"/>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0" ht="15.75" customHeight="1">
      <c r="A2546" s="327" t="str">
        <f>IF(B2546&lt;&gt;"",IF(AND(B2546='IN-TC'!$S$4,OR(TH!N2546="1111",TH!O2546="1111")),TH!D2546,""),"")</f>
        <v/>
      </c>
      <c r="B2546" s="62" t="str">
        <f t="shared" si="381"/>
        <v/>
      </c>
      <c r="C2546" s="63"/>
      <c r="D2546" s="63"/>
      <c r="E2546" s="63"/>
      <c r="F2546" s="477"/>
      <c r="G2546" s="66"/>
      <c r="H2546" s="73"/>
      <c r="I2546" s="407"/>
      <c r="J2546" s="407"/>
      <c r="K2546" s="400"/>
      <c r="L2546" s="407"/>
      <c r="M2546" s="64"/>
      <c r="N2546" s="65"/>
      <c r="O2546" s="65"/>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
      </c>
      <c r="V2546" s="81" t="str">
        <f>IF(ISERROR(FIND('112'!$M$9,G2546,1)),"",IF((AND(RIGHT(G2546,2)=RIGHT('112'!$M$9,2),B2546&lt;'112'!$K$9,$O2546='112'!$I$6)),"x",""))</f>
        <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0" ht="15.75" customHeight="1">
      <c r="A2547" s="327" t="str">
        <f>IF(B2547&lt;&gt;"",IF(AND(B2547='IN-TC'!$S$4,OR(TH!N2547="1111",TH!O2547="1111")),TH!D2547,""),"")</f>
        <v/>
      </c>
      <c r="B2547" s="62" t="str">
        <f t="shared" si="381"/>
        <v/>
      </c>
      <c r="C2547" s="63"/>
      <c r="D2547" s="63"/>
      <c r="E2547" s="63"/>
      <c r="F2547" s="477"/>
      <c r="G2547" s="66"/>
      <c r="H2547" s="73"/>
      <c r="I2547" s="407"/>
      <c r="J2547" s="407"/>
      <c r="K2547" s="400"/>
      <c r="L2547" s="407"/>
      <c r="M2547" s="64"/>
      <c r="N2547" s="65"/>
      <c r="O2547" s="65"/>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row>
    <row r="2548" spans="1:30" ht="15.75" customHeight="1">
      <c r="A2548" s="327" t="str">
        <f>IF(B2548&lt;&gt;"",IF(AND(B2548='IN-TC'!$S$4,OR(TH!N2548="1111",TH!O2548="1111")),TH!D2548,""),"")</f>
        <v/>
      </c>
      <c r="B2548" s="62" t="str">
        <f t="shared" si="381"/>
        <v/>
      </c>
      <c r="C2548" s="63"/>
      <c r="D2548" s="63"/>
      <c r="E2548" s="63"/>
      <c r="F2548" s="477"/>
      <c r="G2548" s="66"/>
      <c r="H2548" s="73"/>
      <c r="I2548" s="407"/>
      <c r="J2548" s="407"/>
      <c r="K2548" s="400"/>
      <c r="L2548" s="407"/>
      <c r="M2548" s="64"/>
      <c r="N2548" s="65"/>
      <c r="O2548" s="65"/>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
      </c>
      <c r="W2548" s="81" t="str">
        <f>IF(AND('341-CT'!$H$9=H2548,OR(LEFT(N2548,3)=$W$7,LEFT(O2548,3)=$W$7)),"x","")</f>
        <v/>
      </c>
      <c r="X2548" s="81" t="str">
        <f>IF(OR(TH!N2548=TH!$X$7,O2548=TH!$X$7),"x","")</f>
        <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row>
    <row r="2549" spans="1:30" ht="15.75" customHeight="1">
      <c r="A2549" s="327" t="str">
        <f>IF(B2549&lt;&gt;"",IF(AND(B2549='IN-TC'!$S$4,OR(TH!N2549="1111",TH!O2549="1111")),TH!D2549,""),"")</f>
        <v/>
      </c>
      <c r="B2549" s="62" t="str">
        <f t="shared" si="381"/>
        <v/>
      </c>
      <c r="C2549" s="63"/>
      <c r="D2549" s="63"/>
      <c r="E2549" s="63"/>
      <c r="F2549" s="477"/>
      <c r="G2549" s="66"/>
      <c r="H2549" s="73"/>
      <c r="I2549" s="407"/>
      <c r="J2549" s="407"/>
      <c r="K2549" s="400"/>
      <c r="L2549" s="407"/>
      <c r="M2549" s="64"/>
      <c r="N2549" s="65"/>
      <c r="O2549" s="65"/>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0" ht="15.75" customHeight="1">
      <c r="A2550" s="327" t="str">
        <f>IF(B2550&lt;&gt;"",IF(AND(B2550='IN-TC'!$S$4,OR(TH!N2550="1111",TH!O2550="1111")),TH!D2550,""),"")</f>
        <v/>
      </c>
      <c r="B2550" s="62" t="str">
        <f t="shared" si="381"/>
        <v/>
      </c>
      <c r="C2550" s="63"/>
      <c r="D2550" s="63"/>
      <c r="E2550" s="63"/>
      <c r="F2550" s="477"/>
      <c r="G2550" s="66"/>
      <c r="H2550" s="73"/>
      <c r="I2550" s="407"/>
      <c r="J2550" s="407"/>
      <c r="K2550" s="400"/>
      <c r="L2550" s="407"/>
      <c r="M2550" s="64"/>
      <c r="N2550" s="65"/>
      <c r="O2550" s="65"/>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row>
    <row r="2551" spans="1:30" ht="15.75" customHeight="1">
      <c r="A2551" s="327" t="str">
        <f>IF(B2551&lt;&gt;"",IF(AND(B2551='IN-TC'!$S$4,OR(TH!N2551="1111",TH!O2551="1111")),TH!D2551,""),"")</f>
        <v/>
      </c>
      <c r="B2551" s="62" t="str">
        <f t="shared" si="381"/>
        <v/>
      </c>
      <c r="C2551" s="63"/>
      <c r="D2551" s="63"/>
      <c r="E2551" s="63"/>
      <c r="F2551" s="477"/>
      <c r="G2551" s="66"/>
      <c r="H2551" s="73"/>
      <c r="I2551" s="407"/>
      <c r="J2551" s="407"/>
      <c r="K2551" s="400"/>
      <c r="L2551" s="407"/>
      <c r="M2551" s="64"/>
      <c r="N2551" s="65"/>
      <c r="O2551" s="65"/>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
      </c>
      <c r="W2551" s="81" t="str">
        <f>IF(AND('341-CT'!$H$9=H2551,OR(LEFT(N2551,3)=$W$7,LEFT(O2551,3)=$W$7)),"x","")</f>
        <v/>
      </c>
      <c r="X2551" s="81" t="str">
        <f>IF(OR(TH!N2551=TH!$X$7,O2551=TH!$X$7),"x","")</f>
        <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row>
    <row r="2552" spans="1:30" ht="15.75" customHeight="1">
      <c r="A2552" s="327" t="str">
        <f>IF(B2552&lt;&gt;"",IF(AND(B2552='IN-TC'!$S$4,OR(TH!N2552="1111",TH!O2552="1111")),TH!D2552,""),"")</f>
        <v/>
      </c>
      <c r="B2552" s="62" t="str">
        <f t="shared" si="381"/>
        <v/>
      </c>
      <c r="C2552" s="63"/>
      <c r="D2552" s="63"/>
      <c r="E2552" s="63"/>
      <c r="F2552" s="477"/>
      <c r="G2552" s="66"/>
      <c r="H2552" s="71"/>
      <c r="I2552" s="405"/>
      <c r="J2552" s="405"/>
      <c r="K2552" s="398"/>
      <c r="L2552" s="405"/>
      <c r="M2552" s="64"/>
      <c r="N2552" s="65"/>
      <c r="O2552" s="65"/>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0" ht="15.75" customHeight="1">
      <c r="A2553" s="327" t="str">
        <f>IF(B2553&lt;&gt;"",IF(AND(B2553='IN-TC'!$S$4,OR(TH!N2553="1111",TH!O2553="1111")),TH!D2553,""),"")</f>
        <v/>
      </c>
      <c r="B2553" s="62" t="str">
        <f t="shared" si="381"/>
        <v/>
      </c>
      <c r="C2553" s="63"/>
      <c r="D2553" s="63"/>
      <c r="E2553" s="63"/>
      <c r="F2553" s="477"/>
      <c r="G2553" s="816"/>
      <c r="H2553" s="71"/>
      <c r="I2553" s="405"/>
      <c r="J2553" s="405"/>
      <c r="K2553" s="398"/>
      <c r="L2553" s="405"/>
      <c r="M2553" s="64"/>
      <c r="N2553" s="65"/>
      <c r="O2553" s="65"/>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row>
    <row r="2554" spans="1:30" ht="15.75" customHeight="1">
      <c r="A2554" s="327" t="str">
        <f>IF(B2554&lt;&gt;"",IF(AND(B2554='IN-TC'!$S$4,OR(TH!N2554="1111",TH!O2554="1111")),TH!D2554,""),"")</f>
        <v/>
      </c>
      <c r="B2554" s="62" t="str">
        <f t="shared" si="381"/>
        <v/>
      </c>
      <c r="C2554" s="63"/>
      <c r="D2554" s="63"/>
      <c r="E2554" s="63"/>
      <c r="F2554" s="71"/>
      <c r="G2554" s="816"/>
      <c r="H2554" s="71"/>
      <c r="I2554" s="405"/>
      <c r="J2554" s="405"/>
      <c r="K2554" s="398"/>
      <c r="L2554" s="405"/>
      <c r="M2554" s="64"/>
      <c r="N2554" s="65"/>
      <c r="O2554" s="65"/>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
      </c>
      <c r="W2554" s="81" t="str">
        <f>IF(AND('341-CT'!$H$9=H2554,OR(LEFT(N2554,3)=$W$7,LEFT(O2554,3)=$W$7)),"x","")</f>
        <v/>
      </c>
      <c r="X2554" s="81" t="str">
        <f>IF(OR(TH!N2554=TH!$X$7,O2554=TH!$X$7),"x","")</f>
        <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row>
    <row r="2555" spans="1:30" ht="15.75" customHeight="1">
      <c r="A2555" s="327" t="str">
        <f>IF(B2555&lt;&gt;"",IF(AND(B2555='IN-TC'!$S$4,OR(TH!N2555="1111",TH!O2555="1111")),TH!D2555,""),"")</f>
        <v/>
      </c>
      <c r="B2555" s="62" t="str">
        <f t="shared" si="381"/>
        <v/>
      </c>
      <c r="C2555" s="63"/>
      <c r="D2555" s="63"/>
      <c r="E2555" s="63"/>
      <c r="F2555" s="477"/>
      <c r="G2555" s="66"/>
      <c r="H2555" s="71"/>
      <c r="I2555" s="405"/>
      <c r="J2555" s="405"/>
      <c r="K2555" s="398"/>
      <c r="L2555" s="405"/>
      <c r="M2555" s="64"/>
      <c r="N2555" s="65"/>
      <c r="O2555" s="65"/>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0" ht="15.75" customHeight="1">
      <c r="A2556" s="327" t="str">
        <f>IF(B2556&lt;&gt;"",IF(AND(B2556='IN-TC'!$S$4,OR(TH!N2556="1111",TH!O2556="1111")),TH!D2556,""),"")</f>
        <v/>
      </c>
      <c r="B2556" s="62" t="str">
        <f t="shared" si="381"/>
        <v/>
      </c>
      <c r="C2556" s="63"/>
      <c r="D2556" s="63"/>
      <c r="E2556" s="63"/>
      <c r="F2556" s="477"/>
      <c r="G2556" s="66"/>
      <c r="H2556" s="71"/>
      <c r="I2556" s="405"/>
      <c r="J2556" s="405"/>
      <c r="K2556" s="398"/>
      <c r="L2556" s="405"/>
      <c r="M2556" s="64"/>
      <c r="N2556" s="65"/>
      <c r="O2556" s="65"/>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row>
    <row r="2557" spans="1:30" ht="15.75" customHeight="1">
      <c r="A2557" s="327" t="str">
        <f>IF(B2557&lt;&gt;"",IF(AND(B2557='IN-TC'!$S$4,OR(TH!N2557="1111",TH!O2557="1111")),TH!D2557,""),"")</f>
        <v/>
      </c>
      <c r="B2557" s="62" t="str">
        <f t="shared" si="381"/>
        <v/>
      </c>
      <c r="C2557" s="63"/>
      <c r="D2557" s="63"/>
      <c r="E2557" s="63"/>
      <c r="F2557" s="477"/>
      <c r="G2557" s="66"/>
      <c r="H2557" s="71"/>
      <c r="I2557" s="405"/>
      <c r="J2557" s="405"/>
      <c r="K2557" s="398"/>
      <c r="L2557" s="405"/>
      <c r="M2557" s="64"/>
      <c r="N2557" s="65"/>
      <c r="O2557" s="65"/>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
      </c>
      <c r="W2557" s="81" t="str">
        <f>IF(AND('341-CT'!$H$9=H2557,OR(LEFT(N2557,3)=$W$7,LEFT(O2557,3)=$W$7)),"x","")</f>
        <v/>
      </c>
      <c r="X2557" s="81" t="str">
        <f>IF(OR(TH!N2557=TH!$X$7,O2557=TH!$X$7),"x","")</f>
        <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row>
    <row r="2558" spans="1:30" ht="15.75" customHeight="1">
      <c r="A2558" s="327" t="str">
        <f>IF(B2558&lt;&gt;"",IF(AND(B2558='IN-TC'!$S$4,OR(TH!N2558="1111",TH!O2558="1111")),TH!D2558,""),"")</f>
        <v/>
      </c>
      <c r="B2558" s="62" t="str">
        <f t="shared" si="381"/>
        <v/>
      </c>
      <c r="C2558" s="63"/>
      <c r="D2558" s="63"/>
      <c r="E2558" s="63"/>
      <c r="F2558" s="477"/>
      <c r="G2558" s="66"/>
      <c r="H2558" s="71"/>
      <c r="I2558" s="405"/>
      <c r="J2558" s="405"/>
      <c r="K2558" s="398"/>
      <c r="L2558" s="405"/>
      <c r="M2558" s="64"/>
      <c r="N2558" s="65"/>
      <c r="O2558" s="65"/>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
      </c>
      <c r="V2558" s="81" t="str">
        <f>IF(ISERROR(FIND('112'!$M$9,G2558,1)),"",IF((AND(RIGHT(G2558,2)=RIGHT('112'!$M$9,2),B2558&lt;'112'!$K$9,$O2558='112'!$I$6)),"x",""))</f>
        <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0" ht="15.75" customHeight="1">
      <c r="A2559" s="327" t="str">
        <f>IF(B2559&lt;&gt;"",IF(AND(B2559='IN-TC'!$S$4,OR(TH!N2559="1111",TH!O2559="1111")),TH!D2559,""),"")</f>
        <v/>
      </c>
      <c r="B2559" s="62" t="str">
        <f t="shared" si="381"/>
        <v/>
      </c>
      <c r="C2559" s="63"/>
      <c r="D2559" s="63"/>
      <c r="E2559" s="63"/>
      <c r="F2559" s="477"/>
      <c r="G2559" s="66"/>
      <c r="H2559" s="71"/>
      <c r="I2559" s="405"/>
      <c r="J2559" s="405"/>
      <c r="K2559" s="398"/>
      <c r="L2559" s="405"/>
      <c r="M2559" s="64"/>
      <c r="N2559" s="65"/>
      <c r="O2559" s="65"/>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0" ht="15.75" customHeight="1">
      <c r="A2560" s="327" t="str">
        <f>IF(B2560&lt;&gt;"",IF(AND(B2560='IN-TC'!$S$4,OR(TH!N2560="1111",TH!O2560="1111")),TH!D2560,""),"")</f>
        <v/>
      </c>
      <c r="B2560" s="62" t="str">
        <f t="shared" si="381"/>
        <v/>
      </c>
      <c r="C2560" s="63"/>
      <c r="D2560" s="63"/>
      <c r="E2560" s="63"/>
      <c r="F2560" s="477"/>
      <c r="G2560" s="66"/>
      <c r="H2560" s="71"/>
      <c r="I2560" s="405"/>
      <c r="J2560" s="405"/>
      <c r="K2560" s="398"/>
      <c r="L2560" s="405"/>
      <c r="M2560" s="64"/>
      <c r="N2560" s="65"/>
      <c r="O2560" s="65"/>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row>
    <row r="2561" spans="1:30" ht="15.75" customHeight="1">
      <c r="A2561" s="327" t="str">
        <f>IF(B2561&lt;&gt;"",IF(AND(B2561='IN-TC'!$S$4,OR(TH!N2561="1111",TH!O2561="1111")),TH!D2561,""),"")</f>
        <v/>
      </c>
      <c r="B2561" s="62" t="str">
        <f t="shared" si="381"/>
        <v/>
      </c>
      <c r="C2561" s="63"/>
      <c r="D2561" s="63"/>
      <c r="E2561" s="63"/>
      <c r="F2561" s="477"/>
      <c r="G2561" s="66"/>
      <c r="H2561" s="71"/>
      <c r="I2561" s="405"/>
      <c r="J2561" s="405"/>
      <c r="K2561" s="398"/>
      <c r="L2561" s="405"/>
      <c r="M2561" s="64"/>
      <c r="N2561" s="65"/>
      <c r="O2561" s="65"/>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
      </c>
      <c r="W2561" s="81" t="str">
        <f>IF(AND('341-CT'!$H$9=H2561,OR(LEFT(N2561,3)=$W$7,LEFT(O2561,3)=$W$7)),"x","")</f>
        <v/>
      </c>
      <c r="X2561" s="81" t="str">
        <f>IF(OR(TH!N2561=TH!$X$7,O2561=TH!$X$7),"x","")</f>
        <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row>
    <row r="2562" spans="1:30" ht="15.75" customHeight="1">
      <c r="A2562" s="327" t="str">
        <f>IF(B2562&lt;&gt;"",IF(AND(B2562='IN-TC'!$S$4,OR(TH!N2562="1111",TH!O2562="1111")),TH!D2562,""),"")</f>
        <v/>
      </c>
      <c r="B2562" s="62" t="str">
        <f t="shared" si="381"/>
        <v/>
      </c>
      <c r="C2562" s="63"/>
      <c r="D2562" s="63"/>
      <c r="E2562" s="63"/>
      <c r="F2562" s="477"/>
      <c r="G2562" s="66"/>
      <c r="H2562" s="71"/>
      <c r="I2562" s="405"/>
      <c r="J2562" s="405"/>
      <c r="K2562" s="398"/>
      <c r="L2562" s="405"/>
      <c r="M2562" s="64"/>
      <c r="N2562" s="65"/>
      <c r="O2562" s="65"/>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0" ht="15.75" customHeight="1">
      <c r="A2563" s="327" t="str">
        <f>IF(B2563&lt;&gt;"",IF(AND(B2563='IN-TC'!$S$4,OR(TH!N2563="1111",TH!O2563="1111")),TH!D2563,""),"")</f>
        <v/>
      </c>
      <c r="B2563" s="62" t="str">
        <f t="shared" si="381"/>
        <v/>
      </c>
      <c r="C2563" s="63"/>
      <c r="D2563" s="63"/>
      <c r="E2563" s="63"/>
      <c r="F2563" s="477"/>
      <c r="G2563" s="66"/>
      <c r="H2563" s="71"/>
      <c r="I2563" s="405"/>
      <c r="J2563" s="405"/>
      <c r="K2563" s="398"/>
      <c r="L2563" s="405"/>
      <c r="M2563" s="64"/>
      <c r="N2563" s="65"/>
      <c r="O2563" s="65"/>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row>
    <row r="2564" spans="1:30" ht="15.75" customHeight="1">
      <c r="A2564" s="327" t="str">
        <f>IF(B2564&lt;&gt;"",IF(AND(B2564='IN-TC'!$S$4,OR(TH!N2564="1111",TH!O2564="1111")),TH!D2564,""),"")</f>
        <v/>
      </c>
      <c r="B2564" s="62" t="str">
        <f t="shared" si="381"/>
        <v/>
      </c>
      <c r="C2564" s="63"/>
      <c r="D2564" s="63"/>
      <c r="E2564" s="63"/>
      <c r="F2564" s="477"/>
      <c r="G2564" s="66"/>
      <c r="H2564" s="71"/>
      <c r="I2564" s="405"/>
      <c r="J2564" s="405"/>
      <c r="K2564" s="398"/>
      <c r="L2564" s="405"/>
      <c r="M2564" s="64"/>
      <c r="N2564" s="65"/>
      <c r="O2564" s="65"/>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
      </c>
      <c r="W2564" s="81" t="str">
        <f>IF(AND('341-CT'!$H$9=H2564,OR(LEFT(N2564,3)=$W$7,LEFT(O2564,3)=$W$7)),"x","")</f>
        <v/>
      </c>
      <c r="X2564" s="81" t="str">
        <f>IF(OR(TH!N2564=TH!$X$7,O2564=TH!$X$7),"x","")</f>
        <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row>
    <row r="2565" spans="1:30" ht="15.75" customHeight="1">
      <c r="A2565" s="327" t="str">
        <f>IF(B2565&lt;&gt;"",IF(AND(B2565='IN-TC'!$S$4,OR(TH!N2565="1111",TH!O2565="1111")),TH!D2565,""),"")</f>
        <v/>
      </c>
      <c r="B2565" s="62" t="str">
        <f t="shared" si="381"/>
        <v/>
      </c>
      <c r="C2565" s="63"/>
      <c r="D2565" s="63"/>
      <c r="E2565" s="63"/>
      <c r="F2565" s="477"/>
      <c r="G2565" s="816"/>
      <c r="H2565" s="71"/>
      <c r="I2565" s="405"/>
      <c r="J2565" s="405"/>
      <c r="K2565" s="398"/>
      <c r="L2565" s="405"/>
      <c r="M2565" s="64"/>
      <c r="N2565" s="65"/>
      <c r="O2565" s="65"/>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0" ht="15.75" customHeight="1">
      <c r="A2566" s="327" t="str">
        <f>IF(B2566&lt;&gt;"",IF(AND(B2566='IN-TC'!$S$4,OR(TH!N2566="1111",TH!O2566="1111")),TH!D2566,""),"")</f>
        <v/>
      </c>
      <c r="B2566" s="62" t="str">
        <f t="shared" si="381"/>
        <v/>
      </c>
      <c r="C2566" s="63"/>
      <c r="D2566" s="63"/>
      <c r="E2566" s="63"/>
      <c r="F2566" s="477"/>
      <c r="G2566" s="816"/>
      <c r="H2566" s="71"/>
      <c r="I2566" s="405"/>
      <c r="J2566" s="405"/>
      <c r="K2566" s="398"/>
      <c r="L2566" s="405"/>
      <c r="M2566" s="64"/>
      <c r="N2566" s="65"/>
      <c r="O2566" s="65"/>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row>
    <row r="2567" spans="1:30" ht="15.75" customHeight="1">
      <c r="A2567" s="327" t="str">
        <f>IF(B2567&lt;&gt;"",IF(AND(B2567='IN-TC'!$S$4,OR(TH!N2567="1111",TH!O2567="1111")),TH!D2567,""),"")</f>
        <v/>
      </c>
      <c r="B2567" s="62" t="str">
        <f t="shared" si="381"/>
        <v/>
      </c>
      <c r="C2567" s="63"/>
      <c r="D2567" s="63"/>
      <c r="E2567" s="63"/>
      <c r="F2567" s="477"/>
      <c r="G2567" s="66"/>
      <c r="H2567" s="71"/>
      <c r="I2567" s="405"/>
      <c r="J2567" s="405"/>
      <c r="K2567" s="398"/>
      <c r="L2567" s="405"/>
      <c r="M2567" s="64"/>
      <c r="N2567" s="65"/>
      <c r="O2567" s="65"/>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row>
    <row r="2568" spans="1:30" ht="15.75" customHeight="1">
      <c r="A2568" s="327" t="str">
        <f>IF(B2568&lt;&gt;"",IF(AND(B2568='IN-TC'!$S$4,OR(TH!N2568="1111",TH!O2568="1111")),TH!D2568,""),"")</f>
        <v/>
      </c>
      <c r="B2568" s="62" t="str">
        <f t="shared" si="381"/>
        <v/>
      </c>
      <c r="C2568" s="63"/>
      <c r="D2568" s="63"/>
      <c r="E2568" s="63"/>
      <c r="F2568" s="477"/>
      <c r="G2568" s="66"/>
      <c r="H2568" s="71"/>
      <c r="I2568" s="405"/>
      <c r="J2568" s="405"/>
      <c r="K2568" s="398"/>
      <c r="L2568" s="405"/>
      <c r="M2568" s="64"/>
      <c r="N2568" s="65"/>
      <c r="O2568" s="65"/>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0" ht="15.75" customHeight="1">
      <c r="A2569" s="327" t="str">
        <f>IF(B2569&lt;&gt;"",IF(AND(B2569='IN-TC'!$S$4,OR(TH!N2569="1111",TH!O2569="1111")),TH!D2569,""),"")</f>
        <v/>
      </c>
      <c r="B2569" s="62" t="str">
        <f t="shared" si="381"/>
        <v/>
      </c>
      <c r="C2569" s="63"/>
      <c r="D2569" s="63"/>
      <c r="E2569" s="63"/>
      <c r="F2569" s="477"/>
      <c r="G2569" s="66"/>
      <c r="H2569" s="71"/>
      <c r="I2569" s="405"/>
      <c r="J2569" s="405"/>
      <c r="K2569" s="398"/>
      <c r="L2569" s="405"/>
      <c r="M2569" s="64"/>
      <c r="N2569" s="65"/>
      <c r="O2569" s="65"/>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row>
    <row r="2570" spans="1:30" ht="15.75" customHeight="1">
      <c r="A2570" s="327" t="str">
        <f>IF(B2570&lt;&gt;"",IF(AND(B2570='IN-TC'!$S$4,OR(TH!N2570="1111",TH!O2570="1111")),TH!D2570,""),"")</f>
        <v/>
      </c>
      <c r="B2570" s="62" t="str">
        <f t="shared" si="381"/>
        <v/>
      </c>
      <c r="C2570" s="63"/>
      <c r="D2570" s="63"/>
      <c r="E2570" s="63"/>
      <c r="F2570" s="477"/>
      <c r="G2570" s="66"/>
      <c r="H2570" s="66"/>
      <c r="I2570" s="405"/>
      <c r="J2570" s="405"/>
      <c r="K2570" s="398"/>
      <c r="L2570" s="405"/>
      <c r="M2570" s="64"/>
      <c r="N2570" s="65"/>
      <c r="O2570" s="65"/>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row>
    <row r="2571" spans="1:30" ht="15.75" customHeight="1">
      <c r="A2571" s="327" t="str">
        <f>IF(B2571&lt;&gt;"",IF(AND(B2571='IN-TC'!$S$4,OR(TH!N2571="1111",TH!O2571="1111")),TH!D2571,""),"")</f>
        <v/>
      </c>
      <c r="B2571" s="62" t="str">
        <f t="shared" si="381"/>
        <v/>
      </c>
      <c r="C2571" s="142"/>
      <c r="D2571" s="142"/>
      <c r="E2571" s="142"/>
      <c r="F2571" s="477"/>
      <c r="G2571" s="66"/>
      <c r="H2571" s="71"/>
      <c r="I2571" s="409"/>
      <c r="J2571" s="409"/>
      <c r="K2571" s="402"/>
      <c r="L2571" s="409"/>
      <c r="M2571" s="143"/>
      <c r="N2571" s="144"/>
      <c r="O2571" s="65"/>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0" ht="15.75" customHeight="1">
      <c r="A2572" s="327" t="str">
        <f>IF(B2572&lt;&gt;"",IF(AND(B2572='IN-TC'!$S$4,OR(TH!N2572="1111",TH!O2572="1111")),TH!D2572,""),"")</f>
        <v/>
      </c>
      <c r="B2572" s="62" t="str">
        <f t="shared" si="381"/>
        <v/>
      </c>
      <c r="C2572" s="63"/>
      <c r="D2572" s="63"/>
      <c r="E2572" s="63"/>
      <c r="F2572" s="477"/>
      <c r="G2572" s="66"/>
      <c r="H2572" s="71"/>
      <c r="I2572" s="405"/>
      <c r="J2572" s="405"/>
      <c r="K2572" s="398"/>
      <c r="L2572" s="405"/>
      <c r="M2572" s="64"/>
      <c r="N2572" s="65"/>
      <c r="O2572" s="65"/>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0" ht="15.75" customHeight="1">
      <c r="A2573" s="327" t="str">
        <f>IF(B2573&lt;&gt;"",IF(AND(B2573='IN-TC'!$S$4,OR(TH!N2573="1111",TH!O2573="1111")),TH!D2573,""),"")</f>
        <v/>
      </c>
      <c r="B2573" s="62" t="str">
        <f t="shared" si="381"/>
        <v/>
      </c>
      <c r="C2573" s="63"/>
      <c r="D2573" s="63"/>
      <c r="E2573" s="63"/>
      <c r="F2573" s="477"/>
      <c r="G2573" s="66"/>
      <c r="H2573" s="330"/>
      <c r="I2573" s="405"/>
      <c r="J2573" s="405"/>
      <c r="K2573" s="398"/>
      <c r="L2573" s="405"/>
      <c r="M2573" s="64"/>
      <c r="N2573" s="65"/>
      <c r="O2573" s="65"/>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row>
    <row r="2574" spans="1:30" ht="15.75" customHeight="1">
      <c r="A2574" s="327" t="str">
        <f>IF(B2574&lt;&gt;"",IF(AND(B2574='IN-TC'!$S$4,OR(TH!N2574="1111",TH!O2574="1111")),TH!D2574,""),"")</f>
        <v/>
      </c>
      <c r="B2574" s="62" t="str">
        <f t="shared" si="381"/>
        <v/>
      </c>
      <c r="C2574" s="63"/>
      <c r="D2574" s="309"/>
      <c r="E2574" s="309"/>
      <c r="F2574" s="477"/>
      <c r="G2574" s="66"/>
      <c r="H2574" s="311"/>
      <c r="I2574" s="405"/>
      <c r="J2574" s="405"/>
      <c r="K2574" s="398"/>
      <c r="L2574" s="405"/>
      <c r="M2574" s="64"/>
      <c r="N2574" s="312"/>
      <c r="O2574" s="65"/>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row>
    <row r="2575" spans="1:30" ht="15.75" customHeight="1">
      <c r="A2575" s="327" t="str">
        <f>IF(B2575&lt;&gt;"",IF(AND(B2575='IN-TC'!$S$4,OR(TH!N2575="1111",TH!O2575="1111")),TH!D2575,""),"")</f>
        <v/>
      </c>
      <c r="B2575" s="62" t="str">
        <f t="shared" si="381"/>
        <v/>
      </c>
      <c r="C2575" s="63"/>
      <c r="D2575" s="309"/>
      <c r="E2575" s="309"/>
      <c r="F2575" s="477"/>
      <c r="G2575" s="66"/>
      <c r="H2575" s="311"/>
      <c r="I2575" s="405"/>
      <c r="J2575" s="405"/>
      <c r="K2575" s="398"/>
      <c r="L2575" s="405"/>
      <c r="M2575" s="64"/>
      <c r="N2575" s="312"/>
      <c r="O2575" s="65"/>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0" ht="15.75" customHeight="1">
      <c r="A2576" s="327" t="str">
        <f>IF(B2576&lt;&gt;"",IF(AND(B2576='IN-TC'!$S$4,OR(TH!N2576="1111",TH!O2576="1111")),TH!D2576,""),"")</f>
        <v/>
      </c>
      <c r="B2576" s="62" t="str">
        <f t="shared" si="381"/>
        <v/>
      </c>
      <c r="C2576" s="63"/>
      <c r="D2576" s="63"/>
      <c r="E2576" s="63"/>
      <c r="F2576" s="71"/>
      <c r="G2576" s="66"/>
      <c r="H2576" s="71"/>
      <c r="I2576" s="405"/>
      <c r="J2576" s="405"/>
      <c r="K2576" s="398"/>
      <c r="L2576" s="405"/>
      <c r="M2576" s="64"/>
      <c r="N2576" s="65"/>
      <c r="O2576" s="65"/>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row>
    <row r="2577" spans="1:30" ht="15.75" customHeight="1">
      <c r="A2577" s="327" t="str">
        <f>IF(B2577&lt;&gt;"",IF(AND(B2577='IN-TC'!$S$4,OR(TH!N2577="1111",TH!O2577="1111")),TH!D2577,""),"")</f>
        <v/>
      </c>
      <c r="B2577" s="62" t="str">
        <f t="shared" si="381"/>
        <v/>
      </c>
      <c r="C2577" s="63"/>
      <c r="D2577" s="63"/>
      <c r="E2577" s="63"/>
      <c r="F2577" s="477"/>
      <c r="G2577" s="816"/>
      <c r="H2577" s="71"/>
      <c r="I2577" s="405"/>
      <c r="J2577" s="405"/>
      <c r="K2577" s="398"/>
      <c r="L2577" s="405"/>
      <c r="M2577" s="64"/>
      <c r="N2577" s="65"/>
      <c r="O2577" s="65"/>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
      </c>
      <c r="W2577" s="81" t="str">
        <f>IF(AND('341-CT'!$H$9=H2577,OR(LEFT(N2577,3)=$W$7,LEFT(O2577,3)=$W$7)),"x","")</f>
        <v/>
      </c>
      <c r="X2577" s="81" t="str">
        <f>IF(OR(TH!N2577=TH!$X$7,O2577=TH!$X$7),"x","")</f>
        <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row>
    <row r="2578" spans="1:30" ht="15.75" customHeight="1">
      <c r="A2578" s="327" t="str">
        <f>IF(B2578&lt;&gt;"",IF(AND(B2578='IN-TC'!$S$4,OR(TH!N2578="1111",TH!O2578="1111")),TH!D2578,""),"")</f>
        <v/>
      </c>
      <c r="B2578" s="62" t="str">
        <f t="shared" si="381"/>
        <v/>
      </c>
      <c r="C2578" s="63"/>
      <c r="D2578" s="63"/>
      <c r="E2578" s="63"/>
      <c r="F2578" s="477"/>
      <c r="G2578" s="816"/>
      <c r="H2578" s="71"/>
      <c r="I2578" s="405"/>
      <c r="J2578" s="405"/>
      <c r="K2578" s="398"/>
      <c r="L2578" s="405"/>
      <c r="M2578" s="64"/>
      <c r="N2578" s="65"/>
      <c r="O2578" s="65"/>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
      </c>
      <c r="W2578" s="81" t="str">
        <f>IF(AND('341-CT'!$H$9=H2578,OR(LEFT(N2578,3)=$W$7,LEFT(O2578,3)=$W$7)),"x","")</f>
        <v/>
      </c>
      <c r="X2578" s="81" t="str">
        <f>IF(OR(TH!N2578=TH!$X$7,O2578=TH!$X$7),"x","")</f>
        <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row>
    <row r="2579" spans="1:30" ht="15.75" customHeight="1">
      <c r="A2579" s="327" t="str">
        <f>IF(B2579&lt;&gt;"",IF(AND(B2579='IN-TC'!$S$4,OR(TH!N2579="1111",TH!O2579="1111")),TH!D2579,""),"")</f>
        <v/>
      </c>
      <c r="B2579" s="62" t="str">
        <f t="shared" si="381"/>
        <v/>
      </c>
      <c r="C2579" s="63"/>
      <c r="D2579" s="63"/>
      <c r="E2579" s="63"/>
      <c r="F2579" s="477"/>
      <c r="G2579" s="816"/>
      <c r="H2579" s="71"/>
      <c r="I2579" s="405"/>
      <c r="J2579" s="405"/>
      <c r="K2579" s="398"/>
      <c r="L2579" s="405"/>
      <c r="M2579" s="64"/>
      <c r="N2579" s="65"/>
      <c r="O2579" s="65"/>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0" ht="15.75" customHeight="1">
      <c r="A2580" s="327" t="str">
        <f>IF(B2580&lt;&gt;"",IF(AND(B2580='IN-TC'!$S$4,OR(TH!N2580="1111",TH!O2580="1111")),TH!D2580,""),"")</f>
        <v/>
      </c>
      <c r="B2580" s="62" t="str">
        <f t="shared" si="381"/>
        <v/>
      </c>
      <c r="C2580" s="63"/>
      <c r="D2580" s="63"/>
      <c r="E2580" s="63"/>
      <c r="F2580" s="477"/>
      <c r="G2580" s="816"/>
      <c r="H2580" s="71"/>
      <c r="I2580" s="405"/>
      <c r="J2580" s="405"/>
      <c r="K2580" s="398"/>
      <c r="L2580" s="405"/>
      <c r="M2580" s="64"/>
      <c r="N2580" s="65"/>
      <c r="O2580" s="65"/>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0" ht="15.75" customHeight="1">
      <c r="A2581" s="327" t="str">
        <f>IF(B2581&lt;&gt;"",IF(AND(B2581='IN-TC'!$S$4,OR(TH!N2581="1111",TH!O2581="1111")),TH!D2581,""),"")</f>
        <v/>
      </c>
      <c r="B2581" s="62" t="str">
        <f t="shared" si="381"/>
        <v/>
      </c>
      <c r="C2581" s="63"/>
      <c r="D2581" s="63"/>
      <c r="E2581" s="63"/>
      <c r="F2581" s="477"/>
      <c r="G2581" s="66"/>
      <c r="H2581" s="71"/>
      <c r="I2581" s="405"/>
      <c r="J2581" s="405"/>
      <c r="K2581" s="398"/>
      <c r="L2581" s="405"/>
      <c r="M2581" s="64"/>
      <c r="N2581" s="65"/>
      <c r="O2581" s="65"/>
      <c r="P2581" s="81" t="str">
        <f>IF(AND('331-CT'!$E$7=TH!H2581,OR(N2581="331",O2581="331")),"x","")</f>
        <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0" ht="15.75" customHeight="1">
      <c r="A2582" s="327" t="str">
        <f>IF(B2582&lt;&gt;"",IF(AND(B2582='IN-TC'!$S$4,OR(TH!N2582="1111",TH!O2582="1111")),TH!D2582,""),"")</f>
        <v/>
      </c>
      <c r="B2582" s="62" t="str">
        <f t="shared" ref="B2582:B2645" si="382">IF(C2582&lt;&gt;"",MONTH(C2582),"")</f>
        <v/>
      </c>
      <c r="C2582" s="63"/>
      <c r="D2582" s="63"/>
      <c r="E2582" s="63"/>
      <c r="F2582" s="71"/>
      <c r="G2582" s="66"/>
      <c r="H2582" s="71"/>
      <c r="I2582" s="405"/>
      <c r="J2582" s="405"/>
      <c r="K2582" s="398"/>
      <c r="L2582" s="405"/>
      <c r="M2582" s="64"/>
      <c r="N2582" s="65"/>
      <c r="O2582" s="65"/>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0" ht="15.75" customHeight="1">
      <c r="A2583" s="327" t="str">
        <f>IF(B2583&lt;&gt;"",IF(AND(B2583='IN-TC'!$S$4,OR(TH!N2583="1111",TH!O2583="1111")),TH!D2583,""),"")</f>
        <v/>
      </c>
      <c r="B2583" s="62" t="str">
        <f t="shared" si="382"/>
        <v/>
      </c>
      <c r="C2583" s="63"/>
      <c r="D2583" s="63"/>
      <c r="E2583" s="63"/>
      <c r="F2583" s="477"/>
      <c r="G2583" s="66"/>
      <c r="H2583" s="330"/>
      <c r="I2583" s="405"/>
      <c r="J2583" s="405"/>
      <c r="K2583" s="398"/>
      <c r="L2583" s="405"/>
      <c r="M2583" s="64"/>
      <c r="N2583" s="65"/>
      <c r="O2583" s="65"/>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row>
    <row r="2584" spans="1:30" ht="15.75" customHeight="1">
      <c r="A2584" s="327" t="str">
        <f>IF(B2584&lt;&gt;"",IF(AND(B2584='IN-TC'!$S$4,OR(TH!N2584="1111",TH!O2584="1111")),TH!D2584,""),"")</f>
        <v/>
      </c>
      <c r="B2584" s="62" t="str">
        <f t="shared" si="382"/>
        <v/>
      </c>
      <c r="C2584" s="63"/>
      <c r="D2584" s="63"/>
      <c r="E2584" s="63"/>
      <c r="F2584" s="477"/>
      <c r="G2584" s="66"/>
      <c r="H2584" s="71"/>
      <c r="I2584" s="405"/>
      <c r="J2584" s="405"/>
      <c r="K2584" s="398"/>
      <c r="L2584" s="405"/>
      <c r="M2584" s="64"/>
      <c r="N2584" s="65"/>
      <c r="O2584" s="65"/>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
      </c>
      <c r="W2584" s="81" t="str">
        <f>IF(AND('341-CT'!$H$9=H2584,OR(LEFT(N2584,3)=$W$7,LEFT(O2584,3)=$W$7)),"x","")</f>
        <v/>
      </c>
      <c r="X2584" s="81" t="str">
        <f>IF(OR(TH!N2584=TH!$X$7,O2584=TH!$X$7),"x","")</f>
        <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row>
    <row r="2585" spans="1:30" ht="15.75" customHeight="1">
      <c r="A2585" s="327" t="str">
        <f>IF(B2585&lt;&gt;"",IF(AND(B2585='IN-TC'!$S$4,OR(TH!N2585="1111",TH!O2585="1111")),TH!D2585,""),"")</f>
        <v/>
      </c>
      <c r="B2585" s="62" t="str">
        <f t="shared" si="382"/>
        <v/>
      </c>
      <c r="C2585" s="63"/>
      <c r="D2585" s="63"/>
      <c r="E2585" s="63"/>
      <c r="F2585" s="477"/>
      <c r="G2585" s="66"/>
      <c r="H2585" s="71"/>
      <c r="I2585" s="405"/>
      <c r="J2585" s="405"/>
      <c r="K2585" s="398"/>
      <c r="L2585" s="405"/>
      <c r="M2585" s="64"/>
      <c r="N2585" s="65"/>
      <c r="O2585" s="65"/>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0" ht="15.75" customHeight="1">
      <c r="A2586" s="327" t="str">
        <f>IF(B2586&lt;&gt;"",IF(AND(B2586='IN-TC'!$S$4,OR(TH!N2586="1111",TH!O2586="1111")),TH!D2586,""),"")</f>
        <v/>
      </c>
      <c r="B2586" s="62" t="str">
        <f t="shared" si="382"/>
        <v/>
      </c>
      <c r="C2586" s="63"/>
      <c r="D2586" s="63"/>
      <c r="E2586" s="63"/>
      <c r="F2586" s="477"/>
      <c r="G2586" s="66"/>
      <c r="H2586" s="330"/>
      <c r="I2586" s="405"/>
      <c r="J2586" s="405"/>
      <c r="K2586" s="398"/>
      <c r="L2586" s="405"/>
      <c r="M2586" s="64"/>
      <c r="N2586" s="65"/>
      <c r="O2586" s="65"/>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row>
    <row r="2587" spans="1:30" ht="15.75" customHeight="1">
      <c r="A2587" s="327" t="str">
        <f>IF(B2587&lt;&gt;"",IF(AND(B2587='IN-TC'!$S$4,OR(TH!N2587="1111",TH!O2587="1111")),TH!D2587,""),"")</f>
        <v/>
      </c>
      <c r="B2587" s="62" t="str">
        <f t="shared" si="382"/>
        <v/>
      </c>
      <c r="C2587" s="63"/>
      <c r="D2587" s="63"/>
      <c r="E2587" s="63"/>
      <c r="F2587" s="477"/>
      <c r="G2587" s="66"/>
      <c r="H2587" s="71"/>
      <c r="I2587" s="405"/>
      <c r="J2587" s="405"/>
      <c r="K2587" s="398"/>
      <c r="L2587" s="405"/>
      <c r="M2587" s="64"/>
      <c r="N2587" s="65"/>
      <c r="O2587" s="65"/>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
      </c>
      <c r="W2587" s="81" t="str">
        <f>IF(AND('341-CT'!$H$9=H2587,OR(LEFT(N2587,3)=$W$7,LEFT(O2587,3)=$W$7)),"x","")</f>
        <v/>
      </c>
      <c r="X2587" s="81" t="str">
        <f>IF(OR(TH!N2587=TH!$X$7,O2587=TH!$X$7),"x","")</f>
        <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row>
    <row r="2588" spans="1:30" ht="15.75" customHeight="1">
      <c r="A2588" s="327" t="str">
        <f>IF(B2588&lt;&gt;"",IF(AND(B2588='IN-TC'!$S$4,OR(TH!N2588="1111",TH!O2588="1111")),TH!D2588,""),"")</f>
        <v/>
      </c>
      <c r="B2588" s="62" t="str">
        <f t="shared" si="382"/>
        <v/>
      </c>
      <c r="C2588" s="63"/>
      <c r="D2588" s="63"/>
      <c r="E2588" s="63"/>
      <c r="F2588" s="477"/>
      <c r="G2588" s="66"/>
      <c r="H2588" s="71"/>
      <c r="I2588" s="405"/>
      <c r="J2588" s="405"/>
      <c r="K2588" s="398"/>
      <c r="L2588" s="405"/>
      <c r="M2588" s="64"/>
      <c r="N2588" s="65"/>
      <c r="O2588" s="65"/>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row>
    <row r="2589" spans="1:30" ht="15.75" customHeight="1">
      <c r="A2589" s="327" t="str">
        <f>IF(B2589&lt;&gt;"",IF(AND(B2589='IN-TC'!$S$4,OR(TH!N2589="1111",TH!O2589="1111")),TH!D2589,""),"")</f>
        <v/>
      </c>
      <c r="B2589" s="62" t="str">
        <f t="shared" si="382"/>
        <v/>
      </c>
      <c r="C2589" s="63"/>
      <c r="D2589" s="63"/>
      <c r="E2589" s="63"/>
      <c r="F2589" s="477"/>
      <c r="G2589" s="66"/>
      <c r="H2589" s="71"/>
      <c r="I2589" s="405"/>
      <c r="J2589" s="405"/>
      <c r="K2589" s="398"/>
      <c r="L2589" s="405"/>
      <c r="M2589" s="64"/>
      <c r="N2589" s="65"/>
      <c r="O2589" s="65"/>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
      </c>
      <c r="W2589" s="81" t="str">
        <f>IF(AND('341-CT'!$H$9=H2589,OR(LEFT(N2589,3)=$W$7,LEFT(O2589,3)=$W$7)),"x","")</f>
        <v/>
      </c>
      <c r="X2589" s="81" t="str">
        <f>IF(OR(TH!N2589=TH!$X$7,O2589=TH!$X$7),"x","")</f>
        <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row>
    <row r="2590" spans="1:30" ht="15.75" customHeight="1">
      <c r="A2590" s="327" t="str">
        <f>IF(B2590&lt;&gt;"",IF(AND(B2590='IN-TC'!$S$4,OR(TH!N2590="1111",TH!O2590="1111")),TH!D2590,""),"")</f>
        <v/>
      </c>
      <c r="B2590" s="62" t="str">
        <f t="shared" si="382"/>
        <v/>
      </c>
      <c r="C2590" s="63"/>
      <c r="D2590" s="63"/>
      <c r="E2590" s="63"/>
      <c r="F2590" s="477"/>
      <c r="G2590" s="66"/>
      <c r="H2590" s="71"/>
      <c r="I2590" s="405"/>
      <c r="J2590" s="405"/>
      <c r="K2590" s="398"/>
      <c r="L2590" s="405"/>
      <c r="M2590" s="64"/>
      <c r="N2590" s="65"/>
      <c r="O2590" s="65"/>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row>
    <row r="2591" spans="1:30" ht="15.75" customHeight="1">
      <c r="A2591" s="327" t="str">
        <f>IF(B2591&lt;&gt;"",IF(AND(B2591='IN-TC'!$S$4,OR(TH!N2591="1111",TH!O2591="1111")),TH!D2591,""),"")</f>
        <v/>
      </c>
      <c r="B2591" s="62" t="str">
        <f t="shared" si="382"/>
        <v/>
      </c>
      <c r="C2591" s="63"/>
      <c r="D2591" s="63"/>
      <c r="E2591" s="63"/>
      <c r="F2591" s="477"/>
      <c r="G2591" s="66"/>
      <c r="H2591" s="71"/>
      <c r="I2591" s="405"/>
      <c r="J2591" s="405"/>
      <c r="K2591" s="398"/>
      <c r="L2591" s="405"/>
      <c r="M2591" s="64"/>
      <c r="N2591" s="65"/>
      <c r="O2591" s="65"/>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
      </c>
      <c r="W2591" s="81" t="str">
        <f>IF(AND('341-CT'!$H$9=H2591,OR(LEFT(N2591,3)=$W$7,LEFT(O2591,3)=$W$7)),"x","")</f>
        <v/>
      </c>
      <c r="X2591" s="81" t="str">
        <f>IF(OR(TH!N2591=TH!$X$7,O2591=TH!$X$7),"x","")</f>
        <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row>
    <row r="2592" spans="1:30" ht="15.75" customHeight="1">
      <c r="A2592" s="327" t="str">
        <f>IF(B2592&lt;&gt;"",IF(AND(B2592='IN-TC'!$S$4,OR(TH!N2592="1111",TH!O2592="1111")),TH!D2592,""),"")</f>
        <v/>
      </c>
      <c r="B2592" s="62" t="str">
        <f t="shared" si="382"/>
        <v/>
      </c>
      <c r="C2592" s="63"/>
      <c r="D2592" s="63"/>
      <c r="E2592" s="63"/>
      <c r="F2592" s="477"/>
      <c r="G2592" s="66"/>
      <c r="H2592" s="71"/>
      <c r="I2592" s="405"/>
      <c r="J2592" s="405"/>
      <c r="K2592" s="398"/>
      <c r="L2592" s="405"/>
      <c r="M2592" s="64"/>
      <c r="N2592" s="65"/>
      <c r="O2592" s="65"/>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0" ht="15.75" customHeight="1">
      <c r="A2593" s="327" t="str">
        <f>IF(B2593&lt;&gt;"",IF(AND(B2593='IN-TC'!$S$4,OR(TH!N2593="1111",TH!O2593="1111")),TH!D2593,""),"")</f>
        <v/>
      </c>
      <c r="B2593" s="62" t="str">
        <f t="shared" si="382"/>
        <v/>
      </c>
      <c r="C2593" s="63"/>
      <c r="D2593" s="63"/>
      <c r="E2593" s="63"/>
      <c r="F2593" s="477"/>
      <c r="G2593" s="66"/>
      <c r="H2593" s="71"/>
      <c r="I2593" s="405"/>
      <c r="J2593" s="405"/>
      <c r="K2593" s="398"/>
      <c r="L2593" s="405"/>
      <c r="M2593" s="64"/>
      <c r="N2593" s="65"/>
      <c r="O2593" s="65"/>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0" ht="15.75" customHeight="1">
      <c r="A2594" s="327" t="str">
        <f>IF(B2594&lt;&gt;"",IF(AND(B2594='IN-TC'!$S$4,OR(TH!N2594="1111",TH!O2594="1111")),TH!D2594,""),"")</f>
        <v/>
      </c>
      <c r="B2594" s="62" t="str">
        <f t="shared" si="382"/>
        <v/>
      </c>
      <c r="C2594" s="142"/>
      <c r="D2594" s="63"/>
      <c r="E2594" s="142"/>
      <c r="F2594" s="477"/>
      <c r="G2594" s="66"/>
      <c r="H2594" s="71"/>
      <c r="I2594" s="409"/>
      <c r="J2594" s="409"/>
      <c r="K2594" s="402"/>
      <c r="L2594" s="409"/>
      <c r="M2594" s="143"/>
      <c r="N2594" s="144"/>
      <c r="O2594" s="65"/>
      <c r="P2594" s="81" t="str">
        <f>IF(AND('331-CT'!$E$7=TH!H2594,OR(N2594="331",O2594="331")),"x","")</f>
        <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0" ht="15.75" customHeight="1">
      <c r="A2595" s="327" t="str">
        <f>IF(B2595&lt;&gt;"",IF(AND(B2595='IN-TC'!$S$4,OR(TH!N2595="1111",TH!O2595="1111")),TH!D2595,""),"")</f>
        <v/>
      </c>
      <c r="B2595" s="62" t="str">
        <f t="shared" si="382"/>
        <v/>
      </c>
      <c r="C2595" s="63"/>
      <c r="D2595" s="63"/>
      <c r="E2595" s="63"/>
      <c r="F2595" s="477"/>
      <c r="G2595" s="66"/>
      <c r="H2595" s="72"/>
      <c r="I2595" s="405"/>
      <c r="J2595" s="405"/>
      <c r="K2595" s="398"/>
      <c r="L2595" s="405"/>
      <c r="M2595" s="64"/>
      <c r="N2595" s="65"/>
      <c r="O2595" s="65"/>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0" ht="15.75" customHeight="1">
      <c r="A2596" s="327" t="str">
        <f>IF(B2596&lt;&gt;"",IF(AND(B2596='IN-TC'!$S$4,OR(TH!N2596="1111",TH!O2596="1111")),TH!D2596,""),"")</f>
        <v/>
      </c>
      <c r="B2596" s="62" t="str">
        <f t="shared" si="382"/>
        <v/>
      </c>
      <c r="C2596" s="63"/>
      <c r="D2596" s="63"/>
      <c r="E2596" s="63"/>
      <c r="F2596" s="477"/>
      <c r="G2596" s="816"/>
      <c r="H2596" s="71"/>
      <c r="I2596" s="405"/>
      <c r="J2596" s="405"/>
      <c r="K2596" s="398"/>
      <c r="L2596" s="405"/>
      <c r="M2596" s="64"/>
      <c r="N2596" s="65"/>
      <c r="O2596" s="65"/>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row>
    <row r="2597" spans="1:30" ht="15.75" customHeight="1">
      <c r="A2597" s="327" t="str">
        <f>IF(B2597&lt;&gt;"",IF(AND(B2597='IN-TC'!$S$4,OR(TH!N2597="1111",TH!O2597="1111")),TH!D2597,""),"")</f>
        <v/>
      </c>
      <c r="B2597" s="62" t="str">
        <f t="shared" si="382"/>
        <v/>
      </c>
      <c r="C2597" s="63"/>
      <c r="D2597" s="63"/>
      <c r="E2597" s="63"/>
      <c r="F2597" s="477"/>
      <c r="G2597" s="816"/>
      <c r="H2597" s="71"/>
      <c r="I2597" s="405"/>
      <c r="J2597" s="405"/>
      <c r="K2597" s="398"/>
      <c r="L2597" s="405"/>
      <c r="M2597" s="64"/>
      <c r="N2597" s="65"/>
      <c r="O2597" s="65"/>
      <c r="P2597" s="81" t="str">
        <f>IF(AND('331-CT'!$E$7=TH!H2597,OR(N2597="331",O2597="331")),"x","")</f>
        <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
      </c>
      <c r="W2597" s="81" t="str">
        <f>IF(AND('341-CT'!$H$9=H2597,OR(LEFT(N2597,3)=$W$7,LEFT(O2597,3)=$W$7)),"x","")</f>
        <v/>
      </c>
      <c r="X2597" s="81" t="str">
        <f>IF(OR(TH!N2597=TH!$X$7,O2597=TH!$X$7),"x","")</f>
        <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row>
    <row r="2598" spans="1:30" ht="15.75" customHeight="1">
      <c r="A2598" s="327" t="str">
        <f>IF(B2598&lt;&gt;"",IF(AND(B2598='IN-TC'!$S$4,OR(TH!N2598="1111",TH!O2598="1111")),TH!D2598,""),"")</f>
        <v/>
      </c>
      <c r="B2598" s="62" t="str">
        <f t="shared" si="382"/>
        <v/>
      </c>
      <c r="C2598" s="142"/>
      <c r="D2598" s="63"/>
      <c r="E2598" s="142"/>
      <c r="F2598" s="477"/>
      <c r="G2598" s="66"/>
      <c r="H2598" s="72"/>
      <c r="I2598" s="409"/>
      <c r="J2598" s="409"/>
      <c r="K2598" s="402"/>
      <c r="L2598" s="409"/>
      <c r="M2598" s="143"/>
      <c r="N2598" s="144"/>
      <c r="O2598" s="65"/>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0" ht="15.75" customHeight="1">
      <c r="A2599" s="327" t="str">
        <f>IF(B2599&lt;&gt;"",IF(AND(B2599='IN-TC'!$S$4,OR(TH!N2599="1111",TH!O2599="1111")),TH!D2599,""),"")</f>
        <v/>
      </c>
      <c r="B2599" s="62" t="str">
        <f t="shared" si="382"/>
        <v/>
      </c>
      <c r="C2599" s="63"/>
      <c r="D2599" s="63"/>
      <c r="E2599" s="63"/>
      <c r="F2599" s="477"/>
      <c r="G2599" s="66"/>
      <c r="H2599" s="71"/>
      <c r="I2599" s="405"/>
      <c r="J2599" s="405"/>
      <c r="K2599" s="398"/>
      <c r="L2599" s="405"/>
      <c r="M2599" s="64"/>
      <c r="N2599" s="65"/>
      <c r="O2599" s="65"/>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row>
    <row r="2600" spans="1:30" ht="15.75" customHeight="1">
      <c r="A2600" s="327" t="str">
        <f>IF(B2600&lt;&gt;"",IF(AND(B2600='IN-TC'!$S$4,OR(TH!N2600="1111",TH!O2600="1111")),TH!D2600,""),"")</f>
        <v/>
      </c>
      <c r="B2600" s="62" t="str">
        <f t="shared" si="382"/>
        <v/>
      </c>
      <c r="C2600" s="63"/>
      <c r="D2600" s="63"/>
      <c r="E2600" s="63"/>
      <c r="F2600" s="477"/>
      <c r="G2600" s="66"/>
      <c r="H2600" s="71"/>
      <c r="I2600" s="405"/>
      <c r="J2600" s="405"/>
      <c r="K2600" s="398"/>
      <c r="L2600" s="405"/>
      <c r="M2600" s="64"/>
      <c r="N2600" s="65"/>
      <c r="O2600" s="65"/>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
      </c>
      <c r="W2600" s="81" t="str">
        <f>IF(AND('341-CT'!$H$9=H2600,OR(LEFT(N2600,3)=$W$7,LEFT(O2600,3)=$W$7)),"x","")</f>
        <v/>
      </c>
      <c r="X2600" s="81" t="str">
        <f>IF(OR(TH!N2600=TH!$X$7,O2600=TH!$X$7),"x","")</f>
        <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row>
    <row r="2601" spans="1:30" ht="15.75" customHeight="1">
      <c r="A2601" s="327" t="str">
        <f>IF(B2601&lt;&gt;"",IF(AND(B2601='IN-TC'!$S$4,OR(TH!N2601="1111",TH!O2601="1111")),TH!D2601,""),"")</f>
        <v/>
      </c>
      <c r="B2601" s="62" t="str">
        <f t="shared" si="382"/>
        <v/>
      </c>
      <c r="C2601" s="63"/>
      <c r="D2601" s="63"/>
      <c r="E2601" s="63"/>
      <c r="F2601" s="477"/>
      <c r="G2601" s="66"/>
      <c r="H2601" s="71"/>
      <c r="I2601" s="405"/>
      <c r="J2601" s="405"/>
      <c r="K2601" s="398"/>
      <c r="L2601" s="405"/>
      <c r="M2601" s="64"/>
      <c r="N2601" s="65"/>
      <c r="O2601" s="65"/>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row>
    <row r="2602" spans="1:30" ht="15.75" customHeight="1">
      <c r="A2602" s="327" t="str">
        <f>IF(B2602&lt;&gt;"",IF(AND(B2602='IN-TC'!$S$4,OR(TH!N2602="1111",TH!O2602="1111")),TH!D2602,""),"")</f>
        <v/>
      </c>
      <c r="B2602" s="62" t="str">
        <f t="shared" si="382"/>
        <v/>
      </c>
      <c r="C2602" s="63"/>
      <c r="D2602" s="63"/>
      <c r="E2602" s="63"/>
      <c r="F2602" s="477"/>
      <c r="G2602" s="66"/>
      <c r="H2602" s="71"/>
      <c r="I2602" s="405"/>
      <c r="J2602" s="405"/>
      <c r="K2602" s="398"/>
      <c r="L2602" s="405"/>
      <c r="M2602" s="64"/>
      <c r="N2602" s="65"/>
      <c r="O2602" s="65"/>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
      </c>
      <c r="W2602" s="81" t="str">
        <f>IF(AND('341-CT'!$H$9=H2602,OR(LEFT(N2602,3)=$W$7,LEFT(O2602,3)=$W$7)),"x","")</f>
        <v/>
      </c>
      <c r="X2602" s="81" t="str">
        <f>IF(OR(TH!N2602=TH!$X$7,O2602=TH!$X$7),"x","")</f>
        <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row>
    <row r="2603" spans="1:30" ht="15.75" customHeight="1">
      <c r="A2603" s="327" t="str">
        <f>IF(B2603&lt;&gt;"",IF(AND(B2603='IN-TC'!$S$4,OR(TH!N2603="1111",TH!O2603="1111")),TH!D2603,""),"")</f>
        <v/>
      </c>
      <c r="B2603" s="62" t="str">
        <f t="shared" si="382"/>
        <v/>
      </c>
      <c r="C2603" s="63"/>
      <c r="D2603" s="63"/>
      <c r="E2603" s="63"/>
      <c r="F2603" s="477"/>
      <c r="G2603" s="66"/>
      <c r="H2603" s="71"/>
      <c r="I2603" s="405"/>
      <c r="J2603" s="405"/>
      <c r="K2603" s="398"/>
      <c r="L2603" s="405"/>
      <c r="M2603" s="64"/>
      <c r="N2603" s="65"/>
      <c r="O2603" s="65"/>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row>
    <row r="2604" spans="1:30" ht="15.75" customHeight="1">
      <c r="A2604" s="327" t="str">
        <f>IF(B2604&lt;&gt;"",IF(AND(B2604='IN-TC'!$S$4,OR(TH!N2604="1111",TH!O2604="1111")),TH!D2604,""),"")</f>
        <v/>
      </c>
      <c r="B2604" s="62" t="str">
        <f t="shared" si="382"/>
        <v/>
      </c>
      <c r="C2604" s="63"/>
      <c r="D2604" s="63"/>
      <c r="E2604" s="63"/>
      <c r="F2604" s="477"/>
      <c r="G2604" s="66"/>
      <c r="H2604" s="71"/>
      <c r="I2604" s="405"/>
      <c r="J2604" s="405"/>
      <c r="K2604" s="398"/>
      <c r="L2604" s="405"/>
      <c r="M2604" s="64"/>
      <c r="N2604" s="65"/>
      <c r="O2604" s="65"/>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row>
    <row r="2605" spans="1:30" ht="15.75" customHeight="1">
      <c r="A2605" s="327" t="str">
        <f>IF(B2605&lt;&gt;"",IF(AND(B2605='IN-TC'!$S$4,OR(TH!N2605="1111",TH!O2605="1111")),TH!D2605,""),"")</f>
        <v/>
      </c>
      <c r="B2605" s="62" t="str">
        <f t="shared" si="382"/>
        <v/>
      </c>
      <c r="C2605" s="63"/>
      <c r="D2605" s="63"/>
      <c r="E2605" s="63"/>
      <c r="F2605" s="477"/>
      <c r="G2605" s="66"/>
      <c r="H2605" s="71"/>
      <c r="I2605" s="405"/>
      <c r="J2605" s="405"/>
      <c r="K2605" s="398"/>
      <c r="L2605" s="405"/>
      <c r="M2605" s="64"/>
      <c r="N2605" s="65"/>
      <c r="O2605" s="65"/>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0" ht="15.75" customHeight="1">
      <c r="A2606" s="327" t="str">
        <f>IF(B2606&lt;&gt;"",IF(AND(B2606='IN-TC'!$S$4,OR(TH!N2606="1111",TH!O2606="1111")),TH!D2606,""),"")</f>
        <v/>
      </c>
      <c r="B2606" s="62" t="str">
        <f t="shared" si="382"/>
        <v/>
      </c>
      <c r="C2606" s="63"/>
      <c r="D2606" s="63"/>
      <c r="E2606" s="63"/>
      <c r="F2606" s="477"/>
      <c r="G2606" s="66"/>
      <c r="H2606" s="330"/>
      <c r="I2606" s="407"/>
      <c r="J2606" s="407"/>
      <c r="K2606" s="400"/>
      <c r="L2606" s="407"/>
      <c r="M2606" s="64"/>
      <c r="N2606" s="65"/>
      <c r="O2606" s="65"/>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0" ht="15.75" customHeight="1">
      <c r="A2607" s="327" t="str">
        <f>IF(B2607&lt;&gt;"",IF(AND(B2607='IN-TC'!$S$4,OR(TH!N2607="1111",TH!O2607="1111")),TH!D2607,""),"")</f>
        <v/>
      </c>
      <c r="B2607" s="62" t="str">
        <f t="shared" si="382"/>
        <v/>
      </c>
      <c r="C2607" s="63"/>
      <c r="D2607" s="63"/>
      <c r="E2607" s="63"/>
      <c r="F2607" s="477"/>
      <c r="G2607" s="66"/>
      <c r="H2607" s="71"/>
      <c r="I2607" s="405"/>
      <c r="J2607" s="405"/>
      <c r="K2607" s="398"/>
      <c r="L2607" s="405"/>
      <c r="M2607" s="64"/>
      <c r="N2607" s="65"/>
      <c r="O2607" s="65"/>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0" ht="15.75" customHeight="1">
      <c r="A2608" s="327" t="str">
        <f>IF(B2608&lt;&gt;"",IF(AND(B2608='IN-TC'!$S$4,OR(TH!N2608="1111",TH!O2608="1111")),TH!D2608,""),"")</f>
        <v/>
      </c>
      <c r="B2608" s="62" t="str">
        <f t="shared" si="382"/>
        <v/>
      </c>
      <c r="C2608" s="142"/>
      <c r="D2608" s="63"/>
      <c r="E2608" s="142"/>
      <c r="F2608" s="477"/>
      <c r="G2608" s="66"/>
      <c r="H2608" s="71"/>
      <c r="I2608" s="405"/>
      <c r="J2608" s="405"/>
      <c r="K2608" s="398"/>
      <c r="L2608" s="405"/>
      <c r="M2608" s="143"/>
      <c r="N2608" s="65"/>
      <c r="O2608" s="65"/>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0" ht="15.75" customHeight="1">
      <c r="A2609" s="327" t="str">
        <f>IF(B2609&lt;&gt;"",IF(AND(B2609='IN-TC'!$S$4,OR(TH!N2609="1111",TH!O2609="1111")),TH!D2609,""),"")</f>
        <v/>
      </c>
      <c r="B2609" s="62" t="str">
        <f t="shared" si="382"/>
        <v/>
      </c>
      <c r="C2609" s="63"/>
      <c r="D2609" s="63"/>
      <c r="E2609" s="63"/>
      <c r="F2609" s="477"/>
      <c r="G2609" s="66"/>
      <c r="H2609" s="330"/>
      <c r="I2609" s="407"/>
      <c r="J2609" s="407"/>
      <c r="K2609" s="400"/>
      <c r="L2609" s="407"/>
      <c r="M2609" s="64"/>
      <c r="N2609" s="65"/>
      <c r="O2609" s="65"/>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row>
    <row r="2610" spans="1:30" ht="15.75" customHeight="1">
      <c r="A2610" s="327" t="str">
        <f>IF(B2610&lt;&gt;"",IF(AND(B2610='IN-TC'!$S$4,OR(TH!N2610="1111",TH!O2610="1111")),TH!D2610,""),"")</f>
        <v/>
      </c>
      <c r="B2610" s="62" t="str">
        <f t="shared" si="382"/>
        <v/>
      </c>
      <c r="C2610" s="63"/>
      <c r="D2610" s="63"/>
      <c r="E2610" s="63"/>
      <c r="F2610" s="477"/>
      <c r="G2610" s="66"/>
      <c r="H2610" s="330"/>
      <c r="I2610" s="407"/>
      <c r="J2610" s="407"/>
      <c r="K2610" s="400"/>
      <c r="L2610" s="407"/>
      <c r="M2610" s="64"/>
      <c r="N2610" s="65"/>
      <c r="O2610" s="65"/>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row>
    <row r="2611" spans="1:30" ht="15.75" customHeight="1">
      <c r="A2611" s="327" t="str">
        <f>IF(B2611&lt;&gt;"",IF(AND(B2611='IN-TC'!$S$4,OR(TH!N2611="1111",TH!O2611="1111")),TH!D2611,""),"")</f>
        <v/>
      </c>
      <c r="B2611" s="62" t="str">
        <f t="shared" si="382"/>
        <v/>
      </c>
      <c r="C2611" s="63"/>
      <c r="D2611" s="63"/>
      <c r="E2611" s="63"/>
      <c r="F2611" s="477"/>
      <c r="G2611" s="66"/>
      <c r="H2611" s="71"/>
      <c r="I2611" s="405"/>
      <c r="J2611" s="405"/>
      <c r="K2611" s="398"/>
      <c r="L2611" s="405"/>
      <c r="M2611" s="64"/>
      <c r="N2611" s="65"/>
      <c r="O2611" s="65"/>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row>
    <row r="2612" spans="1:30" ht="15.75" customHeight="1">
      <c r="A2612" s="327" t="str">
        <f>IF(B2612&lt;&gt;"",IF(AND(B2612='IN-TC'!$S$4,OR(TH!N2612="1111",TH!O2612="1111")),TH!D2612,""),"")</f>
        <v/>
      </c>
      <c r="B2612" s="62" t="str">
        <f t="shared" si="382"/>
        <v/>
      </c>
      <c r="C2612" s="63"/>
      <c r="D2612" s="63"/>
      <c r="E2612" s="63"/>
      <c r="F2612" s="477"/>
      <c r="G2612" s="66"/>
      <c r="H2612" s="71"/>
      <c r="I2612" s="405"/>
      <c r="J2612" s="405"/>
      <c r="K2612" s="398"/>
      <c r="L2612" s="405"/>
      <c r="M2612" s="64"/>
      <c r="N2612" s="65"/>
      <c r="O2612" s="65"/>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row>
    <row r="2613" spans="1:30" ht="15.75" customHeight="1">
      <c r="A2613" s="327" t="str">
        <f>IF(B2613&lt;&gt;"",IF(AND(B2613='IN-TC'!$S$4,OR(TH!N2613="1111",TH!O2613="1111")),TH!D2613,""),"")</f>
        <v/>
      </c>
      <c r="B2613" s="62" t="str">
        <f t="shared" si="382"/>
        <v/>
      </c>
      <c r="C2613" s="63"/>
      <c r="D2613" s="63"/>
      <c r="E2613" s="63"/>
      <c r="F2613" s="477"/>
      <c r="G2613" s="66"/>
      <c r="H2613" s="71"/>
      <c r="I2613" s="405"/>
      <c r="J2613" s="405"/>
      <c r="K2613" s="398"/>
      <c r="L2613" s="405"/>
      <c r="M2613" s="64"/>
      <c r="N2613" s="65"/>
      <c r="O2613" s="65"/>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row>
    <row r="2614" spans="1:30" ht="15.75" customHeight="1">
      <c r="A2614" s="327" t="str">
        <f>IF(B2614&lt;&gt;"",IF(AND(B2614='IN-TC'!$S$4,OR(TH!N2614="1111",TH!O2614="1111")),TH!D2614,""),"")</f>
        <v/>
      </c>
      <c r="B2614" s="62" t="str">
        <f t="shared" si="382"/>
        <v/>
      </c>
      <c r="C2614" s="63"/>
      <c r="D2614" s="63"/>
      <c r="E2614" s="63"/>
      <c r="F2614" s="477"/>
      <c r="G2614" s="66"/>
      <c r="H2614" s="71"/>
      <c r="I2614" s="405"/>
      <c r="J2614" s="405"/>
      <c r="K2614" s="398"/>
      <c r="L2614" s="405"/>
      <c r="M2614" s="64"/>
      <c r="N2614" s="65"/>
      <c r="O2614" s="65"/>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row>
    <row r="2615" spans="1:30" ht="15.75" customHeight="1">
      <c r="A2615" s="327" t="str">
        <f>IF(B2615&lt;&gt;"",IF(AND(B2615='IN-TC'!$S$4,OR(TH!N2615="1111",TH!O2615="1111")),TH!D2615,""),"")</f>
        <v/>
      </c>
      <c r="B2615" s="62" t="str">
        <f t="shared" si="382"/>
        <v/>
      </c>
      <c r="C2615" s="63"/>
      <c r="D2615" s="63"/>
      <c r="E2615" s="63"/>
      <c r="F2615" s="477"/>
      <c r="G2615" s="66"/>
      <c r="H2615" s="71"/>
      <c r="I2615" s="405"/>
      <c r="J2615" s="405"/>
      <c r="K2615" s="398"/>
      <c r="L2615" s="405"/>
      <c r="M2615" s="64"/>
      <c r="N2615" s="65"/>
      <c r="O2615" s="65"/>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row>
    <row r="2616" spans="1:30" ht="15.75" customHeight="1">
      <c r="A2616" s="327" t="str">
        <f>IF(B2616&lt;&gt;"",IF(AND(B2616='IN-TC'!$S$4,OR(TH!N2616="1111",TH!O2616="1111")),TH!D2616,""),"")</f>
        <v/>
      </c>
      <c r="B2616" s="62" t="str">
        <f t="shared" si="382"/>
        <v/>
      </c>
      <c r="C2616" s="63"/>
      <c r="D2616" s="63"/>
      <c r="E2616" s="63"/>
      <c r="F2616" s="477"/>
      <c r="G2616" s="66"/>
      <c r="H2616" s="71"/>
      <c r="I2616" s="405"/>
      <c r="J2616" s="405"/>
      <c r="K2616" s="398"/>
      <c r="L2616" s="405"/>
      <c r="M2616" s="64"/>
      <c r="N2616" s="65"/>
      <c r="O2616" s="65"/>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row>
    <row r="2617" spans="1:30" ht="15.75" customHeight="1">
      <c r="A2617" s="327" t="str">
        <f>IF(B2617&lt;&gt;"",IF(AND(B2617='IN-TC'!$S$4,OR(TH!N2617="1111",TH!O2617="1111")),TH!D2617,""),"")</f>
        <v/>
      </c>
      <c r="B2617" s="62" t="str">
        <f t="shared" si="382"/>
        <v/>
      </c>
      <c r="C2617" s="63"/>
      <c r="D2617" s="63"/>
      <c r="E2617" s="63"/>
      <c r="F2617" s="477"/>
      <c r="G2617" s="66"/>
      <c r="H2617" s="71"/>
      <c r="I2617" s="405"/>
      <c r="J2617" s="405"/>
      <c r="K2617" s="398"/>
      <c r="L2617" s="405"/>
      <c r="M2617" s="64"/>
      <c r="N2617" s="65"/>
      <c r="O2617" s="65"/>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row>
    <row r="2618" spans="1:30" ht="15.75" customHeight="1">
      <c r="A2618" s="327" t="str">
        <f>IF(B2618&lt;&gt;"",IF(AND(B2618='IN-TC'!$S$4,OR(TH!N2618="1111",TH!O2618="1111")),TH!D2618,""),"")</f>
        <v/>
      </c>
      <c r="B2618" s="62" t="str">
        <f t="shared" si="382"/>
        <v/>
      </c>
      <c r="C2618" s="63"/>
      <c r="D2618" s="63"/>
      <c r="E2618" s="63"/>
      <c r="F2618" s="477"/>
      <c r="G2618" s="66"/>
      <c r="H2618" s="71"/>
      <c r="I2618" s="405"/>
      <c r="J2618" s="405"/>
      <c r="K2618" s="398"/>
      <c r="L2618" s="405"/>
      <c r="M2618" s="64"/>
      <c r="N2618" s="65"/>
      <c r="O2618" s="65"/>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0" ht="15.75" customHeight="1">
      <c r="A2619" s="327" t="str">
        <f>IF(B2619&lt;&gt;"",IF(AND(B2619='IN-TC'!$S$4,OR(TH!N2619="1111",TH!O2619="1111")),TH!D2619,""),"")</f>
        <v/>
      </c>
      <c r="B2619" s="62" t="str">
        <f t="shared" si="382"/>
        <v/>
      </c>
      <c r="C2619" s="63"/>
      <c r="D2619" s="63"/>
      <c r="E2619" s="63"/>
      <c r="F2619" s="477"/>
      <c r="G2619" s="66"/>
      <c r="H2619" s="71"/>
      <c r="I2619" s="405"/>
      <c r="J2619" s="405"/>
      <c r="K2619" s="398"/>
      <c r="L2619" s="405"/>
      <c r="M2619" s="64"/>
      <c r="N2619" s="65"/>
      <c r="O2619" s="65"/>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row>
    <row r="2620" spans="1:30" ht="15.75" customHeight="1">
      <c r="A2620" s="327" t="str">
        <f>IF(B2620&lt;&gt;"",IF(AND(B2620='IN-TC'!$S$4,OR(TH!N2620="1111",TH!O2620="1111")),TH!D2620,""),"")</f>
        <v/>
      </c>
      <c r="B2620" s="62" t="str">
        <f t="shared" si="382"/>
        <v/>
      </c>
      <c r="C2620" s="63"/>
      <c r="D2620" s="63"/>
      <c r="E2620" s="63"/>
      <c r="F2620" s="477"/>
      <c r="G2620" s="66"/>
      <c r="H2620" s="71"/>
      <c r="I2620" s="405"/>
      <c r="J2620" s="405"/>
      <c r="K2620" s="398"/>
      <c r="L2620" s="405"/>
      <c r="M2620" s="64"/>
      <c r="N2620" s="65"/>
      <c r="O2620" s="65"/>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row>
    <row r="2621" spans="1:30" ht="15.75" customHeight="1">
      <c r="A2621" s="327" t="str">
        <f>IF(B2621&lt;&gt;"",IF(AND(B2621='IN-TC'!$S$4,OR(TH!N2621="1111",TH!O2621="1111")),TH!D2621,""),"")</f>
        <v/>
      </c>
      <c r="B2621" s="62" t="str">
        <f t="shared" si="382"/>
        <v/>
      </c>
      <c r="C2621" s="63"/>
      <c r="D2621" s="63"/>
      <c r="E2621" s="63"/>
      <c r="F2621" s="477"/>
      <c r="G2621" s="66"/>
      <c r="H2621" s="71"/>
      <c r="I2621" s="405"/>
      <c r="J2621" s="405"/>
      <c r="K2621" s="398"/>
      <c r="L2621" s="405"/>
      <c r="M2621" s="64"/>
      <c r="N2621" s="65"/>
      <c r="O2621" s="65"/>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0" ht="15.75" customHeight="1">
      <c r="A2622" s="327" t="str">
        <f>IF(B2622&lt;&gt;"",IF(AND(B2622='IN-TC'!$S$4,OR(TH!N2622="1111",TH!O2622="1111")),TH!D2622,""),"")</f>
        <v/>
      </c>
      <c r="B2622" s="62" t="str">
        <f t="shared" si="382"/>
        <v/>
      </c>
      <c r="C2622" s="63"/>
      <c r="D2622" s="63"/>
      <c r="E2622" s="63"/>
      <c r="F2622" s="477"/>
      <c r="G2622" s="66"/>
      <c r="H2622" s="71"/>
      <c r="I2622" s="405"/>
      <c r="J2622" s="405"/>
      <c r="K2622" s="398"/>
      <c r="L2622" s="405"/>
      <c r="M2622" s="64"/>
      <c r="N2622" s="65"/>
      <c r="O2622" s="65"/>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row>
    <row r="2623" spans="1:30" ht="15.75" customHeight="1">
      <c r="A2623" s="327" t="str">
        <f>IF(B2623&lt;&gt;"",IF(AND(B2623='IN-TC'!$S$4,OR(TH!N2623="1111",TH!O2623="1111")),TH!D2623,""),"")</f>
        <v/>
      </c>
      <c r="B2623" s="62" t="str">
        <f t="shared" si="382"/>
        <v/>
      </c>
      <c r="C2623" s="63"/>
      <c r="D2623" s="63"/>
      <c r="E2623" s="63"/>
      <c r="F2623" s="477"/>
      <c r="G2623" s="66"/>
      <c r="H2623" s="71"/>
      <c r="I2623" s="405"/>
      <c r="J2623" s="405"/>
      <c r="K2623" s="398"/>
      <c r="L2623" s="405"/>
      <c r="M2623" s="64"/>
      <c r="N2623" s="65"/>
      <c r="O2623" s="65"/>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row>
    <row r="2624" spans="1:30" ht="15.75" customHeight="1">
      <c r="A2624" s="327" t="str">
        <f>IF(B2624&lt;&gt;"",IF(AND(B2624='IN-TC'!$S$4,OR(TH!N2624="1111",TH!O2624="1111")),TH!D2624,""),"")</f>
        <v/>
      </c>
      <c r="B2624" s="62" t="str">
        <f t="shared" si="382"/>
        <v/>
      </c>
      <c r="C2624" s="63"/>
      <c r="D2624" s="63"/>
      <c r="E2624" s="63"/>
      <c r="F2624" s="477"/>
      <c r="G2624" s="66"/>
      <c r="H2624" s="71"/>
      <c r="I2624" s="405"/>
      <c r="J2624" s="405"/>
      <c r="K2624" s="398"/>
      <c r="L2624" s="405"/>
      <c r="M2624" s="64"/>
      <c r="N2624" s="65"/>
      <c r="O2624" s="65"/>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row>
    <row r="2625" spans="1:30" ht="15.75" customHeight="1">
      <c r="A2625" s="327" t="str">
        <f>IF(B2625&lt;&gt;"",IF(AND(B2625='IN-TC'!$S$4,OR(TH!N2625="1111",TH!O2625="1111")),TH!D2625,""),"")</f>
        <v/>
      </c>
      <c r="B2625" s="62" t="str">
        <f t="shared" si="382"/>
        <v/>
      </c>
      <c r="C2625" s="63"/>
      <c r="D2625" s="63"/>
      <c r="E2625" s="63"/>
      <c r="F2625" s="477"/>
      <c r="G2625" s="66"/>
      <c r="H2625" s="71"/>
      <c r="I2625" s="405"/>
      <c r="J2625" s="405"/>
      <c r="K2625" s="398"/>
      <c r="L2625" s="405"/>
      <c r="M2625" s="64"/>
      <c r="N2625" s="65"/>
      <c r="O2625" s="65"/>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row>
    <row r="2626" spans="1:30" ht="15.75" customHeight="1">
      <c r="A2626" s="327" t="str">
        <f>IF(B2626&lt;&gt;"",IF(AND(B2626='IN-TC'!$S$4,OR(TH!N2626="1111",TH!O2626="1111")),TH!D2626,""),"")</f>
        <v/>
      </c>
      <c r="B2626" s="62" t="str">
        <f t="shared" si="382"/>
        <v/>
      </c>
      <c r="C2626" s="63"/>
      <c r="D2626" s="63"/>
      <c r="E2626" s="63"/>
      <c r="F2626" s="477"/>
      <c r="G2626" s="66"/>
      <c r="H2626" s="71"/>
      <c r="I2626" s="405"/>
      <c r="J2626" s="405"/>
      <c r="K2626" s="398"/>
      <c r="L2626" s="405"/>
      <c r="M2626" s="64"/>
      <c r="N2626" s="65"/>
      <c r="O2626" s="65"/>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row>
    <row r="2627" spans="1:30" ht="15.75" customHeight="1">
      <c r="A2627" s="327" t="str">
        <f>IF(B2627&lt;&gt;"",IF(AND(B2627='IN-TC'!$S$4,OR(TH!N2627="1111",TH!O2627="1111")),TH!D2627,""),"")</f>
        <v/>
      </c>
      <c r="B2627" s="62" t="str">
        <f t="shared" si="382"/>
        <v/>
      </c>
      <c r="C2627" s="63"/>
      <c r="D2627" s="63"/>
      <c r="E2627" s="63"/>
      <c r="F2627" s="477"/>
      <c r="G2627" s="66"/>
      <c r="H2627" s="71"/>
      <c r="I2627" s="405"/>
      <c r="J2627" s="405"/>
      <c r="K2627" s="398"/>
      <c r="L2627" s="405"/>
      <c r="M2627" s="64"/>
      <c r="N2627" s="65"/>
      <c r="O2627" s="65"/>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row>
    <row r="2628" spans="1:30" ht="15.75" customHeight="1">
      <c r="A2628" s="327" t="str">
        <f>IF(B2628&lt;&gt;"",IF(AND(B2628='IN-TC'!$S$4,OR(TH!N2628="1111",TH!O2628="1111")),TH!D2628,""),"")</f>
        <v/>
      </c>
      <c r="B2628" s="62" t="str">
        <f t="shared" si="382"/>
        <v/>
      </c>
      <c r="C2628" s="63"/>
      <c r="D2628" s="63"/>
      <c r="E2628" s="63"/>
      <c r="F2628" s="477"/>
      <c r="G2628" s="66"/>
      <c r="H2628" s="71"/>
      <c r="I2628" s="405"/>
      <c r="J2628" s="405"/>
      <c r="K2628" s="398"/>
      <c r="L2628" s="405"/>
      <c r="M2628" s="64"/>
      <c r="N2628" s="65"/>
      <c r="O2628" s="65"/>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row>
    <row r="2629" spans="1:30" ht="15.75" customHeight="1">
      <c r="A2629" s="327" t="str">
        <f>IF(B2629&lt;&gt;"",IF(AND(B2629='IN-TC'!$S$4,OR(TH!N2629="1111",TH!O2629="1111")),TH!D2629,""),"")</f>
        <v/>
      </c>
      <c r="B2629" s="62" t="str">
        <f t="shared" si="382"/>
        <v/>
      </c>
      <c r="C2629" s="63"/>
      <c r="D2629" s="63"/>
      <c r="E2629" s="63"/>
      <c r="F2629" s="477"/>
      <c r="G2629" s="66"/>
      <c r="H2629" s="71"/>
      <c r="I2629" s="405"/>
      <c r="J2629" s="405"/>
      <c r="K2629" s="398"/>
      <c r="L2629" s="405"/>
      <c r="M2629" s="64"/>
      <c r="N2629" s="65"/>
      <c r="O2629" s="65"/>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row>
    <row r="2630" spans="1:30" ht="15.75" customHeight="1">
      <c r="A2630" s="327" t="str">
        <f>IF(B2630&lt;&gt;"",IF(AND(B2630='IN-TC'!$S$4,OR(TH!N2630="1111",TH!O2630="1111")),TH!D2630,""),"")</f>
        <v/>
      </c>
      <c r="B2630" s="62" t="str">
        <f t="shared" si="382"/>
        <v/>
      </c>
      <c r="C2630" s="63"/>
      <c r="D2630" s="63"/>
      <c r="E2630" s="63"/>
      <c r="F2630" s="477"/>
      <c r="G2630" s="66"/>
      <c r="H2630" s="71"/>
      <c r="I2630" s="405"/>
      <c r="J2630" s="405"/>
      <c r="K2630" s="398"/>
      <c r="L2630" s="405"/>
      <c r="M2630" s="64"/>
      <c r="N2630" s="65"/>
      <c r="O2630" s="65"/>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row>
    <row r="2631" spans="1:30" ht="15.75" customHeight="1">
      <c r="A2631" s="327" t="str">
        <f>IF(B2631&lt;&gt;"",IF(AND(B2631='IN-TC'!$S$4,OR(TH!N2631="1111",TH!O2631="1111")),TH!D2631,""),"")</f>
        <v/>
      </c>
      <c r="B2631" s="62" t="str">
        <f t="shared" si="382"/>
        <v/>
      </c>
      <c r="C2631" s="63"/>
      <c r="D2631" s="63"/>
      <c r="E2631" s="63"/>
      <c r="F2631" s="477"/>
      <c r="G2631" s="66"/>
      <c r="H2631" s="71"/>
      <c r="I2631" s="405"/>
      <c r="J2631" s="405"/>
      <c r="K2631" s="398"/>
      <c r="L2631" s="405"/>
      <c r="M2631" s="64"/>
      <c r="N2631" s="65"/>
      <c r="O2631" s="65"/>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0" ht="15.75" customHeight="1">
      <c r="A2632" s="327" t="str">
        <f>IF(B2632&lt;&gt;"",IF(AND(B2632='IN-TC'!$S$4,OR(TH!N2632="1111",TH!O2632="1111")),TH!D2632,""),"")</f>
        <v/>
      </c>
      <c r="B2632" s="62" t="str">
        <f t="shared" si="382"/>
        <v/>
      </c>
      <c r="C2632" s="63"/>
      <c r="D2632" s="63"/>
      <c r="E2632" s="63"/>
      <c r="F2632" s="477"/>
      <c r="G2632" s="66"/>
      <c r="H2632" s="71"/>
      <c r="I2632" s="405"/>
      <c r="J2632" s="405"/>
      <c r="K2632" s="398"/>
      <c r="L2632" s="405"/>
      <c r="M2632" s="64"/>
      <c r="N2632" s="65"/>
      <c r="O2632" s="65"/>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row>
    <row r="2633" spans="1:30" ht="15.75" customHeight="1">
      <c r="A2633" s="327" t="str">
        <f>IF(B2633&lt;&gt;"",IF(AND(B2633='IN-TC'!$S$4,OR(TH!N2633="1111",TH!O2633="1111")),TH!D2633,""),"")</f>
        <v/>
      </c>
      <c r="B2633" s="62" t="str">
        <f t="shared" si="382"/>
        <v/>
      </c>
      <c r="C2633" s="63"/>
      <c r="D2633" s="63"/>
      <c r="E2633" s="63"/>
      <c r="F2633" s="477"/>
      <c r="G2633" s="66"/>
      <c r="H2633" s="71"/>
      <c r="I2633" s="405"/>
      <c r="J2633" s="405"/>
      <c r="K2633" s="398"/>
      <c r="L2633" s="405"/>
      <c r="M2633" s="64"/>
      <c r="N2633" s="65"/>
      <c r="O2633" s="65"/>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row>
    <row r="2634" spans="1:30" ht="15.75" customHeight="1">
      <c r="A2634" s="327" t="str">
        <f>IF(B2634&lt;&gt;"",IF(AND(B2634='IN-TC'!$S$4,OR(TH!N2634="1111",TH!O2634="1111")),TH!D2634,""),"")</f>
        <v/>
      </c>
      <c r="B2634" s="62" t="str">
        <f t="shared" si="382"/>
        <v/>
      </c>
      <c r="C2634" s="63"/>
      <c r="D2634" s="63"/>
      <c r="E2634" s="63"/>
      <c r="F2634" s="477"/>
      <c r="G2634" s="66"/>
      <c r="H2634" s="71"/>
      <c r="I2634" s="405"/>
      <c r="J2634" s="405"/>
      <c r="K2634" s="398"/>
      <c r="L2634" s="405"/>
      <c r="M2634" s="64"/>
      <c r="N2634" s="65"/>
      <c r="O2634" s="65"/>
      <c r="P2634" s="81" t="str">
        <f>IF(AND('331-CT'!$E$7=TH!H2634,OR(N2634="331",O2634="331")),"x","")</f>
        <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0" ht="15.75" customHeight="1">
      <c r="A2635" s="327" t="str">
        <f>IF(B2635&lt;&gt;"",IF(AND(B2635='IN-TC'!$S$4,OR(TH!N2635="1111",TH!O2635="1111")),TH!D2635,""),"")</f>
        <v/>
      </c>
      <c r="B2635" s="62" t="str">
        <f t="shared" si="382"/>
        <v/>
      </c>
      <c r="C2635" s="63"/>
      <c r="D2635" s="63"/>
      <c r="E2635" s="63"/>
      <c r="F2635" s="477"/>
      <c r="G2635" s="66"/>
      <c r="H2635" s="71"/>
      <c r="I2635" s="405"/>
      <c r="J2635" s="405"/>
      <c r="K2635" s="398"/>
      <c r="L2635" s="405"/>
      <c r="M2635" s="64"/>
      <c r="N2635" s="65"/>
      <c r="O2635" s="65"/>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row>
    <row r="2636" spans="1:30" ht="15.75" customHeight="1">
      <c r="A2636" s="327" t="str">
        <f>IF(B2636&lt;&gt;"",IF(AND(B2636='IN-TC'!$S$4,OR(TH!N2636="1111",TH!O2636="1111")),TH!D2636,""),"")</f>
        <v/>
      </c>
      <c r="B2636" s="62" t="str">
        <f t="shared" si="382"/>
        <v/>
      </c>
      <c r="C2636" s="63"/>
      <c r="D2636" s="63"/>
      <c r="E2636" s="63"/>
      <c r="F2636" s="477"/>
      <c r="G2636" s="66"/>
      <c r="H2636" s="71"/>
      <c r="I2636" s="405"/>
      <c r="J2636" s="405"/>
      <c r="K2636" s="398"/>
      <c r="L2636" s="405"/>
      <c r="M2636" s="64"/>
      <c r="N2636" s="65"/>
      <c r="O2636" s="65"/>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row>
    <row r="2637" spans="1:30" ht="15.75" customHeight="1">
      <c r="A2637" s="327" t="str">
        <f>IF(B2637&lt;&gt;"",IF(AND(B2637='IN-TC'!$S$4,OR(TH!N2637="1111",TH!O2637="1111")),TH!D2637,""),"")</f>
        <v/>
      </c>
      <c r="B2637" s="62" t="str">
        <f t="shared" si="382"/>
        <v/>
      </c>
      <c r="C2637" s="63"/>
      <c r="D2637" s="63"/>
      <c r="E2637" s="63"/>
      <c r="F2637" s="477"/>
      <c r="G2637" s="66"/>
      <c r="H2637" s="66"/>
      <c r="I2637" s="407"/>
      <c r="J2637" s="407"/>
      <c r="K2637" s="400"/>
      <c r="L2637" s="407"/>
      <c r="M2637" s="64"/>
      <c r="N2637" s="65"/>
      <c r="O2637" s="65"/>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0" ht="15.75" customHeight="1">
      <c r="A2638" s="327" t="str">
        <f>IF(B2638&lt;&gt;"",IF(AND(B2638='IN-TC'!$S$4,OR(TH!N2638="1111",TH!O2638="1111")),TH!D2638,""),"")</f>
        <v/>
      </c>
      <c r="B2638" s="62" t="str">
        <f t="shared" si="382"/>
        <v/>
      </c>
      <c r="C2638" s="63"/>
      <c r="D2638" s="63"/>
      <c r="E2638" s="63"/>
      <c r="F2638" s="477"/>
      <c r="G2638" s="66"/>
      <c r="H2638" s="330"/>
      <c r="I2638" s="405"/>
      <c r="J2638" s="405"/>
      <c r="K2638" s="398"/>
      <c r="L2638" s="405"/>
      <c r="M2638" s="64"/>
      <c r="N2638" s="65"/>
      <c r="O2638" s="65"/>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row>
    <row r="2639" spans="1:30" ht="15.75" customHeight="1">
      <c r="A2639" s="327" t="str">
        <f>IF(B2639&lt;&gt;"",IF(AND(B2639='IN-TC'!$S$4,OR(TH!N2639="1111",TH!O2639="1111")),TH!D2639,""),"")</f>
        <v/>
      </c>
      <c r="B2639" s="62" t="str">
        <f t="shared" si="382"/>
        <v/>
      </c>
      <c r="C2639" s="63"/>
      <c r="D2639" s="309"/>
      <c r="E2639" s="309"/>
      <c r="F2639" s="477"/>
      <c r="G2639" s="66"/>
      <c r="H2639" s="311"/>
      <c r="I2639" s="405"/>
      <c r="J2639" s="405"/>
      <c r="K2639" s="398"/>
      <c r="L2639" s="405"/>
      <c r="M2639" s="64"/>
      <c r="N2639" s="312"/>
      <c r="O2639" s="65"/>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row>
    <row r="2640" spans="1:30" ht="15.75" customHeight="1">
      <c r="A2640" s="327" t="str">
        <f>IF(B2640&lt;&gt;"",IF(AND(B2640='IN-TC'!$S$4,OR(TH!N2640="1111",TH!O2640="1111")),TH!D2640,""),"")</f>
        <v/>
      </c>
      <c r="B2640" s="62" t="str">
        <f t="shared" si="382"/>
        <v/>
      </c>
      <c r="C2640" s="63"/>
      <c r="D2640" s="309"/>
      <c r="E2640" s="309"/>
      <c r="F2640" s="477"/>
      <c r="G2640" s="66"/>
      <c r="H2640" s="311"/>
      <c r="I2640" s="405"/>
      <c r="J2640" s="405"/>
      <c r="K2640" s="398"/>
      <c r="L2640" s="405"/>
      <c r="M2640" s="64"/>
      <c r="N2640" s="312"/>
      <c r="O2640" s="65"/>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0" ht="15.75" customHeight="1">
      <c r="A2641" s="327" t="str">
        <f>IF(B2641&lt;&gt;"",IF(AND(B2641='IN-TC'!$S$4,OR(TH!N2641="1111",TH!O2641="1111")),TH!D2641,""),"")</f>
        <v/>
      </c>
      <c r="B2641" s="62" t="str">
        <f t="shared" si="382"/>
        <v/>
      </c>
      <c r="C2641" s="63"/>
      <c r="D2641" s="309"/>
      <c r="E2641" s="309"/>
      <c r="F2641" s="477"/>
      <c r="G2641" s="66"/>
      <c r="H2641" s="330"/>
      <c r="I2641" s="405"/>
      <c r="J2641" s="405"/>
      <c r="K2641" s="398"/>
      <c r="L2641" s="405"/>
      <c r="M2641" s="64"/>
      <c r="N2641" s="65"/>
      <c r="O2641" s="65"/>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row>
    <row r="2642" spans="1:30" ht="15.75" customHeight="1">
      <c r="A2642" s="327" t="str">
        <f>IF(B2642&lt;&gt;"",IF(AND(B2642='IN-TC'!$S$4,OR(TH!N2642="1111",TH!O2642="1111")),TH!D2642,""),"")</f>
        <v/>
      </c>
      <c r="B2642" s="62" t="str">
        <f t="shared" si="382"/>
        <v/>
      </c>
      <c r="C2642" s="63"/>
      <c r="D2642" s="309"/>
      <c r="E2642" s="309"/>
      <c r="F2642" s="477"/>
      <c r="G2642" s="66"/>
      <c r="H2642" s="330"/>
      <c r="I2642" s="405"/>
      <c r="J2642" s="405"/>
      <c r="K2642" s="398"/>
      <c r="L2642" s="405"/>
      <c r="M2642" s="64"/>
      <c r="N2642" s="65"/>
      <c r="O2642" s="65"/>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row>
    <row r="2643" spans="1:30" ht="15.75" customHeight="1">
      <c r="A2643" s="327" t="str">
        <f>IF(B2643&lt;&gt;"",IF(AND(B2643='IN-TC'!$S$4,OR(TH!N2643="1111",TH!O2643="1111")),TH!D2643,""),"")</f>
        <v/>
      </c>
      <c r="B2643" s="62" t="str">
        <f t="shared" si="382"/>
        <v/>
      </c>
      <c r="C2643" s="63"/>
      <c r="D2643" s="63"/>
      <c r="E2643" s="63"/>
      <c r="F2643" s="71"/>
      <c r="G2643" s="66"/>
      <c r="H2643" s="71"/>
      <c r="I2643" s="405"/>
      <c r="J2643" s="405"/>
      <c r="K2643" s="398"/>
      <c r="L2643" s="405"/>
      <c r="M2643" s="64"/>
      <c r="N2643" s="65"/>
      <c r="O2643" s="65"/>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0" ht="15.75" customHeight="1">
      <c r="A2644" s="327" t="str">
        <f>IF(B2644&lt;&gt;"",IF(AND(B2644='IN-TC'!$S$4,OR(TH!N2644="1111",TH!O2644="1111")),TH!D2644,""),"")</f>
        <v/>
      </c>
      <c r="B2644" s="62" t="str">
        <f t="shared" si="382"/>
        <v/>
      </c>
      <c r="C2644" s="63"/>
      <c r="D2644" s="63"/>
      <c r="E2644" s="63"/>
      <c r="F2644" s="477"/>
      <c r="G2644" s="66"/>
      <c r="H2644" s="71"/>
      <c r="I2644" s="405"/>
      <c r="J2644" s="405"/>
      <c r="K2644" s="398"/>
      <c r="L2644" s="405"/>
      <c r="M2644" s="64"/>
      <c r="N2644" s="65"/>
      <c r="O2644" s="65"/>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0" ht="15.75" customHeight="1">
      <c r="A2645" s="327" t="str">
        <f>IF(B2645&lt;&gt;"",IF(AND(B2645='IN-TC'!$S$4,OR(TH!N2645="1111",TH!O2645="1111")),TH!D2645,""),"")</f>
        <v/>
      </c>
      <c r="B2645" s="62" t="str">
        <f t="shared" si="382"/>
        <v/>
      </c>
      <c r="C2645" s="63"/>
      <c r="D2645" s="63"/>
      <c r="E2645" s="63"/>
      <c r="F2645" s="477"/>
      <c r="G2645" s="66"/>
      <c r="H2645" s="71"/>
      <c r="I2645" s="405"/>
      <c r="J2645" s="405"/>
      <c r="K2645" s="398"/>
      <c r="L2645" s="405"/>
      <c r="M2645" s="64"/>
      <c r="N2645" s="65"/>
      <c r="O2645" s="65"/>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0" ht="15.75" customHeight="1">
      <c r="A2646" s="327" t="str">
        <f>IF(B2646&lt;&gt;"",IF(AND(B2646='IN-TC'!$S$4,OR(TH!N2646="1111",TH!O2646="1111")),TH!D2646,""),"")</f>
        <v/>
      </c>
      <c r="B2646" s="62" t="str">
        <f t="shared" ref="B2646:B2709" si="383">IF(C2646&lt;&gt;"",MONTH(C2646),"")</f>
        <v/>
      </c>
      <c r="C2646" s="63"/>
      <c r="D2646" s="63"/>
      <c r="E2646" s="63"/>
      <c r="F2646" s="477"/>
      <c r="G2646" s="66"/>
      <c r="H2646" s="71"/>
      <c r="I2646" s="405"/>
      <c r="J2646" s="405"/>
      <c r="K2646" s="398"/>
      <c r="L2646" s="405"/>
      <c r="M2646" s="64"/>
      <c r="N2646" s="65"/>
      <c r="O2646" s="65"/>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0" ht="15.75" customHeight="1">
      <c r="A2647" s="327" t="str">
        <f>IF(B2647&lt;&gt;"",IF(AND(B2647='IN-TC'!$S$4,OR(TH!N2647="1111",TH!O2647="1111")),TH!D2647,""),"")</f>
        <v/>
      </c>
      <c r="B2647" s="62" t="str">
        <f t="shared" si="383"/>
        <v/>
      </c>
      <c r="C2647" s="63"/>
      <c r="D2647" s="63"/>
      <c r="E2647" s="63"/>
      <c r="F2647" s="71"/>
      <c r="G2647" s="66"/>
      <c r="H2647" s="71"/>
      <c r="I2647" s="405"/>
      <c r="J2647" s="405"/>
      <c r="K2647" s="398"/>
      <c r="L2647" s="405"/>
      <c r="M2647" s="64"/>
      <c r="N2647" s="65"/>
      <c r="O2647" s="65"/>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0" ht="15.75" customHeight="1">
      <c r="A2648" s="327" t="str">
        <f>IF(B2648&lt;&gt;"",IF(AND(B2648='IN-TC'!$S$4,OR(TH!N2648="1111",TH!O2648="1111")),TH!D2648,""),"")</f>
        <v/>
      </c>
      <c r="B2648" s="62" t="str">
        <f t="shared" si="383"/>
        <v/>
      </c>
      <c r="C2648" s="63"/>
      <c r="D2648" s="63"/>
      <c r="E2648" s="63"/>
      <c r="F2648" s="477"/>
      <c r="G2648" s="66"/>
      <c r="H2648" s="71"/>
      <c r="I2648" s="405"/>
      <c r="J2648" s="405"/>
      <c r="K2648" s="398"/>
      <c r="L2648" s="405"/>
      <c r="M2648" s="64"/>
      <c r="N2648" s="65"/>
      <c r="O2648" s="65"/>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row>
    <row r="2649" spans="1:30" ht="15.75" customHeight="1">
      <c r="A2649" s="327" t="str">
        <f>IF(B2649&lt;&gt;"",IF(AND(B2649='IN-TC'!$S$4,OR(TH!N2649="1111",TH!O2649="1111")),TH!D2649,""),"")</f>
        <v/>
      </c>
      <c r="B2649" s="62" t="str">
        <f t="shared" si="383"/>
        <v/>
      </c>
      <c r="C2649" s="63"/>
      <c r="D2649" s="63"/>
      <c r="E2649" s="63"/>
      <c r="F2649" s="477"/>
      <c r="G2649" s="66"/>
      <c r="H2649" s="71"/>
      <c r="I2649" s="405"/>
      <c r="J2649" s="405"/>
      <c r="K2649" s="398"/>
      <c r="L2649" s="405"/>
      <c r="M2649" s="64"/>
      <c r="N2649" s="65"/>
      <c r="O2649" s="65"/>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row>
    <row r="2650" spans="1:30" ht="15.75" customHeight="1">
      <c r="A2650" s="327" t="str">
        <f>IF(B2650&lt;&gt;"",IF(AND(B2650='IN-TC'!$S$4,OR(TH!N2650="1111",TH!O2650="1111")),TH!D2650,""),"")</f>
        <v/>
      </c>
      <c r="B2650" s="62" t="str">
        <f t="shared" si="383"/>
        <v/>
      </c>
      <c r="C2650" s="63"/>
      <c r="D2650" s="63"/>
      <c r="E2650" s="63"/>
      <c r="F2650" s="477"/>
      <c r="G2650" s="66"/>
      <c r="H2650" s="71"/>
      <c r="I2650" s="405"/>
      <c r="J2650" s="405"/>
      <c r="K2650" s="398"/>
      <c r="L2650" s="405"/>
      <c r="M2650" s="64"/>
      <c r="N2650" s="65"/>
      <c r="O2650" s="65"/>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0" ht="15.75" customHeight="1">
      <c r="A2651" s="327" t="str">
        <f>IF(B2651&lt;&gt;"",IF(AND(B2651='IN-TC'!$S$4,OR(TH!N2651="1111",TH!O2651="1111")),TH!D2651,""),"")</f>
        <v/>
      </c>
      <c r="B2651" s="62" t="str">
        <f t="shared" si="383"/>
        <v/>
      </c>
      <c r="C2651" s="63"/>
      <c r="D2651" s="63"/>
      <c r="E2651" s="63"/>
      <c r="F2651" s="477"/>
      <c r="G2651" s="66"/>
      <c r="H2651" s="71"/>
      <c r="I2651" s="405"/>
      <c r="J2651" s="405"/>
      <c r="K2651" s="398"/>
      <c r="L2651" s="405"/>
      <c r="M2651" s="64"/>
      <c r="N2651" s="65"/>
      <c r="O2651" s="65"/>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0" ht="15.75" customHeight="1">
      <c r="A2652" s="327" t="str">
        <f>IF(B2652&lt;&gt;"",IF(AND(B2652='IN-TC'!$S$4,OR(TH!N2652="1111",TH!O2652="1111")),TH!D2652,""),"")</f>
        <v/>
      </c>
      <c r="B2652" s="62" t="str">
        <f t="shared" si="383"/>
        <v/>
      </c>
      <c r="C2652" s="63"/>
      <c r="D2652" s="63"/>
      <c r="E2652" s="63"/>
      <c r="F2652" s="477"/>
      <c r="G2652" s="66"/>
      <c r="H2652" s="71"/>
      <c r="I2652" s="409"/>
      <c r="J2652" s="409"/>
      <c r="K2652" s="402"/>
      <c r="L2652" s="409"/>
      <c r="M2652" s="64"/>
      <c r="N2652" s="65"/>
      <c r="O2652" s="65"/>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0" ht="15.75" customHeight="1">
      <c r="A2653" s="327" t="str">
        <f>IF(B2653&lt;&gt;"",IF(AND(B2653='IN-TC'!$S$4,OR(TH!N2653="1111",TH!O2653="1111")),TH!D2653,""),"")</f>
        <v/>
      </c>
      <c r="B2653" s="62" t="str">
        <f t="shared" si="383"/>
        <v/>
      </c>
      <c r="C2653" s="63"/>
      <c r="D2653" s="63"/>
      <c r="E2653" s="63"/>
      <c r="F2653" s="477"/>
      <c r="G2653" s="66"/>
      <c r="H2653" s="72"/>
      <c r="I2653" s="405"/>
      <c r="J2653" s="405"/>
      <c r="K2653" s="398"/>
      <c r="L2653" s="405"/>
      <c r="M2653" s="64"/>
      <c r="N2653" s="65"/>
      <c r="O2653" s="65"/>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0" ht="15.75" customHeight="1">
      <c r="A2654" s="327" t="str">
        <f>IF(B2654&lt;&gt;"",IF(AND(B2654='IN-TC'!$S$4,OR(TH!N2654="1111",TH!O2654="1111")),TH!D2654,""),"")</f>
        <v/>
      </c>
      <c r="B2654" s="62" t="str">
        <f t="shared" si="383"/>
        <v/>
      </c>
      <c r="C2654" s="63"/>
      <c r="D2654" s="63"/>
      <c r="E2654" s="63"/>
      <c r="F2654" s="477"/>
      <c r="G2654" s="66"/>
      <c r="H2654" s="71"/>
      <c r="I2654" s="409"/>
      <c r="J2654" s="409"/>
      <c r="K2654" s="402"/>
      <c r="L2654" s="409"/>
      <c r="M2654" s="64"/>
      <c r="N2654" s="65"/>
      <c r="O2654" s="65"/>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row>
    <row r="2655" spans="1:30" ht="15.75" customHeight="1">
      <c r="A2655" s="327" t="str">
        <f>IF(B2655&lt;&gt;"",IF(AND(B2655='IN-TC'!$S$4,OR(TH!N2655="1111",TH!O2655="1111")),TH!D2655,""),"")</f>
        <v/>
      </c>
      <c r="B2655" s="62" t="str">
        <f t="shared" si="383"/>
        <v/>
      </c>
      <c r="C2655" s="63"/>
      <c r="D2655" s="63"/>
      <c r="E2655" s="63"/>
      <c r="F2655" s="477"/>
      <c r="G2655" s="66"/>
      <c r="H2655" s="330"/>
      <c r="I2655" s="407"/>
      <c r="J2655" s="407"/>
      <c r="K2655" s="400"/>
      <c r="L2655" s="407"/>
      <c r="M2655" s="64"/>
      <c r="N2655" s="65"/>
      <c r="O2655" s="65"/>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row>
    <row r="2656" spans="1:30" ht="15.75" customHeight="1">
      <c r="A2656" s="327" t="str">
        <f>IF(B2656&lt;&gt;"",IF(AND(B2656='IN-TC'!$S$4,OR(TH!N2656="1111",TH!O2656="1111")),TH!D2656,""),"")</f>
        <v/>
      </c>
      <c r="B2656" s="62" t="str">
        <f t="shared" si="383"/>
        <v/>
      </c>
      <c r="C2656" s="63"/>
      <c r="D2656" s="63"/>
      <c r="E2656" s="63"/>
      <c r="F2656" s="477"/>
      <c r="G2656" s="66"/>
      <c r="H2656" s="71"/>
      <c r="I2656" s="405"/>
      <c r="J2656" s="405"/>
      <c r="K2656" s="398"/>
      <c r="L2656" s="405"/>
      <c r="M2656" s="64"/>
      <c r="N2656" s="65"/>
      <c r="O2656" s="65"/>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0" ht="15.75" customHeight="1">
      <c r="A2657" s="327" t="str">
        <f>IF(B2657&lt;&gt;"",IF(AND(B2657='IN-TC'!$S$4,OR(TH!N2657="1111",TH!O2657="1111")),TH!D2657,""),"")</f>
        <v/>
      </c>
      <c r="B2657" s="62" t="str">
        <f t="shared" si="383"/>
        <v/>
      </c>
      <c r="C2657" s="63"/>
      <c r="D2657" s="63"/>
      <c r="E2657" s="63"/>
      <c r="F2657" s="477"/>
      <c r="G2657" s="66"/>
      <c r="H2657" s="71"/>
      <c r="I2657" s="405"/>
      <c r="J2657" s="405"/>
      <c r="K2657" s="398"/>
      <c r="L2657" s="405"/>
      <c r="M2657" s="64"/>
      <c r="N2657" s="65"/>
      <c r="O2657" s="65"/>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0" ht="15.75" customHeight="1">
      <c r="A2658" s="327" t="str">
        <f>IF(B2658&lt;&gt;"",IF(AND(B2658='IN-TC'!$S$4,OR(TH!N2658="1111",TH!O2658="1111")),TH!D2658,""),"")</f>
        <v/>
      </c>
      <c r="B2658" s="62" t="str">
        <f t="shared" si="383"/>
        <v/>
      </c>
      <c r="C2658" s="63"/>
      <c r="D2658" s="63"/>
      <c r="E2658" s="63"/>
      <c r="F2658" s="477"/>
      <c r="G2658" s="66"/>
      <c r="H2658" s="71"/>
      <c r="I2658" s="405"/>
      <c r="J2658" s="405"/>
      <c r="K2658" s="398"/>
      <c r="L2658" s="405"/>
      <c r="M2658" s="64"/>
      <c r="N2658" s="65"/>
      <c r="O2658" s="65"/>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0" ht="15.75" customHeight="1">
      <c r="A2659" s="327" t="str">
        <f>IF(B2659&lt;&gt;"",IF(AND(B2659='IN-TC'!$S$4,OR(TH!N2659="1111",TH!O2659="1111")),TH!D2659,""),"")</f>
        <v/>
      </c>
      <c r="B2659" s="62" t="str">
        <f t="shared" si="383"/>
        <v/>
      </c>
      <c r="C2659" s="63"/>
      <c r="D2659" s="63"/>
      <c r="E2659" s="63"/>
      <c r="F2659" s="477"/>
      <c r="G2659" s="66"/>
      <c r="H2659" s="66"/>
      <c r="I2659" s="405"/>
      <c r="J2659" s="405"/>
      <c r="K2659" s="398"/>
      <c r="L2659" s="405"/>
      <c r="M2659" s="64"/>
      <c r="N2659" s="65"/>
      <c r="O2659" s="65"/>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0" ht="15.75" customHeight="1">
      <c r="A2660" s="327" t="str">
        <f>IF(B2660&lt;&gt;"",IF(AND(B2660='IN-TC'!$S$4,OR(TH!N2660="1111",TH!O2660="1111")),TH!D2660,""),"")</f>
        <v/>
      </c>
      <c r="B2660" s="62" t="str">
        <f t="shared" si="383"/>
        <v/>
      </c>
      <c r="C2660" s="63"/>
      <c r="D2660" s="63"/>
      <c r="E2660" s="63"/>
      <c r="F2660" s="477"/>
      <c r="G2660" s="66"/>
      <c r="H2660" s="71"/>
      <c r="I2660" s="405"/>
      <c r="J2660" s="405"/>
      <c r="K2660" s="398"/>
      <c r="L2660" s="405"/>
      <c r="M2660" s="64"/>
      <c r="N2660" s="65"/>
      <c r="O2660" s="65"/>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0" ht="15.75" customHeight="1">
      <c r="A2661" s="327" t="str">
        <f>IF(B2661&lt;&gt;"",IF(AND(B2661='IN-TC'!$S$4,OR(TH!N2661="1111",TH!O2661="1111")),TH!D2661,""),"")</f>
        <v/>
      </c>
      <c r="B2661" s="62" t="str">
        <f t="shared" si="383"/>
        <v/>
      </c>
      <c r="C2661" s="63"/>
      <c r="D2661" s="63"/>
      <c r="E2661" s="63"/>
      <c r="F2661" s="477"/>
      <c r="G2661" s="66"/>
      <c r="H2661" s="71"/>
      <c r="I2661" s="405"/>
      <c r="J2661" s="405"/>
      <c r="K2661" s="398"/>
      <c r="L2661" s="405"/>
      <c r="M2661" s="64"/>
      <c r="N2661" s="65"/>
      <c r="O2661" s="65"/>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0" ht="15.75" customHeight="1">
      <c r="A2662" s="327" t="str">
        <f>IF(B2662&lt;&gt;"",IF(AND(B2662='IN-TC'!$S$4,OR(TH!N2662="1111",TH!O2662="1111")),TH!D2662,""),"")</f>
        <v/>
      </c>
      <c r="B2662" s="62" t="str">
        <f t="shared" si="383"/>
        <v/>
      </c>
      <c r="C2662" s="63"/>
      <c r="D2662" s="63"/>
      <c r="E2662" s="63"/>
      <c r="F2662" s="477"/>
      <c r="G2662" s="66"/>
      <c r="H2662" s="71"/>
      <c r="I2662" s="405"/>
      <c r="J2662" s="405"/>
      <c r="K2662" s="398"/>
      <c r="L2662" s="405"/>
      <c r="M2662" s="64"/>
      <c r="N2662" s="65"/>
      <c r="O2662" s="65"/>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0" ht="15.75" customHeight="1">
      <c r="A2663" s="327" t="str">
        <f>IF(B2663&lt;&gt;"",IF(AND(B2663='IN-TC'!$S$4,OR(TH!N2663="1111",TH!O2663="1111")),TH!D2663,""),"")</f>
        <v/>
      </c>
      <c r="B2663" s="62" t="str">
        <f t="shared" si="383"/>
        <v/>
      </c>
      <c r="C2663" s="63"/>
      <c r="D2663" s="63"/>
      <c r="E2663" s="63"/>
      <c r="F2663" s="477"/>
      <c r="G2663" s="66"/>
      <c r="H2663" s="71"/>
      <c r="I2663" s="405"/>
      <c r="J2663" s="405"/>
      <c r="K2663" s="398"/>
      <c r="L2663" s="405"/>
      <c r="M2663" s="64"/>
      <c r="N2663" s="65"/>
      <c r="O2663" s="65"/>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0" ht="15.75" customHeight="1">
      <c r="A2664" s="327" t="str">
        <f>IF(B2664&lt;&gt;"",IF(AND(B2664='IN-TC'!$S$4,OR(TH!N2664="1111",TH!O2664="1111")),TH!D2664,""),"")</f>
        <v/>
      </c>
      <c r="B2664" s="62" t="str">
        <f t="shared" si="383"/>
        <v/>
      </c>
      <c r="C2664" s="63"/>
      <c r="D2664" s="63"/>
      <c r="E2664" s="63"/>
      <c r="F2664" s="477"/>
      <c r="G2664" s="66"/>
      <c r="H2664" s="71"/>
      <c r="I2664" s="405"/>
      <c r="J2664" s="405"/>
      <c r="K2664" s="398"/>
      <c r="L2664" s="405"/>
      <c r="M2664" s="64"/>
      <c r="N2664" s="65"/>
      <c r="O2664" s="65"/>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0" ht="15.75" customHeight="1">
      <c r="A2665" s="327" t="str">
        <f>IF(B2665&lt;&gt;"",IF(AND(B2665='IN-TC'!$S$4,OR(TH!N2665="1111",TH!O2665="1111")),TH!D2665,""),"")</f>
        <v/>
      </c>
      <c r="B2665" s="62" t="str">
        <f t="shared" si="383"/>
        <v/>
      </c>
      <c r="C2665" s="63"/>
      <c r="D2665" s="63"/>
      <c r="E2665" s="63"/>
      <c r="F2665" s="71"/>
      <c r="G2665" s="66"/>
      <c r="H2665" s="71"/>
      <c r="I2665" s="405"/>
      <c r="J2665" s="405"/>
      <c r="K2665" s="398"/>
      <c r="L2665" s="405"/>
      <c r="M2665" s="64"/>
      <c r="N2665" s="65"/>
      <c r="O2665" s="65"/>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0" ht="15.75" customHeight="1">
      <c r="A2666" s="327" t="str">
        <f>IF(B2666&lt;&gt;"",IF(AND(B2666='IN-TC'!$S$4,OR(TH!N2666="1111",TH!O2666="1111")),TH!D2666,""),"")</f>
        <v/>
      </c>
      <c r="B2666" s="62" t="str">
        <f t="shared" si="383"/>
        <v/>
      </c>
      <c r="C2666" s="63"/>
      <c r="D2666" s="63"/>
      <c r="E2666" s="63"/>
      <c r="F2666" s="477"/>
      <c r="G2666" s="816"/>
      <c r="H2666" s="71"/>
      <c r="I2666" s="405"/>
      <c r="J2666" s="405"/>
      <c r="K2666" s="398"/>
      <c r="L2666" s="405"/>
      <c r="M2666" s="64"/>
      <c r="N2666" s="65"/>
      <c r="O2666" s="65"/>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0" ht="15.75" customHeight="1">
      <c r="A2667" s="327" t="str">
        <f>IF(B2667&lt;&gt;"",IF(AND(B2667='IN-TC'!$S$4,OR(TH!N2667="1111",TH!O2667="1111")),TH!D2667,""),"")</f>
        <v/>
      </c>
      <c r="B2667" s="62" t="str">
        <f t="shared" si="383"/>
        <v/>
      </c>
      <c r="C2667" s="63"/>
      <c r="D2667" s="63"/>
      <c r="E2667" s="63"/>
      <c r="F2667" s="477"/>
      <c r="G2667" s="816"/>
      <c r="H2667" s="71"/>
      <c r="I2667" s="405"/>
      <c r="J2667" s="405"/>
      <c r="K2667" s="398"/>
      <c r="L2667" s="405"/>
      <c r="M2667" s="64"/>
      <c r="N2667" s="65"/>
      <c r="O2667" s="65"/>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0" ht="15.75" customHeight="1">
      <c r="A2668" s="327" t="str">
        <f>IF(B2668&lt;&gt;"",IF(AND(B2668='IN-TC'!$S$4,OR(TH!N2668="1111",TH!O2668="1111")),TH!D2668,""),"")</f>
        <v/>
      </c>
      <c r="B2668" s="62" t="str">
        <f t="shared" si="383"/>
        <v/>
      </c>
      <c r="C2668" s="63"/>
      <c r="D2668" s="63"/>
      <c r="E2668" s="63"/>
      <c r="F2668" s="477"/>
      <c r="G2668" s="66"/>
      <c r="H2668" s="66"/>
      <c r="I2668" s="405"/>
      <c r="J2668" s="405"/>
      <c r="K2668" s="398"/>
      <c r="L2668" s="405"/>
      <c r="M2668" s="64"/>
      <c r="N2668" s="65"/>
      <c r="O2668" s="65"/>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row>
    <row r="2669" spans="1:30" ht="15.75" customHeight="1">
      <c r="A2669" s="327" t="str">
        <f>IF(B2669&lt;&gt;"",IF(AND(B2669='IN-TC'!$S$4,OR(TH!N2669="1111",TH!O2669="1111")),TH!D2669,""),"")</f>
        <v/>
      </c>
      <c r="B2669" s="62" t="str">
        <f t="shared" si="383"/>
        <v/>
      </c>
      <c r="C2669" s="63"/>
      <c r="D2669" s="309"/>
      <c r="E2669" s="63"/>
      <c r="F2669" s="477"/>
      <c r="G2669" s="816"/>
      <c r="H2669" s="71"/>
      <c r="I2669" s="405"/>
      <c r="J2669" s="405"/>
      <c r="K2669" s="398"/>
      <c r="L2669" s="405"/>
      <c r="M2669" s="64"/>
      <c r="N2669" s="65"/>
      <c r="O2669" s="65"/>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
      </c>
      <c r="W2669" s="81" t="str">
        <f>IF(AND('341-CT'!$H$9=H2669,OR(LEFT(N2669,3)=$W$7,LEFT(O2669,3)=$W$7)),"x","")</f>
        <v/>
      </c>
      <c r="X2669" s="81" t="str">
        <f>IF(OR(TH!N2669=TH!$X$7,O2669=TH!$X$7),"x","")</f>
        <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row>
    <row r="2670" spans="1:30" ht="15.75" customHeight="1">
      <c r="A2670" s="327" t="str">
        <f>IF(B2670&lt;&gt;"",IF(AND(B2670='IN-TC'!$S$4,OR(TH!N2670="1111",TH!O2670="1111")),TH!D2670,""),"")</f>
        <v/>
      </c>
      <c r="B2670" s="62" t="str">
        <f t="shared" si="383"/>
        <v/>
      </c>
      <c r="C2670" s="63"/>
      <c r="D2670" s="309"/>
      <c r="E2670" s="63"/>
      <c r="F2670" s="477"/>
      <c r="G2670" s="66"/>
      <c r="H2670" s="71"/>
      <c r="I2670" s="405"/>
      <c r="J2670" s="405"/>
      <c r="K2670" s="398"/>
      <c r="L2670" s="405"/>
      <c r="M2670" s="64"/>
      <c r="N2670" s="65"/>
      <c r="O2670" s="65"/>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0" ht="15.75" customHeight="1">
      <c r="A2671" s="327" t="str">
        <f>IF(B2671&lt;&gt;"",IF(AND(B2671='IN-TC'!$S$4,OR(TH!N2671="1111",TH!O2671="1111")),TH!D2671,""),"")</f>
        <v/>
      </c>
      <c r="B2671" s="62" t="str">
        <f t="shared" si="383"/>
        <v/>
      </c>
      <c r="C2671" s="63"/>
      <c r="D2671" s="63"/>
      <c r="E2671" s="63"/>
      <c r="F2671" s="477"/>
      <c r="G2671" s="66"/>
      <c r="H2671" s="71"/>
      <c r="I2671" s="405"/>
      <c r="J2671" s="405"/>
      <c r="K2671" s="398"/>
      <c r="L2671" s="405"/>
      <c r="M2671" s="64"/>
      <c r="N2671" s="65"/>
      <c r="O2671" s="65"/>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0" ht="15.75" customHeight="1">
      <c r="A2672" s="327" t="str">
        <f>IF(B2672&lt;&gt;"",IF(AND(B2672='IN-TC'!$S$4,OR(TH!N2672="1111",TH!O2672="1111")),TH!D2672,""),"")</f>
        <v/>
      </c>
      <c r="B2672" s="62" t="str">
        <f t="shared" si="383"/>
        <v/>
      </c>
      <c r="C2672" s="63"/>
      <c r="D2672" s="63"/>
      <c r="E2672" s="63"/>
      <c r="F2672" s="477"/>
      <c r="G2672" s="66"/>
      <c r="H2672" s="71"/>
      <c r="I2672" s="405"/>
      <c r="J2672" s="405"/>
      <c r="K2672" s="398"/>
      <c r="L2672" s="405"/>
      <c r="M2672" s="64"/>
      <c r="N2672" s="65"/>
      <c r="O2672" s="65"/>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0" ht="15.75" customHeight="1">
      <c r="A2673" s="327" t="str">
        <f>IF(B2673&lt;&gt;"",IF(AND(B2673='IN-TC'!$S$4,OR(TH!N2673="1111",TH!O2673="1111")),TH!D2673,""),"")</f>
        <v/>
      </c>
      <c r="B2673" s="62" t="str">
        <f t="shared" si="383"/>
        <v/>
      </c>
      <c r="C2673" s="63"/>
      <c r="D2673" s="63"/>
      <c r="E2673" s="63"/>
      <c r="F2673" s="477"/>
      <c r="G2673" s="66"/>
      <c r="H2673" s="71"/>
      <c r="I2673" s="405"/>
      <c r="J2673" s="405"/>
      <c r="K2673" s="398"/>
      <c r="L2673" s="405"/>
      <c r="M2673" s="64"/>
      <c r="N2673" s="65"/>
      <c r="O2673" s="65"/>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0" ht="15.75" customHeight="1">
      <c r="A2674" s="327" t="str">
        <f>IF(B2674&lt;&gt;"",IF(AND(B2674='IN-TC'!$S$4,OR(TH!N2674="1111",TH!O2674="1111")),TH!D2674,""),"")</f>
        <v/>
      </c>
      <c r="B2674" s="62" t="str">
        <f t="shared" si="383"/>
        <v/>
      </c>
      <c r="C2674" s="63"/>
      <c r="D2674" s="63"/>
      <c r="E2674" s="63"/>
      <c r="F2674" s="477"/>
      <c r="G2674" s="66"/>
      <c r="H2674" s="71"/>
      <c r="I2674" s="405"/>
      <c r="J2674" s="405"/>
      <c r="K2674" s="398"/>
      <c r="L2674" s="405"/>
      <c r="M2674" s="64"/>
      <c r="N2674" s="65"/>
      <c r="O2674" s="65"/>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0" ht="15.75" customHeight="1">
      <c r="A2675" s="327" t="str">
        <f>IF(B2675&lt;&gt;"",IF(AND(B2675='IN-TC'!$S$4,OR(TH!N2675="1111",TH!O2675="1111")),TH!D2675,""),"")</f>
        <v/>
      </c>
      <c r="B2675" s="62" t="str">
        <f t="shared" si="383"/>
        <v/>
      </c>
      <c r="C2675" s="63"/>
      <c r="D2675" s="63"/>
      <c r="E2675" s="63"/>
      <c r="F2675" s="477"/>
      <c r="G2675" s="66"/>
      <c r="H2675" s="71"/>
      <c r="I2675" s="405"/>
      <c r="J2675" s="405"/>
      <c r="K2675" s="398"/>
      <c r="L2675" s="405"/>
      <c r="M2675" s="64"/>
      <c r="N2675" s="65"/>
      <c r="O2675" s="65"/>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0" ht="15.75" customHeight="1">
      <c r="A2676" s="327" t="str">
        <f>IF(B2676&lt;&gt;"",IF(AND(B2676='IN-TC'!$S$4,OR(TH!N2676="1111",TH!O2676="1111")),TH!D2676,""),"")</f>
        <v/>
      </c>
      <c r="B2676" s="62" t="str">
        <f t="shared" si="383"/>
        <v/>
      </c>
      <c r="C2676" s="63"/>
      <c r="D2676" s="63"/>
      <c r="E2676" s="63"/>
      <c r="F2676" s="477"/>
      <c r="G2676" s="66"/>
      <c r="H2676" s="71"/>
      <c r="I2676" s="405"/>
      <c r="J2676" s="405"/>
      <c r="K2676" s="398"/>
      <c r="L2676" s="405"/>
      <c r="M2676" s="64"/>
      <c r="N2676" s="65"/>
      <c r="O2676" s="65"/>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0" ht="15.75" customHeight="1">
      <c r="A2677" s="327" t="str">
        <f>IF(B2677&lt;&gt;"",IF(AND(B2677='IN-TC'!$S$4,OR(TH!N2677="1111",TH!O2677="1111")),TH!D2677,""),"")</f>
        <v/>
      </c>
      <c r="B2677" s="62" t="str">
        <f t="shared" si="383"/>
        <v/>
      </c>
      <c r="C2677" s="63"/>
      <c r="D2677" s="63"/>
      <c r="E2677" s="63"/>
      <c r="F2677" s="477"/>
      <c r="G2677" s="66"/>
      <c r="H2677" s="71"/>
      <c r="I2677" s="405"/>
      <c r="J2677" s="405"/>
      <c r="K2677" s="398"/>
      <c r="L2677" s="405"/>
      <c r="M2677" s="64"/>
      <c r="N2677" s="65"/>
      <c r="O2677" s="65"/>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0" ht="15.75" customHeight="1">
      <c r="A2678" s="327" t="str">
        <f>IF(B2678&lt;&gt;"",IF(AND(B2678='IN-TC'!$S$4,OR(TH!N2678="1111",TH!O2678="1111")),TH!D2678,""),"")</f>
        <v/>
      </c>
      <c r="B2678" s="62" t="str">
        <f t="shared" si="383"/>
        <v/>
      </c>
      <c r="C2678" s="63"/>
      <c r="D2678" s="63"/>
      <c r="E2678" s="63"/>
      <c r="F2678" s="477"/>
      <c r="G2678" s="66"/>
      <c r="H2678" s="71"/>
      <c r="I2678" s="405"/>
      <c r="J2678" s="405"/>
      <c r="K2678" s="398"/>
      <c r="L2678" s="405"/>
      <c r="M2678" s="64"/>
      <c r="N2678" s="65"/>
      <c r="O2678" s="65"/>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0" ht="15.75" customHeight="1">
      <c r="A2679" s="327" t="str">
        <f>IF(B2679&lt;&gt;"",IF(AND(B2679='IN-TC'!$S$4,OR(TH!N2679="1111",TH!O2679="1111")),TH!D2679,""),"")</f>
        <v/>
      </c>
      <c r="B2679" s="62" t="str">
        <f t="shared" si="383"/>
        <v/>
      </c>
      <c r="C2679" s="63"/>
      <c r="D2679" s="63"/>
      <c r="E2679" s="63"/>
      <c r="F2679" s="477"/>
      <c r="G2679" s="66"/>
      <c r="H2679" s="71"/>
      <c r="I2679" s="405"/>
      <c r="J2679" s="405"/>
      <c r="K2679" s="398"/>
      <c r="L2679" s="405"/>
      <c r="M2679" s="64"/>
      <c r="N2679" s="65"/>
      <c r="O2679" s="65"/>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0" ht="15.75" customHeight="1">
      <c r="A2680" s="327" t="str">
        <f>IF(B2680&lt;&gt;"",IF(AND(B2680='IN-TC'!$S$4,OR(TH!N2680="1111",TH!O2680="1111")),TH!D2680,""),"")</f>
        <v/>
      </c>
      <c r="B2680" s="62" t="str">
        <f t="shared" si="383"/>
        <v/>
      </c>
      <c r="C2680" s="309"/>
      <c r="D2680" s="309"/>
      <c r="E2680" s="309"/>
      <c r="F2680" s="477"/>
      <c r="G2680" s="816"/>
      <c r="H2680" s="71"/>
      <c r="I2680" s="405"/>
      <c r="J2680" s="405"/>
      <c r="K2680" s="398"/>
      <c r="L2680" s="405"/>
      <c r="M2680" s="64"/>
      <c r="N2680" s="65"/>
      <c r="O2680" s="65"/>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0" ht="15.75" customHeight="1">
      <c r="A2681" s="327" t="str">
        <f>IF(B2681&lt;&gt;"",IF(AND(B2681='IN-TC'!$S$4,OR(TH!N2681="1111",TH!O2681="1111")),TH!D2681,""),"")</f>
        <v/>
      </c>
      <c r="B2681" s="62" t="str">
        <f t="shared" si="383"/>
        <v/>
      </c>
      <c r="C2681" s="309"/>
      <c r="D2681" s="309"/>
      <c r="E2681" s="309"/>
      <c r="F2681" s="477"/>
      <c r="G2681" s="816"/>
      <c r="H2681" s="71"/>
      <c r="I2681" s="405"/>
      <c r="J2681" s="405"/>
      <c r="K2681" s="398"/>
      <c r="L2681" s="405"/>
      <c r="M2681" s="64"/>
      <c r="N2681" s="65"/>
      <c r="O2681" s="65"/>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row>
    <row r="2682" spans="1:30" ht="15.75" customHeight="1">
      <c r="A2682" s="327" t="str">
        <f>IF(B2682&lt;&gt;"",IF(AND(B2682='IN-TC'!$S$4,OR(TH!N2682="1111",TH!O2682="1111")),TH!D2682,""),"")</f>
        <v/>
      </c>
      <c r="B2682" s="62" t="str">
        <f t="shared" si="383"/>
        <v/>
      </c>
      <c r="C2682" s="309"/>
      <c r="D2682" s="309"/>
      <c r="E2682" s="309"/>
      <c r="F2682" s="477"/>
      <c r="G2682" s="66"/>
      <c r="H2682" s="71"/>
      <c r="I2682" s="405"/>
      <c r="J2682" s="405"/>
      <c r="K2682" s="398"/>
      <c r="L2682" s="405"/>
      <c r="M2682" s="64"/>
      <c r="N2682" s="65"/>
      <c r="O2682" s="65"/>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
      </c>
      <c r="W2682" s="81" t="str">
        <f>IF(AND('341-CT'!$H$9=H2682,OR(LEFT(N2682,3)=$W$7,LEFT(O2682,3)=$W$7)),"x","")</f>
        <v/>
      </c>
      <c r="X2682" s="81" t="str">
        <f>IF(OR(TH!N2682=TH!$X$7,O2682=TH!$X$7),"x","")</f>
        <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row>
    <row r="2683" spans="1:30" ht="15.75" customHeight="1">
      <c r="A2683" s="327" t="str">
        <f>IF(B2683&lt;&gt;"",IF(AND(B2683='IN-TC'!$S$4,OR(TH!N2683="1111",TH!O2683="1111")),TH!D2683,""),"")</f>
        <v/>
      </c>
      <c r="B2683" s="62" t="str">
        <f t="shared" si="383"/>
        <v/>
      </c>
      <c r="C2683" s="309"/>
      <c r="D2683" s="309"/>
      <c r="E2683" s="309"/>
      <c r="F2683" s="477"/>
      <c r="G2683" s="66"/>
      <c r="H2683" s="71"/>
      <c r="I2683" s="405"/>
      <c r="J2683" s="405"/>
      <c r="K2683" s="398"/>
      <c r="L2683" s="405"/>
      <c r="M2683" s="64"/>
      <c r="N2683" s="65"/>
      <c r="O2683" s="65"/>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0" ht="15.75" customHeight="1">
      <c r="A2684" s="327" t="str">
        <f>IF(B2684&lt;&gt;"",IF(AND(B2684='IN-TC'!$S$4,OR(TH!N2684="1111",TH!O2684="1111")),TH!D2684,""),"")</f>
        <v/>
      </c>
      <c r="B2684" s="62" t="str">
        <f t="shared" si="383"/>
        <v/>
      </c>
      <c r="C2684" s="309"/>
      <c r="D2684" s="309"/>
      <c r="E2684" s="309"/>
      <c r="F2684" s="477"/>
      <c r="G2684" s="816"/>
      <c r="H2684" s="71"/>
      <c r="I2684" s="405"/>
      <c r="J2684" s="405"/>
      <c r="K2684" s="398"/>
      <c r="L2684" s="405"/>
      <c r="M2684" s="64"/>
      <c r="N2684" s="65"/>
      <c r="O2684" s="65"/>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0" ht="15.75" customHeight="1">
      <c r="A2685" s="327" t="str">
        <f>IF(B2685&lt;&gt;"",IF(AND(B2685='IN-TC'!$S$4,OR(TH!N2685="1111",TH!O2685="1111")),TH!D2685,""),"")</f>
        <v/>
      </c>
      <c r="B2685" s="62" t="str">
        <f t="shared" si="383"/>
        <v/>
      </c>
      <c r="C2685" s="309"/>
      <c r="D2685" s="309"/>
      <c r="E2685" s="309"/>
      <c r="F2685" s="477"/>
      <c r="G2685" s="816"/>
      <c r="H2685" s="71"/>
      <c r="I2685" s="405"/>
      <c r="J2685" s="405"/>
      <c r="K2685" s="398"/>
      <c r="L2685" s="405"/>
      <c r="M2685" s="64"/>
      <c r="N2685" s="65"/>
      <c r="O2685" s="65"/>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0" ht="15.75" customHeight="1">
      <c r="A2686" s="327" t="str">
        <f>IF(B2686&lt;&gt;"",IF(AND(B2686='IN-TC'!$S$4,OR(TH!N2686="1111",TH!O2686="1111")),TH!D2686,""),"")</f>
        <v/>
      </c>
      <c r="B2686" s="62" t="str">
        <f t="shared" si="383"/>
        <v/>
      </c>
      <c r="C2686" s="309"/>
      <c r="D2686" s="309"/>
      <c r="E2686" s="309"/>
      <c r="F2686" s="477"/>
      <c r="G2686" s="816"/>
      <c r="H2686" s="71"/>
      <c r="I2686" s="405"/>
      <c r="J2686" s="405"/>
      <c r="K2686" s="398"/>
      <c r="L2686" s="405"/>
      <c r="M2686" s="64"/>
      <c r="N2686" s="65"/>
      <c r="O2686" s="65"/>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0" ht="15.75" customHeight="1">
      <c r="A2687" s="327" t="str">
        <f>IF(B2687&lt;&gt;"",IF(AND(B2687='IN-TC'!$S$4,OR(TH!N2687="1111",TH!O2687="1111")),TH!D2687,""),"")</f>
        <v/>
      </c>
      <c r="B2687" s="62" t="str">
        <f t="shared" si="383"/>
        <v/>
      </c>
      <c r="C2687" s="309"/>
      <c r="D2687" s="309"/>
      <c r="E2687" s="309"/>
      <c r="F2687" s="477"/>
      <c r="G2687" s="816"/>
      <c r="H2687" s="71"/>
      <c r="I2687" s="405"/>
      <c r="J2687" s="405"/>
      <c r="K2687" s="398"/>
      <c r="L2687" s="405"/>
      <c r="M2687" s="64"/>
      <c r="N2687" s="65"/>
      <c r="O2687" s="65"/>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0" ht="15.75" customHeight="1">
      <c r="A2688" s="327" t="str">
        <f>IF(B2688&lt;&gt;"",IF(AND(B2688='IN-TC'!$S$4,OR(TH!N2688="1111",TH!O2688="1111")),TH!D2688,""),"")</f>
        <v/>
      </c>
      <c r="B2688" s="62" t="str">
        <f t="shared" si="383"/>
        <v/>
      </c>
      <c r="C2688" s="309"/>
      <c r="D2688" s="309"/>
      <c r="E2688" s="309"/>
      <c r="F2688" s="477"/>
      <c r="G2688" s="816"/>
      <c r="H2688" s="71"/>
      <c r="I2688" s="405"/>
      <c r="J2688" s="405"/>
      <c r="K2688" s="398"/>
      <c r="L2688" s="405"/>
      <c r="M2688" s="64"/>
      <c r="N2688" s="65"/>
      <c r="O2688" s="65"/>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0" ht="15.75" customHeight="1">
      <c r="A2689" s="327" t="str">
        <f>IF(B2689&lt;&gt;"",IF(AND(B2689='IN-TC'!$S$4,OR(TH!N2689="1111",TH!O2689="1111")),TH!D2689,""),"")</f>
        <v/>
      </c>
      <c r="B2689" s="62" t="str">
        <f t="shared" si="383"/>
        <v/>
      </c>
      <c r="C2689" s="309"/>
      <c r="D2689" s="309"/>
      <c r="E2689" s="309"/>
      <c r="F2689" s="477"/>
      <c r="G2689" s="816"/>
      <c r="H2689" s="71"/>
      <c r="I2689" s="405"/>
      <c r="J2689" s="405"/>
      <c r="K2689" s="398"/>
      <c r="L2689" s="405"/>
      <c r="M2689" s="64"/>
      <c r="N2689" s="65"/>
      <c r="O2689" s="65"/>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0" ht="15.75" customHeight="1">
      <c r="A2690" s="327" t="str">
        <f>IF(B2690&lt;&gt;"",IF(AND(B2690='IN-TC'!$S$4,OR(TH!N2690="1111",TH!O2690="1111")),TH!D2690,""),"")</f>
        <v/>
      </c>
      <c r="B2690" s="62" t="str">
        <f t="shared" si="383"/>
        <v/>
      </c>
      <c r="C2690" s="309"/>
      <c r="D2690" s="309"/>
      <c r="E2690" s="309"/>
      <c r="F2690" s="477"/>
      <c r="G2690" s="310"/>
      <c r="H2690" s="311"/>
      <c r="I2690" s="405"/>
      <c r="J2690" s="405"/>
      <c r="K2690" s="398"/>
      <c r="L2690" s="405"/>
      <c r="M2690" s="64"/>
      <c r="N2690" s="65"/>
      <c r="O2690" s="65"/>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0" ht="15.75" customHeight="1">
      <c r="A2691" s="327" t="str">
        <f>IF(B2691&lt;&gt;"",IF(AND(B2691='IN-TC'!$S$4,OR(TH!N2691="1111",TH!O2691="1111")),TH!D2691,""),"")</f>
        <v/>
      </c>
      <c r="B2691" s="62" t="str">
        <f t="shared" si="383"/>
        <v/>
      </c>
      <c r="C2691" s="309"/>
      <c r="D2691" s="309"/>
      <c r="E2691" s="309"/>
      <c r="F2691" s="477"/>
      <c r="G2691" s="819"/>
      <c r="H2691" s="311"/>
      <c r="I2691" s="405"/>
      <c r="J2691" s="405"/>
      <c r="K2691" s="398"/>
      <c r="L2691" s="405"/>
      <c r="M2691" s="64"/>
      <c r="N2691" s="312"/>
      <c r="O2691" s="65"/>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row>
    <row r="2692" spans="1:30" ht="15.75" customHeight="1">
      <c r="A2692" s="327" t="str">
        <f>IF(B2692&lt;&gt;"",IF(AND(B2692='IN-TC'!$S$4,OR(TH!N2692="1111",TH!O2692="1111")),TH!D2692,""),"")</f>
        <v/>
      </c>
      <c r="B2692" s="62" t="str">
        <f t="shared" si="383"/>
        <v/>
      </c>
      <c r="C2692" s="309"/>
      <c r="D2692" s="309"/>
      <c r="E2692" s="309"/>
      <c r="F2692" s="477"/>
      <c r="G2692" s="819"/>
      <c r="H2692" s="311"/>
      <c r="I2692" s="405"/>
      <c r="J2692" s="405"/>
      <c r="K2692" s="398"/>
      <c r="L2692" s="405"/>
      <c r="M2692" s="64"/>
      <c r="N2692" s="312"/>
      <c r="O2692" s="65"/>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row>
    <row r="2693" spans="1:30" ht="15.75" customHeight="1">
      <c r="A2693" s="327" t="str">
        <f>IF(B2693&lt;&gt;"",IF(AND(B2693='IN-TC'!$S$4,OR(TH!N2693="1111",TH!O2693="1111")),TH!D2693,""),"")</f>
        <v/>
      </c>
      <c r="B2693" s="62" t="str">
        <f t="shared" si="383"/>
        <v/>
      </c>
      <c r="C2693" s="309"/>
      <c r="D2693" s="309"/>
      <c r="E2693" s="309"/>
      <c r="F2693" s="477"/>
      <c r="G2693" s="819"/>
      <c r="H2693" s="311"/>
      <c r="I2693" s="405"/>
      <c r="J2693" s="405"/>
      <c r="K2693" s="398"/>
      <c r="L2693" s="405"/>
      <c r="M2693" s="64"/>
      <c r="N2693" s="312"/>
      <c r="O2693" s="65"/>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0" ht="15.75" customHeight="1">
      <c r="A2694" s="327" t="str">
        <f>IF(B2694&lt;&gt;"",IF(AND(B2694='IN-TC'!$S$4,OR(TH!N2694="1111",TH!O2694="1111")),TH!D2694,""),"")</f>
        <v/>
      </c>
      <c r="B2694" s="62" t="str">
        <f t="shared" si="383"/>
        <v/>
      </c>
      <c r="C2694" s="309"/>
      <c r="D2694" s="309"/>
      <c r="E2694" s="309"/>
      <c r="F2694" s="477"/>
      <c r="G2694" s="819"/>
      <c r="H2694" s="311"/>
      <c r="I2694" s="405"/>
      <c r="J2694" s="405"/>
      <c r="K2694" s="398"/>
      <c r="L2694" s="405"/>
      <c r="M2694" s="64"/>
      <c r="N2694" s="312"/>
      <c r="O2694" s="65"/>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0" ht="15.75" customHeight="1">
      <c r="A2695" s="327" t="str">
        <f>IF(B2695&lt;&gt;"",IF(AND(B2695='IN-TC'!$S$4,OR(TH!N2695="1111",TH!O2695="1111")),TH!D2695,""),"")</f>
        <v/>
      </c>
      <c r="B2695" s="62" t="str">
        <f t="shared" si="383"/>
        <v/>
      </c>
      <c r="C2695" s="63"/>
      <c r="D2695" s="309"/>
      <c r="E2695" s="63"/>
      <c r="F2695" s="477"/>
      <c r="G2695" s="66"/>
      <c r="H2695" s="330"/>
      <c r="I2695" s="405"/>
      <c r="J2695" s="405"/>
      <c r="K2695" s="398"/>
      <c r="L2695" s="405"/>
      <c r="M2695" s="64"/>
      <c r="N2695" s="65"/>
      <c r="O2695" s="65"/>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0" ht="15.75" customHeight="1">
      <c r="A2696" s="327" t="str">
        <f>IF(B2696&lt;&gt;"",IF(AND(B2696='IN-TC'!$S$4,OR(TH!N2696="1111",TH!O2696="1111")),TH!D2696,""),"")</f>
        <v/>
      </c>
      <c r="B2696" s="62" t="str">
        <f t="shared" si="383"/>
        <v/>
      </c>
      <c r="C2696" s="63"/>
      <c r="D2696" s="309"/>
      <c r="E2696" s="63"/>
      <c r="F2696" s="477"/>
      <c r="G2696" s="66"/>
      <c r="H2696" s="71"/>
      <c r="I2696" s="405"/>
      <c r="J2696" s="405"/>
      <c r="K2696" s="398"/>
      <c r="L2696" s="405"/>
      <c r="M2696" s="64"/>
      <c r="N2696" s="65"/>
      <c r="O2696" s="65"/>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0" ht="15.75" customHeight="1">
      <c r="A2697" s="327" t="str">
        <f>IF(B2697&lt;&gt;"",IF(AND(B2697='IN-TC'!$S$4,OR(TH!N2697="1111",TH!O2697="1111")),TH!D2697,""),"")</f>
        <v/>
      </c>
      <c r="B2697" s="62" t="str">
        <f t="shared" si="383"/>
        <v/>
      </c>
      <c r="C2697" s="63"/>
      <c r="D2697" s="309"/>
      <c r="E2697" s="63"/>
      <c r="F2697" s="477"/>
      <c r="G2697" s="66"/>
      <c r="H2697" s="71"/>
      <c r="I2697" s="405"/>
      <c r="J2697" s="405"/>
      <c r="K2697" s="398"/>
      <c r="L2697" s="405"/>
      <c r="M2697" s="64"/>
      <c r="N2697" s="65"/>
      <c r="O2697" s="65"/>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0" ht="15.75" customHeight="1">
      <c r="A2698" s="327" t="str">
        <f>IF(B2698&lt;&gt;"",IF(AND(B2698='IN-TC'!$S$4,OR(TH!N2698="1111",TH!O2698="1111")),TH!D2698,""),"")</f>
        <v/>
      </c>
      <c r="B2698" s="62" t="str">
        <f t="shared" si="383"/>
        <v/>
      </c>
      <c r="C2698" s="63"/>
      <c r="D2698" s="63"/>
      <c r="E2698" s="63"/>
      <c r="F2698" s="477"/>
      <c r="G2698" s="66"/>
      <c r="H2698" s="71"/>
      <c r="I2698" s="405"/>
      <c r="J2698" s="405"/>
      <c r="K2698" s="398"/>
      <c r="L2698" s="405"/>
      <c r="M2698" s="64"/>
      <c r="N2698" s="65"/>
      <c r="O2698" s="65"/>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0" ht="15.75" customHeight="1">
      <c r="A2699" s="327" t="str">
        <f>IF(B2699&lt;&gt;"",IF(AND(B2699='IN-TC'!$S$4,OR(TH!N2699="1111",TH!O2699="1111")),TH!D2699,""),"")</f>
        <v/>
      </c>
      <c r="B2699" s="62" t="str">
        <f t="shared" si="383"/>
        <v/>
      </c>
      <c r="C2699" s="309"/>
      <c r="D2699" s="309"/>
      <c r="E2699" s="309"/>
      <c r="F2699" s="477"/>
      <c r="G2699" s="819"/>
      <c r="H2699" s="71"/>
      <c r="I2699" s="405"/>
      <c r="J2699" s="405"/>
      <c r="K2699" s="398"/>
      <c r="L2699" s="405"/>
      <c r="M2699" s="64"/>
      <c r="N2699" s="312"/>
      <c r="O2699" s="65"/>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0" ht="15.75" customHeight="1">
      <c r="A2700" s="327" t="str">
        <f>IF(B2700&lt;&gt;"",IF(AND(B2700='IN-TC'!$S$4,OR(TH!N2700="1111",TH!O2700="1111")),TH!D2700,""),"")</f>
        <v/>
      </c>
      <c r="B2700" s="62" t="str">
        <f t="shared" si="383"/>
        <v/>
      </c>
      <c r="C2700" s="309"/>
      <c r="D2700" s="309"/>
      <c r="E2700" s="309"/>
      <c r="F2700" s="477"/>
      <c r="G2700" s="819"/>
      <c r="H2700" s="71"/>
      <c r="I2700" s="405"/>
      <c r="J2700" s="405"/>
      <c r="K2700" s="398"/>
      <c r="L2700" s="405"/>
      <c r="M2700" s="64"/>
      <c r="N2700" s="312"/>
      <c r="O2700" s="65"/>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0" ht="15.75" customHeight="1">
      <c r="A2701" s="327" t="str">
        <f>IF(B2701&lt;&gt;"",IF(AND(B2701='IN-TC'!$S$4,OR(TH!N2701="1111",TH!O2701="1111")),TH!D2701,""),"")</f>
        <v/>
      </c>
      <c r="B2701" s="62" t="str">
        <f t="shared" si="383"/>
        <v/>
      </c>
      <c r="C2701" s="309"/>
      <c r="D2701" s="309"/>
      <c r="E2701" s="309"/>
      <c r="F2701" s="477"/>
      <c r="G2701" s="819"/>
      <c r="H2701" s="71"/>
      <c r="I2701" s="405"/>
      <c r="J2701" s="405"/>
      <c r="K2701" s="398"/>
      <c r="L2701" s="405"/>
      <c r="M2701" s="64"/>
      <c r="N2701" s="312"/>
      <c r="O2701" s="65"/>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0" ht="15.75" customHeight="1">
      <c r="A2702" s="327" t="str">
        <f>IF(B2702&lt;&gt;"",IF(AND(B2702='IN-TC'!$S$4,OR(TH!N2702="1111",TH!O2702="1111")),TH!D2702,""),"")</f>
        <v/>
      </c>
      <c r="B2702" s="62" t="str">
        <f t="shared" si="383"/>
        <v/>
      </c>
      <c r="C2702" s="309"/>
      <c r="D2702" s="309"/>
      <c r="E2702" s="309"/>
      <c r="F2702" s="477"/>
      <c r="G2702" s="819"/>
      <c r="H2702" s="71"/>
      <c r="I2702" s="405"/>
      <c r="J2702" s="405"/>
      <c r="K2702" s="398"/>
      <c r="L2702" s="405"/>
      <c r="M2702" s="64"/>
      <c r="N2702" s="312"/>
      <c r="O2702" s="65"/>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0" ht="15.75" customHeight="1">
      <c r="A2703" s="327" t="str">
        <f>IF(B2703&lt;&gt;"",IF(AND(B2703='IN-TC'!$S$4,OR(TH!N2703="1111",TH!O2703="1111")),TH!D2703,""),"")</f>
        <v/>
      </c>
      <c r="B2703" s="62" t="str">
        <f t="shared" si="383"/>
        <v/>
      </c>
      <c r="C2703" s="309"/>
      <c r="D2703" s="309"/>
      <c r="E2703" s="309"/>
      <c r="F2703" s="477"/>
      <c r="G2703" s="819"/>
      <c r="H2703" s="71"/>
      <c r="I2703" s="405"/>
      <c r="J2703" s="405"/>
      <c r="K2703" s="398"/>
      <c r="L2703" s="405"/>
      <c r="M2703" s="64"/>
      <c r="N2703" s="312"/>
      <c r="O2703" s="65"/>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0" ht="15.75" customHeight="1">
      <c r="A2704" s="327" t="str">
        <f>IF(B2704&lt;&gt;"",IF(AND(B2704='IN-TC'!$S$4,OR(TH!N2704="1111",TH!O2704="1111")),TH!D2704,""),"")</f>
        <v/>
      </c>
      <c r="B2704" s="62" t="str">
        <f t="shared" si="383"/>
        <v/>
      </c>
      <c r="C2704" s="309"/>
      <c r="D2704" s="309"/>
      <c r="E2704" s="309"/>
      <c r="F2704" s="477"/>
      <c r="G2704" s="819"/>
      <c r="H2704" s="71"/>
      <c r="I2704" s="405"/>
      <c r="J2704" s="405"/>
      <c r="K2704" s="398"/>
      <c r="L2704" s="405"/>
      <c r="M2704" s="64"/>
      <c r="N2704" s="312"/>
      <c r="O2704" s="65"/>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row>
    <row r="2705" spans="1:30" ht="15.75" customHeight="1">
      <c r="A2705" s="327" t="str">
        <f>IF(B2705&lt;&gt;"",IF(AND(B2705='IN-TC'!$S$4,OR(TH!N2705="1111",TH!O2705="1111")),TH!D2705,""),"")</f>
        <v/>
      </c>
      <c r="B2705" s="62" t="str">
        <f t="shared" si="383"/>
        <v/>
      </c>
      <c r="C2705" s="309"/>
      <c r="D2705" s="309"/>
      <c r="E2705" s="309"/>
      <c r="F2705" s="477"/>
      <c r="G2705" s="819"/>
      <c r="H2705" s="71"/>
      <c r="I2705" s="405"/>
      <c r="J2705" s="405"/>
      <c r="K2705" s="398"/>
      <c r="L2705" s="405"/>
      <c r="M2705" s="64"/>
      <c r="N2705" s="312"/>
      <c r="O2705" s="65"/>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
      </c>
      <c r="W2705" s="81" t="str">
        <f>IF(AND('341-CT'!$H$9=H2705,OR(LEFT(N2705,3)=$W$7,LEFT(O2705,3)=$W$7)),"x","")</f>
        <v/>
      </c>
      <c r="X2705" s="81" t="str">
        <f>IF(OR(TH!N2705=TH!$X$7,O2705=TH!$X$7),"x","")</f>
        <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row>
    <row r="2706" spans="1:30" ht="15.75" customHeight="1">
      <c r="A2706" s="327" t="str">
        <f>IF(B2706&lt;&gt;"",IF(AND(B2706='IN-TC'!$S$4,OR(TH!N2706="1111",TH!O2706="1111")),TH!D2706,""),"")</f>
        <v/>
      </c>
      <c r="B2706" s="62" t="str">
        <f t="shared" si="383"/>
        <v/>
      </c>
      <c r="C2706" s="309"/>
      <c r="D2706" s="309"/>
      <c r="E2706" s="309"/>
      <c r="F2706" s="477"/>
      <c r="G2706" s="819"/>
      <c r="H2706" s="71"/>
      <c r="I2706" s="405"/>
      <c r="J2706" s="405"/>
      <c r="K2706" s="398"/>
      <c r="L2706" s="405"/>
      <c r="M2706" s="64"/>
      <c r="N2706" s="312"/>
      <c r="O2706" s="65"/>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0" ht="15.75" customHeight="1">
      <c r="A2707" s="327" t="str">
        <f>IF(B2707&lt;&gt;"",IF(AND(B2707='IN-TC'!$S$4,OR(TH!N2707="1111",TH!O2707="1111")),TH!D2707,""),"")</f>
        <v/>
      </c>
      <c r="B2707" s="62" t="str">
        <f t="shared" si="383"/>
        <v/>
      </c>
      <c r="C2707" s="309"/>
      <c r="D2707" s="309"/>
      <c r="E2707" s="309"/>
      <c r="F2707" s="477"/>
      <c r="G2707" s="819"/>
      <c r="H2707" s="311"/>
      <c r="I2707" s="407"/>
      <c r="J2707" s="407"/>
      <c r="K2707" s="400"/>
      <c r="L2707" s="407"/>
      <c r="M2707" s="64"/>
      <c r="N2707" s="312"/>
      <c r="O2707" s="65"/>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0" ht="15.75" customHeight="1">
      <c r="A2708" s="327" t="str">
        <f>IF(B2708&lt;&gt;"",IF(AND(B2708='IN-TC'!$S$4,OR(TH!N2708="1111",TH!O2708="1111")),TH!D2708,""),"")</f>
        <v/>
      </c>
      <c r="B2708" s="62" t="str">
        <f t="shared" si="383"/>
        <v/>
      </c>
      <c r="C2708" s="309"/>
      <c r="D2708" s="309"/>
      <c r="E2708" s="309"/>
      <c r="F2708" s="477"/>
      <c r="G2708" s="819"/>
      <c r="H2708" s="311"/>
      <c r="I2708" s="405"/>
      <c r="J2708" s="405"/>
      <c r="K2708" s="398"/>
      <c r="L2708" s="405"/>
      <c r="M2708" s="64"/>
      <c r="N2708" s="312"/>
      <c r="O2708" s="65"/>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0" ht="15.75" customHeight="1">
      <c r="A2709" s="327" t="str">
        <f>IF(B2709&lt;&gt;"",IF(AND(B2709='IN-TC'!$S$4,OR(TH!N2709="1111",TH!O2709="1111")),TH!D2709,""),"")</f>
        <v/>
      </c>
      <c r="B2709" s="62" t="str">
        <f t="shared" si="383"/>
        <v/>
      </c>
      <c r="C2709" s="309"/>
      <c r="D2709" s="309"/>
      <c r="E2709" s="309"/>
      <c r="F2709" s="477"/>
      <c r="G2709" s="819"/>
      <c r="H2709" s="71"/>
      <c r="I2709" s="405"/>
      <c r="J2709" s="405"/>
      <c r="K2709" s="398"/>
      <c r="L2709" s="405"/>
      <c r="M2709" s="64"/>
      <c r="N2709" s="312"/>
      <c r="O2709" s="65"/>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0" ht="15.75" customHeight="1">
      <c r="A2710" s="327" t="str">
        <f>IF(B2710&lt;&gt;"",IF(AND(B2710='IN-TC'!$S$4,OR(TH!N2710="1111",TH!O2710="1111")),TH!D2710,""),"")</f>
        <v/>
      </c>
      <c r="B2710" s="62" t="str">
        <f t="shared" ref="B2710:B2773" si="384">IF(C2710&lt;&gt;"",MONTH(C2710),"")</f>
        <v/>
      </c>
      <c r="C2710" s="309"/>
      <c r="D2710" s="309"/>
      <c r="E2710" s="309"/>
      <c r="F2710" s="477"/>
      <c r="G2710" s="819"/>
      <c r="H2710" s="71"/>
      <c r="I2710" s="405"/>
      <c r="J2710" s="405"/>
      <c r="K2710" s="398"/>
      <c r="L2710" s="405"/>
      <c r="M2710" s="64"/>
      <c r="N2710" s="312"/>
      <c r="O2710" s="65"/>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0" ht="15.75" customHeight="1">
      <c r="A2711" s="327" t="str">
        <f>IF(B2711&lt;&gt;"",IF(AND(B2711='IN-TC'!$S$4,OR(TH!N2711="1111",TH!O2711="1111")),TH!D2711,""),"")</f>
        <v/>
      </c>
      <c r="B2711" s="62" t="str">
        <f t="shared" si="384"/>
        <v/>
      </c>
      <c r="C2711" s="309"/>
      <c r="D2711" s="309"/>
      <c r="E2711" s="309"/>
      <c r="F2711" s="477"/>
      <c r="G2711" s="819"/>
      <c r="H2711" s="311"/>
      <c r="I2711" s="405"/>
      <c r="J2711" s="405"/>
      <c r="K2711" s="398"/>
      <c r="L2711" s="405"/>
      <c r="M2711" s="64"/>
      <c r="N2711" s="312"/>
      <c r="O2711" s="65"/>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0" ht="15.75" customHeight="1">
      <c r="A2712" s="327" t="str">
        <f>IF(B2712&lt;&gt;"",IF(AND(B2712='IN-TC'!$S$4,OR(TH!N2712="1111",TH!O2712="1111")),TH!D2712,""),"")</f>
        <v/>
      </c>
      <c r="B2712" s="62" t="str">
        <f t="shared" si="384"/>
        <v/>
      </c>
      <c r="C2712" s="309"/>
      <c r="D2712" s="309"/>
      <c r="E2712" s="309"/>
      <c r="F2712" s="477"/>
      <c r="G2712" s="819"/>
      <c r="H2712" s="311"/>
      <c r="I2712" s="405"/>
      <c r="J2712" s="405"/>
      <c r="K2712" s="398"/>
      <c r="L2712" s="405"/>
      <c r="M2712" s="64"/>
      <c r="N2712" s="312"/>
      <c r="O2712" s="65"/>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0" ht="15.75" customHeight="1">
      <c r="A2713" s="327" t="str">
        <f>IF(B2713&lt;&gt;"",IF(AND(B2713='IN-TC'!$S$4,OR(TH!N2713="1111",TH!O2713="1111")),TH!D2713,""),"")</f>
        <v/>
      </c>
      <c r="B2713" s="62" t="str">
        <f t="shared" si="384"/>
        <v/>
      </c>
      <c r="C2713" s="309"/>
      <c r="D2713" s="309"/>
      <c r="E2713" s="309"/>
      <c r="F2713" s="477"/>
      <c r="G2713" s="819"/>
      <c r="H2713" s="311"/>
      <c r="I2713" s="407"/>
      <c r="J2713" s="407"/>
      <c r="K2713" s="400"/>
      <c r="L2713" s="407"/>
      <c r="M2713" s="64"/>
      <c r="N2713" s="312"/>
      <c r="O2713" s="65"/>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0" ht="15.75" customHeight="1">
      <c r="A2714" s="327" t="str">
        <f>IF(B2714&lt;&gt;"",IF(AND(B2714='IN-TC'!$S$4,OR(TH!N2714="1111",TH!O2714="1111")),TH!D2714,""),"")</f>
        <v/>
      </c>
      <c r="B2714" s="62" t="str">
        <f t="shared" si="384"/>
        <v/>
      </c>
      <c r="C2714" s="309"/>
      <c r="D2714" s="309"/>
      <c r="E2714" s="309"/>
      <c r="F2714" s="477"/>
      <c r="G2714" s="819"/>
      <c r="H2714" s="311"/>
      <c r="I2714" s="405"/>
      <c r="J2714" s="405"/>
      <c r="K2714" s="398"/>
      <c r="L2714" s="405"/>
      <c r="M2714" s="64"/>
      <c r="N2714" s="312"/>
      <c r="O2714" s="65"/>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0" ht="15.75" customHeight="1">
      <c r="A2715" s="327" t="str">
        <f>IF(B2715&lt;&gt;"",IF(AND(B2715='IN-TC'!$S$4,OR(TH!N2715="1111",TH!O2715="1111")),TH!D2715,""),"")</f>
        <v/>
      </c>
      <c r="B2715" s="62" t="str">
        <f t="shared" si="384"/>
        <v/>
      </c>
      <c r="C2715" s="309"/>
      <c r="D2715" s="63"/>
      <c r="E2715" s="309"/>
      <c r="F2715" s="477"/>
      <c r="G2715" s="310"/>
      <c r="H2715" s="330"/>
      <c r="I2715" s="405"/>
      <c r="J2715" s="405"/>
      <c r="K2715" s="398"/>
      <c r="L2715" s="405"/>
      <c r="M2715" s="64"/>
      <c r="N2715" s="312"/>
      <c r="O2715" s="65"/>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0" ht="15.75" customHeight="1">
      <c r="A2716" s="327" t="str">
        <f>IF(B2716&lt;&gt;"",IF(AND(B2716='IN-TC'!$S$4,OR(TH!N2716="1111",TH!O2716="1111")),TH!D2716,""),"")</f>
        <v/>
      </c>
      <c r="B2716" s="62" t="str">
        <f t="shared" si="384"/>
        <v/>
      </c>
      <c r="C2716" s="309"/>
      <c r="D2716" s="63"/>
      <c r="E2716" s="309"/>
      <c r="F2716" s="71"/>
      <c r="G2716" s="310"/>
      <c r="H2716" s="71"/>
      <c r="I2716" s="405"/>
      <c r="J2716" s="405"/>
      <c r="K2716" s="398"/>
      <c r="L2716" s="405"/>
      <c r="M2716" s="64"/>
      <c r="N2716" s="312"/>
      <c r="O2716" s="65"/>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0" ht="15.75" customHeight="1">
      <c r="A2717" s="327" t="str">
        <f>IF(B2717&lt;&gt;"",IF(AND(B2717='IN-TC'!$S$4,OR(TH!N2717="1111",TH!O2717="1111")),TH!D2717,""),"")</f>
        <v/>
      </c>
      <c r="B2717" s="62" t="str">
        <f t="shared" si="384"/>
        <v/>
      </c>
      <c r="C2717" s="309"/>
      <c r="D2717" s="63"/>
      <c r="E2717" s="309"/>
      <c r="F2717" s="71"/>
      <c r="G2717" s="310"/>
      <c r="H2717" s="330"/>
      <c r="I2717" s="405"/>
      <c r="J2717" s="405"/>
      <c r="K2717" s="398"/>
      <c r="L2717" s="405"/>
      <c r="M2717" s="64"/>
      <c r="N2717" s="312"/>
      <c r="O2717" s="312"/>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0" ht="15.75" customHeight="1">
      <c r="A2718" s="327" t="str">
        <f>IF(B2718&lt;&gt;"",IF(AND(B2718='IN-TC'!$S$4,OR(TH!N2718="1111",TH!O2718="1111")),TH!D2718,""),"")</f>
        <v/>
      </c>
      <c r="B2718" s="62" t="str">
        <f t="shared" si="384"/>
        <v/>
      </c>
      <c r="C2718" s="309"/>
      <c r="D2718" s="309"/>
      <c r="E2718" s="309"/>
      <c r="F2718" s="71"/>
      <c r="G2718" s="310"/>
      <c r="H2718" s="330"/>
      <c r="I2718" s="405"/>
      <c r="J2718" s="405"/>
      <c r="K2718" s="398"/>
      <c r="L2718" s="405"/>
      <c r="M2718" s="64"/>
      <c r="N2718" s="312"/>
      <c r="O2718" s="65"/>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0" ht="15.75" customHeight="1">
      <c r="A2719" s="327" t="str">
        <f>IF(B2719&lt;&gt;"",IF(AND(B2719='IN-TC'!$S$4,OR(TH!N2719="1111",TH!O2719="1111")),TH!D2719,""),"")</f>
        <v/>
      </c>
      <c r="B2719" s="62" t="str">
        <f t="shared" si="384"/>
        <v/>
      </c>
      <c r="C2719" s="309"/>
      <c r="D2719" s="63"/>
      <c r="E2719" s="309"/>
      <c r="F2719" s="71"/>
      <c r="G2719" s="310"/>
      <c r="H2719" s="311"/>
      <c r="I2719" s="405"/>
      <c r="J2719" s="405"/>
      <c r="K2719" s="398"/>
      <c r="L2719" s="405"/>
      <c r="M2719" s="64"/>
      <c r="N2719" s="65"/>
      <c r="O2719" s="312"/>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row>
    <row r="2720" spans="1:30" ht="15.75" customHeight="1">
      <c r="A2720" s="327" t="str">
        <f>IF(B2720&lt;&gt;"",IF(AND(B2720='IN-TC'!$S$4,OR(TH!N2720="1111",TH!O2720="1111")),TH!D2720,""),"")</f>
        <v/>
      </c>
      <c r="B2720" s="62" t="str">
        <f t="shared" si="384"/>
        <v/>
      </c>
      <c r="C2720" s="63"/>
      <c r="D2720" s="309"/>
      <c r="E2720" s="63"/>
      <c r="F2720" s="71"/>
      <c r="G2720" s="66"/>
      <c r="H2720" s="330"/>
      <c r="I2720" s="405"/>
      <c r="J2720" s="405"/>
      <c r="K2720" s="398"/>
      <c r="L2720" s="405"/>
      <c r="M2720" s="64"/>
      <c r="N2720" s="65"/>
      <c r="O2720" s="65"/>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
      </c>
      <c r="W2720" s="81" t="str">
        <f>IF(AND('341-CT'!$H$9=H2720,OR(LEFT(N2720,3)=$W$7,LEFT(O2720,3)=$W$7)),"x","")</f>
        <v/>
      </c>
      <c r="X2720" s="81" t="str">
        <f>IF(OR(TH!N2720=TH!$X$7,O2720=TH!$X$7),"x","")</f>
        <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row>
    <row r="2721" spans="1:30" ht="15.75" customHeight="1">
      <c r="A2721" s="327" t="str">
        <f>IF(B2721&lt;&gt;"",IF(AND(B2721='IN-TC'!$S$4,OR(TH!N2721="1111",TH!O2721="1111")),TH!D2721,""),"")</f>
        <v/>
      </c>
      <c r="B2721" s="62" t="str">
        <f t="shared" si="384"/>
        <v/>
      </c>
      <c r="C2721" s="63"/>
      <c r="D2721" s="309"/>
      <c r="E2721" s="63"/>
      <c r="F2721" s="71"/>
      <c r="G2721" s="66"/>
      <c r="H2721" s="330"/>
      <c r="I2721" s="405"/>
      <c r="J2721" s="405"/>
      <c r="K2721" s="398"/>
      <c r="L2721" s="405"/>
      <c r="M2721" s="64"/>
      <c r="N2721" s="65"/>
      <c r="O2721" s="65"/>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0" ht="15.75" customHeight="1">
      <c r="A2722" s="327" t="str">
        <f>IF(B2722&lt;&gt;"",IF(AND(B2722='IN-TC'!$S$4,OR(TH!N2722="1111",TH!O2722="1111")),TH!D2722,""),"")</f>
        <v/>
      </c>
      <c r="B2722" s="62" t="str">
        <f t="shared" si="384"/>
        <v/>
      </c>
      <c r="C2722" s="63"/>
      <c r="D2722" s="309"/>
      <c r="E2722" s="63"/>
      <c r="F2722" s="71"/>
      <c r="G2722" s="66"/>
      <c r="H2722" s="330"/>
      <c r="I2722" s="405"/>
      <c r="J2722" s="405"/>
      <c r="K2722" s="398"/>
      <c r="L2722" s="405"/>
      <c r="M2722" s="64"/>
      <c r="N2722" s="65"/>
      <c r="O2722" s="65"/>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0" ht="15.75" customHeight="1">
      <c r="A2723" s="327" t="str">
        <f>IF(B2723&lt;&gt;"",IF(AND(B2723='IN-TC'!$S$4,OR(TH!N2723="1111",TH!O2723="1111")),TH!D2723,""),"")</f>
        <v/>
      </c>
      <c r="B2723" s="62" t="str">
        <f t="shared" si="384"/>
        <v/>
      </c>
      <c r="C2723" s="63"/>
      <c r="D2723" s="309"/>
      <c r="E2723" s="63"/>
      <c r="F2723" s="71"/>
      <c r="G2723" s="66"/>
      <c r="H2723" s="330"/>
      <c r="I2723" s="405"/>
      <c r="J2723" s="405"/>
      <c r="K2723" s="398"/>
      <c r="L2723" s="405"/>
      <c r="M2723" s="64"/>
      <c r="N2723" s="65"/>
      <c r="O2723" s="65"/>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0" ht="15.75" customHeight="1">
      <c r="A2724" s="327" t="str">
        <f>IF(B2724&lt;&gt;"",IF(AND(B2724='IN-TC'!$S$4,OR(TH!N2724="1111",TH!O2724="1111")),TH!D2724,""),"")</f>
        <v/>
      </c>
      <c r="B2724" s="62" t="str">
        <f t="shared" si="384"/>
        <v/>
      </c>
      <c r="C2724" s="63"/>
      <c r="D2724" s="309"/>
      <c r="E2724" s="63"/>
      <c r="F2724" s="71"/>
      <c r="G2724" s="66"/>
      <c r="H2724" s="330"/>
      <c r="I2724" s="405"/>
      <c r="J2724" s="405"/>
      <c r="K2724" s="398"/>
      <c r="L2724" s="405"/>
      <c r="M2724" s="64"/>
      <c r="N2724" s="65"/>
      <c r="O2724" s="65"/>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0" ht="15.75" customHeight="1">
      <c r="A2725" s="327" t="str">
        <f>IF(B2725&lt;&gt;"",IF(AND(B2725='IN-TC'!$S$4,OR(TH!N2725="1111",TH!O2725="1111")),TH!D2725,""),"")</f>
        <v/>
      </c>
      <c r="B2725" s="62" t="str">
        <f t="shared" si="384"/>
        <v/>
      </c>
      <c r="C2725" s="63"/>
      <c r="D2725" s="309"/>
      <c r="E2725" s="63"/>
      <c r="F2725" s="71"/>
      <c r="G2725" s="66"/>
      <c r="H2725" s="330"/>
      <c r="I2725" s="405"/>
      <c r="J2725" s="405"/>
      <c r="K2725" s="398"/>
      <c r="L2725" s="405"/>
      <c r="M2725" s="64"/>
      <c r="N2725" s="65"/>
      <c r="O2725" s="65"/>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0" ht="15.75" customHeight="1">
      <c r="A2726" s="327" t="str">
        <f>IF(B2726&lt;&gt;"",IF(AND(B2726='IN-TC'!$S$4,OR(TH!N2726="1111",TH!O2726="1111")),TH!D2726,""),"")</f>
        <v/>
      </c>
      <c r="B2726" s="62" t="str">
        <f t="shared" si="384"/>
        <v/>
      </c>
      <c r="C2726" s="63"/>
      <c r="D2726" s="309"/>
      <c r="E2726" s="63"/>
      <c r="F2726" s="71"/>
      <c r="G2726" s="66"/>
      <c r="H2726" s="330"/>
      <c r="I2726" s="405"/>
      <c r="J2726" s="405"/>
      <c r="K2726" s="398"/>
      <c r="L2726" s="405"/>
      <c r="M2726" s="64"/>
      <c r="N2726" s="65"/>
      <c r="O2726" s="65"/>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0" ht="15.75" customHeight="1">
      <c r="A2727" s="327" t="str">
        <f>IF(B2727&lt;&gt;"",IF(AND(B2727='IN-TC'!$S$4,OR(TH!N2727="1111",TH!O2727="1111")),TH!D2727,""),"")</f>
        <v/>
      </c>
      <c r="B2727" s="62" t="str">
        <f t="shared" si="384"/>
        <v/>
      </c>
      <c r="C2727" s="63"/>
      <c r="D2727" s="309"/>
      <c r="E2727" s="63"/>
      <c r="F2727" s="71"/>
      <c r="G2727" s="66"/>
      <c r="H2727" s="311"/>
      <c r="I2727" s="405"/>
      <c r="J2727" s="405"/>
      <c r="K2727" s="398"/>
      <c r="L2727" s="405"/>
      <c r="M2727" s="64"/>
      <c r="N2727" s="312"/>
      <c r="O2727" s="65"/>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0" ht="15.75" customHeight="1">
      <c r="A2728" s="327" t="str">
        <f>IF(B2728&lt;&gt;"",IF(AND(B2728='IN-TC'!$S$4,OR(TH!N2728="1111",TH!O2728="1111")),TH!D2728,""),"")</f>
        <v/>
      </c>
      <c r="B2728" s="62" t="str">
        <f t="shared" si="384"/>
        <v/>
      </c>
      <c r="C2728" s="63"/>
      <c r="D2728" s="309"/>
      <c r="E2728" s="63"/>
      <c r="F2728" s="477"/>
      <c r="G2728" s="310"/>
      <c r="H2728" s="311"/>
      <c r="I2728" s="405"/>
      <c r="J2728" s="405"/>
      <c r="K2728" s="398"/>
      <c r="L2728" s="405"/>
      <c r="M2728" s="64"/>
      <c r="N2728" s="65"/>
      <c r="O2728" s="65"/>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0" ht="15.75" customHeight="1">
      <c r="A2729" s="327" t="str">
        <f>IF(B2729&lt;&gt;"",IF(AND(B2729='IN-TC'!$S$4,OR(TH!N2729="1111",TH!O2729="1111")),TH!D2729,""),"")</f>
        <v/>
      </c>
      <c r="B2729" s="62" t="str">
        <f t="shared" si="384"/>
        <v/>
      </c>
      <c r="C2729" s="63"/>
      <c r="D2729" s="63"/>
      <c r="E2729" s="63"/>
      <c r="F2729" s="477"/>
      <c r="G2729" s="66"/>
      <c r="H2729" s="71"/>
      <c r="I2729" s="405"/>
      <c r="J2729" s="405"/>
      <c r="K2729" s="398"/>
      <c r="L2729" s="405"/>
      <c r="M2729" s="64"/>
      <c r="N2729" s="65"/>
      <c r="O2729" s="65"/>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0" ht="15.75" customHeight="1">
      <c r="A2730" s="327" t="str">
        <f>IF(B2730&lt;&gt;"",IF(AND(B2730='IN-TC'!$S$4,OR(TH!N2730="1111",TH!O2730="1111")),TH!D2730,""),"")</f>
        <v/>
      </c>
      <c r="B2730" s="62" t="str">
        <f t="shared" si="384"/>
        <v/>
      </c>
      <c r="C2730" s="309"/>
      <c r="D2730" s="309"/>
      <c r="E2730" s="309"/>
      <c r="F2730" s="71"/>
      <c r="G2730" s="310"/>
      <c r="H2730" s="311"/>
      <c r="I2730" s="405"/>
      <c r="J2730" s="405"/>
      <c r="K2730" s="398"/>
      <c r="L2730" s="405"/>
      <c r="M2730" s="64"/>
      <c r="N2730" s="65"/>
      <c r="O2730" s="65"/>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0" ht="15.75" customHeight="1">
      <c r="A2731" s="327" t="str">
        <f>IF(B2731&lt;&gt;"",IF(AND(B2731='IN-TC'!$S$4,OR(TH!N2731="1111",TH!O2731="1111")),TH!D2731,""),"")</f>
        <v/>
      </c>
      <c r="B2731" s="62" t="str">
        <f t="shared" si="384"/>
        <v/>
      </c>
      <c r="C2731" s="309"/>
      <c r="D2731" s="309"/>
      <c r="E2731" s="309"/>
      <c r="F2731" s="71"/>
      <c r="G2731" s="819"/>
      <c r="H2731" s="311"/>
      <c r="I2731" s="405"/>
      <c r="J2731" s="405"/>
      <c r="K2731" s="398"/>
      <c r="L2731" s="405"/>
      <c r="M2731" s="64"/>
      <c r="N2731" s="312"/>
      <c r="O2731" s="65"/>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0" ht="15.75" customHeight="1">
      <c r="A2732" s="327" t="str">
        <f>IF(B2732&lt;&gt;"",IF(AND(B2732='IN-TC'!$S$4,OR(TH!N2732="1111",TH!O2732="1111")),TH!D2732,""),"")</f>
        <v/>
      </c>
      <c r="B2732" s="62" t="str">
        <f t="shared" si="384"/>
        <v/>
      </c>
      <c r="C2732" s="63"/>
      <c r="D2732" s="63"/>
      <c r="E2732" s="309"/>
      <c r="F2732" s="71"/>
      <c r="G2732" s="310"/>
      <c r="H2732" s="71"/>
      <c r="I2732" s="405"/>
      <c r="J2732" s="405"/>
      <c r="K2732" s="398"/>
      <c r="L2732" s="405"/>
      <c r="M2732" s="64"/>
      <c r="N2732" s="312"/>
      <c r="O2732" s="65"/>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row>
    <row r="2733" spans="1:30" ht="15.75" customHeight="1">
      <c r="A2733" s="327" t="str">
        <f>IF(B2733&lt;&gt;"",IF(AND(B2733='IN-TC'!$S$4,OR(TH!N2733="1111",TH!O2733="1111")),TH!D2733,""),"")</f>
        <v/>
      </c>
      <c r="B2733" s="62" t="str">
        <f t="shared" si="384"/>
        <v/>
      </c>
      <c r="C2733" s="63"/>
      <c r="D2733" s="63"/>
      <c r="E2733" s="309"/>
      <c r="F2733" s="71"/>
      <c r="G2733" s="310"/>
      <c r="H2733" s="71"/>
      <c r="I2733" s="405"/>
      <c r="J2733" s="405"/>
      <c r="K2733" s="398"/>
      <c r="L2733" s="405"/>
      <c r="M2733" s="64"/>
      <c r="N2733" s="312"/>
      <c r="O2733" s="65"/>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
      </c>
      <c r="W2733" s="81" t="str">
        <f>IF(AND('341-CT'!$H$9=H2733,OR(LEFT(N2733,3)=$W$7,LEFT(O2733,3)=$W$7)),"x","")</f>
        <v/>
      </c>
      <c r="X2733" s="81" t="str">
        <f>IF(OR(TH!N2733=TH!$X$7,O2733=TH!$X$7),"x","")</f>
        <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row>
    <row r="2734" spans="1:30" ht="15.75" customHeight="1">
      <c r="A2734" s="327" t="str">
        <f>IF(B2734&lt;&gt;"",IF(AND(B2734='IN-TC'!$S$4,OR(TH!N2734="1111",TH!O2734="1111")),TH!D2734,""),"")</f>
        <v/>
      </c>
      <c r="B2734" s="62" t="str">
        <f t="shared" si="384"/>
        <v/>
      </c>
      <c r="C2734" s="309"/>
      <c r="D2734" s="63"/>
      <c r="E2734" s="309"/>
      <c r="F2734" s="71"/>
      <c r="G2734" s="310"/>
      <c r="H2734" s="311"/>
      <c r="I2734" s="405"/>
      <c r="J2734" s="405"/>
      <c r="K2734" s="398"/>
      <c r="L2734" s="405"/>
      <c r="M2734" s="64"/>
      <c r="N2734" s="312"/>
      <c r="O2734" s="312"/>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0" ht="15.75" customHeight="1">
      <c r="A2735" s="327" t="str">
        <f>IF(B2735&lt;&gt;"",IF(AND(B2735='IN-TC'!$S$4,OR(TH!N2735="1111",TH!O2735="1111")),TH!D2735,""),"")</f>
        <v/>
      </c>
      <c r="B2735" s="62" t="str">
        <f t="shared" si="384"/>
        <v/>
      </c>
      <c r="C2735" s="309"/>
      <c r="D2735" s="309"/>
      <c r="E2735" s="309"/>
      <c r="F2735" s="71"/>
      <c r="G2735" s="310"/>
      <c r="H2735" s="311"/>
      <c r="I2735" s="405"/>
      <c r="J2735" s="405"/>
      <c r="K2735" s="398"/>
      <c r="L2735" s="405"/>
      <c r="M2735" s="407"/>
      <c r="N2735" s="312"/>
      <c r="O2735" s="65"/>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0" ht="15.75" customHeight="1">
      <c r="A2736" s="327" t="str">
        <f>IF(B2736&lt;&gt;"",IF(AND(B2736='IN-TC'!$S$4,OR(TH!N2736="1111",TH!O2736="1111")),TH!D2736,""),"")</f>
        <v/>
      </c>
      <c r="B2736" s="62" t="str">
        <f t="shared" si="384"/>
        <v/>
      </c>
      <c r="C2736" s="309"/>
      <c r="D2736" s="63"/>
      <c r="E2736" s="309"/>
      <c r="F2736" s="71"/>
      <c r="G2736" s="310"/>
      <c r="H2736" s="311"/>
      <c r="I2736" s="405"/>
      <c r="J2736" s="405"/>
      <c r="K2736" s="398"/>
      <c r="L2736" s="405"/>
      <c r="M2736" s="64"/>
      <c r="N2736" s="312"/>
      <c r="O2736" s="312"/>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ht="15.75" customHeight="1">
      <c r="A2737" s="327" t="str">
        <f>IF(B2737&lt;&gt;"",IF(AND(B2737='IN-TC'!$S$4,OR(TH!N2737="1111",TH!O2737="1111")),TH!D2737,""),"")</f>
        <v/>
      </c>
      <c r="B2737" s="62" t="str">
        <f t="shared" si="384"/>
        <v/>
      </c>
      <c r="C2737" s="309"/>
      <c r="D2737" s="309"/>
      <c r="E2737" s="309"/>
      <c r="F2737" s="71"/>
      <c r="G2737" s="310"/>
      <c r="H2737" s="311"/>
      <c r="I2737" s="405"/>
      <c r="J2737" s="405"/>
      <c r="K2737" s="398"/>
      <c r="L2737" s="405"/>
      <c r="M2737" s="64"/>
      <c r="N2737" s="312"/>
      <c r="O2737" s="65"/>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ht="15.75" customHeight="1">
      <c r="A2738" s="327" t="str">
        <f>IF(B2738&lt;&gt;"",IF(AND(B2738='IN-TC'!$S$4,OR(TH!N2738="1111",TH!O2738="1111")),TH!D2738,""),"")</f>
        <v/>
      </c>
      <c r="B2738" s="62" t="str">
        <f t="shared" si="384"/>
        <v/>
      </c>
      <c r="C2738" s="309"/>
      <c r="D2738" s="63"/>
      <c r="E2738" s="309"/>
      <c r="F2738" s="71"/>
      <c r="G2738" s="310"/>
      <c r="H2738" s="311"/>
      <c r="I2738" s="405"/>
      <c r="J2738" s="405"/>
      <c r="K2738" s="398"/>
      <c r="L2738" s="405"/>
      <c r="M2738" s="64"/>
      <c r="N2738" s="65"/>
      <c r="O2738" s="312"/>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ht="15.75" customHeight="1">
      <c r="A2739" s="327" t="str">
        <f>IF(B2739&lt;&gt;"",IF(AND(B2739='IN-TC'!$S$4,OR(TH!N2739="1111",TH!O2739="1111")),TH!D2739,""),"")</f>
        <v/>
      </c>
      <c r="B2739" s="62" t="str">
        <f t="shared" si="384"/>
        <v/>
      </c>
      <c r="C2739" s="63"/>
      <c r="D2739" s="309"/>
      <c r="E2739" s="63"/>
      <c r="F2739" s="71"/>
      <c r="G2739" s="66"/>
      <c r="H2739" s="71"/>
      <c r="I2739" s="405"/>
      <c r="J2739" s="405"/>
      <c r="K2739" s="398"/>
      <c r="L2739" s="405"/>
      <c r="M2739" s="64"/>
      <c r="N2739" s="65"/>
      <c r="O2739" s="65"/>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ht="15.75" customHeight="1">
      <c r="A2740" s="327" t="str">
        <f>IF(B2740&lt;&gt;"",IF(AND(B2740='IN-TC'!$S$4,OR(TH!N2740="1111",TH!O2740="1111")),TH!D2740,""),"")</f>
        <v/>
      </c>
      <c r="B2740" s="62" t="str">
        <f t="shared" si="384"/>
        <v/>
      </c>
      <c r="C2740" s="63"/>
      <c r="D2740" s="309"/>
      <c r="E2740" s="63"/>
      <c r="F2740" s="71"/>
      <c r="G2740" s="66"/>
      <c r="H2740" s="71"/>
      <c r="I2740" s="405"/>
      <c r="J2740" s="405"/>
      <c r="K2740" s="398"/>
      <c r="L2740" s="405"/>
      <c r="M2740" s="64"/>
      <c r="N2740" s="65"/>
      <c r="O2740" s="65"/>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ht="15.75" customHeight="1">
      <c r="A2741" s="327" t="str">
        <f>IF(B2741&lt;&gt;"",IF(AND(B2741='IN-TC'!$S$4,OR(TH!N2741="1111",TH!O2741="1111")),TH!D2741,""),"")</f>
        <v/>
      </c>
      <c r="B2741" s="62" t="str">
        <f t="shared" si="384"/>
        <v/>
      </c>
      <c r="C2741" s="63"/>
      <c r="D2741" s="309"/>
      <c r="E2741" s="63"/>
      <c r="F2741" s="71"/>
      <c r="G2741" s="66"/>
      <c r="H2741" s="311"/>
      <c r="I2741" s="405"/>
      <c r="J2741" s="405"/>
      <c r="K2741" s="398"/>
      <c r="L2741" s="405"/>
      <c r="M2741" s="64"/>
      <c r="N2741" s="312"/>
      <c r="O2741" s="65"/>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ht="15.75" customHeight="1">
      <c r="A2742" s="327" t="str">
        <f>IF(B2742&lt;&gt;"",IF(AND(B2742='IN-TC'!$S$4,OR(TH!N2742="1111",TH!O2742="1111")),TH!D2742,""),"")</f>
        <v/>
      </c>
      <c r="B2742" s="62" t="str">
        <f t="shared" si="384"/>
        <v/>
      </c>
      <c r="C2742" s="309"/>
      <c r="D2742" s="309"/>
      <c r="E2742" s="309"/>
      <c r="F2742" s="71"/>
      <c r="G2742" s="819"/>
      <c r="H2742" s="311"/>
      <c r="I2742" s="405"/>
      <c r="J2742" s="405"/>
      <c r="K2742" s="398"/>
      <c r="L2742" s="405"/>
      <c r="M2742" s="64"/>
      <c r="N2742" s="312"/>
      <c r="O2742" s="65"/>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ht="15.75" customHeight="1">
      <c r="A2743" s="327" t="str">
        <f>IF(B2743&lt;&gt;"",IF(AND(B2743='IN-TC'!$S$4,OR(TH!N2743="1111",TH!O2743="1111")),TH!D2743,""),"")</f>
        <v/>
      </c>
      <c r="B2743" s="62" t="str">
        <f t="shared" si="384"/>
        <v/>
      </c>
      <c r="C2743" s="309"/>
      <c r="D2743" s="309"/>
      <c r="E2743" s="309"/>
      <c r="F2743" s="71"/>
      <c r="G2743" s="819"/>
      <c r="H2743" s="311"/>
      <c r="I2743" s="405"/>
      <c r="J2743" s="405"/>
      <c r="K2743" s="398"/>
      <c r="L2743" s="405"/>
      <c r="M2743" s="64"/>
      <c r="N2743" s="312"/>
      <c r="O2743" s="65"/>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ht="15.75" customHeight="1">
      <c r="A2744" s="327" t="str">
        <f>IF(B2744&lt;&gt;"",IF(AND(B2744='IN-TC'!$S$4,OR(TH!N2744="1111",TH!O2744="1111")),TH!D2744,""),"")</f>
        <v/>
      </c>
      <c r="B2744" s="62" t="str">
        <f t="shared" si="384"/>
        <v/>
      </c>
      <c r="C2744" s="63"/>
      <c r="D2744" s="309"/>
      <c r="E2744" s="63"/>
      <c r="F2744" s="71"/>
      <c r="G2744" s="310"/>
      <c r="H2744" s="311"/>
      <c r="I2744" s="405"/>
      <c r="J2744" s="405"/>
      <c r="K2744" s="398"/>
      <c r="L2744" s="405"/>
      <c r="M2744" s="64"/>
      <c r="N2744" s="65"/>
      <c r="O2744" s="65"/>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ht="15.75" customHeight="1">
      <c r="A2745" s="327" t="str">
        <f>IF(B2745&lt;&gt;"",IF(AND(B2745='IN-TC'!$S$4,OR(TH!N2745="1111",TH!O2745="1111")),TH!D2745,""),"")</f>
        <v/>
      </c>
      <c r="B2745" s="62" t="str">
        <f t="shared" si="384"/>
        <v/>
      </c>
      <c r="C2745" s="63"/>
      <c r="D2745" s="309"/>
      <c r="E2745" s="63"/>
      <c r="F2745" s="71"/>
      <c r="G2745" s="816"/>
      <c r="H2745" s="330"/>
      <c r="I2745" s="405"/>
      <c r="J2745" s="405"/>
      <c r="K2745" s="398"/>
      <c r="L2745" s="405"/>
      <c r="M2745" s="64"/>
      <c r="N2745" s="65"/>
      <c r="O2745" s="65"/>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ht="15.75" customHeight="1">
      <c r="A2746" s="327" t="str">
        <f>IF(B2746&lt;&gt;"",IF(AND(B2746='IN-TC'!$S$4,OR(TH!N2746="1111",TH!O2746="1111")),TH!D2746,""),"")</f>
        <v/>
      </c>
      <c r="B2746" s="62" t="str">
        <f t="shared" si="384"/>
        <v/>
      </c>
      <c r="C2746" s="309"/>
      <c r="D2746" s="309"/>
      <c r="E2746" s="309"/>
      <c r="F2746" s="71"/>
      <c r="G2746" s="819"/>
      <c r="H2746" s="311"/>
      <c r="I2746" s="405"/>
      <c r="J2746" s="405"/>
      <c r="K2746" s="398"/>
      <c r="L2746" s="405"/>
      <c r="M2746" s="64"/>
      <c r="N2746" s="312"/>
      <c r="O2746" s="65"/>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ht="15.75" customHeight="1">
      <c r="A2747" s="327" t="str">
        <f>IF(B2747&lt;&gt;"",IF(AND(B2747='IN-TC'!$S$4,OR(TH!N2747="1111",TH!O2747="1111")),TH!D2747,""),"")</f>
        <v/>
      </c>
      <c r="B2747" s="62" t="str">
        <f t="shared" si="384"/>
        <v/>
      </c>
      <c r="C2747" s="309"/>
      <c r="D2747" s="309"/>
      <c r="E2747" s="309"/>
      <c r="F2747" s="71"/>
      <c r="G2747" s="819"/>
      <c r="H2747" s="311"/>
      <c r="I2747" s="405"/>
      <c r="J2747" s="405"/>
      <c r="K2747" s="398"/>
      <c r="L2747" s="405"/>
      <c r="M2747" s="64"/>
      <c r="N2747" s="312"/>
      <c r="O2747" s="65"/>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ht="15.75" customHeight="1">
      <c r="A2748" s="327" t="str">
        <f>IF(B2748&lt;&gt;"",IF(AND(B2748='IN-TC'!$S$4,OR(TH!N2748="1111",TH!O2748="1111")),TH!D2748,""),"")</f>
        <v/>
      </c>
      <c r="B2748" s="62" t="str">
        <f t="shared" si="384"/>
        <v/>
      </c>
      <c r="C2748" s="309"/>
      <c r="D2748" s="309"/>
      <c r="E2748" s="309"/>
      <c r="F2748" s="71"/>
      <c r="G2748" s="819"/>
      <c r="H2748" s="311"/>
      <c r="I2748" s="405"/>
      <c r="J2748" s="405"/>
      <c r="K2748" s="398"/>
      <c r="L2748" s="405"/>
      <c r="M2748" s="64"/>
      <c r="N2748" s="312"/>
      <c r="O2748" s="65"/>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ht="15.75" customHeight="1">
      <c r="A2749" s="327" t="str">
        <f>IF(B2749&lt;&gt;"",IF(AND(B2749='IN-TC'!$S$4,OR(TH!N2749="1111",TH!O2749="1111")),TH!D2749,""),"")</f>
        <v/>
      </c>
      <c r="B2749" s="62" t="str">
        <f t="shared" si="384"/>
        <v/>
      </c>
      <c r="C2749" s="309"/>
      <c r="D2749" s="309"/>
      <c r="E2749" s="309"/>
      <c r="F2749" s="71"/>
      <c r="G2749" s="819"/>
      <c r="H2749" s="311"/>
      <c r="I2749" s="405"/>
      <c r="J2749" s="405"/>
      <c r="K2749" s="398"/>
      <c r="L2749" s="405"/>
      <c r="M2749" s="64"/>
      <c r="N2749" s="312"/>
      <c r="O2749" s="65"/>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ht="15.75" customHeight="1">
      <c r="A2750" s="327" t="str">
        <f>IF(B2750&lt;&gt;"",IF(AND(B2750='IN-TC'!$S$4,OR(TH!N2750="1111",TH!O2750="1111")),TH!D2750,""),"")</f>
        <v/>
      </c>
      <c r="B2750" s="62" t="str">
        <f t="shared" si="384"/>
        <v/>
      </c>
      <c r="C2750" s="309"/>
      <c r="D2750" s="309"/>
      <c r="E2750" s="309"/>
      <c r="F2750" s="71"/>
      <c r="G2750" s="819"/>
      <c r="H2750" s="311"/>
      <c r="I2750" s="405"/>
      <c r="J2750" s="405"/>
      <c r="K2750" s="398"/>
      <c r="L2750" s="405"/>
      <c r="M2750" s="64"/>
      <c r="N2750" s="312"/>
      <c r="O2750" s="65"/>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ht="15.75" customHeight="1">
      <c r="A2751" s="327" t="str">
        <f>IF(B2751&lt;&gt;"",IF(AND(B2751='IN-TC'!$S$4,OR(TH!N2751="1111",TH!O2751="1111")),TH!D2751,""),"")</f>
        <v/>
      </c>
      <c r="B2751" s="62" t="str">
        <f t="shared" si="384"/>
        <v/>
      </c>
      <c r="C2751" s="309"/>
      <c r="D2751" s="309"/>
      <c r="E2751" s="309"/>
      <c r="F2751" s="71"/>
      <c r="G2751" s="819"/>
      <c r="H2751" s="311"/>
      <c r="I2751" s="405"/>
      <c r="J2751" s="405"/>
      <c r="K2751" s="398"/>
      <c r="L2751" s="405"/>
      <c r="M2751" s="64"/>
      <c r="N2751" s="312"/>
      <c r="O2751" s="65"/>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ht="15.75" customHeight="1">
      <c r="A2752" s="327" t="str">
        <f>IF(B2752&lt;&gt;"",IF(AND(B2752='IN-TC'!$S$4,OR(TH!N2752="1111",TH!O2752="1111")),TH!D2752,""),"")</f>
        <v/>
      </c>
      <c r="B2752" s="62" t="str">
        <f t="shared" si="384"/>
        <v/>
      </c>
      <c r="C2752" s="309"/>
      <c r="D2752" s="309"/>
      <c r="E2752" s="309"/>
      <c r="F2752" s="71"/>
      <c r="G2752" s="819"/>
      <c r="H2752" s="311"/>
      <c r="I2752" s="405"/>
      <c r="J2752" s="405"/>
      <c r="K2752" s="398"/>
      <c r="L2752" s="405"/>
      <c r="M2752" s="64"/>
      <c r="N2752" s="312"/>
      <c r="O2752" s="65"/>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0" ht="15.75" customHeight="1">
      <c r="A2753" s="327" t="str">
        <f>IF(B2753&lt;&gt;"",IF(AND(B2753='IN-TC'!$S$4,OR(TH!N2753="1111",TH!O2753="1111")),TH!D2753,""),"")</f>
        <v/>
      </c>
      <c r="B2753" s="62" t="str">
        <f t="shared" si="384"/>
        <v/>
      </c>
      <c r="C2753" s="309"/>
      <c r="D2753" s="309"/>
      <c r="E2753" s="309"/>
      <c r="F2753" s="71"/>
      <c r="G2753" s="819"/>
      <c r="H2753" s="311"/>
      <c r="I2753" s="405"/>
      <c r="J2753" s="405"/>
      <c r="K2753" s="398"/>
      <c r="L2753" s="405"/>
      <c r="M2753" s="64"/>
      <c r="N2753" s="312"/>
      <c r="O2753" s="65"/>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0" ht="15.75" customHeight="1">
      <c r="A2754" s="327" t="str">
        <f>IF(B2754&lt;&gt;"",IF(AND(B2754='IN-TC'!$S$4,OR(TH!N2754="1111",TH!O2754="1111")),TH!D2754,""),"")</f>
        <v/>
      </c>
      <c r="B2754" s="62" t="str">
        <f t="shared" si="384"/>
        <v/>
      </c>
      <c r="C2754" s="309"/>
      <c r="D2754" s="309"/>
      <c r="E2754" s="309"/>
      <c r="F2754" s="71"/>
      <c r="G2754" s="819"/>
      <c r="H2754" s="311"/>
      <c r="I2754" s="405"/>
      <c r="J2754" s="405"/>
      <c r="K2754" s="398"/>
      <c r="L2754" s="405"/>
      <c r="M2754" s="64"/>
      <c r="N2754" s="312"/>
      <c r="O2754" s="65"/>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0" ht="15.75" customHeight="1">
      <c r="A2755" s="327" t="str">
        <f>IF(B2755&lt;&gt;"",IF(AND(B2755='IN-TC'!$S$4,OR(TH!N2755="1111",TH!O2755="1111")),TH!D2755,""),"")</f>
        <v/>
      </c>
      <c r="B2755" s="62" t="str">
        <f t="shared" si="384"/>
        <v/>
      </c>
      <c r="C2755" s="309"/>
      <c r="D2755" s="309"/>
      <c r="E2755" s="309"/>
      <c r="F2755" s="71"/>
      <c r="G2755" s="819"/>
      <c r="H2755" s="311"/>
      <c r="I2755" s="405"/>
      <c r="J2755" s="405"/>
      <c r="K2755" s="398"/>
      <c r="L2755" s="405"/>
      <c r="M2755" s="64"/>
      <c r="N2755" s="312"/>
      <c r="O2755" s="65"/>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0" ht="15.75" customHeight="1">
      <c r="A2756" s="327" t="str">
        <f>IF(B2756&lt;&gt;"",IF(AND(B2756='IN-TC'!$S$4,OR(TH!N2756="1111",TH!O2756="1111")),TH!D2756,""),"")</f>
        <v/>
      </c>
      <c r="B2756" s="62" t="str">
        <f t="shared" si="384"/>
        <v/>
      </c>
      <c r="C2756" s="309"/>
      <c r="D2756" s="309"/>
      <c r="E2756" s="309"/>
      <c r="F2756" s="71"/>
      <c r="G2756" s="819"/>
      <c r="H2756" s="311"/>
      <c r="I2756" s="405"/>
      <c r="J2756" s="405"/>
      <c r="K2756" s="398"/>
      <c r="L2756" s="405"/>
      <c r="M2756" s="64"/>
      <c r="N2756" s="312"/>
      <c r="O2756" s="65"/>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0" ht="15.75" customHeight="1">
      <c r="A2757" s="327" t="str">
        <f>IF(B2757&lt;&gt;"",IF(AND(B2757='IN-TC'!$S$4,OR(TH!N2757="1111",TH!O2757="1111")),TH!D2757,""),"")</f>
        <v/>
      </c>
      <c r="B2757" s="62" t="str">
        <f t="shared" si="384"/>
        <v/>
      </c>
      <c r="C2757" s="63"/>
      <c r="D2757" s="309"/>
      <c r="E2757" s="63"/>
      <c r="F2757" s="71"/>
      <c r="G2757" s="819"/>
      <c r="H2757" s="71"/>
      <c r="I2757" s="405"/>
      <c r="J2757" s="405"/>
      <c r="K2757" s="398"/>
      <c r="L2757" s="405"/>
      <c r="M2757" s="64"/>
      <c r="N2757" s="65"/>
      <c r="O2757" s="65"/>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0" ht="15.75" customHeight="1">
      <c r="A2758" s="327" t="str">
        <f>IF(B2758&lt;&gt;"",IF(AND(B2758='IN-TC'!$S$4,OR(TH!N2758="1111",TH!O2758="1111")),TH!D2758,""),"")</f>
        <v/>
      </c>
      <c r="B2758" s="62" t="str">
        <f t="shared" si="384"/>
        <v/>
      </c>
      <c r="C2758" s="63"/>
      <c r="D2758" s="309"/>
      <c r="E2758" s="63"/>
      <c r="F2758" s="71"/>
      <c r="G2758" s="819"/>
      <c r="H2758" s="71"/>
      <c r="I2758" s="405"/>
      <c r="J2758" s="405"/>
      <c r="K2758" s="398"/>
      <c r="L2758" s="405"/>
      <c r="M2758" s="64"/>
      <c r="N2758" s="65"/>
      <c r="O2758" s="65"/>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0" ht="15.75" customHeight="1">
      <c r="A2759" s="327" t="str">
        <f>IF(B2759&lt;&gt;"",IF(AND(B2759='IN-TC'!$S$4,OR(TH!N2759="1111",TH!O2759="1111")),TH!D2759,""),"")</f>
        <v/>
      </c>
      <c r="B2759" s="62" t="str">
        <f t="shared" si="384"/>
        <v/>
      </c>
      <c r="C2759" s="63"/>
      <c r="D2759" s="309"/>
      <c r="E2759" s="63"/>
      <c r="F2759" s="71"/>
      <c r="G2759" s="819"/>
      <c r="H2759" s="71"/>
      <c r="I2759" s="405"/>
      <c r="J2759" s="405"/>
      <c r="K2759" s="398"/>
      <c r="L2759" s="405"/>
      <c r="M2759" s="64"/>
      <c r="N2759" s="65"/>
      <c r="O2759" s="65"/>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0" ht="15.75" customHeight="1">
      <c r="A2760" s="327" t="str">
        <f>IF(B2760&lt;&gt;"",IF(AND(B2760='IN-TC'!$S$4,OR(TH!N2760="1111",TH!O2760="1111")),TH!D2760,""),"")</f>
        <v/>
      </c>
      <c r="B2760" s="62" t="str">
        <f t="shared" si="384"/>
        <v/>
      </c>
      <c r="C2760" s="63"/>
      <c r="D2760" s="309"/>
      <c r="E2760" s="63"/>
      <c r="F2760" s="71"/>
      <c r="G2760" s="819"/>
      <c r="H2760" s="71"/>
      <c r="I2760" s="405"/>
      <c r="J2760" s="405"/>
      <c r="K2760" s="398"/>
      <c r="L2760" s="405"/>
      <c r="M2760" s="64"/>
      <c r="N2760" s="65"/>
      <c r="O2760" s="65"/>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0" ht="15.75" customHeight="1">
      <c r="A2761" s="327" t="str">
        <f>IF(B2761&lt;&gt;"",IF(AND(B2761='IN-TC'!$S$4,OR(TH!N2761="1111",TH!O2761="1111")),TH!D2761,""),"")</f>
        <v/>
      </c>
      <c r="B2761" s="62" t="str">
        <f t="shared" si="384"/>
        <v/>
      </c>
      <c r="C2761" s="63"/>
      <c r="D2761" s="309"/>
      <c r="E2761" s="63"/>
      <c r="F2761" s="71"/>
      <c r="G2761" s="819"/>
      <c r="H2761" s="71"/>
      <c r="I2761" s="405"/>
      <c r="J2761" s="405"/>
      <c r="K2761" s="398"/>
      <c r="L2761" s="405"/>
      <c r="M2761" s="64"/>
      <c r="N2761" s="65"/>
      <c r="O2761" s="65"/>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0" ht="15.75" customHeight="1">
      <c r="A2762" s="327" t="str">
        <f>IF(B2762&lt;&gt;"",IF(AND(B2762='IN-TC'!$S$4,OR(TH!N2762="1111",TH!O2762="1111")),TH!D2762,""),"")</f>
        <v/>
      </c>
      <c r="B2762" s="62" t="str">
        <f t="shared" si="384"/>
        <v/>
      </c>
      <c r="C2762" s="63"/>
      <c r="D2762" s="309"/>
      <c r="E2762" s="63"/>
      <c r="F2762" s="71"/>
      <c r="G2762" s="819"/>
      <c r="H2762" s="71"/>
      <c r="I2762" s="405"/>
      <c r="J2762" s="405"/>
      <c r="K2762" s="398"/>
      <c r="L2762" s="405"/>
      <c r="M2762" s="64"/>
      <c r="N2762" s="65"/>
      <c r="O2762" s="65"/>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0" ht="15.75" customHeight="1">
      <c r="A2763" s="327" t="str">
        <f>IF(B2763&lt;&gt;"",IF(AND(B2763='IN-TC'!$S$4,OR(TH!N2763="1111",TH!O2763="1111")),TH!D2763,""),"")</f>
        <v/>
      </c>
      <c r="B2763" s="62" t="str">
        <f t="shared" si="384"/>
        <v/>
      </c>
      <c r="C2763" s="309"/>
      <c r="D2763" s="309"/>
      <c r="E2763" s="309"/>
      <c r="F2763" s="71"/>
      <c r="G2763" s="310"/>
      <c r="H2763" s="311"/>
      <c r="I2763" s="405"/>
      <c r="J2763" s="405"/>
      <c r="K2763" s="398"/>
      <c r="L2763" s="405"/>
      <c r="M2763" s="64"/>
      <c r="N2763" s="312"/>
      <c r="O2763" s="65"/>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row>
    <row r="2764" spans="1:30" ht="15.75" customHeight="1">
      <c r="A2764" s="327" t="str">
        <f>IF(B2764&lt;&gt;"",IF(AND(B2764='IN-TC'!$S$4,OR(TH!N2764="1111",TH!O2764="1111")),TH!D2764,""),"")</f>
        <v/>
      </c>
      <c r="B2764" s="62" t="str">
        <f t="shared" si="384"/>
        <v/>
      </c>
      <c r="C2764" s="63"/>
      <c r="D2764" s="309"/>
      <c r="E2764" s="63"/>
      <c r="F2764" s="71"/>
      <c r="G2764" s="819"/>
      <c r="H2764" s="71"/>
      <c r="I2764" s="405"/>
      <c r="J2764" s="405"/>
      <c r="K2764" s="398"/>
      <c r="L2764" s="405"/>
      <c r="M2764" s="64"/>
      <c r="N2764" s="65"/>
      <c r="O2764" s="65"/>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
      </c>
      <c r="W2764" s="81" t="str">
        <f>IF(AND('341-CT'!$H$9=H2764,OR(LEFT(N2764,3)=$W$7,LEFT(O2764,3)=$W$7)),"x","")</f>
        <v/>
      </c>
      <c r="X2764" s="81" t="str">
        <f>IF(OR(TH!N2764=TH!$X$7,O2764=TH!$X$7),"x","")</f>
        <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row>
    <row r="2765" spans="1:30" ht="15.75" customHeight="1">
      <c r="A2765" s="327" t="str">
        <f>IF(B2765&lt;&gt;"",IF(AND(B2765='IN-TC'!$S$4,OR(TH!N2765="1111",TH!O2765="1111")),TH!D2765,""),"")</f>
        <v/>
      </c>
      <c r="B2765" s="62" t="str">
        <f t="shared" si="384"/>
        <v/>
      </c>
      <c r="C2765" s="309"/>
      <c r="D2765" s="63"/>
      <c r="E2765" s="309"/>
      <c r="F2765" s="71"/>
      <c r="G2765" s="819"/>
      <c r="H2765" s="311"/>
      <c r="I2765" s="405"/>
      <c r="J2765" s="405"/>
      <c r="K2765" s="398"/>
      <c r="L2765" s="405"/>
      <c r="M2765" s="64"/>
      <c r="N2765" s="312"/>
      <c r="O2765" s="65"/>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0" ht="15.75" customHeight="1">
      <c r="A2766" s="327" t="str">
        <f>IF(B2766&lt;&gt;"",IF(AND(B2766='IN-TC'!$S$4,OR(TH!N2766="1111",TH!O2766="1111")),TH!D2766,""),"")</f>
        <v/>
      </c>
      <c r="B2766" s="62" t="str">
        <f t="shared" si="384"/>
        <v/>
      </c>
      <c r="C2766" s="309"/>
      <c r="D2766" s="63"/>
      <c r="E2766" s="309"/>
      <c r="F2766" s="71"/>
      <c r="G2766" s="819"/>
      <c r="H2766" s="311"/>
      <c r="I2766" s="405"/>
      <c r="J2766" s="405"/>
      <c r="K2766" s="398"/>
      <c r="L2766" s="405"/>
      <c r="M2766" s="64"/>
      <c r="N2766" s="65"/>
      <c r="O2766" s="65"/>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row>
    <row r="2767" spans="1:30" ht="15.75" customHeight="1">
      <c r="A2767" s="327" t="str">
        <f>IF(B2767&lt;&gt;"",IF(AND(B2767='IN-TC'!$S$4,OR(TH!N2767="1111",TH!O2767="1111")),TH!D2767,""),"")</f>
        <v/>
      </c>
      <c r="B2767" s="62" t="str">
        <f t="shared" si="384"/>
        <v/>
      </c>
      <c r="C2767" s="309"/>
      <c r="D2767" s="63"/>
      <c r="E2767" s="309"/>
      <c r="F2767" s="71"/>
      <c r="G2767" s="819"/>
      <c r="H2767" s="311"/>
      <c r="I2767" s="405"/>
      <c r="J2767" s="405"/>
      <c r="K2767" s="398"/>
      <c r="L2767" s="405"/>
      <c r="M2767" s="64"/>
      <c r="N2767" s="312"/>
      <c r="O2767" s="65"/>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
      </c>
      <c r="W2767" s="81" t="str">
        <f>IF(AND('341-CT'!$H$9=H2767,OR(LEFT(N2767,3)=$W$7,LEFT(O2767,3)=$W$7)),"x","")</f>
        <v/>
      </c>
      <c r="X2767" s="81" t="str">
        <f>IF(OR(TH!N2767=TH!$X$7,O2767=TH!$X$7),"x","")</f>
        <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row>
    <row r="2768" spans="1:30" ht="15.75" customHeight="1">
      <c r="A2768" s="327" t="str">
        <f>IF(B2768&lt;&gt;"",IF(AND(B2768='IN-TC'!$S$4,OR(TH!N2768="1111",TH!O2768="1111")),TH!D2768,""),"")</f>
        <v/>
      </c>
      <c r="B2768" s="62" t="str">
        <f t="shared" si="384"/>
        <v/>
      </c>
      <c r="C2768" s="309"/>
      <c r="D2768" s="63"/>
      <c r="E2768" s="309"/>
      <c r="F2768" s="71"/>
      <c r="G2768" s="819"/>
      <c r="H2768" s="311"/>
      <c r="I2768" s="405"/>
      <c r="J2768" s="405"/>
      <c r="K2768" s="398"/>
      <c r="L2768" s="405"/>
      <c r="M2768" s="64"/>
      <c r="N2768" s="312"/>
      <c r="O2768" s="65"/>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0" ht="15.75" customHeight="1">
      <c r="A2769" s="327" t="str">
        <f>IF(B2769&lt;&gt;"",IF(AND(B2769='IN-TC'!$S$4,OR(TH!N2769="1111",TH!O2769="1111")),TH!D2769,""),"")</f>
        <v/>
      </c>
      <c r="B2769" s="62" t="str">
        <f t="shared" si="384"/>
        <v/>
      </c>
      <c r="C2769" s="309"/>
      <c r="D2769" s="63"/>
      <c r="E2769" s="309"/>
      <c r="F2769" s="71"/>
      <c r="G2769" s="819"/>
      <c r="H2769" s="71"/>
      <c r="I2769" s="405"/>
      <c r="J2769" s="405"/>
      <c r="K2769" s="398"/>
      <c r="L2769" s="405"/>
      <c r="M2769" s="64"/>
      <c r="N2769" s="312"/>
      <c r="O2769" s="65"/>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row>
    <row r="2770" spans="1:30" ht="15.75" customHeight="1">
      <c r="A2770" s="327" t="str">
        <f>IF(B2770&lt;&gt;"",IF(AND(B2770='IN-TC'!$S$4,OR(TH!N2770="1111",TH!O2770="1111")),TH!D2770,""),"")</f>
        <v/>
      </c>
      <c r="B2770" s="62" t="str">
        <f t="shared" si="384"/>
        <v/>
      </c>
      <c r="C2770" s="309"/>
      <c r="D2770" s="63"/>
      <c r="E2770" s="309"/>
      <c r="F2770" s="71"/>
      <c r="G2770" s="819"/>
      <c r="H2770" s="71"/>
      <c r="I2770" s="405"/>
      <c r="J2770" s="405"/>
      <c r="K2770" s="398"/>
      <c r="L2770" s="405"/>
      <c r="M2770" s="64"/>
      <c r="N2770" s="312"/>
      <c r="O2770" s="65"/>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row>
    <row r="2771" spans="1:30" ht="15.75" customHeight="1">
      <c r="A2771" s="327" t="str">
        <f>IF(B2771&lt;&gt;"",IF(AND(B2771='IN-TC'!$S$4,OR(TH!N2771="1111",TH!O2771="1111")),TH!D2771,""),"")</f>
        <v/>
      </c>
      <c r="B2771" s="62" t="str">
        <f t="shared" si="384"/>
        <v/>
      </c>
      <c r="C2771" s="309"/>
      <c r="D2771" s="63"/>
      <c r="E2771" s="309"/>
      <c r="F2771" s="71"/>
      <c r="G2771" s="819"/>
      <c r="H2771" s="311"/>
      <c r="I2771" s="405"/>
      <c r="J2771" s="405"/>
      <c r="K2771" s="398"/>
      <c r="L2771" s="405"/>
      <c r="M2771" s="64"/>
      <c r="N2771" s="312"/>
      <c r="O2771" s="65"/>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row>
    <row r="2772" spans="1:30" ht="15.75" customHeight="1">
      <c r="A2772" s="327" t="str">
        <f>IF(B2772&lt;&gt;"",IF(AND(B2772='IN-TC'!$S$4,OR(TH!N2772="1111",TH!O2772="1111")),TH!D2772,""),"")</f>
        <v/>
      </c>
      <c r="B2772" s="62" t="str">
        <f t="shared" si="384"/>
        <v/>
      </c>
      <c r="C2772" s="63"/>
      <c r="D2772" s="63"/>
      <c r="E2772" s="63"/>
      <c r="F2772" s="71"/>
      <c r="G2772" s="819"/>
      <c r="H2772" s="71"/>
      <c r="I2772" s="405"/>
      <c r="J2772" s="405"/>
      <c r="K2772" s="398"/>
      <c r="L2772" s="405"/>
      <c r="M2772" s="64"/>
      <c r="N2772" s="65"/>
      <c r="O2772" s="65"/>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row>
    <row r="2773" spans="1:30" ht="15.75" customHeight="1">
      <c r="A2773" s="327" t="str">
        <f>IF(B2773&lt;&gt;"",IF(AND(B2773='IN-TC'!$S$4,OR(TH!N2773="1111",TH!O2773="1111")),TH!D2773,""),"")</f>
        <v/>
      </c>
      <c r="B2773" s="62" t="str">
        <f t="shared" si="384"/>
        <v/>
      </c>
      <c r="C2773" s="63"/>
      <c r="D2773" s="309"/>
      <c r="E2773" s="63"/>
      <c r="F2773" s="71"/>
      <c r="G2773" s="819"/>
      <c r="H2773" s="71"/>
      <c r="I2773" s="405"/>
      <c r="J2773" s="405"/>
      <c r="K2773" s="398"/>
      <c r="L2773" s="405"/>
      <c r="M2773" s="64"/>
      <c r="N2773" s="65"/>
      <c r="O2773" s="65"/>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0" ht="15.75" customHeight="1">
      <c r="A2774" s="327" t="str">
        <f>IF(B2774&lt;&gt;"",IF(AND(B2774='IN-TC'!$S$4,OR(TH!N2774="1111",TH!O2774="1111")),TH!D2774,""),"")</f>
        <v/>
      </c>
      <c r="B2774" s="62" t="str">
        <f t="shared" ref="B2774:B2837" si="385">IF(C2774&lt;&gt;"",MONTH(C2774),"")</f>
        <v/>
      </c>
      <c r="C2774" s="63"/>
      <c r="D2774" s="309"/>
      <c r="E2774" s="63"/>
      <c r="F2774" s="477"/>
      <c r="G2774" s="66"/>
      <c r="H2774" s="330"/>
      <c r="I2774" s="405"/>
      <c r="J2774" s="405"/>
      <c r="K2774" s="398"/>
      <c r="L2774" s="405"/>
      <c r="M2774" s="64"/>
      <c r="N2774" s="65"/>
      <c r="O2774" s="65"/>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0" ht="15.75" customHeight="1">
      <c r="A2775" s="327" t="str">
        <f>IF(B2775&lt;&gt;"",IF(AND(B2775='IN-TC'!$S$4,OR(TH!N2775="1111",TH!O2775="1111")),TH!D2775,""),"")</f>
        <v/>
      </c>
      <c r="B2775" s="62" t="str">
        <f t="shared" si="385"/>
        <v/>
      </c>
      <c r="C2775" s="63"/>
      <c r="D2775" s="309"/>
      <c r="E2775" s="63"/>
      <c r="F2775" s="71"/>
      <c r="G2775" s="66"/>
      <c r="H2775" s="71"/>
      <c r="I2775" s="405"/>
      <c r="J2775" s="405"/>
      <c r="K2775" s="398"/>
      <c r="L2775" s="405"/>
      <c r="M2775" s="64"/>
      <c r="N2775" s="65"/>
      <c r="O2775" s="65"/>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0" ht="15.75" customHeight="1">
      <c r="A2776" s="327" t="str">
        <f>IF(B2776&lt;&gt;"",IF(AND(B2776='IN-TC'!$S$4,OR(TH!N2776="1111",TH!O2776="1111")),TH!D2776,""),"")</f>
        <v/>
      </c>
      <c r="B2776" s="62" t="str">
        <f t="shared" si="385"/>
        <v/>
      </c>
      <c r="C2776" s="63"/>
      <c r="D2776" s="309"/>
      <c r="E2776" s="63"/>
      <c r="F2776" s="71"/>
      <c r="G2776" s="66"/>
      <c r="H2776" s="71"/>
      <c r="I2776" s="405"/>
      <c r="J2776" s="405"/>
      <c r="K2776" s="398"/>
      <c r="L2776" s="405"/>
      <c r="M2776" s="64"/>
      <c r="N2776" s="65"/>
      <c r="O2776" s="65"/>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row>
    <row r="2777" spans="1:30" ht="15.75" customHeight="1">
      <c r="A2777" s="327" t="str">
        <f>IF(B2777&lt;&gt;"",IF(AND(B2777='IN-TC'!$S$4,OR(TH!N2777="1111",TH!O2777="1111")),TH!D2777,""),"")</f>
        <v/>
      </c>
      <c r="B2777" s="62" t="str">
        <f t="shared" si="385"/>
        <v/>
      </c>
      <c r="C2777" s="63"/>
      <c r="D2777" s="309"/>
      <c r="E2777" s="63"/>
      <c r="F2777" s="71"/>
      <c r="G2777" s="66"/>
      <c r="H2777" s="330"/>
      <c r="I2777" s="405"/>
      <c r="J2777" s="405"/>
      <c r="K2777" s="398"/>
      <c r="L2777" s="405"/>
      <c r="M2777" s="64"/>
      <c r="N2777" s="65"/>
      <c r="O2777" s="65"/>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row>
    <row r="2778" spans="1:30" ht="15.75" customHeight="1">
      <c r="A2778" s="327" t="str">
        <f>IF(B2778&lt;&gt;"",IF(AND(B2778='IN-TC'!$S$4,OR(TH!N2778="1111",TH!O2778="1111")),TH!D2778,""),"")</f>
        <v/>
      </c>
      <c r="B2778" s="62" t="str">
        <f t="shared" si="385"/>
        <v/>
      </c>
      <c r="C2778" s="63"/>
      <c r="D2778" s="309"/>
      <c r="E2778" s="63"/>
      <c r="F2778" s="71"/>
      <c r="G2778" s="66"/>
      <c r="H2778" s="71"/>
      <c r="I2778" s="405"/>
      <c r="J2778" s="405"/>
      <c r="K2778" s="398"/>
      <c r="L2778" s="405"/>
      <c r="M2778" s="64"/>
      <c r="N2778" s="65"/>
      <c r="O2778" s="65"/>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row>
    <row r="2779" spans="1:30" ht="15.75" customHeight="1">
      <c r="A2779" s="327" t="str">
        <f>IF(B2779&lt;&gt;"",IF(AND(B2779='IN-TC'!$S$4,OR(TH!N2779="1111",TH!O2779="1111")),TH!D2779,""),"")</f>
        <v/>
      </c>
      <c r="B2779" s="62" t="str">
        <f t="shared" si="385"/>
        <v/>
      </c>
      <c r="C2779" s="63"/>
      <c r="D2779" s="309"/>
      <c r="E2779" s="63"/>
      <c r="F2779" s="71"/>
      <c r="G2779" s="66"/>
      <c r="H2779" s="71"/>
      <c r="I2779" s="405"/>
      <c r="J2779" s="405"/>
      <c r="K2779" s="398"/>
      <c r="L2779" s="405"/>
      <c r="M2779" s="64"/>
      <c r="N2779" s="65"/>
      <c r="O2779" s="65"/>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row>
    <row r="2780" spans="1:30" ht="15.75" customHeight="1">
      <c r="A2780" s="327" t="str">
        <f>IF(B2780&lt;&gt;"",IF(AND(B2780='IN-TC'!$S$4,OR(TH!N2780="1111",TH!O2780="1111")),TH!D2780,""),"")</f>
        <v/>
      </c>
      <c r="B2780" s="62" t="str">
        <f t="shared" si="385"/>
        <v/>
      </c>
      <c r="C2780" s="63"/>
      <c r="D2780" s="309"/>
      <c r="E2780" s="63"/>
      <c r="F2780" s="71"/>
      <c r="G2780" s="66"/>
      <c r="H2780" s="330"/>
      <c r="I2780" s="405"/>
      <c r="J2780" s="405"/>
      <c r="K2780" s="398"/>
      <c r="L2780" s="405"/>
      <c r="M2780" s="64"/>
      <c r="N2780" s="65"/>
      <c r="O2780" s="65"/>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row>
    <row r="2781" spans="1:30" ht="15.75" customHeight="1">
      <c r="A2781" s="327" t="str">
        <f>IF(B2781&lt;&gt;"",IF(AND(B2781='IN-TC'!$S$4,OR(TH!N2781="1111",TH!O2781="1111")),TH!D2781,""),"")</f>
        <v/>
      </c>
      <c r="B2781" s="62" t="str">
        <f t="shared" si="385"/>
        <v/>
      </c>
      <c r="C2781" s="63"/>
      <c r="D2781" s="309"/>
      <c r="E2781" s="63"/>
      <c r="F2781" s="71"/>
      <c r="G2781" s="66"/>
      <c r="H2781" s="71"/>
      <c r="I2781" s="405"/>
      <c r="J2781" s="405"/>
      <c r="K2781" s="398"/>
      <c r="L2781" s="405"/>
      <c r="M2781" s="64"/>
      <c r="N2781" s="65"/>
      <c r="O2781" s="65"/>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row>
    <row r="2782" spans="1:30" ht="15.75" customHeight="1">
      <c r="A2782" s="327" t="str">
        <f>IF(B2782&lt;&gt;"",IF(AND(B2782='IN-TC'!$S$4,OR(TH!N2782="1111",TH!O2782="1111")),TH!D2782,""),"")</f>
        <v/>
      </c>
      <c r="B2782" s="62" t="str">
        <f t="shared" si="385"/>
        <v/>
      </c>
      <c r="C2782" s="63"/>
      <c r="D2782" s="309"/>
      <c r="E2782" s="63"/>
      <c r="F2782" s="71"/>
      <c r="G2782" s="66"/>
      <c r="H2782" s="71"/>
      <c r="I2782" s="405"/>
      <c r="J2782" s="405"/>
      <c r="K2782" s="398"/>
      <c r="L2782" s="405"/>
      <c r="M2782" s="64"/>
      <c r="N2782" s="65"/>
      <c r="O2782" s="65"/>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row>
    <row r="2783" spans="1:30" ht="15.75" customHeight="1">
      <c r="A2783" s="327" t="str">
        <f>IF(B2783&lt;&gt;"",IF(AND(B2783='IN-TC'!$S$4,OR(TH!N2783="1111",TH!O2783="1111")),TH!D2783,""),"")</f>
        <v/>
      </c>
      <c r="B2783" s="62" t="str">
        <f t="shared" si="385"/>
        <v/>
      </c>
      <c r="C2783" s="63"/>
      <c r="D2783" s="309"/>
      <c r="E2783" s="63"/>
      <c r="F2783" s="71"/>
      <c r="G2783" s="66"/>
      <c r="H2783" s="330"/>
      <c r="I2783" s="405"/>
      <c r="J2783" s="405"/>
      <c r="K2783" s="398"/>
      <c r="L2783" s="405"/>
      <c r="M2783" s="64"/>
      <c r="N2783" s="65"/>
      <c r="O2783" s="65"/>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row>
    <row r="2784" spans="1:30" ht="15.75" customHeight="1">
      <c r="A2784" s="327" t="str">
        <f>IF(B2784&lt;&gt;"",IF(AND(B2784='IN-TC'!$S$4,OR(TH!N2784="1111",TH!O2784="1111")),TH!D2784,""),"")</f>
        <v/>
      </c>
      <c r="B2784" s="62" t="str">
        <f t="shared" si="385"/>
        <v/>
      </c>
      <c r="C2784" s="63"/>
      <c r="D2784" s="309"/>
      <c r="E2784" s="63"/>
      <c r="F2784" s="71"/>
      <c r="G2784" s="66"/>
      <c r="H2784" s="71"/>
      <c r="I2784" s="405"/>
      <c r="J2784" s="405"/>
      <c r="K2784" s="398"/>
      <c r="L2784" s="405"/>
      <c r="M2784" s="64"/>
      <c r="N2784" s="65"/>
      <c r="O2784" s="65"/>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row>
    <row r="2785" spans="1:30" ht="15.75" customHeight="1">
      <c r="A2785" s="327" t="str">
        <f>IF(B2785&lt;&gt;"",IF(AND(B2785='IN-TC'!$S$4,OR(TH!N2785="1111",TH!O2785="1111")),TH!D2785,""),"")</f>
        <v/>
      </c>
      <c r="B2785" s="62" t="str">
        <f t="shared" si="385"/>
        <v/>
      </c>
      <c r="C2785" s="63"/>
      <c r="D2785" s="309"/>
      <c r="E2785" s="63"/>
      <c r="F2785" s="71"/>
      <c r="G2785" s="66"/>
      <c r="H2785" s="71"/>
      <c r="I2785" s="405"/>
      <c r="J2785" s="405"/>
      <c r="K2785" s="398"/>
      <c r="L2785" s="405"/>
      <c r="M2785" s="64"/>
      <c r="N2785" s="65"/>
      <c r="O2785" s="65"/>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
      </c>
      <c r="V2785" s="81" t="str">
        <f>IF(ISERROR(FIND('112'!$M$9,G2785,1)),"",IF((AND(RIGHT(G2785,2)=RIGHT('112'!$M$9,2),B2785&lt;'112'!$K$9,$O2785='112'!$I$6)),"x",""))</f>
        <v/>
      </c>
      <c r="W2785" s="81" t="str">
        <f>IF(AND('341-CT'!$H$9=H2785,OR(LEFT(N2785,3)=$W$7,LEFT(O2785,3)=$W$7)),"x","")</f>
        <v/>
      </c>
      <c r="X2785" s="81" t="str">
        <f>IF(OR(TH!N2785=TH!$X$7,O2785=TH!$X$7),"x","")</f>
        <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row>
    <row r="2786" spans="1:30" ht="15.75" customHeight="1">
      <c r="A2786" s="327" t="str">
        <f>IF(B2786&lt;&gt;"",IF(AND(B2786='IN-TC'!$S$4,OR(TH!N2786="1111",TH!O2786="1111")),TH!D2786,""),"")</f>
        <v/>
      </c>
      <c r="B2786" s="62" t="str">
        <f t="shared" si="385"/>
        <v/>
      </c>
      <c r="C2786" s="63"/>
      <c r="D2786" s="309"/>
      <c r="E2786" s="63"/>
      <c r="F2786" s="71"/>
      <c r="G2786" s="66"/>
      <c r="H2786" s="330"/>
      <c r="I2786" s="405"/>
      <c r="J2786" s="405"/>
      <c r="K2786" s="398"/>
      <c r="L2786" s="405"/>
      <c r="M2786" s="64"/>
      <c r="N2786" s="65"/>
      <c r="O2786" s="65"/>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0" ht="15.75" customHeight="1">
      <c r="A2787" s="327" t="str">
        <f>IF(B2787&lt;&gt;"",IF(AND(B2787='IN-TC'!$S$4,OR(TH!N2787="1111",TH!O2787="1111")),TH!D2787,""),"")</f>
        <v/>
      </c>
      <c r="B2787" s="62" t="str">
        <f t="shared" si="385"/>
        <v/>
      </c>
      <c r="C2787" s="63"/>
      <c r="D2787" s="309"/>
      <c r="E2787" s="63"/>
      <c r="F2787" s="71"/>
      <c r="G2787" s="66"/>
      <c r="H2787" s="330"/>
      <c r="I2787" s="405"/>
      <c r="J2787" s="405"/>
      <c r="K2787" s="398"/>
      <c r="L2787" s="405"/>
      <c r="M2787" s="64"/>
      <c r="N2787" s="65"/>
      <c r="O2787" s="65"/>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0" ht="15.75" customHeight="1">
      <c r="A2788" s="327" t="str">
        <f>IF(B2788&lt;&gt;"",IF(AND(B2788='IN-TC'!$S$4,OR(TH!N2788="1111",TH!O2788="1111")),TH!D2788,""),"")</f>
        <v/>
      </c>
      <c r="B2788" s="62" t="str">
        <f t="shared" si="385"/>
        <v/>
      </c>
      <c r="C2788" s="63"/>
      <c r="D2788" s="309"/>
      <c r="E2788" s="63"/>
      <c r="F2788" s="71"/>
      <c r="G2788" s="66"/>
      <c r="H2788" s="330"/>
      <c r="I2788" s="405"/>
      <c r="J2788" s="405"/>
      <c r="K2788" s="398"/>
      <c r="L2788" s="405"/>
      <c r="M2788" s="64"/>
      <c r="N2788" s="65"/>
      <c r="O2788" s="65"/>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0" ht="15.75" customHeight="1">
      <c r="A2789" s="327" t="str">
        <f>IF(B2789&lt;&gt;"",IF(AND(B2789='IN-TC'!$S$4,OR(TH!N2789="1111",TH!O2789="1111")),TH!D2789,""),"")</f>
        <v/>
      </c>
      <c r="B2789" s="62" t="str">
        <f t="shared" si="385"/>
        <v/>
      </c>
      <c r="C2789" s="63"/>
      <c r="D2789" s="309"/>
      <c r="E2789" s="63"/>
      <c r="F2789" s="71"/>
      <c r="G2789" s="66"/>
      <c r="H2789" s="71"/>
      <c r="I2789" s="405"/>
      <c r="J2789" s="405"/>
      <c r="K2789" s="398"/>
      <c r="L2789" s="405"/>
      <c r="M2789" s="64"/>
      <c r="N2789" s="65"/>
      <c r="O2789" s="65"/>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row>
    <row r="2790" spans="1:30" ht="15.75" customHeight="1">
      <c r="A2790" s="327" t="str">
        <f>IF(B2790&lt;&gt;"",IF(AND(B2790='IN-TC'!$S$4,OR(TH!N2790="1111",TH!O2790="1111")),TH!D2790,""),"")</f>
        <v/>
      </c>
      <c r="B2790" s="62" t="str">
        <f t="shared" si="385"/>
        <v/>
      </c>
      <c r="C2790" s="63"/>
      <c r="D2790" s="309"/>
      <c r="E2790" s="63"/>
      <c r="F2790" s="71"/>
      <c r="G2790" s="66"/>
      <c r="H2790" s="71"/>
      <c r="I2790" s="405"/>
      <c r="J2790" s="405"/>
      <c r="K2790" s="398"/>
      <c r="L2790" s="405"/>
      <c r="M2790" s="64"/>
      <c r="N2790" s="65"/>
      <c r="O2790" s="65"/>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
      </c>
      <c r="W2790" s="81" t="str">
        <f>IF(AND('341-CT'!$H$9=H2790,OR(LEFT(N2790,3)=$W$7,LEFT(O2790,3)=$W$7)),"x","")</f>
        <v/>
      </c>
      <c r="X2790" s="81" t="str">
        <f>IF(OR(TH!N2790=TH!$X$7,O2790=TH!$X$7),"x","")</f>
        <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row>
    <row r="2791" spans="1:30" ht="15.75" customHeight="1">
      <c r="A2791" s="327" t="str">
        <f>IF(B2791&lt;&gt;"",IF(AND(B2791='IN-TC'!$S$4,OR(TH!N2791="1111",TH!O2791="1111")),TH!D2791,""),"")</f>
        <v/>
      </c>
      <c r="B2791" s="62" t="str">
        <f t="shared" si="385"/>
        <v/>
      </c>
      <c r="C2791" s="63"/>
      <c r="D2791" s="309"/>
      <c r="E2791" s="63"/>
      <c r="F2791" s="71"/>
      <c r="G2791" s="66"/>
      <c r="H2791" s="330"/>
      <c r="I2791" s="405"/>
      <c r="J2791" s="405"/>
      <c r="K2791" s="398"/>
      <c r="L2791" s="405"/>
      <c r="M2791" s="64"/>
      <c r="N2791" s="65"/>
      <c r="O2791" s="65"/>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row>
    <row r="2792" spans="1:30" ht="15.75" customHeight="1">
      <c r="A2792" s="327" t="str">
        <f>IF(B2792&lt;&gt;"",IF(AND(B2792='IN-TC'!$S$4,OR(TH!N2792="1111",TH!O2792="1111")),TH!D2792,""),"")</f>
        <v/>
      </c>
      <c r="B2792" s="62" t="str">
        <f t="shared" si="385"/>
        <v/>
      </c>
      <c r="C2792" s="63"/>
      <c r="D2792" s="309"/>
      <c r="E2792" s="63"/>
      <c r="F2792" s="71"/>
      <c r="G2792" s="66"/>
      <c r="H2792" s="71"/>
      <c r="I2792" s="405"/>
      <c r="J2792" s="405"/>
      <c r="K2792" s="398"/>
      <c r="L2792" s="405"/>
      <c r="M2792" s="64"/>
      <c r="N2792" s="65"/>
      <c r="O2792" s="65"/>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
      </c>
      <c r="W2792" s="81" t="str">
        <f>IF(AND('341-CT'!$H$9=H2792,OR(LEFT(N2792,3)=$W$7,LEFT(O2792,3)=$W$7)),"x","")</f>
        <v/>
      </c>
      <c r="X2792" s="81" t="str">
        <f>IF(OR(TH!N2792=TH!$X$7,O2792=TH!$X$7),"x","")</f>
        <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row>
    <row r="2793" spans="1:30" ht="15.75" customHeight="1">
      <c r="A2793" s="327" t="str">
        <f>IF(B2793&lt;&gt;"",IF(AND(B2793='IN-TC'!$S$4,OR(TH!N2793="1111",TH!O2793="1111")),TH!D2793,""),"")</f>
        <v/>
      </c>
      <c r="B2793" s="62" t="str">
        <f t="shared" si="385"/>
        <v/>
      </c>
      <c r="C2793" s="63"/>
      <c r="D2793" s="309"/>
      <c r="E2793" s="63"/>
      <c r="F2793" s="71"/>
      <c r="G2793" s="66"/>
      <c r="H2793" s="71"/>
      <c r="I2793" s="405"/>
      <c r="J2793" s="405"/>
      <c r="K2793" s="398"/>
      <c r="L2793" s="405"/>
      <c r="M2793" s="64"/>
      <c r="N2793" s="65"/>
      <c r="O2793" s="65"/>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
      </c>
      <c r="W2793" s="81" t="str">
        <f>IF(AND('341-CT'!$H$9=H2793,OR(LEFT(N2793,3)=$W$7,LEFT(O2793,3)=$W$7)),"x","")</f>
        <v/>
      </c>
      <c r="X2793" s="81" t="str">
        <f>IF(OR(TH!N2793=TH!$X$7,O2793=TH!$X$7),"x","")</f>
        <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row>
    <row r="2794" spans="1:30" ht="15.75" customHeight="1">
      <c r="A2794" s="327" t="str">
        <f>IF(B2794&lt;&gt;"",IF(AND(B2794='IN-TC'!$S$4,OR(TH!N2794="1111",TH!O2794="1111")),TH!D2794,""),"")</f>
        <v/>
      </c>
      <c r="B2794" s="62" t="str">
        <f t="shared" si="385"/>
        <v/>
      </c>
      <c r="C2794" s="63"/>
      <c r="D2794" s="309"/>
      <c r="E2794" s="63"/>
      <c r="F2794" s="71"/>
      <c r="G2794" s="66"/>
      <c r="H2794" s="74"/>
      <c r="I2794" s="405"/>
      <c r="J2794" s="405"/>
      <c r="K2794" s="398"/>
      <c r="L2794" s="405"/>
      <c r="M2794" s="64"/>
      <c r="N2794" s="65"/>
      <c r="O2794" s="65"/>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
      </c>
      <c r="W2794" s="81" t="str">
        <f>IF(AND('341-CT'!$H$9=H2794,OR(LEFT(N2794,3)=$W$7,LEFT(O2794,3)=$W$7)),"x","")</f>
        <v/>
      </c>
      <c r="X2794" s="81" t="str">
        <f>IF(OR(TH!N2794=TH!$X$7,O2794=TH!$X$7),"x","")</f>
        <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row>
    <row r="2795" spans="1:30" ht="15.75" customHeight="1">
      <c r="A2795" s="327" t="str">
        <f>IF(B2795&lt;&gt;"",IF(AND(B2795='IN-TC'!$S$4,OR(TH!N2795="1111",TH!O2795="1111")),TH!D2795,""),"")</f>
        <v/>
      </c>
      <c r="B2795" s="62" t="str">
        <f t="shared" si="385"/>
        <v/>
      </c>
      <c r="C2795" s="63"/>
      <c r="D2795" s="309"/>
      <c r="E2795" s="63"/>
      <c r="F2795" s="71"/>
      <c r="G2795" s="66"/>
      <c r="H2795" s="71"/>
      <c r="I2795" s="405"/>
      <c r="J2795" s="405"/>
      <c r="K2795" s="398"/>
      <c r="L2795" s="405"/>
      <c r="M2795" s="64"/>
      <c r="N2795" s="65"/>
      <c r="O2795" s="65"/>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row>
    <row r="2796" spans="1:30" ht="15.75" customHeight="1">
      <c r="A2796" s="327" t="str">
        <f>IF(B2796&lt;&gt;"",IF(AND(B2796='IN-TC'!$S$4,OR(TH!N2796="1111",TH!O2796="1111")),TH!D2796,""),"")</f>
        <v/>
      </c>
      <c r="B2796" s="62" t="str">
        <f t="shared" si="385"/>
        <v/>
      </c>
      <c r="C2796" s="63"/>
      <c r="D2796" s="309"/>
      <c r="E2796" s="63"/>
      <c r="F2796" s="71"/>
      <c r="G2796" s="66"/>
      <c r="H2796" s="71"/>
      <c r="I2796" s="405"/>
      <c r="J2796" s="405"/>
      <c r="K2796" s="398"/>
      <c r="L2796" s="405"/>
      <c r="M2796" s="64"/>
      <c r="N2796" s="65"/>
      <c r="O2796" s="65"/>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
      </c>
      <c r="W2796" s="81" t="str">
        <f>IF(AND('341-CT'!$H$9=H2796,OR(LEFT(N2796,3)=$W$7,LEFT(O2796,3)=$W$7)),"x","")</f>
        <v/>
      </c>
      <c r="X2796" s="81" t="str">
        <f>IF(OR(TH!N2796=TH!$X$7,O2796=TH!$X$7),"x","")</f>
        <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row>
    <row r="2797" spans="1:30" ht="15.75" customHeight="1">
      <c r="A2797" s="327" t="str">
        <f>IF(B2797&lt;&gt;"",IF(AND(B2797='IN-TC'!$S$4,OR(TH!N2797="1111",TH!O2797="1111")),TH!D2797,""),"")</f>
        <v/>
      </c>
      <c r="B2797" s="62" t="str">
        <f t="shared" si="385"/>
        <v/>
      </c>
      <c r="C2797" s="63"/>
      <c r="D2797" s="309"/>
      <c r="E2797" s="63"/>
      <c r="F2797" s="71"/>
      <c r="G2797" s="66"/>
      <c r="H2797" s="330"/>
      <c r="I2797" s="405"/>
      <c r="J2797" s="405"/>
      <c r="K2797" s="398"/>
      <c r="L2797" s="405"/>
      <c r="M2797" s="64"/>
      <c r="N2797" s="65"/>
      <c r="O2797" s="65"/>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0" ht="15.75" customHeight="1">
      <c r="A2798" s="327" t="str">
        <f>IF(B2798&lt;&gt;"",IF(AND(B2798='IN-TC'!$S$4,OR(TH!N2798="1111",TH!O2798="1111")),TH!D2798,""),"")</f>
        <v/>
      </c>
      <c r="B2798" s="62" t="str">
        <f t="shared" si="385"/>
        <v/>
      </c>
      <c r="C2798" s="63"/>
      <c r="D2798" s="309"/>
      <c r="E2798" s="63"/>
      <c r="F2798" s="71"/>
      <c r="G2798" s="66"/>
      <c r="H2798" s="71"/>
      <c r="I2798" s="405"/>
      <c r="J2798" s="405"/>
      <c r="K2798" s="398"/>
      <c r="L2798" s="405"/>
      <c r="M2798" s="64"/>
      <c r="N2798" s="65"/>
      <c r="O2798" s="65"/>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row>
    <row r="2799" spans="1:30" ht="15.75" customHeight="1">
      <c r="A2799" s="327" t="str">
        <f>IF(B2799&lt;&gt;"",IF(AND(B2799='IN-TC'!$S$4,OR(TH!N2799="1111",TH!O2799="1111")),TH!D2799,""),"")</f>
        <v/>
      </c>
      <c r="B2799" s="62" t="str">
        <f t="shared" si="385"/>
        <v/>
      </c>
      <c r="C2799" s="63"/>
      <c r="D2799" s="309"/>
      <c r="E2799" s="63"/>
      <c r="F2799" s="71"/>
      <c r="G2799" s="66"/>
      <c r="H2799" s="71"/>
      <c r="I2799" s="405"/>
      <c r="J2799" s="405"/>
      <c r="K2799" s="398"/>
      <c r="L2799" s="405"/>
      <c r="M2799" s="64"/>
      <c r="N2799" s="65"/>
      <c r="O2799" s="65"/>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
      </c>
      <c r="W2799" s="81" t="str">
        <f>IF(AND('341-CT'!$H$9=H2799,OR(LEFT(N2799,3)=$W$7,LEFT(O2799,3)=$W$7)),"x","")</f>
        <v/>
      </c>
      <c r="X2799" s="81" t="str">
        <f>IF(OR(TH!N2799=TH!$X$7,O2799=TH!$X$7),"x","")</f>
        <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row>
    <row r="2800" spans="1:30" ht="15.75" customHeight="1">
      <c r="A2800" s="327" t="str">
        <f>IF(B2800&lt;&gt;"",IF(AND(B2800='IN-TC'!$S$4,OR(TH!N2800="1111",TH!O2800="1111")),TH!D2800,""),"")</f>
        <v/>
      </c>
      <c r="B2800" s="62" t="str">
        <f t="shared" si="385"/>
        <v/>
      </c>
      <c r="C2800" s="309"/>
      <c r="D2800" s="309"/>
      <c r="E2800" s="309"/>
      <c r="F2800" s="71"/>
      <c r="G2800" s="816"/>
      <c r="H2800" s="71"/>
      <c r="I2800" s="405"/>
      <c r="J2800" s="405"/>
      <c r="K2800" s="398"/>
      <c r="L2800" s="405"/>
      <c r="M2800" s="64"/>
      <c r="N2800" s="65"/>
      <c r="O2800" s="65"/>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0" ht="15.75" customHeight="1">
      <c r="A2801" s="327" t="str">
        <f>IF(B2801&lt;&gt;"",IF(AND(B2801='IN-TC'!$S$4,OR(TH!N2801="1111",TH!O2801="1111")),TH!D2801,""),"")</f>
        <v/>
      </c>
      <c r="B2801" s="62" t="str">
        <f t="shared" si="385"/>
        <v/>
      </c>
      <c r="C2801" s="309"/>
      <c r="D2801" s="309"/>
      <c r="E2801" s="309"/>
      <c r="F2801" s="71"/>
      <c r="G2801" s="819"/>
      <c r="H2801" s="330"/>
      <c r="I2801" s="405"/>
      <c r="J2801" s="405"/>
      <c r="K2801" s="398"/>
      <c r="L2801" s="405"/>
      <c r="M2801" s="64"/>
      <c r="N2801" s="312"/>
      <c r="O2801" s="65"/>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row>
    <row r="2802" spans="1:30" ht="15.75" customHeight="1">
      <c r="A2802" s="327" t="str">
        <f>IF(B2802&lt;&gt;"",IF(AND(B2802='IN-TC'!$S$4,OR(TH!N2802="1111",TH!O2802="1111")),TH!D2802,""),"")</f>
        <v/>
      </c>
      <c r="B2802" s="62" t="str">
        <f t="shared" si="385"/>
        <v/>
      </c>
      <c r="C2802" s="63"/>
      <c r="D2802" s="309"/>
      <c r="E2802" s="63"/>
      <c r="F2802" s="71"/>
      <c r="G2802" s="819"/>
      <c r="H2802" s="71"/>
      <c r="I2802" s="405"/>
      <c r="J2802" s="405"/>
      <c r="K2802" s="398"/>
      <c r="L2802" s="405"/>
      <c r="M2802" s="64"/>
      <c r="N2802" s="65"/>
      <c r="O2802" s="65"/>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
      </c>
      <c r="W2802" s="81" t="str">
        <f>IF(AND('341-CT'!$H$9=H2802,OR(LEFT(N2802,3)=$W$7,LEFT(O2802,3)=$W$7)),"x","")</f>
        <v/>
      </c>
      <c r="X2802" s="81" t="str">
        <f>IF(OR(TH!N2802=TH!$X$7,O2802=TH!$X$7),"x","")</f>
        <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row>
    <row r="2803" spans="1:30" ht="15.75" customHeight="1">
      <c r="A2803" s="327" t="str">
        <f>IF(B2803&lt;&gt;"",IF(AND(B2803='IN-TC'!$S$4,OR(TH!N2803="1111",TH!O2803="1111")),TH!D2803,""),"")</f>
        <v/>
      </c>
      <c r="B2803" s="62" t="str">
        <f t="shared" si="385"/>
        <v/>
      </c>
      <c r="C2803" s="63"/>
      <c r="D2803" s="63"/>
      <c r="E2803" s="63"/>
      <c r="F2803" s="477"/>
      <c r="G2803" s="66"/>
      <c r="H2803" s="71"/>
      <c r="I2803" s="405"/>
      <c r="J2803" s="405"/>
      <c r="K2803" s="398"/>
      <c r="L2803" s="405"/>
      <c r="M2803" s="64"/>
      <c r="N2803" s="65"/>
      <c r="O2803" s="65"/>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
      </c>
      <c r="W2803" s="81" t="str">
        <f>IF(AND('341-CT'!$H$9=H2803,OR(LEFT(N2803,3)=$W$7,LEFT(O2803,3)=$W$7)),"x","")</f>
        <v/>
      </c>
      <c r="X2803" s="81" t="str">
        <f>IF(OR(TH!N2803=TH!$X$7,O2803=TH!$X$7),"x","")</f>
        <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row>
    <row r="2804" spans="1:30" ht="15.75" customHeight="1">
      <c r="A2804" s="327" t="str">
        <f>IF(B2804&lt;&gt;"",IF(AND(B2804='IN-TC'!$S$4,OR(TH!N2804="1111",TH!O2804="1111")),TH!D2804,""),"")</f>
        <v/>
      </c>
      <c r="B2804" s="62" t="str">
        <f t="shared" si="385"/>
        <v/>
      </c>
      <c r="C2804" s="309"/>
      <c r="D2804" s="309"/>
      <c r="E2804" s="309"/>
      <c r="F2804" s="71"/>
      <c r="G2804" s="66"/>
      <c r="H2804" s="71"/>
      <c r="I2804" s="405"/>
      <c r="J2804" s="405"/>
      <c r="K2804" s="398"/>
      <c r="L2804" s="405"/>
      <c r="M2804" s="64"/>
      <c r="N2804" s="65"/>
      <c r="O2804" s="65"/>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0" ht="15.75" customHeight="1">
      <c r="A2805" s="327" t="str">
        <f>IF(B2805&lt;&gt;"",IF(AND(B2805='IN-TC'!$S$4,OR(TH!N2805="1111",TH!O2805="1111")),TH!D2805,""),"")</f>
        <v/>
      </c>
      <c r="B2805" s="62" t="str">
        <f t="shared" si="385"/>
        <v/>
      </c>
      <c r="C2805" s="309"/>
      <c r="D2805" s="309"/>
      <c r="E2805" s="309"/>
      <c r="F2805" s="71"/>
      <c r="G2805" s="819"/>
      <c r="H2805" s="311"/>
      <c r="I2805" s="405"/>
      <c r="J2805" s="405"/>
      <c r="K2805" s="398"/>
      <c r="L2805" s="405"/>
      <c r="M2805" s="64"/>
      <c r="N2805" s="312"/>
      <c r="O2805" s="65"/>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row>
    <row r="2806" spans="1:30" ht="15.75" customHeight="1">
      <c r="A2806" s="327" t="str">
        <f>IF(B2806&lt;&gt;"",IF(AND(B2806='IN-TC'!$S$4,OR(TH!N2806="1111",TH!O2806="1111")),TH!D2806,""),"")</f>
        <v/>
      </c>
      <c r="B2806" s="62" t="str">
        <f t="shared" si="385"/>
        <v/>
      </c>
      <c r="C2806" s="309"/>
      <c r="D2806" s="309"/>
      <c r="E2806" s="309"/>
      <c r="F2806" s="71"/>
      <c r="G2806" s="819"/>
      <c r="H2806" s="311"/>
      <c r="I2806" s="405"/>
      <c r="J2806" s="405"/>
      <c r="K2806" s="398"/>
      <c r="L2806" s="405"/>
      <c r="M2806" s="64"/>
      <c r="N2806" s="312"/>
      <c r="O2806" s="65"/>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
      </c>
      <c r="W2806" s="81" t="str">
        <f>IF(AND('341-CT'!$H$9=H2806,OR(LEFT(N2806,3)=$W$7,LEFT(O2806,3)=$W$7)),"x","")</f>
        <v/>
      </c>
      <c r="X2806" s="81" t="str">
        <f>IF(OR(TH!N2806=TH!$X$7,O2806=TH!$X$7),"x","")</f>
        <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row>
    <row r="2807" spans="1:30" ht="15.75" customHeight="1">
      <c r="A2807" s="327" t="str">
        <f>IF(B2807&lt;&gt;"",IF(AND(B2807='IN-TC'!$S$4,OR(TH!N2807="1111",TH!O2807="1111")),TH!D2807,""),"")</f>
        <v/>
      </c>
      <c r="B2807" s="62" t="str">
        <f t="shared" si="385"/>
        <v/>
      </c>
      <c r="C2807" s="63"/>
      <c r="D2807" s="63"/>
      <c r="E2807" s="63"/>
      <c r="F2807" s="331"/>
      <c r="G2807" s="819"/>
      <c r="H2807" s="71"/>
      <c r="I2807" s="405"/>
      <c r="J2807" s="405"/>
      <c r="K2807" s="398"/>
      <c r="L2807" s="405"/>
      <c r="M2807" s="64"/>
      <c r="N2807" s="65"/>
      <c r="O2807" s="65"/>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
      </c>
      <c r="W2807" s="81" t="str">
        <f>IF(AND('341-CT'!$H$9=H2807,OR(LEFT(N2807,3)=$W$7,LEFT(O2807,3)=$W$7)),"x","")</f>
        <v/>
      </c>
      <c r="X2807" s="81" t="str">
        <f>IF(OR(TH!N2807=TH!$X$7,O2807=TH!$X$7),"x","")</f>
        <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row>
    <row r="2808" spans="1:30" ht="15.75" customHeight="1">
      <c r="A2808" s="327" t="str">
        <f>IF(B2808&lt;&gt;"",IF(AND(B2808='IN-TC'!$S$4,OR(TH!N2808="1111",TH!O2808="1111")),TH!D2808,""),"")</f>
        <v/>
      </c>
      <c r="B2808" s="62" t="str">
        <f t="shared" si="385"/>
        <v/>
      </c>
      <c r="C2808" s="63"/>
      <c r="D2808" s="309"/>
      <c r="E2808" s="63"/>
      <c r="F2808" s="477"/>
      <c r="G2808" s="819"/>
      <c r="H2808" s="71"/>
      <c r="I2808" s="405"/>
      <c r="J2808" s="405"/>
      <c r="K2808" s="398"/>
      <c r="L2808" s="405"/>
      <c r="M2808" s="64"/>
      <c r="N2808" s="65"/>
      <c r="O2808" s="65"/>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row>
    <row r="2809" spans="1:30" ht="15.75" customHeight="1">
      <c r="A2809" s="327" t="str">
        <f>IF(B2809&lt;&gt;"",IF(AND(B2809='IN-TC'!$S$4,OR(TH!N2809="1111",TH!O2809="1111")),TH!D2809,""),"")</f>
        <v/>
      </c>
      <c r="B2809" s="62" t="str">
        <f t="shared" si="385"/>
        <v/>
      </c>
      <c r="C2809" s="63"/>
      <c r="D2809" s="309"/>
      <c r="E2809" s="63"/>
      <c r="F2809" s="477"/>
      <c r="G2809" s="819"/>
      <c r="H2809" s="311"/>
      <c r="I2809" s="405"/>
      <c r="J2809" s="405"/>
      <c r="K2809" s="398"/>
      <c r="L2809" s="405"/>
      <c r="M2809" s="64"/>
      <c r="N2809" s="65"/>
      <c r="O2809" s="65"/>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
      </c>
      <c r="W2809" s="81" t="str">
        <f>IF(AND('341-CT'!$H$9=H2809,OR(LEFT(N2809,3)=$W$7,LEFT(O2809,3)=$W$7)),"x","")</f>
        <v/>
      </c>
      <c r="X2809" s="81" t="str">
        <f>IF(OR(TH!N2809=TH!$X$7,O2809=TH!$X$7),"x","")</f>
        <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row>
    <row r="2810" spans="1:30" ht="15.75" customHeight="1">
      <c r="A2810" s="327" t="str">
        <f>IF(B2810&lt;&gt;"",IF(AND(B2810='IN-TC'!$S$4,OR(TH!N2810="1111",TH!O2810="1111")),TH!D2810,""),"")</f>
        <v/>
      </c>
      <c r="B2810" s="62" t="str">
        <f t="shared" si="385"/>
        <v/>
      </c>
      <c r="C2810" s="63"/>
      <c r="D2810" s="309"/>
      <c r="E2810" s="63"/>
      <c r="F2810" s="477"/>
      <c r="G2810" s="819"/>
      <c r="H2810" s="311"/>
      <c r="I2810" s="405"/>
      <c r="J2810" s="405"/>
      <c r="K2810" s="398"/>
      <c r="L2810" s="405"/>
      <c r="M2810" s="64"/>
      <c r="N2810" s="65"/>
      <c r="O2810" s="65"/>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0" ht="15.75" customHeight="1">
      <c r="A2811" s="327" t="str">
        <f>IF(B2811&lt;&gt;"",IF(AND(B2811='IN-TC'!$S$4,OR(TH!N2811="1111",TH!O2811="1111")),TH!D2811,""),"")</f>
        <v/>
      </c>
      <c r="B2811" s="62" t="str">
        <f t="shared" si="385"/>
        <v/>
      </c>
      <c r="C2811" s="63"/>
      <c r="D2811" s="309"/>
      <c r="E2811" s="63"/>
      <c r="F2811" s="71"/>
      <c r="G2811" s="819"/>
      <c r="H2811" s="71"/>
      <c r="I2811" s="405"/>
      <c r="J2811" s="405"/>
      <c r="K2811" s="398"/>
      <c r="L2811" s="405"/>
      <c r="M2811" s="64"/>
      <c r="N2811" s="65"/>
      <c r="O2811" s="65"/>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row>
    <row r="2812" spans="1:30" ht="15.75" customHeight="1">
      <c r="A2812" s="327" t="str">
        <f>IF(B2812&lt;&gt;"",IF(AND(B2812='IN-TC'!$S$4,OR(TH!N2812="1111",TH!O2812="1111")),TH!D2812,""),"")</f>
        <v/>
      </c>
      <c r="B2812" s="62" t="str">
        <f t="shared" si="385"/>
        <v/>
      </c>
      <c r="C2812" s="63"/>
      <c r="D2812" s="309"/>
      <c r="E2812" s="63"/>
      <c r="F2812" s="71"/>
      <c r="G2812" s="66"/>
      <c r="H2812" s="71"/>
      <c r="I2812" s="405"/>
      <c r="J2812" s="405"/>
      <c r="K2812" s="398"/>
      <c r="L2812" s="405"/>
      <c r="M2812" s="64"/>
      <c r="N2812" s="65"/>
      <c r="O2812" s="65"/>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
      </c>
      <c r="W2812" s="81" t="str">
        <f>IF(AND('341-CT'!$H$9=H2812,OR(LEFT(N2812,3)=$W$7,LEFT(O2812,3)=$W$7)),"x","")</f>
        <v/>
      </c>
      <c r="X2812" s="81" t="str">
        <f>IF(OR(TH!N2812=TH!$X$7,O2812=TH!$X$7),"x","")</f>
        <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row>
    <row r="2813" spans="1:30" ht="15.75" customHeight="1">
      <c r="A2813" s="327" t="str">
        <f>IF(B2813&lt;&gt;"",IF(AND(B2813='IN-TC'!$S$4,OR(TH!N2813="1111",TH!O2813="1111")),TH!D2813,""),"")</f>
        <v/>
      </c>
      <c r="B2813" s="62" t="str">
        <f t="shared" si="385"/>
        <v/>
      </c>
      <c r="C2813" s="63"/>
      <c r="D2813" s="309"/>
      <c r="E2813" s="63"/>
      <c r="F2813" s="71"/>
      <c r="G2813" s="66"/>
      <c r="H2813" s="71"/>
      <c r="I2813" s="405"/>
      <c r="J2813" s="405"/>
      <c r="K2813" s="398"/>
      <c r="L2813" s="405"/>
      <c r="M2813" s="64"/>
      <c r="N2813" s="65"/>
      <c r="O2813" s="65"/>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row>
    <row r="2814" spans="1:30" ht="15.75" customHeight="1">
      <c r="A2814" s="327" t="str">
        <f>IF(B2814&lt;&gt;"",IF(AND(B2814='IN-TC'!$S$4,OR(TH!N2814="1111",TH!O2814="1111")),TH!D2814,""),"")</f>
        <v/>
      </c>
      <c r="B2814" s="62" t="str">
        <f t="shared" si="385"/>
        <v/>
      </c>
      <c r="C2814" s="63"/>
      <c r="D2814" s="309"/>
      <c r="E2814" s="63"/>
      <c r="F2814" s="71"/>
      <c r="G2814" s="66"/>
      <c r="H2814" s="71"/>
      <c r="I2814" s="405"/>
      <c r="J2814" s="405"/>
      <c r="K2814" s="398"/>
      <c r="L2814" s="405"/>
      <c r="M2814" s="64"/>
      <c r="N2814" s="65"/>
      <c r="O2814" s="65"/>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
      </c>
      <c r="W2814" s="81" t="str">
        <f>IF(AND('341-CT'!$H$9=H2814,OR(LEFT(N2814,3)=$W$7,LEFT(O2814,3)=$W$7)),"x","")</f>
        <v/>
      </c>
      <c r="X2814" s="81" t="str">
        <f>IF(OR(TH!N2814=TH!$X$7,O2814=TH!$X$7),"x","")</f>
        <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row>
    <row r="2815" spans="1:30" ht="15.75" customHeight="1">
      <c r="A2815" s="327" t="str">
        <f>IF(B2815&lt;&gt;"",IF(AND(B2815='IN-TC'!$S$4,OR(TH!N2815="1111",TH!O2815="1111")),TH!D2815,""),"")</f>
        <v/>
      </c>
      <c r="B2815" s="62" t="str">
        <f t="shared" si="385"/>
        <v/>
      </c>
      <c r="C2815" s="309"/>
      <c r="D2815" s="309"/>
      <c r="E2815" s="309"/>
      <c r="F2815" s="71"/>
      <c r="G2815" s="819"/>
      <c r="H2815" s="330"/>
      <c r="I2815" s="405"/>
      <c r="J2815" s="405"/>
      <c r="K2815" s="398"/>
      <c r="L2815" s="405"/>
      <c r="M2815" s="64"/>
      <c r="N2815" s="312"/>
      <c r="O2815" s="65"/>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
      </c>
      <c r="W2815" s="81" t="str">
        <f>IF(AND('341-CT'!$H$9=H2815,OR(LEFT(N2815,3)=$W$7,LEFT(O2815,3)=$W$7)),"x","")</f>
        <v/>
      </c>
      <c r="X2815" s="81" t="str">
        <f>IF(OR(TH!N2815=TH!$X$7,O2815=TH!$X$7),"x","")</f>
        <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row>
    <row r="2816" spans="1:30" ht="15.75" customHeight="1">
      <c r="A2816" s="327" t="str">
        <f>IF(B2816&lt;&gt;"",IF(AND(B2816='IN-TC'!$S$4,OR(TH!N2816="1111",TH!O2816="1111")),TH!D2816,""),"")</f>
        <v/>
      </c>
      <c r="B2816" s="62" t="str">
        <f t="shared" si="385"/>
        <v/>
      </c>
      <c r="C2816" s="63"/>
      <c r="D2816" s="309"/>
      <c r="E2816" s="63"/>
      <c r="F2816" s="71"/>
      <c r="G2816" s="819"/>
      <c r="H2816" s="71"/>
      <c r="I2816" s="405"/>
      <c r="J2816" s="405"/>
      <c r="K2816" s="398"/>
      <c r="L2816" s="405"/>
      <c r="M2816" s="64"/>
      <c r="N2816" s="65"/>
      <c r="O2816" s="65"/>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0" ht="15.75" customHeight="1">
      <c r="A2817" s="327" t="str">
        <f>IF(B2817&lt;&gt;"",IF(AND(B2817='IN-TC'!$S$4,OR(TH!N2817="1111",TH!O2817="1111")),TH!D2817,""),"")</f>
        <v/>
      </c>
      <c r="B2817" s="62" t="str">
        <f t="shared" si="385"/>
        <v/>
      </c>
      <c r="C2817" s="63"/>
      <c r="D2817" s="309"/>
      <c r="E2817" s="63"/>
      <c r="F2817" s="71"/>
      <c r="G2817" s="819"/>
      <c r="H2817" s="71"/>
      <c r="I2817" s="405"/>
      <c r="J2817" s="405"/>
      <c r="K2817" s="398"/>
      <c r="L2817" s="405"/>
      <c r="M2817" s="64"/>
      <c r="N2817" s="65"/>
      <c r="O2817" s="65"/>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0" ht="15.75" customHeight="1">
      <c r="A2818" s="327" t="str">
        <f>IF(B2818&lt;&gt;"",IF(AND(B2818='IN-TC'!$S$4,OR(TH!N2818="1111",TH!O2818="1111")),TH!D2818,""),"")</f>
        <v/>
      </c>
      <c r="B2818" s="62" t="str">
        <f t="shared" si="385"/>
        <v/>
      </c>
      <c r="C2818" s="63"/>
      <c r="D2818" s="309"/>
      <c r="E2818" s="63"/>
      <c r="F2818" s="71"/>
      <c r="G2818" s="66"/>
      <c r="H2818" s="330"/>
      <c r="I2818" s="405"/>
      <c r="J2818" s="405"/>
      <c r="K2818" s="398"/>
      <c r="L2818" s="405"/>
      <c r="M2818" s="64"/>
      <c r="N2818" s="65"/>
      <c r="O2818" s="65"/>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0" ht="15.75" customHeight="1">
      <c r="A2819" s="327" t="str">
        <f>IF(B2819&lt;&gt;"",IF(AND(B2819='IN-TC'!$S$4,OR(TH!N2819="1111",TH!O2819="1111")),TH!D2819,""),"")</f>
        <v/>
      </c>
      <c r="B2819" s="62" t="str">
        <f t="shared" si="385"/>
        <v/>
      </c>
      <c r="C2819" s="63"/>
      <c r="D2819" s="309"/>
      <c r="E2819" s="63"/>
      <c r="F2819" s="71"/>
      <c r="G2819" s="66"/>
      <c r="H2819" s="330"/>
      <c r="I2819" s="405"/>
      <c r="J2819" s="405"/>
      <c r="K2819" s="398"/>
      <c r="L2819" s="405"/>
      <c r="M2819" s="64"/>
      <c r="N2819" s="65"/>
      <c r="O2819" s="65"/>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row>
    <row r="2820" spans="1:30" ht="15.75" customHeight="1">
      <c r="A2820" s="327" t="str">
        <f>IF(B2820&lt;&gt;"",IF(AND(B2820='IN-TC'!$S$4,OR(TH!N2820="1111",TH!O2820="1111")),TH!D2820,""),"")</f>
        <v/>
      </c>
      <c r="B2820" s="62" t="str">
        <f t="shared" si="385"/>
        <v/>
      </c>
      <c r="C2820" s="63"/>
      <c r="D2820" s="309"/>
      <c r="E2820" s="63"/>
      <c r="F2820" s="71"/>
      <c r="G2820" s="66"/>
      <c r="H2820" s="330"/>
      <c r="I2820" s="405"/>
      <c r="J2820" s="405"/>
      <c r="K2820" s="398"/>
      <c r="L2820" s="405"/>
      <c r="M2820" s="64"/>
      <c r="N2820" s="65"/>
      <c r="O2820" s="65"/>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
      </c>
      <c r="W2820" s="81" t="str">
        <f>IF(AND('341-CT'!$H$9=H2820,OR(LEFT(N2820,3)=$W$7,LEFT(O2820,3)=$W$7)),"x","")</f>
        <v/>
      </c>
      <c r="X2820" s="81" t="str">
        <f>IF(OR(TH!N2820=TH!$X$7,O2820=TH!$X$7),"x","")</f>
        <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row>
    <row r="2821" spans="1:30" ht="15.75" customHeight="1">
      <c r="A2821" s="327" t="str">
        <f>IF(B2821&lt;&gt;"",IF(AND(B2821='IN-TC'!$S$4,OR(TH!N2821="1111",TH!O2821="1111")),TH!D2821,""),"")</f>
        <v/>
      </c>
      <c r="B2821" s="62" t="str">
        <f t="shared" si="385"/>
        <v/>
      </c>
      <c r="C2821" s="309"/>
      <c r="D2821" s="309"/>
      <c r="E2821" s="309"/>
      <c r="F2821" s="71"/>
      <c r="G2821" s="819"/>
      <c r="H2821" s="311"/>
      <c r="I2821" s="405"/>
      <c r="J2821" s="405"/>
      <c r="K2821" s="398"/>
      <c r="L2821" s="405"/>
      <c r="M2821" s="64"/>
      <c r="N2821" s="65"/>
      <c r="O2821" s="65"/>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0" ht="15.75" customHeight="1">
      <c r="A2822" s="327" t="str">
        <f>IF(B2822&lt;&gt;"",IF(AND(B2822='IN-TC'!$S$4,OR(TH!N2822="1111",TH!O2822="1111")),TH!D2822,""),"")</f>
        <v/>
      </c>
      <c r="B2822" s="62" t="str">
        <f t="shared" si="385"/>
        <v/>
      </c>
      <c r="C2822" s="309"/>
      <c r="D2822" s="309"/>
      <c r="E2822" s="309"/>
      <c r="F2822" s="71"/>
      <c r="G2822" s="819"/>
      <c r="H2822" s="311"/>
      <c r="I2822" s="405"/>
      <c r="J2822" s="405"/>
      <c r="K2822" s="398"/>
      <c r="L2822" s="405"/>
      <c r="M2822" s="64"/>
      <c r="N2822" s="65"/>
      <c r="O2822" s="65"/>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0" ht="15.75" customHeight="1">
      <c r="A2823" s="327" t="str">
        <f>IF(B2823&lt;&gt;"",IF(AND(B2823='IN-TC'!$S$4,OR(TH!N2823="1111",TH!O2823="1111")),TH!D2823,""),"")</f>
        <v/>
      </c>
      <c r="B2823" s="62" t="str">
        <f t="shared" si="385"/>
        <v/>
      </c>
      <c r="C2823" s="63"/>
      <c r="D2823" s="309"/>
      <c r="E2823" s="63"/>
      <c r="F2823" s="71"/>
      <c r="G2823" s="66"/>
      <c r="H2823" s="71"/>
      <c r="I2823" s="405"/>
      <c r="J2823" s="405"/>
      <c r="K2823" s="398"/>
      <c r="L2823" s="405"/>
      <c r="M2823" s="64"/>
      <c r="N2823" s="65"/>
      <c r="O2823" s="65"/>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0" ht="15.75" customHeight="1">
      <c r="A2824" s="327" t="str">
        <f>IF(B2824&lt;&gt;"",IF(AND(B2824='IN-TC'!$S$4,OR(TH!N2824="1111",TH!O2824="1111")),TH!D2824,""),"")</f>
        <v/>
      </c>
      <c r="B2824" s="62" t="str">
        <f t="shared" si="385"/>
        <v/>
      </c>
      <c r="C2824" s="63"/>
      <c r="D2824" s="309"/>
      <c r="E2824" s="63"/>
      <c r="F2824" s="71"/>
      <c r="G2824" s="66"/>
      <c r="H2824" s="71"/>
      <c r="I2824" s="405"/>
      <c r="J2824" s="405"/>
      <c r="K2824" s="398"/>
      <c r="L2824" s="405"/>
      <c r="M2824" s="64"/>
      <c r="N2824" s="65"/>
      <c r="O2824" s="65"/>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row>
    <row r="2825" spans="1:30" ht="15.75" customHeight="1">
      <c r="A2825" s="327" t="str">
        <f>IF(B2825&lt;&gt;"",IF(AND(B2825='IN-TC'!$S$4,OR(TH!N2825="1111",TH!O2825="1111")),TH!D2825,""),"")</f>
        <v/>
      </c>
      <c r="B2825" s="62" t="str">
        <f t="shared" si="385"/>
        <v/>
      </c>
      <c r="C2825" s="63"/>
      <c r="D2825" s="309"/>
      <c r="E2825" s="63"/>
      <c r="F2825" s="71"/>
      <c r="G2825" s="66"/>
      <c r="H2825" s="71"/>
      <c r="I2825" s="405"/>
      <c r="J2825" s="405"/>
      <c r="K2825" s="398"/>
      <c r="L2825" s="405"/>
      <c r="M2825" s="64"/>
      <c r="N2825" s="65"/>
      <c r="O2825" s="65"/>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row>
    <row r="2826" spans="1:30" ht="15.75" customHeight="1">
      <c r="A2826" s="327" t="str">
        <f>IF(B2826&lt;&gt;"",IF(AND(B2826='IN-TC'!$S$4,OR(TH!N2826="1111",TH!O2826="1111")),TH!D2826,""),"")</f>
        <v/>
      </c>
      <c r="B2826" s="62" t="str">
        <f t="shared" si="385"/>
        <v/>
      </c>
      <c r="C2826" s="63"/>
      <c r="D2826" s="309"/>
      <c r="E2826" s="63"/>
      <c r="F2826" s="71"/>
      <c r="G2826" s="66"/>
      <c r="H2826" s="71"/>
      <c r="I2826" s="405"/>
      <c r="J2826" s="405"/>
      <c r="K2826" s="398"/>
      <c r="L2826" s="405"/>
      <c r="M2826" s="64"/>
      <c r="N2826" s="65"/>
      <c r="O2826" s="65"/>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row>
    <row r="2827" spans="1:30" ht="15.75" customHeight="1">
      <c r="A2827" s="327" t="str">
        <f>IF(B2827&lt;&gt;"",IF(AND(B2827='IN-TC'!$S$4,OR(TH!N2827="1111",TH!O2827="1111")),TH!D2827,""),"")</f>
        <v/>
      </c>
      <c r="B2827" s="62" t="str">
        <f t="shared" si="385"/>
        <v/>
      </c>
      <c r="C2827" s="63"/>
      <c r="D2827" s="309"/>
      <c r="E2827" s="63"/>
      <c r="F2827" s="71"/>
      <c r="G2827" s="66"/>
      <c r="H2827" s="71"/>
      <c r="I2827" s="405"/>
      <c r="J2827" s="405"/>
      <c r="K2827" s="398"/>
      <c r="L2827" s="405"/>
      <c r="M2827" s="64"/>
      <c r="N2827" s="65"/>
      <c r="O2827" s="65"/>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row>
    <row r="2828" spans="1:30" ht="15.75" customHeight="1">
      <c r="A2828" s="327" t="str">
        <f>IF(B2828&lt;&gt;"",IF(AND(B2828='IN-TC'!$S$4,OR(TH!N2828="1111",TH!O2828="1111")),TH!D2828,""),"")</f>
        <v/>
      </c>
      <c r="B2828" s="62" t="str">
        <f t="shared" si="385"/>
        <v/>
      </c>
      <c r="C2828" s="63"/>
      <c r="D2828" s="309"/>
      <c r="E2828" s="63"/>
      <c r="F2828" s="71"/>
      <c r="G2828" s="66"/>
      <c r="H2828" s="71"/>
      <c r="I2828" s="405"/>
      <c r="J2828" s="405"/>
      <c r="K2828" s="398"/>
      <c r="L2828" s="405"/>
      <c r="M2828" s="64"/>
      <c r="N2828" s="65"/>
      <c r="O2828" s="65"/>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0" ht="15.75" customHeight="1">
      <c r="A2829" s="327" t="str">
        <f>IF(B2829&lt;&gt;"",IF(AND(B2829='IN-TC'!$S$4,OR(TH!N2829="1111",TH!O2829="1111")),TH!D2829,""),"")</f>
        <v/>
      </c>
      <c r="B2829" s="62" t="str">
        <f t="shared" si="385"/>
        <v/>
      </c>
      <c r="C2829" s="63"/>
      <c r="D2829" s="309"/>
      <c r="E2829" s="63"/>
      <c r="F2829" s="71"/>
      <c r="G2829" s="66"/>
      <c r="H2829" s="71"/>
      <c r="I2829" s="405"/>
      <c r="J2829" s="405"/>
      <c r="K2829" s="398"/>
      <c r="L2829" s="405"/>
      <c r="M2829" s="64"/>
      <c r="N2829" s="65"/>
      <c r="O2829" s="65"/>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0" ht="15.75" customHeight="1">
      <c r="A2830" s="327" t="str">
        <f>IF(B2830&lt;&gt;"",IF(AND(B2830='IN-TC'!$S$4,OR(TH!N2830="1111",TH!O2830="1111")),TH!D2830,""),"")</f>
        <v/>
      </c>
      <c r="B2830" s="62" t="str">
        <f t="shared" si="385"/>
        <v/>
      </c>
      <c r="C2830" s="63"/>
      <c r="D2830" s="309"/>
      <c r="E2830" s="63"/>
      <c r="F2830" s="71"/>
      <c r="G2830" s="66"/>
      <c r="H2830" s="330"/>
      <c r="I2830" s="405"/>
      <c r="J2830" s="405"/>
      <c r="K2830" s="398"/>
      <c r="L2830" s="405"/>
      <c r="M2830" s="64"/>
      <c r="N2830" s="65"/>
      <c r="O2830" s="65"/>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0" ht="15.75" customHeight="1">
      <c r="A2831" s="327" t="str">
        <f>IF(B2831&lt;&gt;"",IF(AND(B2831='IN-TC'!$S$4,OR(TH!N2831="1111",TH!O2831="1111")),TH!D2831,""),"")</f>
        <v/>
      </c>
      <c r="B2831" s="62" t="str">
        <f t="shared" si="385"/>
        <v/>
      </c>
      <c r="C2831" s="63"/>
      <c r="D2831" s="309"/>
      <c r="E2831" s="63"/>
      <c r="F2831" s="71"/>
      <c r="G2831" s="66"/>
      <c r="H2831" s="71"/>
      <c r="I2831" s="405"/>
      <c r="J2831" s="405"/>
      <c r="K2831" s="398"/>
      <c r="L2831" s="405"/>
      <c r="M2831" s="64"/>
      <c r="N2831" s="65"/>
      <c r="O2831" s="65"/>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row>
    <row r="2832" spans="1:30" ht="15.75" customHeight="1">
      <c r="A2832" s="327" t="str">
        <f>IF(B2832&lt;&gt;"",IF(AND(B2832='IN-TC'!$S$4,OR(TH!N2832="1111",TH!O2832="1111")),TH!D2832,""),"")</f>
        <v/>
      </c>
      <c r="B2832" s="62" t="str">
        <f t="shared" si="385"/>
        <v/>
      </c>
      <c r="C2832" s="63"/>
      <c r="D2832" s="309"/>
      <c r="E2832" s="63"/>
      <c r="F2832" s="71"/>
      <c r="G2832" s="816"/>
      <c r="H2832" s="71"/>
      <c r="I2832" s="405"/>
      <c r="J2832" s="405"/>
      <c r="K2832" s="398"/>
      <c r="L2832" s="405"/>
      <c r="M2832" s="64"/>
      <c r="N2832" s="65"/>
      <c r="O2832" s="65"/>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row>
    <row r="2833" spans="1:30" ht="15.75" customHeight="1">
      <c r="A2833" s="327" t="str">
        <f>IF(B2833&lt;&gt;"",IF(AND(B2833='IN-TC'!$S$4,OR(TH!N2833="1111",TH!O2833="1111")),TH!D2833,""),"")</f>
        <v/>
      </c>
      <c r="B2833" s="62" t="str">
        <f t="shared" si="385"/>
        <v/>
      </c>
      <c r="C2833" s="63"/>
      <c r="D2833" s="309"/>
      <c r="E2833" s="63"/>
      <c r="F2833" s="71"/>
      <c r="G2833" s="66"/>
      <c r="H2833" s="330"/>
      <c r="I2833" s="407"/>
      <c r="J2833" s="407"/>
      <c r="K2833" s="400"/>
      <c r="L2833" s="407"/>
      <c r="M2833" s="64"/>
      <c r="N2833" s="65"/>
      <c r="O2833" s="65"/>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row>
    <row r="2834" spans="1:30" ht="15.75" customHeight="1">
      <c r="A2834" s="327" t="str">
        <f>IF(B2834&lt;&gt;"",IF(AND(B2834='IN-TC'!$S$4,OR(TH!N2834="1111",TH!O2834="1111")),TH!D2834,""),"")</f>
        <v/>
      </c>
      <c r="B2834" s="62" t="str">
        <f t="shared" si="385"/>
        <v/>
      </c>
      <c r="C2834" s="63"/>
      <c r="D2834" s="309"/>
      <c r="E2834" s="63"/>
      <c r="F2834" s="71"/>
      <c r="G2834" s="66"/>
      <c r="H2834" s="71"/>
      <c r="I2834" s="405"/>
      <c r="J2834" s="405"/>
      <c r="K2834" s="398"/>
      <c r="L2834" s="405"/>
      <c r="M2834" s="64"/>
      <c r="N2834" s="65"/>
      <c r="O2834" s="65"/>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0" ht="15.75" customHeight="1">
      <c r="A2835" s="327" t="str">
        <f>IF(B2835&lt;&gt;"",IF(AND(B2835='IN-TC'!$S$4,OR(TH!N2835="1111",TH!O2835="1111")),TH!D2835,""),"")</f>
        <v/>
      </c>
      <c r="B2835" s="62" t="str">
        <f t="shared" si="385"/>
        <v/>
      </c>
      <c r="C2835" s="63"/>
      <c r="D2835" s="309"/>
      <c r="E2835" s="63"/>
      <c r="F2835" s="71"/>
      <c r="G2835" s="66"/>
      <c r="H2835" s="71"/>
      <c r="I2835" s="405"/>
      <c r="J2835" s="405"/>
      <c r="K2835" s="398"/>
      <c r="L2835" s="405"/>
      <c r="M2835" s="64"/>
      <c r="N2835" s="65"/>
      <c r="O2835" s="65"/>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0" ht="15.75" customHeight="1">
      <c r="A2836" s="327" t="str">
        <f>IF(B2836&lt;&gt;"",IF(AND(B2836='IN-TC'!$S$4,OR(TH!N2836="1111",TH!O2836="1111")),TH!D2836,""),"")</f>
        <v/>
      </c>
      <c r="B2836" s="62" t="str">
        <f t="shared" si="385"/>
        <v/>
      </c>
      <c r="C2836" s="309"/>
      <c r="D2836" s="63"/>
      <c r="E2836" s="63"/>
      <c r="F2836" s="71"/>
      <c r="G2836" s="66"/>
      <c r="H2836" s="71"/>
      <c r="I2836" s="405"/>
      <c r="J2836" s="405"/>
      <c r="K2836" s="398"/>
      <c r="L2836" s="405"/>
      <c r="M2836" s="64"/>
      <c r="N2836" s="65"/>
      <c r="O2836" s="65"/>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row>
    <row r="2837" spans="1:30" ht="15.75" customHeight="1">
      <c r="A2837" s="327" t="str">
        <f>IF(B2837&lt;&gt;"",IF(AND(B2837='IN-TC'!$S$4,OR(TH!N2837="1111",TH!O2837="1111")),TH!D2837,""),"")</f>
        <v/>
      </c>
      <c r="B2837" s="62" t="str">
        <f t="shared" si="385"/>
        <v/>
      </c>
      <c r="C2837" s="63"/>
      <c r="D2837" s="63"/>
      <c r="E2837" s="63"/>
      <c r="F2837" s="71"/>
      <c r="G2837" s="816"/>
      <c r="H2837" s="71"/>
      <c r="I2837" s="405"/>
      <c r="J2837" s="405"/>
      <c r="K2837" s="398"/>
      <c r="L2837" s="405"/>
      <c r="M2837" s="64"/>
      <c r="N2837" s="65"/>
      <c r="O2837" s="65"/>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row>
    <row r="2838" spans="1:30" ht="15.75" customHeight="1">
      <c r="A2838" s="327" t="str">
        <f>IF(B2838&lt;&gt;"",IF(AND(B2838='IN-TC'!$S$4,OR(TH!N2838="1111",TH!O2838="1111")),TH!D2838,""),"")</f>
        <v/>
      </c>
      <c r="B2838" s="62" t="str">
        <f t="shared" ref="B2838:B2901" si="386">IF(C2838&lt;&gt;"",MONTH(C2838),"")</f>
        <v/>
      </c>
      <c r="C2838" s="63"/>
      <c r="D2838" s="63"/>
      <c r="E2838" s="63"/>
      <c r="F2838" s="71"/>
      <c r="G2838" s="819"/>
      <c r="H2838" s="71"/>
      <c r="I2838" s="405"/>
      <c r="J2838" s="405"/>
      <c r="K2838" s="398"/>
      <c r="L2838" s="405"/>
      <c r="M2838" s="64"/>
      <c r="N2838" s="65"/>
      <c r="O2838" s="65"/>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0" ht="15.75" customHeight="1">
      <c r="A2839" s="327" t="str">
        <f>IF(B2839&lt;&gt;"",IF(AND(B2839='IN-TC'!$S$4,OR(TH!N2839="1111",TH!O2839="1111")),TH!D2839,""),"")</f>
        <v/>
      </c>
      <c r="B2839" s="62" t="str">
        <f t="shared" si="386"/>
        <v/>
      </c>
      <c r="C2839" s="63"/>
      <c r="D2839" s="63"/>
      <c r="E2839" s="63"/>
      <c r="F2839" s="71"/>
      <c r="G2839" s="819"/>
      <c r="H2839" s="71"/>
      <c r="I2839" s="405"/>
      <c r="J2839" s="405"/>
      <c r="K2839" s="398"/>
      <c r="L2839" s="405"/>
      <c r="M2839" s="64"/>
      <c r="N2839" s="65"/>
      <c r="O2839" s="65"/>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row>
    <row r="2840" spans="1:30" ht="15.75" customHeight="1">
      <c r="A2840" s="327" t="str">
        <f>IF(B2840&lt;&gt;"",IF(AND(B2840='IN-TC'!$S$4,OR(TH!N2840="1111",TH!O2840="1111")),TH!D2840,""),"")</f>
        <v/>
      </c>
      <c r="B2840" s="62" t="str">
        <f t="shared" si="386"/>
        <v/>
      </c>
      <c r="C2840" s="63"/>
      <c r="D2840" s="309"/>
      <c r="E2840" s="63"/>
      <c r="F2840" s="71"/>
      <c r="G2840" s="819"/>
      <c r="H2840" s="71"/>
      <c r="I2840" s="405"/>
      <c r="J2840" s="405"/>
      <c r="K2840" s="398"/>
      <c r="L2840" s="405"/>
      <c r="M2840" s="64"/>
      <c r="N2840" s="65"/>
      <c r="O2840" s="65"/>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row>
    <row r="2841" spans="1:30" ht="15.75" customHeight="1">
      <c r="A2841" s="327" t="str">
        <f>IF(B2841&lt;&gt;"",IF(AND(B2841='IN-TC'!$S$4,OR(TH!N2841="1111",TH!O2841="1111")),TH!D2841,""),"")</f>
        <v/>
      </c>
      <c r="B2841" s="62" t="str">
        <f t="shared" si="386"/>
        <v/>
      </c>
      <c r="C2841" s="63"/>
      <c r="D2841" s="309"/>
      <c r="E2841" s="63"/>
      <c r="F2841" s="71"/>
      <c r="G2841" s="819"/>
      <c r="H2841" s="71"/>
      <c r="I2841" s="405"/>
      <c r="J2841" s="405"/>
      <c r="K2841" s="398"/>
      <c r="L2841" s="405"/>
      <c r="M2841" s="64"/>
      <c r="N2841" s="65"/>
      <c r="O2841" s="65"/>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0" ht="15.75" customHeight="1">
      <c r="A2842" s="327" t="str">
        <f>IF(B2842&lt;&gt;"",IF(AND(B2842='IN-TC'!$S$4,OR(TH!N2842="1111",TH!O2842="1111")),TH!D2842,""),"")</f>
        <v/>
      </c>
      <c r="B2842" s="62" t="str">
        <f t="shared" si="386"/>
        <v/>
      </c>
      <c r="C2842" s="63"/>
      <c r="D2842" s="309"/>
      <c r="E2842" s="63"/>
      <c r="F2842" s="71"/>
      <c r="G2842" s="819"/>
      <c r="H2842" s="71"/>
      <c r="I2842" s="405"/>
      <c r="J2842" s="405"/>
      <c r="K2842" s="398"/>
      <c r="L2842" s="405"/>
      <c r="M2842" s="64"/>
      <c r="N2842" s="65"/>
      <c r="O2842" s="65"/>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row>
    <row r="2843" spans="1:30" ht="15.75" customHeight="1">
      <c r="A2843" s="327" t="str">
        <f>IF(B2843&lt;&gt;"",IF(AND(B2843='IN-TC'!$S$4,OR(TH!N2843="1111",TH!O2843="1111")),TH!D2843,""),"")</f>
        <v/>
      </c>
      <c r="B2843" s="62" t="str">
        <f t="shared" si="386"/>
        <v/>
      </c>
      <c r="C2843" s="309"/>
      <c r="D2843" s="309"/>
      <c r="E2843" s="309"/>
      <c r="F2843" s="71"/>
      <c r="G2843" s="310"/>
      <c r="H2843" s="311"/>
      <c r="I2843" s="405"/>
      <c r="J2843" s="405"/>
      <c r="K2843" s="398"/>
      <c r="L2843" s="405"/>
      <c r="M2843" s="64"/>
      <c r="N2843" s="312"/>
      <c r="O2843" s="65"/>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row>
    <row r="2844" spans="1:30" ht="15.75" customHeight="1">
      <c r="A2844" s="327" t="str">
        <f>IF(B2844&lt;&gt;"",IF(AND(B2844='IN-TC'!$S$4,OR(TH!N2844="1111",TH!O2844="1111")),TH!D2844,""),"")</f>
        <v/>
      </c>
      <c r="B2844" s="62" t="str">
        <f t="shared" si="386"/>
        <v/>
      </c>
      <c r="C2844" s="309"/>
      <c r="D2844" s="309"/>
      <c r="E2844" s="309"/>
      <c r="F2844" s="71"/>
      <c r="G2844" s="819"/>
      <c r="H2844" s="311"/>
      <c r="I2844" s="405"/>
      <c r="J2844" s="405"/>
      <c r="K2844" s="398"/>
      <c r="L2844" s="405"/>
      <c r="M2844" s="64"/>
      <c r="N2844" s="312"/>
      <c r="O2844" s="65"/>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row>
    <row r="2845" spans="1:30" ht="15.75" customHeight="1">
      <c r="A2845" s="327" t="str">
        <f>IF(B2845&lt;&gt;"",IF(AND(B2845='IN-TC'!$S$4,OR(TH!N2845="1111",TH!O2845="1111")),TH!D2845,""),"")</f>
        <v/>
      </c>
      <c r="B2845" s="62" t="str">
        <f t="shared" si="386"/>
        <v/>
      </c>
      <c r="C2845" s="309"/>
      <c r="D2845" s="309"/>
      <c r="E2845" s="309"/>
      <c r="F2845" s="71"/>
      <c r="G2845" s="819"/>
      <c r="H2845" s="311"/>
      <c r="I2845" s="405"/>
      <c r="J2845" s="405"/>
      <c r="K2845" s="398"/>
      <c r="L2845" s="405"/>
      <c r="M2845" s="64"/>
      <c r="N2845" s="312"/>
      <c r="O2845" s="65"/>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row>
    <row r="2846" spans="1:30" ht="15.75" customHeight="1">
      <c r="A2846" s="327" t="str">
        <f>IF(B2846&lt;&gt;"",IF(AND(B2846='IN-TC'!$S$4,OR(TH!N2846="1111",TH!O2846="1111")),TH!D2846,""),"")</f>
        <v/>
      </c>
      <c r="B2846" s="62" t="str">
        <f t="shared" si="386"/>
        <v/>
      </c>
      <c r="C2846" s="63"/>
      <c r="D2846" s="63"/>
      <c r="E2846" s="63"/>
      <c r="F2846" s="71"/>
      <c r="G2846" s="819"/>
      <c r="H2846" s="330"/>
      <c r="I2846" s="405"/>
      <c r="J2846" s="405"/>
      <c r="K2846" s="398"/>
      <c r="L2846" s="405"/>
      <c r="M2846" s="64"/>
      <c r="N2846" s="65"/>
      <c r="O2846" s="65"/>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row>
    <row r="2847" spans="1:30" ht="15.75" customHeight="1">
      <c r="A2847" s="327" t="str">
        <f>IF(B2847&lt;&gt;"",IF(AND(B2847='IN-TC'!$S$4,OR(TH!N2847="1111",TH!O2847="1111")),TH!D2847,""),"")</f>
        <v/>
      </c>
      <c r="B2847" s="62" t="str">
        <f t="shared" si="386"/>
        <v/>
      </c>
      <c r="C2847" s="63"/>
      <c r="D2847" s="63"/>
      <c r="E2847" s="63"/>
      <c r="F2847" s="71"/>
      <c r="G2847" s="819"/>
      <c r="H2847" s="71"/>
      <c r="I2847" s="405"/>
      <c r="J2847" s="405"/>
      <c r="K2847" s="398"/>
      <c r="L2847" s="405"/>
      <c r="M2847" s="64"/>
      <c r="N2847" s="65"/>
      <c r="O2847" s="65"/>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0" ht="15.75" customHeight="1">
      <c r="A2848" s="327" t="str">
        <f>IF(B2848&lt;&gt;"",IF(AND(B2848='IN-TC'!$S$4,OR(TH!N2848="1111",TH!O2848="1111")),TH!D2848,""),"")</f>
        <v/>
      </c>
      <c r="B2848" s="62" t="str">
        <f t="shared" si="386"/>
        <v/>
      </c>
      <c r="C2848" s="63"/>
      <c r="D2848" s="63"/>
      <c r="E2848" s="63"/>
      <c r="F2848" s="71"/>
      <c r="G2848" s="819"/>
      <c r="H2848" s="71"/>
      <c r="I2848" s="405"/>
      <c r="J2848" s="405"/>
      <c r="K2848" s="398"/>
      <c r="L2848" s="405"/>
      <c r="M2848" s="64"/>
      <c r="N2848" s="65"/>
      <c r="O2848" s="65"/>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row>
    <row r="2849" spans="1:30" ht="15.75" customHeight="1">
      <c r="A2849" s="327" t="str">
        <f>IF(B2849&lt;&gt;"",IF(AND(B2849='IN-TC'!$S$4,OR(TH!N2849="1111",TH!O2849="1111")),TH!D2849,""),"")</f>
        <v/>
      </c>
      <c r="B2849" s="62" t="str">
        <f t="shared" si="386"/>
        <v/>
      </c>
      <c r="C2849" s="63"/>
      <c r="D2849" s="309"/>
      <c r="E2849" s="63"/>
      <c r="F2849" s="71"/>
      <c r="G2849" s="66"/>
      <c r="H2849" s="330"/>
      <c r="I2849" s="405"/>
      <c r="J2849" s="405"/>
      <c r="K2849" s="398"/>
      <c r="L2849" s="405"/>
      <c r="M2849" s="64"/>
      <c r="N2849" s="65"/>
      <c r="O2849" s="65"/>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row>
    <row r="2850" spans="1:30" ht="15.75" customHeight="1">
      <c r="A2850" s="327" t="str">
        <f>IF(B2850&lt;&gt;"",IF(AND(B2850='IN-TC'!$S$4,OR(TH!N2850="1111",TH!O2850="1111")),TH!D2850,""),"")</f>
        <v/>
      </c>
      <c r="B2850" s="62" t="str">
        <f t="shared" si="386"/>
        <v/>
      </c>
      <c r="C2850" s="63"/>
      <c r="D2850" s="309"/>
      <c r="E2850" s="63"/>
      <c r="F2850" s="71"/>
      <c r="G2850" s="66"/>
      <c r="H2850" s="71"/>
      <c r="I2850" s="405"/>
      <c r="J2850" s="405"/>
      <c r="K2850" s="398"/>
      <c r="L2850" s="405"/>
      <c r="M2850" s="64"/>
      <c r="N2850" s="65"/>
      <c r="O2850" s="65"/>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row>
    <row r="2851" spans="1:30" ht="15.75" customHeight="1">
      <c r="A2851" s="327" t="str">
        <f>IF(B2851&lt;&gt;"",IF(AND(B2851='IN-TC'!$S$4,OR(TH!N2851="1111",TH!O2851="1111")),TH!D2851,""),"")</f>
        <v/>
      </c>
      <c r="B2851" s="62" t="str">
        <f t="shared" si="386"/>
        <v/>
      </c>
      <c r="C2851" s="63"/>
      <c r="D2851" s="309"/>
      <c r="E2851" s="63"/>
      <c r="F2851" s="71"/>
      <c r="G2851" s="66"/>
      <c r="H2851" s="71"/>
      <c r="I2851" s="405"/>
      <c r="J2851" s="405"/>
      <c r="K2851" s="398"/>
      <c r="L2851" s="405"/>
      <c r="M2851" s="64"/>
      <c r="N2851" s="65"/>
      <c r="O2851" s="65"/>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row>
    <row r="2852" spans="1:30" ht="15.75" customHeight="1">
      <c r="A2852" s="327" t="str">
        <f>IF(B2852&lt;&gt;"",IF(AND(B2852='IN-TC'!$S$4,OR(TH!N2852="1111",TH!O2852="1111")),TH!D2852,""),"")</f>
        <v/>
      </c>
      <c r="B2852" s="62" t="str">
        <f t="shared" si="386"/>
        <v/>
      </c>
      <c r="C2852" s="63"/>
      <c r="D2852" s="309"/>
      <c r="E2852" s="63"/>
      <c r="F2852" s="71"/>
      <c r="G2852" s="66"/>
      <c r="H2852" s="330"/>
      <c r="I2852" s="407"/>
      <c r="J2852" s="407"/>
      <c r="K2852" s="400"/>
      <c r="L2852" s="407"/>
      <c r="M2852" s="64"/>
      <c r="N2852" s="65"/>
      <c r="O2852" s="65"/>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row>
    <row r="2853" spans="1:30" ht="15.75" customHeight="1">
      <c r="A2853" s="327" t="str">
        <f>IF(B2853&lt;&gt;"",IF(AND(B2853='IN-TC'!$S$4,OR(TH!N2853="1111",TH!O2853="1111")),TH!D2853,""),"")</f>
        <v/>
      </c>
      <c r="B2853" s="62" t="str">
        <f t="shared" si="386"/>
        <v/>
      </c>
      <c r="C2853" s="63"/>
      <c r="D2853" s="63"/>
      <c r="E2853" s="63"/>
      <c r="F2853" s="71"/>
      <c r="G2853" s="66"/>
      <c r="H2853" s="71"/>
      <c r="I2853" s="405"/>
      <c r="J2853" s="405"/>
      <c r="K2853" s="398"/>
      <c r="L2853" s="405"/>
      <c r="M2853" s="64"/>
      <c r="N2853" s="65"/>
      <c r="O2853" s="65"/>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row>
    <row r="2854" spans="1:30" ht="15.75" customHeight="1">
      <c r="A2854" s="327" t="str">
        <f>IF(B2854&lt;&gt;"",IF(AND(B2854='IN-TC'!$S$4,OR(TH!N2854="1111",TH!O2854="1111")),TH!D2854,""),"")</f>
        <v/>
      </c>
      <c r="B2854" s="62" t="str">
        <f t="shared" si="386"/>
        <v/>
      </c>
      <c r="C2854" s="63"/>
      <c r="D2854" s="63"/>
      <c r="E2854" s="63"/>
      <c r="F2854" s="71"/>
      <c r="G2854" s="66"/>
      <c r="H2854" s="71"/>
      <c r="I2854" s="405"/>
      <c r="J2854" s="405"/>
      <c r="K2854" s="398"/>
      <c r="L2854" s="405"/>
      <c r="M2854" s="64"/>
      <c r="N2854" s="65"/>
      <c r="O2854" s="65"/>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row>
    <row r="2855" spans="1:30" ht="15.75" customHeight="1">
      <c r="A2855" s="327" t="str">
        <f>IF(B2855&lt;&gt;"",IF(AND(B2855='IN-TC'!$S$4,OR(TH!N2855="1111",TH!O2855="1111")),TH!D2855,""),"")</f>
        <v/>
      </c>
      <c r="B2855" s="62" t="str">
        <f t="shared" si="386"/>
        <v/>
      </c>
      <c r="C2855" s="63"/>
      <c r="D2855" s="63"/>
      <c r="E2855" s="63"/>
      <c r="F2855" s="71"/>
      <c r="G2855" s="816"/>
      <c r="H2855" s="71"/>
      <c r="I2855" s="405"/>
      <c r="J2855" s="405"/>
      <c r="K2855" s="398"/>
      <c r="L2855" s="405"/>
      <c r="M2855" s="64"/>
      <c r="N2855" s="65"/>
      <c r="O2855" s="65"/>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row>
    <row r="2856" spans="1:30" ht="15.75" customHeight="1">
      <c r="A2856" s="327" t="str">
        <f>IF(B2856&lt;&gt;"",IF(AND(B2856='IN-TC'!$S$4,OR(TH!N2856="1111",TH!O2856="1111")),TH!D2856,""),"")</f>
        <v/>
      </c>
      <c r="B2856" s="62" t="str">
        <f t="shared" si="386"/>
        <v/>
      </c>
      <c r="C2856" s="63"/>
      <c r="D2856" s="63"/>
      <c r="E2856" s="63"/>
      <c r="F2856" s="71"/>
      <c r="G2856" s="816"/>
      <c r="H2856" s="71"/>
      <c r="I2856" s="405"/>
      <c r="J2856" s="405"/>
      <c r="K2856" s="398"/>
      <c r="L2856" s="405"/>
      <c r="M2856" s="64"/>
      <c r="N2856" s="65"/>
      <c r="O2856" s="65"/>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row>
    <row r="2857" spans="1:30" ht="15.75" customHeight="1">
      <c r="A2857" s="327" t="str">
        <f>IF(B2857&lt;&gt;"",IF(AND(B2857='IN-TC'!$S$4,OR(TH!N2857="1111",TH!O2857="1111")),TH!D2857,""),"")</f>
        <v/>
      </c>
      <c r="B2857" s="62" t="str">
        <f t="shared" si="386"/>
        <v/>
      </c>
      <c r="C2857" s="63"/>
      <c r="D2857" s="63"/>
      <c r="E2857" s="63"/>
      <c r="F2857" s="71"/>
      <c r="G2857" s="816"/>
      <c r="H2857" s="71"/>
      <c r="I2857" s="405"/>
      <c r="J2857" s="405"/>
      <c r="K2857" s="398"/>
      <c r="L2857" s="405"/>
      <c r="M2857" s="64"/>
      <c r="N2857" s="312"/>
      <c r="O2857" s="65"/>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row>
    <row r="2858" spans="1:30" ht="15.75" customHeight="1">
      <c r="A2858" s="327" t="str">
        <f>IF(B2858&lt;&gt;"",IF(AND(B2858='IN-TC'!$S$4,OR(TH!N2858="1111",TH!O2858="1111")),TH!D2858,""),"")</f>
        <v/>
      </c>
      <c r="B2858" s="62" t="str">
        <f t="shared" si="386"/>
        <v/>
      </c>
      <c r="C2858" s="63"/>
      <c r="D2858" s="63"/>
      <c r="E2858" s="63"/>
      <c r="F2858" s="71"/>
      <c r="G2858" s="816"/>
      <c r="H2858" s="71"/>
      <c r="I2858" s="405"/>
      <c r="J2858" s="405"/>
      <c r="K2858" s="398"/>
      <c r="L2858" s="405"/>
      <c r="M2858" s="64"/>
      <c r="N2858" s="65"/>
      <c r="O2858" s="65"/>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row>
    <row r="2859" spans="1:30" ht="15.75" customHeight="1">
      <c r="A2859" s="327" t="str">
        <f>IF(B2859&lt;&gt;"",IF(AND(B2859='IN-TC'!$S$4,OR(TH!N2859="1111",TH!O2859="1111")),TH!D2859,""),"")</f>
        <v/>
      </c>
      <c r="B2859" s="62" t="str">
        <f t="shared" si="386"/>
        <v/>
      </c>
      <c r="C2859" s="63"/>
      <c r="D2859" s="63"/>
      <c r="E2859" s="63"/>
      <c r="F2859" s="71"/>
      <c r="G2859" s="816"/>
      <c r="H2859" s="71"/>
      <c r="I2859" s="405"/>
      <c r="J2859" s="405"/>
      <c r="K2859" s="398"/>
      <c r="L2859" s="405"/>
      <c r="M2859" s="64"/>
      <c r="N2859" s="65"/>
      <c r="O2859" s="65"/>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row>
    <row r="2860" spans="1:30" ht="15.75" customHeight="1">
      <c r="A2860" s="327" t="str">
        <f>IF(B2860&lt;&gt;"",IF(AND(B2860='IN-TC'!$S$4,OR(TH!N2860="1111",TH!O2860="1111")),TH!D2860,""),"")</f>
        <v/>
      </c>
      <c r="B2860" s="62" t="str">
        <f t="shared" si="386"/>
        <v/>
      </c>
      <c r="C2860" s="63"/>
      <c r="D2860" s="63"/>
      <c r="E2860" s="63"/>
      <c r="F2860" s="71"/>
      <c r="G2860" s="816"/>
      <c r="H2860" s="71"/>
      <c r="I2860" s="405"/>
      <c r="J2860" s="405"/>
      <c r="K2860" s="398"/>
      <c r="L2860" s="405"/>
      <c r="M2860" s="64"/>
      <c r="N2860" s="65"/>
      <c r="O2860" s="65"/>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0" ht="15.75" customHeight="1">
      <c r="A2861" s="327" t="str">
        <f>IF(B2861&lt;&gt;"",IF(AND(B2861='IN-TC'!$S$4,OR(TH!N2861="1111",TH!O2861="1111")),TH!D2861,""),"")</f>
        <v/>
      </c>
      <c r="B2861" s="62" t="str">
        <f t="shared" si="386"/>
        <v/>
      </c>
      <c r="C2861" s="63"/>
      <c r="D2861" s="63"/>
      <c r="E2861" s="63"/>
      <c r="F2861" s="71"/>
      <c r="G2861" s="816"/>
      <c r="H2861" s="71"/>
      <c r="I2861" s="405"/>
      <c r="J2861" s="405"/>
      <c r="K2861" s="398"/>
      <c r="L2861" s="405"/>
      <c r="M2861" s="64"/>
      <c r="N2861" s="65"/>
      <c r="O2861" s="65"/>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row>
    <row r="2862" spans="1:30" ht="15.75" customHeight="1">
      <c r="A2862" s="327" t="str">
        <f>IF(B2862&lt;&gt;"",IF(AND(B2862='IN-TC'!$S$4,OR(TH!N2862="1111",TH!O2862="1111")),TH!D2862,""),"")</f>
        <v/>
      </c>
      <c r="B2862" s="62" t="str">
        <f t="shared" si="386"/>
        <v/>
      </c>
      <c r="C2862" s="63"/>
      <c r="D2862" s="309"/>
      <c r="E2862" s="63"/>
      <c r="F2862" s="71"/>
      <c r="G2862" s="66"/>
      <c r="H2862" s="71"/>
      <c r="I2862" s="405"/>
      <c r="J2862" s="405"/>
      <c r="K2862" s="398"/>
      <c r="L2862" s="405"/>
      <c r="M2862" s="64"/>
      <c r="N2862" s="65"/>
      <c r="O2862" s="65"/>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row>
    <row r="2863" spans="1:30" ht="15.75" customHeight="1">
      <c r="A2863" s="327" t="str">
        <f>IF(B2863&lt;&gt;"",IF(AND(B2863='IN-TC'!$S$4,OR(TH!N2863="1111",TH!O2863="1111")),TH!D2863,""),"")</f>
        <v/>
      </c>
      <c r="B2863" s="62" t="str">
        <f t="shared" si="386"/>
        <v/>
      </c>
      <c r="C2863" s="63"/>
      <c r="D2863" s="309"/>
      <c r="E2863" s="63"/>
      <c r="F2863" s="71"/>
      <c r="G2863" s="66"/>
      <c r="H2863" s="71"/>
      <c r="I2863" s="405"/>
      <c r="J2863" s="405"/>
      <c r="K2863" s="398"/>
      <c r="L2863" s="405"/>
      <c r="M2863" s="64"/>
      <c r="N2863" s="65"/>
      <c r="O2863" s="65"/>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row>
    <row r="2864" spans="1:30" ht="15.75" customHeight="1">
      <c r="A2864" s="327" t="str">
        <f>IF(B2864&lt;&gt;"",IF(AND(B2864='IN-TC'!$S$4,OR(TH!N2864="1111",TH!O2864="1111")),TH!D2864,""),"")</f>
        <v/>
      </c>
      <c r="B2864" s="62" t="str">
        <f t="shared" si="386"/>
        <v/>
      </c>
      <c r="C2864" s="63"/>
      <c r="D2864" s="309"/>
      <c r="E2864" s="63"/>
      <c r="F2864" s="71"/>
      <c r="G2864" s="66"/>
      <c r="H2864" s="71"/>
      <c r="I2864" s="405"/>
      <c r="J2864" s="405"/>
      <c r="K2864" s="398"/>
      <c r="L2864" s="405"/>
      <c r="M2864" s="64"/>
      <c r="N2864" s="65"/>
      <c r="O2864" s="65"/>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row>
    <row r="2865" spans="1:30" ht="15.75" customHeight="1">
      <c r="A2865" s="327" t="str">
        <f>IF(B2865&lt;&gt;"",IF(AND(B2865='IN-TC'!$S$4,OR(TH!N2865="1111",TH!O2865="1111")),TH!D2865,""),"")</f>
        <v/>
      </c>
      <c r="B2865" s="62" t="str">
        <f t="shared" si="386"/>
        <v/>
      </c>
      <c r="C2865" s="63"/>
      <c r="D2865" s="63"/>
      <c r="E2865" s="63"/>
      <c r="F2865" s="71"/>
      <c r="G2865" s="816"/>
      <c r="H2865" s="71"/>
      <c r="I2865" s="405"/>
      <c r="J2865" s="405"/>
      <c r="K2865" s="398"/>
      <c r="L2865" s="405"/>
      <c r="M2865" s="64"/>
      <c r="N2865" s="65"/>
      <c r="O2865" s="65"/>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row>
    <row r="2866" spans="1:30" ht="15.75" customHeight="1">
      <c r="A2866" s="327" t="str">
        <f>IF(B2866&lt;&gt;"",IF(AND(B2866='IN-TC'!$S$4,OR(TH!N2866="1111",TH!O2866="1111")),TH!D2866,""),"")</f>
        <v/>
      </c>
      <c r="B2866" s="62" t="str">
        <f t="shared" si="386"/>
        <v/>
      </c>
      <c r="C2866" s="63"/>
      <c r="D2866" s="63"/>
      <c r="E2866" s="63"/>
      <c r="F2866" s="71"/>
      <c r="G2866" s="816"/>
      <c r="H2866" s="71"/>
      <c r="I2866" s="405"/>
      <c r="J2866" s="405"/>
      <c r="K2866" s="398"/>
      <c r="L2866" s="405"/>
      <c r="M2866" s="64"/>
      <c r="N2866" s="65"/>
      <c r="O2866" s="65"/>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row>
    <row r="2867" spans="1:30" ht="15.75" customHeight="1">
      <c r="A2867" s="327" t="str">
        <f>IF(B2867&lt;&gt;"",IF(AND(B2867='IN-TC'!$S$4,OR(TH!N2867="1111",TH!O2867="1111")),TH!D2867,""),"")</f>
        <v/>
      </c>
      <c r="B2867" s="62" t="str">
        <f t="shared" si="386"/>
        <v/>
      </c>
      <c r="C2867" s="63"/>
      <c r="D2867" s="63"/>
      <c r="E2867" s="63"/>
      <c r="F2867" s="71"/>
      <c r="G2867" s="816"/>
      <c r="H2867" s="71"/>
      <c r="I2867" s="405"/>
      <c r="J2867" s="405"/>
      <c r="K2867" s="398"/>
      <c r="L2867" s="405"/>
      <c r="M2867" s="64"/>
      <c r="N2867" s="65"/>
      <c r="O2867" s="65"/>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row>
    <row r="2868" spans="1:30" ht="15.75" customHeight="1">
      <c r="A2868" s="327" t="str">
        <f>IF(B2868&lt;&gt;"",IF(AND(B2868='IN-TC'!$S$4,OR(TH!N2868="1111",TH!O2868="1111")),TH!D2868,""),"")</f>
        <v/>
      </c>
      <c r="B2868" s="62" t="str">
        <f t="shared" si="386"/>
        <v/>
      </c>
      <c r="C2868" s="63"/>
      <c r="D2868" s="63"/>
      <c r="E2868" s="63"/>
      <c r="F2868" s="71"/>
      <c r="G2868" s="816"/>
      <c r="H2868" s="71"/>
      <c r="I2868" s="405"/>
      <c r="J2868" s="405"/>
      <c r="K2868" s="398"/>
      <c r="L2868" s="405"/>
      <c r="M2868" s="64"/>
      <c r="N2868" s="65"/>
      <c r="O2868" s="65"/>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row>
    <row r="2869" spans="1:30" ht="15.75" customHeight="1">
      <c r="A2869" s="327" t="str">
        <f>IF(B2869&lt;&gt;"",IF(AND(B2869='IN-TC'!$S$4,OR(TH!N2869="1111",TH!O2869="1111")),TH!D2869,""),"")</f>
        <v/>
      </c>
      <c r="B2869" s="62" t="str">
        <f t="shared" si="386"/>
        <v/>
      </c>
      <c r="C2869" s="63"/>
      <c r="D2869" s="63"/>
      <c r="E2869" s="63"/>
      <c r="F2869" s="71"/>
      <c r="G2869" s="816"/>
      <c r="H2869" s="71"/>
      <c r="I2869" s="405"/>
      <c r="J2869" s="405"/>
      <c r="K2869" s="398"/>
      <c r="L2869" s="405"/>
      <c r="M2869" s="64"/>
      <c r="N2869" s="65"/>
      <c r="O2869" s="65"/>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row>
    <row r="2870" spans="1:30" ht="15.75" customHeight="1">
      <c r="A2870" s="327" t="str">
        <f>IF(B2870&lt;&gt;"",IF(AND(B2870='IN-TC'!$S$4,OR(TH!N2870="1111",TH!O2870="1111")),TH!D2870,""),"")</f>
        <v/>
      </c>
      <c r="B2870" s="62" t="str">
        <f t="shared" si="386"/>
        <v/>
      </c>
      <c r="C2870" s="63"/>
      <c r="D2870" s="63"/>
      <c r="E2870" s="63"/>
      <c r="F2870" s="71"/>
      <c r="G2870" s="816"/>
      <c r="H2870" s="71"/>
      <c r="I2870" s="405"/>
      <c r="J2870" s="405"/>
      <c r="K2870" s="398"/>
      <c r="L2870" s="405"/>
      <c r="M2870" s="64"/>
      <c r="N2870" s="65"/>
      <c r="O2870" s="65"/>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row>
    <row r="2871" spans="1:30" ht="15.75" customHeight="1">
      <c r="A2871" s="327" t="str">
        <f>IF(B2871&lt;&gt;"",IF(AND(B2871='IN-TC'!$S$4,OR(TH!N2871="1111",TH!O2871="1111")),TH!D2871,""),"")</f>
        <v/>
      </c>
      <c r="B2871" s="62" t="str">
        <f t="shared" si="386"/>
        <v/>
      </c>
      <c r="C2871" s="63"/>
      <c r="D2871" s="63"/>
      <c r="E2871" s="63"/>
      <c r="F2871" s="71"/>
      <c r="G2871" s="816"/>
      <c r="H2871" s="330"/>
      <c r="I2871" s="405"/>
      <c r="J2871" s="405"/>
      <c r="K2871" s="398"/>
      <c r="L2871" s="405"/>
      <c r="M2871" s="64"/>
      <c r="N2871" s="65"/>
      <c r="O2871" s="65"/>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row>
    <row r="2872" spans="1:30" ht="15.75" customHeight="1">
      <c r="A2872" s="327" t="str">
        <f>IF(B2872&lt;&gt;"",IF(AND(B2872='IN-TC'!$S$4,OR(TH!N2872="1111",TH!O2872="1111")),TH!D2872,""),"")</f>
        <v/>
      </c>
      <c r="B2872" s="62" t="str">
        <f t="shared" si="386"/>
        <v/>
      </c>
      <c r="C2872" s="63"/>
      <c r="D2872" s="63"/>
      <c r="E2872" s="63"/>
      <c r="F2872" s="71"/>
      <c r="G2872" s="816"/>
      <c r="H2872" s="330"/>
      <c r="I2872" s="405"/>
      <c r="J2872" s="405"/>
      <c r="K2872" s="398"/>
      <c r="L2872" s="405"/>
      <c r="M2872" s="64"/>
      <c r="N2872" s="65"/>
      <c r="O2872" s="65"/>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0" ht="15.75" customHeight="1">
      <c r="A2873" s="327" t="str">
        <f>IF(B2873&lt;&gt;"",IF(AND(B2873='IN-TC'!$S$4,OR(TH!N2873="1111",TH!O2873="1111")),TH!D2873,""),"")</f>
        <v/>
      </c>
      <c r="B2873" s="62" t="str">
        <f t="shared" si="386"/>
        <v/>
      </c>
      <c r="C2873" s="63"/>
      <c r="D2873" s="63"/>
      <c r="E2873" s="63"/>
      <c r="F2873" s="71"/>
      <c r="G2873" s="816"/>
      <c r="H2873" s="330"/>
      <c r="I2873" s="405"/>
      <c r="J2873" s="405"/>
      <c r="K2873" s="398"/>
      <c r="L2873" s="405"/>
      <c r="M2873" s="64"/>
      <c r="N2873" s="65"/>
      <c r="O2873" s="65"/>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row>
    <row r="2874" spans="1:30" ht="15.75" customHeight="1">
      <c r="A2874" s="327" t="str">
        <f>IF(B2874&lt;&gt;"",IF(AND(B2874='IN-TC'!$S$4,OR(TH!N2874="1111",TH!O2874="1111")),TH!D2874,""),"")</f>
        <v/>
      </c>
      <c r="B2874" s="62" t="str">
        <f t="shared" si="386"/>
        <v/>
      </c>
      <c r="C2874" s="309"/>
      <c r="D2874" s="309"/>
      <c r="E2874" s="309"/>
      <c r="F2874" s="71"/>
      <c r="G2874" s="819"/>
      <c r="H2874" s="311"/>
      <c r="I2874" s="405"/>
      <c r="J2874" s="405"/>
      <c r="K2874" s="398"/>
      <c r="L2874" s="405"/>
      <c r="M2874" s="64"/>
      <c r="N2874" s="312"/>
      <c r="O2874" s="312"/>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row>
    <row r="2875" spans="1:30" ht="15.75" customHeight="1">
      <c r="A2875" s="327" t="str">
        <f>IF(B2875&lt;&gt;"",IF(AND(B2875='IN-TC'!$S$4,OR(TH!N2875="1111",TH!O2875="1111")),TH!D2875,""),"")</f>
        <v/>
      </c>
      <c r="B2875" s="62" t="str">
        <f t="shared" si="386"/>
        <v/>
      </c>
      <c r="C2875" s="63"/>
      <c r="D2875" s="63"/>
      <c r="E2875" s="63"/>
      <c r="F2875" s="477"/>
      <c r="G2875" s="66"/>
      <c r="H2875" s="71"/>
      <c r="I2875" s="405"/>
      <c r="J2875" s="405"/>
      <c r="K2875" s="398"/>
      <c r="L2875" s="405"/>
      <c r="M2875" s="64"/>
      <c r="N2875" s="65"/>
      <c r="O2875" s="65"/>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row>
    <row r="2876" spans="1:30" ht="15.75" customHeight="1">
      <c r="A2876" s="327" t="str">
        <f>IF(B2876&lt;&gt;"",IF(AND(B2876='IN-TC'!$S$4,OR(TH!N2876="1111",TH!O2876="1111")),TH!D2876,""),"")</f>
        <v/>
      </c>
      <c r="B2876" s="62" t="str">
        <f t="shared" si="386"/>
        <v/>
      </c>
      <c r="C2876" s="63"/>
      <c r="D2876" s="63"/>
      <c r="E2876" s="63"/>
      <c r="F2876" s="477"/>
      <c r="G2876" s="66"/>
      <c r="H2876" s="71"/>
      <c r="I2876" s="405"/>
      <c r="J2876" s="405"/>
      <c r="K2876" s="398"/>
      <c r="L2876" s="405"/>
      <c r="M2876" s="64"/>
      <c r="N2876" s="65"/>
      <c r="O2876" s="65"/>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row>
    <row r="2877" spans="1:30" ht="15.75" customHeight="1">
      <c r="A2877" s="327" t="str">
        <f>IF(B2877&lt;&gt;"",IF(AND(B2877='IN-TC'!$S$4,OR(TH!N2877="1111",TH!O2877="1111")),TH!D2877,""),"")</f>
        <v/>
      </c>
      <c r="B2877" s="62" t="str">
        <f t="shared" si="386"/>
        <v/>
      </c>
      <c r="C2877" s="63"/>
      <c r="D2877" s="63"/>
      <c r="E2877" s="63"/>
      <c r="F2877" s="477"/>
      <c r="G2877" s="66"/>
      <c r="H2877" s="330"/>
      <c r="I2877" s="407"/>
      <c r="J2877" s="407"/>
      <c r="K2877" s="400"/>
      <c r="L2877" s="407"/>
      <c r="M2877" s="64"/>
      <c r="N2877" s="65"/>
      <c r="O2877" s="65"/>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row>
    <row r="2878" spans="1:30" ht="15.75" customHeight="1">
      <c r="A2878" s="327" t="str">
        <f>IF(B2878&lt;&gt;"",IF(AND(B2878='IN-TC'!$S$4,OR(TH!N2878="1111",TH!O2878="1111")),TH!D2878,""),"")</f>
        <v/>
      </c>
      <c r="B2878" s="62" t="str">
        <f t="shared" si="386"/>
        <v/>
      </c>
      <c r="C2878" s="309"/>
      <c r="D2878" s="63"/>
      <c r="E2878" s="309"/>
      <c r="F2878" s="477"/>
      <c r="G2878" s="819"/>
      <c r="H2878" s="311"/>
      <c r="I2878" s="405"/>
      <c r="J2878" s="405"/>
      <c r="K2878" s="398"/>
      <c r="L2878" s="405"/>
      <c r="M2878" s="64"/>
      <c r="N2878" s="312"/>
      <c r="O2878" s="65"/>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row>
    <row r="2879" spans="1:30" ht="15.75" customHeight="1">
      <c r="A2879" s="327" t="str">
        <f>IF(B2879&lt;&gt;"",IF(AND(B2879='IN-TC'!$S$4,OR(TH!N2879="1111",TH!O2879="1111")),TH!D2879,""),"")</f>
        <v/>
      </c>
      <c r="B2879" s="62" t="str">
        <f t="shared" si="386"/>
        <v/>
      </c>
      <c r="C2879" s="309"/>
      <c r="D2879" s="63"/>
      <c r="E2879" s="309"/>
      <c r="F2879" s="477"/>
      <c r="G2879" s="819"/>
      <c r="H2879" s="311"/>
      <c r="I2879" s="405"/>
      <c r="J2879" s="405"/>
      <c r="K2879" s="398"/>
      <c r="L2879" s="405"/>
      <c r="M2879" s="64"/>
      <c r="N2879" s="312"/>
      <c r="O2879" s="65"/>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row>
    <row r="2880" spans="1:30" ht="15.75" customHeight="1">
      <c r="A2880" s="327" t="str">
        <f>IF(B2880&lt;&gt;"",IF(AND(B2880='IN-TC'!$S$4,OR(TH!N2880="1111",TH!O2880="1111")),TH!D2880,""),"")</f>
        <v/>
      </c>
      <c r="B2880" s="62" t="str">
        <f t="shared" si="386"/>
        <v/>
      </c>
      <c r="C2880" s="63"/>
      <c r="D2880" s="63"/>
      <c r="E2880" s="63"/>
      <c r="F2880" s="71"/>
      <c r="G2880" s="816"/>
      <c r="H2880" s="330"/>
      <c r="I2880" s="405"/>
      <c r="J2880" s="405"/>
      <c r="K2880" s="398"/>
      <c r="L2880" s="405"/>
      <c r="M2880" s="64"/>
      <c r="N2880" s="65"/>
      <c r="O2880" s="65"/>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row>
    <row r="2881" spans="1:30" ht="15.75" customHeight="1">
      <c r="A2881" s="327" t="str">
        <f>IF(B2881&lt;&gt;"",IF(AND(B2881='IN-TC'!$S$4,OR(TH!N2881="1111",TH!O2881="1111")),TH!D2881,""),"")</f>
        <v/>
      </c>
      <c r="B2881" s="62" t="str">
        <f t="shared" si="386"/>
        <v/>
      </c>
      <c r="C2881" s="63"/>
      <c r="D2881" s="63"/>
      <c r="E2881" s="63"/>
      <c r="F2881" s="71"/>
      <c r="G2881" s="816"/>
      <c r="H2881" s="330"/>
      <c r="I2881" s="405"/>
      <c r="J2881" s="405"/>
      <c r="K2881" s="398"/>
      <c r="L2881" s="405"/>
      <c r="M2881" s="64"/>
      <c r="N2881" s="65"/>
      <c r="O2881" s="65"/>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row>
    <row r="2882" spans="1:30" ht="15.75" customHeight="1">
      <c r="A2882" s="327" t="str">
        <f>IF(B2882&lt;&gt;"",IF(AND(B2882='IN-TC'!$S$4,OR(TH!N2882="1111",TH!O2882="1111")),TH!D2882,""),"")</f>
        <v/>
      </c>
      <c r="B2882" s="62" t="str">
        <f t="shared" si="386"/>
        <v/>
      </c>
      <c r="C2882" s="63"/>
      <c r="D2882" s="63"/>
      <c r="E2882" s="63"/>
      <c r="F2882" s="71"/>
      <c r="G2882" s="816"/>
      <c r="H2882" s="71"/>
      <c r="I2882" s="405"/>
      <c r="J2882" s="405"/>
      <c r="K2882" s="398"/>
      <c r="L2882" s="405"/>
      <c r="M2882" s="64"/>
      <c r="N2882" s="65"/>
      <c r="O2882" s="65"/>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0" ht="15.75" customHeight="1">
      <c r="A2883" s="327" t="str">
        <f>IF(B2883&lt;&gt;"",IF(AND(B2883='IN-TC'!$S$4,OR(TH!N2883="1111",TH!O2883="1111")),TH!D2883,""),"")</f>
        <v/>
      </c>
      <c r="B2883" s="62" t="str">
        <f t="shared" si="386"/>
        <v/>
      </c>
      <c r="C2883" s="63"/>
      <c r="D2883" s="63"/>
      <c r="E2883" s="63"/>
      <c r="F2883" s="71"/>
      <c r="G2883" s="816"/>
      <c r="H2883" s="71"/>
      <c r="I2883" s="405"/>
      <c r="J2883" s="405"/>
      <c r="K2883" s="398"/>
      <c r="L2883" s="405"/>
      <c r="M2883" s="64"/>
      <c r="N2883" s="65"/>
      <c r="O2883" s="65"/>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row>
    <row r="2884" spans="1:30" ht="15.75" customHeight="1">
      <c r="A2884" s="327" t="str">
        <f>IF(B2884&lt;&gt;"",IF(AND(B2884='IN-TC'!$S$4,OR(TH!N2884="1111",TH!O2884="1111")),TH!D2884,""),"")</f>
        <v/>
      </c>
      <c r="B2884" s="62" t="str">
        <f t="shared" si="386"/>
        <v/>
      </c>
      <c r="C2884" s="63"/>
      <c r="D2884" s="63"/>
      <c r="E2884" s="63"/>
      <c r="F2884" s="71"/>
      <c r="G2884" s="816"/>
      <c r="H2884" s="71"/>
      <c r="I2884" s="405"/>
      <c r="J2884" s="405"/>
      <c r="K2884" s="398"/>
      <c r="L2884" s="405"/>
      <c r="M2884" s="64"/>
      <c r="N2884" s="65"/>
      <c r="O2884" s="65"/>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row>
    <row r="2885" spans="1:30" ht="15.75" customHeight="1">
      <c r="A2885" s="327" t="str">
        <f>IF(B2885&lt;&gt;"",IF(AND(B2885='IN-TC'!$S$4,OR(TH!N2885="1111",TH!O2885="1111")),TH!D2885,""),"")</f>
        <v/>
      </c>
      <c r="B2885" s="62" t="str">
        <f t="shared" si="386"/>
        <v/>
      </c>
      <c r="C2885" s="63"/>
      <c r="D2885" s="63"/>
      <c r="E2885" s="63"/>
      <c r="F2885" s="477"/>
      <c r="G2885" s="66"/>
      <c r="H2885" s="71"/>
      <c r="I2885" s="405"/>
      <c r="J2885" s="405"/>
      <c r="K2885" s="398"/>
      <c r="L2885" s="405"/>
      <c r="M2885" s="64"/>
      <c r="N2885" s="65"/>
      <c r="O2885" s="65"/>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0" ht="15.75" customHeight="1">
      <c r="A2886" s="327" t="str">
        <f>IF(B2886&lt;&gt;"",IF(AND(B2886='IN-TC'!$S$4,OR(TH!N2886="1111",TH!O2886="1111")),TH!D2886,""),"")</f>
        <v/>
      </c>
      <c r="B2886" s="62" t="str">
        <f t="shared" si="386"/>
        <v/>
      </c>
      <c r="C2886" s="63"/>
      <c r="D2886" s="63"/>
      <c r="E2886" s="63"/>
      <c r="F2886" s="477"/>
      <c r="G2886" s="66"/>
      <c r="H2886" s="71"/>
      <c r="I2886" s="405"/>
      <c r="J2886" s="405"/>
      <c r="K2886" s="398"/>
      <c r="L2886" s="405"/>
      <c r="M2886" s="64"/>
      <c r="N2886" s="65"/>
      <c r="O2886" s="65"/>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row>
    <row r="2887" spans="1:30" ht="15.75" customHeight="1">
      <c r="A2887" s="327" t="str">
        <f>IF(B2887&lt;&gt;"",IF(AND(B2887='IN-TC'!$S$4,OR(TH!N2887="1111",TH!O2887="1111")),TH!D2887,""),"")</f>
        <v/>
      </c>
      <c r="B2887" s="62" t="str">
        <f t="shared" si="386"/>
        <v/>
      </c>
      <c r="C2887" s="63"/>
      <c r="D2887" s="63"/>
      <c r="E2887" s="63"/>
      <c r="F2887" s="477"/>
      <c r="G2887" s="66"/>
      <c r="H2887" s="71"/>
      <c r="I2887" s="405"/>
      <c r="J2887" s="405"/>
      <c r="K2887" s="398"/>
      <c r="L2887" s="405"/>
      <c r="M2887" s="64"/>
      <c r="N2887" s="65"/>
      <c r="O2887" s="65"/>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row>
    <row r="2888" spans="1:30" ht="15.75" customHeight="1">
      <c r="A2888" s="327" t="str">
        <f>IF(B2888&lt;&gt;"",IF(AND(B2888='IN-TC'!$S$4,OR(TH!N2888="1111",TH!O2888="1111")),TH!D2888,""),"")</f>
        <v/>
      </c>
      <c r="B2888" s="62" t="str">
        <f t="shared" si="386"/>
        <v/>
      </c>
      <c r="C2888" s="63"/>
      <c r="D2888" s="63"/>
      <c r="E2888" s="63"/>
      <c r="F2888" s="71"/>
      <c r="G2888" s="816"/>
      <c r="H2888" s="71"/>
      <c r="I2888" s="405"/>
      <c r="J2888" s="405"/>
      <c r="K2888" s="398"/>
      <c r="L2888" s="405"/>
      <c r="M2888" s="64"/>
      <c r="N2888" s="312"/>
      <c r="O2888" s="65"/>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row>
    <row r="2889" spans="1:30" ht="15.75" customHeight="1">
      <c r="A2889" s="327" t="str">
        <f>IF(B2889&lt;&gt;"",IF(AND(B2889='IN-TC'!$S$4,OR(TH!N2889="1111",TH!O2889="1111")),TH!D2889,""),"")</f>
        <v/>
      </c>
      <c r="B2889" s="62" t="str">
        <f t="shared" si="386"/>
        <v/>
      </c>
      <c r="C2889" s="63"/>
      <c r="D2889" s="63"/>
      <c r="E2889" s="63"/>
      <c r="F2889" s="71"/>
      <c r="G2889" s="816"/>
      <c r="H2889" s="71"/>
      <c r="I2889" s="405"/>
      <c r="J2889" s="405"/>
      <c r="K2889" s="398"/>
      <c r="L2889" s="405"/>
      <c r="M2889" s="64"/>
      <c r="N2889" s="312"/>
      <c r="O2889" s="65"/>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row>
    <row r="2890" spans="1:30" ht="15.75" customHeight="1">
      <c r="A2890" s="327" t="str">
        <f>IF(B2890&lt;&gt;"",IF(AND(B2890='IN-TC'!$S$4,OR(TH!N2890="1111",TH!O2890="1111")),TH!D2890,""),"")</f>
        <v/>
      </c>
      <c r="B2890" s="62" t="str">
        <f t="shared" si="386"/>
        <v/>
      </c>
      <c r="C2890" s="63"/>
      <c r="D2890" s="63"/>
      <c r="E2890" s="63"/>
      <c r="F2890" s="71"/>
      <c r="G2890" s="66"/>
      <c r="H2890" s="978"/>
      <c r="I2890" s="405"/>
      <c r="J2890" s="405"/>
      <c r="K2890" s="398"/>
      <c r="L2890" s="405"/>
      <c r="M2890" s="64"/>
      <c r="N2890" s="65"/>
      <c r="O2890" s="65"/>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row>
    <row r="2891" spans="1:30" ht="15.75" customHeight="1">
      <c r="A2891" s="327" t="str">
        <f>IF(B2891&lt;&gt;"",IF(AND(B2891='IN-TC'!$S$4,OR(TH!N2891="1111",TH!O2891="1111")),TH!D2891,""),"")</f>
        <v/>
      </c>
      <c r="B2891" s="62" t="str">
        <f t="shared" si="386"/>
        <v/>
      </c>
      <c r="C2891" s="63"/>
      <c r="D2891" s="63"/>
      <c r="E2891" s="63"/>
      <c r="F2891" s="71"/>
      <c r="G2891" s="816"/>
      <c r="H2891" s="311"/>
      <c r="I2891" s="405"/>
      <c r="J2891" s="405"/>
      <c r="K2891" s="398"/>
      <c r="L2891" s="405"/>
      <c r="M2891" s="64"/>
      <c r="N2891" s="312"/>
      <c r="O2891" s="65"/>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row>
    <row r="2892" spans="1:30" ht="15.75" customHeight="1">
      <c r="A2892" s="327" t="str">
        <f>IF(B2892&lt;&gt;"",IF(AND(B2892='IN-TC'!$S$4,OR(TH!N2892="1111",TH!O2892="1111")),TH!D2892,""),"")</f>
        <v/>
      </c>
      <c r="B2892" s="62" t="str">
        <f t="shared" si="386"/>
        <v/>
      </c>
      <c r="C2892" s="63"/>
      <c r="D2892" s="63"/>
      <c r="E2892" s="63"/>
      <c r="F2892" s="71"/>
      <c r="G2892" s="816"/>
      <c r="H2892" s="311"/>
      <c r="I2892" s="405"/>
      <c r="J2892" s="405"/>
      <c r="K2892" s="398"/>
      <c r="L2892" s="405"/>
      <c r="M2892" s="64"/>
      <c r="N2892" s="312"/>
      <c r="O2892" s="65"/>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row>
    <row r="2893" spans="1:30" ht="15.75" customHeight="1">
      <c r="A2893" s="327" t="str">
        <f>IF(B2893&lt;&gt;"",IF(AND(B2893='IN-TC'!$S$4,OR(TH!N2893="1111",TH!O2893="1111")),TH!D2893,""),"")</f>
        <v/>
      </c>
      <c r="B2893" s="62" t="str">
        <f t="shared" si="386"/>
        <v/>
      </c>
      <c r="C2893" s="309"/>
      <c r="D2893" s="63"/>
      <c r="E2893" s="309"/>
      <c r="F2893" s="71"/>
      <c r="G2893" s="819"/>
      <c r="H2893" s="311"/>
      <c r="I2893" s="405"/>
      <c r="J2893" s="405"/>
      <c r="K2893" s="398"/>
      <c r="L2893" s="405"/>
      <c r="M2893" s="64"/>
      <c r="N2893" s="312"/>
      <c r="O2893" s="65"/>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row>
    <row r="2894" spans="1:30" ht="15.75" customHeight="1">
      <c r="A2894" s="327" t="str">
        <f>IF(B2894&lt;&gt;"",IF(AND(B2894='IN-TC'!$S$4,OR(TH!N2894="1111",TH!O2894="1111")),TH!D2894,""),"")</f>
        <v/>
      </c>
      <c r="B2894" s="62" t="str">
        <f t="shared" si="386"/>
        <v/>
      </c>
      <c r="C2894" s="63"/>
      <c r="D2894" s="63"/>
      <c r="E2894" s="63"/>
      <c r="F2894" s="477"/>
      <c r="G2894" s="66"/>
      <c r="H2894" s="71"/>
      <c r="I2894" s="405"/>
      <c r="J2894" s="405"/>
      <c r="K2894" s="398"/>
      <c r="L2894" s="405"/>
      <c r="M2894" s="64"/>
      <c r="N2894" s="65"/>
      <c r="O2894" s="65"/>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row>
    <row r="2895" spans="1:30" ht="15.75" customHeight="1">
      <c r="A2895" s="327" t="str">
        <f>IF(B2895&lt;&gt;"",IF(AND(B2895='IN-TC'!$S$4,OR(TH!N2895="1111",TH!O2895="1111")),TH!D2895,""),"")</f>
        <v/>
      </c>
      <c r="B2895" s="62" t="str">
        <f t="shared" si="386"/>
        <v/>
      </c>
      <c r="C2895" s="63"/>
      <c r="D2895" s="63"/>
      <c r="E2895" s="63"/>
      <c r="F2895" s="71"/>
      <c r="G2895" s="816"/>
      <c r="H2895" s="71"/>
      <c r="I2895" s="405"/>
      <c r="J2895" s="405"/>
      <c r="K2895" s="398"/>
      <c r="L2895" s="405"/>
      <c r="M2895" s="64"/>
      <c r="N2895" s="65"/>
      <c r="O2895" s="65"/>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0" ht="15.75" customHeight="1">
      <c r="A2896" s="327" t="str">
        <f>IF(B2896&lt;&gt;"",IF(AND(B2896='IN-TC'!$S$4,OR(TH!N2896="1111",TH!O2896="1111")),TH!D2896,""),"")</f>
        <v/>
      </c>
      <c r="B2896" s="62" t="str">
        <f t="shared" si="386"/>
        <v/>
      </c>
      <c r="C2896" s="63"/>
      <c r="D2896" s="63"/>
      <c r="E2896" s="63"/>
      <c r="F2896" s="71"/>
      <c r="G2896" s="816"/>
      <c r="H2896" s="71"/>
      <c r="I2896" s="405"/>
      <c r="J2896" s="405"/>
      <c r="K2896" s="398"/>
      <c r="L2896" s="405"/>
      <c r="M2896" s="64"/>
      <c r="N2896" s="65"/>
      <c r="O2896" s="65"/>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0" ht="15.75" customHeight="1">
      <c r="A2897" s="327" t="str">
        <f>IF(B2897&lt;&gt;"",IF(AND(B2897='IN-TC'!$S$4,OR(TH!N2897="1111",TH!O2897="1111")),TH!D2897,""),"")</f>
        <v/>
      </c>
      <c r="B2897" s="62" t="str">
        <f t="shared" si="386"/>
        <v/>
      </c>
      <c r="C2897" s="63"/>
      <c r="D2897" s="63"/>
      <c r="E2897" s="63"/>
      <c r="F2897" s="71"/>
      <c r="G2897" s="816"/>
      <c r="H2897" s="71"/>
      <c r="I2897" s="405"/>
      <c r="J2897" s="405"/>
      <c r="K2897" s="398"/>
      <c r="L2897" s="405"/>
      <c r="M2897" s="64"/>
      <c r="N2897" s="65"/>
      <c r="O2897" s="65"/>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row>
    <row r="2898" spans="1:30" ht="15.75" customHeight="1">
      <c r="A2898" s="327" t="str">
        <f>IF(B2898&lt;&gt;"",IF(AND(B2898='IN-TC'!$S$4,OR(TH!N2898="1111",TH!O2898="1111")),TH!D2898,""),"")</f>
        <v/>
      </c>
      <c r="B2898" s="62" t="str">
        <f t="shared" si="386"/>
        <v/>
      </c>
      <c r="C2898" s="63"/>
      <c r="D2898" s="63"/>
      <c r="E2898" s="63"/>
      <c r="F2898" s="71"/>
      <c r="G2898" s="816"/>
      <c r="H2898" s="71"/>
      <c r="I2898" s="405"/>
      <c r="J2898" s="405"/>
      <c r="K2898" s="398"/>
      <c r="L2898" s="405"/>
      <c r="M2898" s="64"/>
      <c r="N2898" s="65"/>
      <c r="O2898" s="65"/>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row>
    <row r="2899" spans="1:30" ht="15.75" customHeight="1">
      <c r="A2899" s="327" t="str">
        <f>IF(B2899&lt;&gt;"",IF(AND(B2899='IN-TC'!$S$4,OR(TH!N2899="1111",TH!O2899="1111")),TH!D2899,""),"")</f>
        <v/>
      </c>
      <c r="B2899" s="62" t="str">
        <f t="shared" si="386"/>
        <v/>
      </c>
      <c r="C2899" s="63"/>
      <c r="D2899" s="63"/>
      <c r="E2899" s="63"/>
      <c r="F2899" s="71"/>
      <c r="G2899" s="66"/>
      <c r="H2899" s="71"/>
      <c r="I2899" s="405"/>
      <c r="J2899" s="405"/>
      <c r="K2899" s="398"/>
      <c r="L2899" s="405"/>
      <c r="M2899" s="64"/>
      <c r="N2899" s="65"/>
      <c r="O2899" s="65"/>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0" ht="15.75" customHeight="1">
      <c r="A2900" s="327" t="str">
        <f>IF(B2900&lt;&gt;"",IF(AND(B2900='IN-TC'!$S$4,OR(TH!N2900="1111",TH!O2900="1111")),TH!D2900,""),"")</f>
        <v/>
      </c>
      <c r="B2900" s="62" t="str">
        <f t="shared" si="386"/>
        <v/>
      </c>
      <c r="C2900" s="63"/>
      <c r="D2900" s="63"/>
      <c r="E2900" s="63"/>
      <c r="F2900" s="71"/>
      <c r="G2900" s="816"/>
      <c r="H2900" s="71"/>
      <c r="I2900" s="405"/>
      <c r="J2900" s="405"/>
      <c r="K2900" s="398"/>
      <c r="L2900" s="405"/>
      <c r="M2900" s="64"/>
      <c r="N2900" s="65"/>
      <c r="O2900" s="65"/>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row>
    <row r="2901" spans="1:30" ht="15.75" customHeight="1">
      <c r="A2901" s="327" t="str">
        <f>IF(B2901&lt;&gt;"",IF(AND(B2901='IN-TC'!$S$4,OR(TH!N2901="1111",TH!O2901="1111")),TH!D2901,""),"")</f>
        <v/>
      </c>
      <c r="B2901" s="62" t="str">
        <f t="shared" si="386"/>
        <v/>
      </c>
      <c r="C2901" s="63"/>
      <c r="D2901" s="63"/>
      <c r="E2901" s="63"/>
      <c r="F2901" s="71"/>
      <c r="G2901" s="816"/>
      <c r="H2901" s="71"/>
      <c r="I2901" s="405"/>
      <c r="J2901" s="405"/>
      <c r="K2901" s="398"/>
      <c r="L2901" s="405"/>
      <c r="M2901" s="64"/>
      <c r="N2901" s="65"/>
      <c r="O2901" s="65"/>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row>
    <row r="2902" spans="1:30" ht="15.75" customHeight="1">
      <c r="A2902" s="327" t="str">
        <f>IF(B2902&lt;&gt;"",IF(AND(B2902='IN-TC'!$S$4,OR(TH!N2902="1111",TH!O2902="1111")),TH!D2902,""),"")</f>
        <v/>
      </c>
      <c r="B2902" s="62" t="str">
        <f t="shared" ref="B2902:B2965" si="387">IF(C2902&lt;&gt;"",MONTH(C2902),"")</f>
        <v/>
      </c>
      <c r="C2902" s="63"/>
      <c r="D2902" s="63"/>
      <c r="E2902" s="63"/>
      <c r="F2902" s="71"/>
      <c r="G2902" s="816"/>
      <c r="H2902" s="71"/>
      <c r="I2902" s="405"/>
      <c r="J2902" s="405"/>
      <c r="K2902" s="398"/>
      <c r="L2902" s="405"/>
      <c r="M2902" s="64"/>
      <c r="N2902" s="65"/>
      <c r="O2902" s="65"/>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0" ht="15.75" customHeight="1">
      <c r="A2903" s="327" t="str">
        <f>IF(B2903&lt;&gt;"",IF(AND(B2903='IN-TC'!$S$4,OR(TH!N2903="1111",TH!O2903="1111")),TH!D2903,""),"")</f>
        <v/>
      </c>
      <c r="B2903" s="62" t="str">
        <f t="shared" si="387"/>
        <v/>
      </c>
      <c r="C2903" s="63"/>
      <c r="D2903" s="63"/>
      <c r="E2903" s="63"/>
      <c r="F2903" s="71"/>
      <c r="G2903" s="66"/>
      <c r="H2903" s="71"/>
      <c r="I2903" s="405"/>
      <c r="J2903" s="405"/>
      <c r="K2903" s="398"/>
      <c r="L2903" s="405"/>
      <c r="M2903" s="64"/>
      <c r="N2903" s="65"/>
      <c r="O2903" s="65"/>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row>
    <row r="2904" spans="1:30" ht="15.75" customHeight="1">
      <c r="A2904" s="327" t="str">
        <f>IF(B2904&lt;&gt;"",IF(AND(B2904='IN-TC'!$S$4,OR(TH!N2904="1111",TH!O2904="1111")),TH!D2904,""),"")</f>
        <v/>
      </c>
      <c r="B2904" s="62" t="str">
        <f t="shared" si="387"/>
        <v/>
      </c>
      <c r="C2904" s="63"/>
      <c r="D2904" s="63"/>
      <c r="E2904" s="63"/>
      <c r="F2904" s="71"/>
      <c r="G2904" s="816"/>
      <c r="H2904" s="330"/>
      <c r="I2904" s="405"/>
      <c r="J2904" s="405"/>
      <c r="K2904" s="398"/>
      <c r="L2904" s="405"/>
      <c r="M2904" s="64"/>
      <c r="N2904" s="65"/>
      <c r="O2904" s="65"/>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row>
    <row r="2905" spans="1:30" ht="15.75" customHeight="1">
      <c r="A2905" s="327" t="str">
        <f>IF(B2905&lt;&gt;"",IF(AND(B2905='IN-TC'!$S$4,OR(TH!N2905="1111",TH!O2905="1111")),TH!D2905,""),"")</f>
        <v/>
      </c>
      <c r="B2905" s="62" t="str">
        <f t="shared" si="387"/>
        <v/>
      </c>
      <c r="C2905" s="63"/>
      <c r="D2905" s="63"/>
      <c r="E2905" s="63"/>
      <c r="F2905" s="71"/>
      <c r="G2905" s="816"/>
      <c r="H2905" s="330"/>
      <c r="I2905" s="405"/>
      <c r="J2905" s="405"/>
      <c r="K2905" s="398"/>
      <c r="L2905" s="405"/>
      <c r="M2905" s="64"/>
      <c r="N2905" s="65"/>
      <c r="O2905" s="65"/>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row>
    <row r="2906" spans="1:30" ht="15.75" customHeight="1">
      <c r="A2906" s="327" t="str">
        <f>IF(B2906&lt;&gt;"",IF(AND(B2906='IN-TC'!$S$4,OR(TH!N2906="1111",TH!O2906="1111")),TH!D2906,""),"")</f>
        <v/>
      </c>
      <c r="B2906" s="62" t="str">
        <f t="shared" si="387"/>
        <v/>
      </c>
      <c r="C2906" s="63"/>
      <c r="D2906" s="63"/>
      <c r="E2906" s="63"/>
      <c r="F2906" s="71"/>
      <c r="G2906" s="66"/>
      <c r="H2906" s="71"/>
      <c r="I2906" s="405"/>
      <c r="J2906" s="405"/>
      <c r="K2906" s="398"/>
      <c r="L2906" s="405"/>
      <c r="M2906" s="64"/>
      <c r="N2906" s="65"/>
      <c r="O2906" s="65"/>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row>
    <row r="2907" spans="1:30" ht="15.75" customHeight="1">
      <c r="A2907" s="327" t="str">
        <f>IF(B2907&lt;&gt;"",IF(AND(B2907='IN-TC'!$S$4,OR(TH!N2907="1111",TH!O2907="1111")),TH!D2907,""),"")</f>
        <v/>
      </c>
      <c r="B2907" s="62" t="str">
        <f t="shared" si="387"/>
        <v/>
      </c>
      <c r="C2907" s="63"/>
      <c r="D2907" s="63"/>
      <c r="E2907" s="63"/>
      <c r="F2907" s="71"/>
      <c r="G2907" s="816"/>
      <c r="H2907" s="71"/>
      <c r="I2907" s="405"/>
      <c r="J2907" s="405"/>
      <c r="K2907" s="398"/>
      <c r="L2907" s="405"/>
      <c r="M2907" s="64"/>
      <c r="N2907" s="65"/>
      <c r="O2907" s="65"/>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row>
    <row r="2908" spans="1:30" ht="15.75" customHeight="1">
      <c r="A2908" s="327" t="str">
        <f>IF(B2908&lt;&gt;"",IF(AND(B2908='IN-TC'!$S$4,OR(TH!N2908="1111",TH!O2908="1111")),TH!D2908,""),"")</f>
        <v/>
      </c>
      <c r="B2908" s="62" t="str">
        <f t="shared" si="387"/>
        <v/>
      </c>
      <c r="C2908" s="63"/>
      <c r="D2908" s="63"/>
      <c r="E2908" s="63"/>
      <c r="F2908" s="71"/>
      <c r="G2908" s="816"/>
      <c r="H2908" s="71"/>
      <c r="I2908" s="405"/>
      <c r="J2908" s="405"/>
      <c r="K2908" s="398"/>
      <c r="L2908" s="405"/>
      <c r="M2908" s="64"/>
      <c r="N2908" s="65"/>
      <c r="O2908" s="65"/>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0" ht="15.75" customHeight="1">
      <c r="A2909" s="327" t="str">
        <f>IF(B2909&lt;&gt;"",IF(AND(B2909='IN-TC'!$S$4,OR(TH!N2909="1111",TH!O2909="1111")),TH!D2909,""),"")</f>
        <v/>
      </c>
      <c r="B2909" s="62" t="str">
        <f t="shared" si="387"/>
        <v/>
      </c>
      <c r="C2909" s="63"/>
      <c r="D2909" s="63"/>
      <c r="E2909" s="63"/>
      <c r="F2909" s="477"/>
      <c r="G2909" s="66"/>
      <c r="H2909" s="71"/>
      <c r="I2909" s="405"/>
      <c r="J2909" s="405"/>
      <c r="K2909" s="398"/>
      <c r="L2909" s="405"/>
      <c r="M2909" s="64"/>
      <c r="N2909" s="65"/>
      <c r="O2909" s="65"/>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row>
    <row r="2910" spans="1:30" ht="15.75" customHeight="1">
      <c r="A2910" s="327" t="str">
        <f>IF(B2910&lt;&gt;"",IF(AND(B2910='IN-TC'!$S$4,OR(TH!N2910="1111",TH!O2910="1111")),TH!D2910,""),"")</f>
        <v/>
      </c>
      <c r="B2910" s="62" t="str">
        <f t="shared" si="387"/>
        <v/>
      </c>
      <c r="C2910" s="63"/>
      <c r="D2910" s="63"/>
      <c r="E2910" s="63"/>
      <c r="F2910" s="71"/>
      <c r="G2910" s="816"/>
      <c r="H2910" s="71"/>
      <c r="I2910" s="405"/>
      <c r="J2910" s="405"/>
      <c r="K2910" s="398"/>
      <c r="L2910" s="405"/>
      <c r="M2910" s="971"/>
      <c r="N2910" s="65"/>
      <c r="O2910" s="65"/>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row>
    <row r="2911" spans="1:30" ht="15.75" customHeight="1">
      <c r="A2911" s="327" t="str">
        <f>IF(B2911&lt;&gt;"",IF(AND(B2911='IN-TC'!$S$4,OR(TH!N2911="1111",TH!O2911="1111")),TH!D2911,""),"")</f>
        <v/>
      </c>
      <c r="B2911" s="62" t="str">
        <f t="shared" si="387"/>
        <v/>
      </c>
      <c r="C2911" s="63"/>
      <c r="D2911" s="63"/>
      <c r="E2911" s="63"/>
      <c r="F2911" s="71"/>
      <c r="G2911" s="816"/>
      <c r="H2911" s="71"/>
      <c r="I2911" s="405"/>
      <c r="J2911" s="405"/>
      <c r="K2911" s="398"/>
      <c r="L2911" s="405"/>
      <c r="M2911" s="64"/>
      <c r="N2911" s="65"/>
      <c r="O2911" s="65"/>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row>
    <row r="2912" spans="1:30" ht="15.75" customHeight="1">
      <c r="A2912" s="327" t="str">
        <f>IF(B2912&lt;&gt;"",IF(AND(B2912='IN-TC'!$S$4,OR(TH!N2912="1111",TH!O2912="1111")),TH!D2912,""),"")</f>
        <v/>
      </c>
      <c r="B2912" s="62" t="str">
        <f t="shared" si="387"/>
        <v/>
      </c>
      <c r="C2912" s="63"/>
      <c r="D2912" s="63"/>
      <c r="E2912" s="63"/>
      <c r="F2912" s="71"/>
      <c r="G2912" s="816"/>
      <c r="H2912" s="71"/>
      <c r="I2912" s="405"/>
      <c r="J2912" s="405"/>
      <c r="K2912" s="398"/>
      <c r="L2912" s="405"/>
      <c r="M2912" s="64"/>
      <c r="N2912" s="65"/>
      <c r="O2912" s="65"/>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row>
    <row r="2913" spans="1:30" ht="15.75" customHeight="1">
      <c r="A2913" s="327" t="str">
        <f>IF(B2913&lt;&gt;"",IF(AND(B2913='IN-TC'!$S$4,OR(TH!N2913="1111",TH!O2913="1111")),TH!D2913,""),"")</f>
        <v/>
      </c>
      <c r="B2913" s="62" t="str">
        <f t="shared" si="387"/>
        <v/>
      </c>
      <c r="C2913" s="63"/>
      <c r="D2913" s="63"/>
      <c r="E2913" s="63"/>
      <c r="F2913" s="477"/>
      <c r="G2913" s="66"/>
      <c r="H2913" s="71"/>
      <c r="I2913" s="405"/>
      <c r="J2913" s="405"/>
      <c r="K2913" s="398"/>
      <c r="L2913" s="405"/>
      <c r="M2913" s="64"/>
      <c r="N2913" s="65"/>
      <c r="O2913" s="65"/>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row>
    <row r="2914" spans="1:30" ht="15.75" customHeight="1">
      <c r="A2914" s="327" t="str">
        <f>IF(B2914&lt;&gt;"",IF(AND(B2914='IN-TC'!$S$4,OR(TH!N2914="1111",TH!O2914="1111")),TH!D2914,""),"")</f>
        <v/>
      </c>
      <c r="B2914" s="62" t="str">
        <f t="shared" si="387"/>
        <v/>
      </c>
      <c r="C2914" s="63"/>
      <c r="D2914" s="63"/>
      <c r="E2914" s="63"/>
      <c r="F2914" s="477"/>
      <c r="G2914" s="66"/>
      <c r="H2914" s="71"/>
      <c r="I2914" s="405"/>
      <c r="J2914" s="405"/>
      <c r="K2914" s="398"/>
      <c r="L2914" s="405"/>
      <c r="M2914" s="64"/>
      <c r="N2914" s="65"/>
      <c r="O2914" s="65"/>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row>
    <row r="2915" spans="1:30" ht="15.75" customHeight="1">
      <c r="A2915" s="327" t="str">
        <f>IF(B2915&lt;&gt;"",IF(AND(B2915='IN-TC'!$S$4,OR(TH!N2915="1111",TH!O2915="1111")),TH!D2915,""),"")</f>
        <v/>
      </c>
      <c r="B2915" s="62" t="str">
        <f t="shared" si="387"/>
        <v/>
      </c>
      <c r="C2915" s="63"/>
      <c r="D2915" s="63"/>
      <c r="E2915" s="63"/>
      <c r="F2915" s="71"/>
      <c r="G2915" s="66"/>
      <c r="H2915" s="71"/>
      <c r="I2915" s="405"/>
      <c r="J2915" s="405"/>
      <c r="K2915" s="398"/>
      <c r="L2915" s="405"/>
      <c r="M2915" s="64"/>
      <c r="N2915" s="65"/>
      <c r="O2915" s="65"/>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row>
    <row r="2916" spans="1:30" ht="15.75" customHeight="1">
      <c r="A2916" s="327" t="str">
        <f>IF(B2916&lt;&gt;"",IF(AND(B2916='IN-TC'!$S$4,OR(TH!N2916="1111",TH!O2916="1111")),TH!D2916,""),"")</f>
        <v/>
      </c>
      <c r="B2916" s="62" t="str">
        <f t="shared" si="387"/>
        <v/>
      </c>
      <c r="C2916" s="63"/>
      <c r="D2916" s="63"/>
      <c r="E2916" s="63"/>
      <c r="F2916" s="71"/>
      <c r="G2916" s="66"/>
      <c r="H2916" s="71"/>
      <c r="I2916" s="405"/>
      <c r="J2916" s="405"/>
      <c r="K2916" s="398"/>
      <c r="L2916" s="405"/>
      <c r="M2916" s="64"/>
      <c r="N2916" s="65"/>
      <c r="O2916" s="65"/>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row>
    <row r="2917" spans="1:30" ht="15.75" customHeight="1">
      <c r="A2917" s="327" t="str">
        <f>IF(B2917&lt;&gt;"",IF(AND(B2917='IN-TC'!$S$4,OR(TH!N2917="1111",TH!O2917="1111")),TH!D2917,""),"")</f>
        <v/>
      </c>
      <c r="B2917" s="62" t="str">
        <f t="shared" si="387"/>
        <v/>
      </c>
      <c r="C2917" s="63"/>
      <c r="D2917" s="63"/>
      <c r="E2917" s="63"/>
      <c r="F2917" s="71"/>
      <c r="G2917" s="66"/>
      <c r="H2917" s="71"/>
      <c r="I2917" s="405"/>
      <c r="J2917" s="405"/>
      <c r="K2917" s="398"/>
      <c r="L2917" s="405"/>
      <c r="M2917" s="64"/>
      <c r="N2917" s="65"/>
      <c r="O2917" s="65"/>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row>
    <row r="2918" spans="1:30" ht="15.75" customHeight="1">
      <c r="A2918" s="327" t="str">
        <f>IF(B2918&lt;&gt;"",IF(AND(B2918='IN-TC'!$S$4,OR(TH!N2918="1111",TH!O2918="1111")),TH!D2918,""),"")</f>
        <v/>
      </c>
      <c r="B2918" s="62" t="str">
        <f t="shared" si="387"/>
        <v/>
      </c>
      <c r="C2918" s="63"/>
      <c r="D2918" s="63"/>
      <c r="E2918" s="63"/>
      <c r="F2918" s="71"/>
      <c r="G2918" s="66"/>
      <c r="H2918" s="71"/>
      <c r="I2918" s="405"/>
      <c r="J2918" s="405"/>
      <c r="K2918" s="398"/>
      <c r="L2918" s="405"/>
      <c r="M2918" s="64"/>
      <c r="N2918" s="65"/>
      <c r="O2918" s="65"/>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0" ht="15.75" customHeight="1">
      <c r="A2919" s="327" t="str">
        <f>IF(B2919&lt;&gt;"",IF(AND(B2919='IN-TC'!$S$4,OR(TH!N2919="1111",TH!O2919="1111")),TH!D2919,""),"")</f>
        <v/>
      </c>
      <c r="B2919" s="62" t="str">
        <f t="shared" si="387"/>
        <v/>
      </c>
      <c r="C2919" s="63"/>
      <c r="D2919" s="63"/>
      <c r="E2919" s="63"/>
      <c r="F2919" s="71"/>
      <c r="G2919" s="66"/>
      <c r="H2919" s="71"/>
      <c r="I2919" s="405"/>
      <c r="J2919" s="405"/>
      <c r="K2919" s="398"/>
      <c r="L2919" s="405"/>
      <c r="M2919" s="64"/>
      <c r="N2919" s="65"/>
      <c r="O2919" s="65"/>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row>
    <row r="2920" spans="1:30" ht="15.75" customHeight="1">
      <c r="A2920" s="327" t="str">
        <f>IF(B2920&lt;&gt;"",IF(AND(B2920='IN-TC'!$S$4,OR(TH!N2920="1111",TH!O2920="1111")),TH!D2920,""),"")</f>
        <v/>
      </c>
      <c r="B2920" s="62" t="str">
        <f t="shared" si="387"/>
        <v/>
      </c>
      <c r="C2920" s="63"/>
      <c r="D2920" s="63"/>
      <c r="E2920" s="63"/>
      <c r="F2920" s="71"/>
      <c r="G2920" s="66"/>
      <c r="H2920" s="330"/>
      <c r="I2920" s="407"/>
      <c r="J2920" s="407"/>
      <c r="K2920" s="400"/>
      <c r="L2920" s="407"/>
      <c r="M2920" s="64"/>
      <c r="N2920" s="65"/>
      <c r="O2920" s="65"/>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row>
    <row r="2921" spans="1:30" ht="15.75" customHeight="1">
      <c r="A2921" s="327" t="str">
        <f>IF(B2921&lt;&gt;"",IF(AND(B2921='IN-TC'!$S$4,OR(TH!N2921="1111",TH!O2921="1111")),TH!D2921,""),"")</f>
        <v/>
      </c>
      <c r="B2921" s="62" t="str">
        <f t="shared" si="387"/>
        <v/>
      </c>
      <c r="C2921" s="63"/>
      <c r="D2921" s="63"/>
      <c r="E2921" s="63"/>
      <c r="F2921" s="71"/>
      <c r="G2921" s="66"/>
      <c r="H2921" s="71"/>
      <c r="I2921" s="405"/>
      <c r="J2921" s="405"/>
      <c r="K2921" s="398"/>
      <c r="L2921" s="405"/>
      <c r="M2921" s="64"/>
      <c r="N2921" s="65"/>
      <c r="O2921" s="65"/>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0" ht="15.75" customHeight="1">
      <c r="A2922" s="327" t="str">
        <f>IF(B2922&lt;&gt;"",IF(AND(B2922='IN-TC'!$S$4,OR(TH!N2922="1111",TH!O2922="1111")),TH!D2922,""),"")</f>
        <v/>
      </c>
      <c r="B2922" s="62" t="str">
        <f t="shared" si="387"/>
        <v/>
      </c>
      <c r="C2922" s="63"/>
      <c r="D2922" s="63"/>
      <c r="E2922" s="63"/>
      <c r="F2922" s="71"/>
      <c r="G2922" s="66"/>
      <c r="H2922" s="71"/>
      <c r="I2922" s="405"/>
      <c r="J2922" s="405"/>
      <c r="K2922" s="398"/>
      <c r="L2922" s="405"/>
      <c r="M2922" s="64"/>
      <c r="N2922" s="65"/>
      <c r="O2922" s="65"/>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row>
    <row r="2923" spans="1:30" ht="15.75" customHeight="1">
      <c r="A2923" s="327" t="str">
        <f>IF(B2923&lt;&gt;"",IF(AND(B2923='IN-TC'!$S$4,OR(TH!N2923="1111",TH!O2923="1111")),TH!D2923,""),"")</f>
        <v/>
      </c>
      <c r="B2923" s="62" t="str">
        <f t="shared" si="387"/>
        <v/>
      </c>
      <c r="C2923" s="63"/>
      <c r="D2923" s="63"/>
      <c r="E2923" s="63"/>
      <c r="F2923" s="71"/>
      <c r="G2923" s="66"/>
      <c r="H2923" s="330"/>
      <c r="I2923" s="407"/>
      <c r="J2923" s="407"/>
      <c r="K2923" s="400"/>
      <c r="L2923" s="407"/>
      <c r="M2923" s="64"/>
      <c r="N2923" s="65"/>
      <c r="O2923" s="65"/>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row>
    <row r="2924" spans="1:30" ht="15.75" customHeight="1">
      <c r="A2924" s="327" t="str">
        <f>IF(B2924&lt;&gt;"",IF(AND(B2924='IN-TC'!$S$4,OR(TH!N2924="1111",TH!O2924="1111")),TH!D2924,""),"")</f>
        <v/>
      </c>
      <c r="B2924" s="62" t="str">
        <f t="shared" si="387"/>
        <v/>
      </c>
      <c r="C2924" s="63"/>
      <c r="D2924" s="63"/>
      <c r="E2924" s="63"/>
      <c r="F2924" s="71"/>
      <c r="G2924" s="66"/>
      <c r="H2924" s="71"/>
      <c r="I2924" s="405"/>
      <c r="J2924" s="405"/>
      <c r="K2924" s="398"/>
      <c r="L2924" s="405"/>
      <c r="M2924" s="64"/>
      <c r="N2924" s="65"/>
      <c r="O2924" s="65"/>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row>
    <row r="2925" spans="1:30" ht="15.75" customHeight="1">
      <c r="A2925" s="327" t="str">
        <f>IF(B2925&lt;&gt;"",IF(AND(B2925='IN-TC'!$S$4,OR(TH!N2925="1111",TH!O2925="1111")),TH!D2925,""),"")</f>
        <v/>
      </c>
      <c r="B2925" s="62" t="str">
        <f t="shared" si="387"/>
        <v/>
      </c>
      <c r="C2925" s="63"/>
      <c r="D2925" s="63"/>
      <c r="E2925" s="63"/>
      <c r="F2925" s="71"/>
      <c r="G2925" s="66"/>
      <c r="H2925" s="71"/>
      <c r="I2925" s="405"/>
      <c r="J2925" s="405"/>
      <c r="K2925" s="398"/>
      <c r="L2925" s="405"/>
      <c r="M2925" s="64"/>
      <c r="N2925" s="65"/>
      <c r="O2925" s="65"/>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row>
    <row r="2926" spans="1:30" ht="15.75" customHeight="1">
      <c r="A2926" s="327" t="str">
        <f>IF(B2926&lt;&gt;"",IF(AND(B2926='IN-TC'!$S$4,OR(TH!N2926="1111",TH!O2926="1111")),TH!D2926,""),"")</f>
        <v/>
      </c>
      <c r="B2926" s="62" t="str">
        <f t="shared" si="387"/>
        <v/>
      </c>
      <c r="C2926" s="63"/>
      <c r="D2926" s="63"/>
      <c r="E2926" s="63"/>
      <c r="F2926" s="71"/>
      <c r="G2926" s="66"/>
      <c r="H2926" s="71"/>
      <c r="I2926" s="405"/>
      <c r="J2926" s="405"/>
      <c r="K2926" s="398"/>
      <c r="L2926" s="405"/>
      <c r="M2926" s="64"/>
      <c r="N2926" s="65"/>
      <c r="O2926" s="65"/>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row>
    <row r="2927" spans="1:30" ht="15.75" customHeight="1">
      <c r="A2927" s="327" t="str">
        <f>IF(B2927&lt;&gt;"",IF(AND(B2927='IN-TC'!$S$4,OR(TH!N2927="1111",TH!O2927="1111")),TH!D2927,""),"")</f>
        <v/>
      </c>
      <c r="B2927" s="62" t="str">
        <f t="shared" si="387"/>
        <v/>
      </c>
      <c r="C2927" s="63"/>
      <c r="D2927" s="63"/>
      <c r="E2927" s="63"/>
      <c r="F2927" s="71"/>
      <c r="G2927" s="66"/>
      <c r="H2927" s="71"/>
      <c r="I2927" s="405"/>
      <c r="J2927" s="405"/>
      <c r="K2927" s="398"/>
      <c r="L2927" s="405"/>
      <c r="M2927" s="64"/>
      <c r="N2927" s="65"/>
      <c r="O2927" s="65"/>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0" ht="15.75" customHeight="1">
      <c r="A2928" s="327" t="str">
        <f>IF(B2928&lt;&gt;"",IF(AND(B2928='IN-TC'!$S$4,OR(TH!N2928="1111",TH!O2928="1111")),TH!D2928,""),"")</f>
        <v/>
      </c>
      <c r="B2928" s="62" t="str">
        <f t="shared" si="387"/>
        <v/>
      </c>
      <c r="C2928" s="63"/>
      <c r="D2928" s="63"/>
      <c r="E2928" s="63"/>
      <c r="F2928" s="71"/>
      <c r="G2928" s="66"/>
      <c r="H2928" s="330"/>
      <c r="I2928" s="407"/>
      <c r="J2928" s="407"/>
      <c r="K2928" s="400"/>
      <c r="L2928" s="407"/>
      <c r="M2928" s="64"/>
      <c r="N2928" s="65"/>
      <c r="O2928" s="65"/>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row>
    <row r="2929" spans="1:30" ht="15.75" customHeight="1">
      <c r="A2929" s="327" t="str">
        <f>IF(B2929&lt;&gt;"",IF(AND(B2929='IN-TC'!$S$4,OR(TH!N2929="1111",TH!O2929="1111")),TH!D2929,""),"")</f>
        <v/>
      </c>
      <c r="B2929" s="62" t="str">
        <f t="shared" si="387"/>
        <v/>
      </c>
      <c r="C2929" s="63"/>
      <c r="D2929" s="63"/>
      <c r="E2929" s="63"/>
      <c r="F2929" s="71"/>
      <c r="G2929" s="66"/>
      <c r="H2929" s="330"/>
      <c r="I2929" s="405"/>
      <c r="J2929" s="405"/>
      <c r="K2929" s="398"/>
      <c r="L2929" s="405"/>
      <c r="M2929" s="64"/>
      <c r="N2929" s="65"/>
      <c r="O2929" s="65"/>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row>
    <row r="2930" spans="1:30" ht="15.75" customHeight="1">
      <c r="A2930" s="327" t="str">
        <f>IF(B2930&lt;&gt;"",IF(AND(B2930='IN-TC'!$S$4,OR(TH!N2930="1111",TH!O2930="1111")),TH!D2930,""),"")</f>
        <v/>
      </c>
      <c r="B2930" s="62" t="str">
        <f t="shared" si="387"/>
        <v/>
      </c>
      <c r="C2930" s="63"/>
      <c r="D2930" s="63"/>
      <c r="E2930" s="63"/>
      <c r="F2930" s="71"/>
      <c r="G2930" s="66"/>
      <c r="H2930" s="330"/>
      <c r="I2930" s="405"/>
      <c r="J2930" s="405"/>
      <c r="K2930" s="398"/>
      <c r="L2930" s="405"/>
      <c r="M2930" s="64"/>
      <c r="N2930" s="65"/>
      <c r="O2930" s="65"/>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0" ht="15.75" customHeight="1">
      <c r="A2931" s="327" t="str">
        <f>IF(B2931&lt;&gt;"",IF(AND(B2931='IN-TC'!$S$4,OR(TH!N2931="1111",TH!O2931="1111")),TH!D2931,""),"")</f>
        <v/>
      </c>
      <c r="B2931" s="62" t="str">
        <f t="shared" si="387"/>
        <v/>
      </c>
      <c r="C2931" s="63"/>
      <c r="D2931" s="63"/>
      <c r="E2931" s="63"/>
      <c r="F2931" s="71"/>
      <c r="G2931" s="66"/>
      <c r="H2931" s="330"/>
      <c r="I2931" s="405"/>
      <c r="J2931" s="405"/>
      <c r="K2931" s="398"/>
      <c r="L2931" s="405"/>
      <c r="M2931" s="64"/>
      <c r="N2931" s="65"/>
      <c r="O2931" s="65"/>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0" ht="15.75" customHeight="1">
      <c r="A2932" s="327" t="str">
        <f>IF(B2932&lt;&gt;"",IF(AND(B2932='IN-TC'!$S$4,OR(TH!N2932="1111",TH!O2932="1111")),TH!D2932,""),"")</f>
        <v/>
      </c>
      <c r="B2932" s="62" t="str">
        <f t="shared" si="387"/>
        <v/>
      </c>
      <c r="C2932" s="63"/>
      <c r="D2932" s="63"/>
      <c r="E2932" s="63"/>
      <c r="F2932" s="71"/>
      <c r="G2932" s="66"/>
      <c r="H2932" s="330"/>
      <c r="I2932" s="405"/>
      <c r="J2932" s="405"/>
      <c r="K2932" s="398"/>
      <c r="L2932" s="405"/>
      <c r="M2932" s="64"/>
      <c r="N2932" s="65"/>
      <c r="O2932" s="65"/>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0" ht="15.75" customHeight="1">
      <c r="A2933" s="327" t="str">
        <f>IF(B2933&lt;&gt;"",IF(AND(B2933='IN-TC'!$S$4,OR(TH!N2933="1111",TH!O2933="1111")),TH!D2933,""),"")</f>
        <v/>
      </c>
      <c r="B2933" s="62" t="str">
        <f t="shared" si="387"/>
        <v/>
      </c>
      <c r="C2933" s="63"/>
      <c r="D2933" s="63"/>
      <c r="E2933" s="63"/>
      <c r="F2933" s="71"/>
      <c r="G2933" s="66"/>
      <c r="H2933" s="330"/>
      <c r="I2933" s="407"/>
      <c r="J2933" s="407"/>
      <c r="K2933" s="400"/>
      <c r="L2933" s="407"/>
      <c r="M2933" s="64"/>
      <c r="N2933" s="65"/>
      <c r="O2933" s="65"/>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0" ht="15.75" customHeight="1">
      <c r="A2934" s="327" t="str">
        <f>IF(B2934&lt;&gt;"",IF(AND(B2934='IN-TC'!$S$4,OR(TH!N2934="1111",TH!O2934="1111")),TH!D2934,""),"")</f>
        <v/>
      </c>
      <c r="B2934" s="62" t="str">
        <f t="shared" si="387"/>
        <v/>
      </c>
      <c r="C2934" s="63"/>
      <c r="D2934" s="63"/>
      <c r="E2934" s="63"/>
      <c r="F2934" s="71"/>
      <c r="G2934" s="66"/>
      <c r="H2934" s="330"/>
      <c r="I2934" s="405"/>
      <c r="J2934" s="405"/>
      <c r="K2934" s="398"/>
      <c r="L2934" s="405"/>
      <c r="M2934" s="64"/>
      <c r="N2934" s="65"/>
      <c r="O2934" s="65"/>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0" ht="15.75" customHeight="1">
      <c r="A2935" s="327" t="str">
        <f>IF(B2935&lt;&gt;"",IF(AND(B2935='IN-TC'!$S$4,OR(TH!N2935="1111",TH!O2935="1111")),TH!D2935,""),"")</f>
        <v/>
      </c>
      <c r="B2935" s="62" t="str">
        <f t="shared" si="387"/>
        <v/>
      </c>
      <c r="C2935" s="63"/>
      <c r="D2935" s="63"/>
      <c r="E2935" s="63"/>
      <c r="F2935" s="71"/>
      <c r="G2935" s="66"/>
      <c r="H2935" s="330"/>
      <c r="I2935" s="405"/>
      <c r="J2935" s="405"/>
      <c r="K2935" s="398"/>
      <c r="L2935" s="405"/>
      <c r="M2935" s="64"/>
      <c r="N2935" s="65"/>
      <c r="O2935" s="65"/>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0" ht="15.75" customHeight="1">
      <c r="A2936" s="327" t="str">
        <f>IF(B2936&lt;&gt;"",IF(AND(B2936='IN-TC'!$S$4,OR(TH!N2936="1111",TH!O2936="1111")),TH!D2936,""),"")</f>
        <v/>
      </c>
      <c r="B2936" s="62" t="str">
        <f t="shared" si="387"/>
        <v/>
      </c>
      <c r="C2936" s="63"/>
      <c r="D2936" s="63"/>
      <c r="E2936" s="63"/>
      <c r="F2936" s="71"/>
      <c r="G2936" s="66"/>
      <c r="H2936" s="330"/>
      <c r="I2936" s="405"/>
      <c r="J2936" s="405"/>
      <c r="K2936" s="398"/>
      <c r="L2936" s="405"/>
      <c r="M2936" s="64"/>
      <c r="N2936" s="65"/>
      <c r="O2936" s="65"/>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0" ht="15.75" customHeight="1">
      <c r="A2937" s="327" t="str">
        <f>IF(B2937&lt;&gt;"",IF(AND(B2937='IN-TC'!$S$4,OR(TH!N2937="1111",TH!O2937="1111")),TH!D2937,""),"")</f>
        <v/>
      </c>
      <c r="B2937" s="62" t="str">
        <f t="shared" si="387"/>
        <v/>
      </c>
      <c r="C2937" s="63"/>
      <c r="D2937" s="63"/>
      <c r="E2937" s="63"/>
      <c r="F2937" s="71"/>
      <c r="G2937" s="66"/>
      <c r="H2937" s="330"/>
      <c r="I2937" s="405"/>
      <c r="J2937" s="405"/>
      <c r="K2937" s="398"/>
      <c r="L2937" s="405"/>
      <c r="M2937" s="64"/>
      <c r="N2937" s="65"/>
      <c r="O2937" s="65"/>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row>
    <row r="2938" spans="1:30" ht="15.75" customHeight="1">
      <c r="A2938" s="327" t="str">
        <f>IF(B2938&lt;&gt;"",IF(AND(B2938='IN-TC'!$S$4,OR(TH!N2938="1111",TH!O2938="1111")),TH!D2938,""),"")</f>
        <v/>
      </c>
      <c r="B2938" s="62" t="str">
        <f t="shared" si="387"/>
        <v/>
      </c>
      <c r="C2938" s="63"/>
      <c r="D2938" s="63"/>
      <c r="E2938" s="63"/>
      <c r="F2938" s="71"/>
      <c r="G2938" s="66"/>
      <c r="H2938" s="330"/>
      <c r="I2938" s="407"/>
      <c r="J2938" s="407"/>
      <c r="K2938" s="400"/>
      <c r="L2938" s="407"/>
      <c r="M2938" s="64"/>
      <c r="N2938" s="65"/>
      <c r="O2938" s="65"/>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row>
    <row r="2939" spans="1:30" ht="15.75" customHeight="1">
      <c r="A2939" s="327" t="str">
        <f>IF(B2939&lt;&gt;"",IF(AND(B2939='IN-TC'!$S$4,OR(TH!N2939="1111",TH!O2939="1111")),TH!D2939,""),"")</f>
        <v/>
      </c>
      <c r="B2939" s="62" t="str">
        <f t="shared" si="387"/>
        <v/>
      </c>
      <c r="C2939" s="63"/>
      <c r="D2939" s="63"/>
      <c r="E2939" s="63"/>
      <c r="F2939" s="71"/>
      <c r="G2939" s="66"/>
      <c r="H2939" s="330"/>
      <c r="I2939" s="405"/>
      <c r="J2939" s="405"/>
      <c r="K2939" s="398"/>
      <c r="L2939" s="405"/>
      <c r="M2939" s="64"/>
      <c r="N2939" s="65"/>
      <c r="O2939" s="65"/>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0" ht="15.75" customHeight="1">
      <c r="A2940" s="327" t="str">
        <f>IF(B2940&lt;&gt;"",IF(AND(B2940='IN-TC'!$S$4,OR(TH!N2940="1111",TH!O2940="1111")),TH!D2940,""),"")</f>
        <v/>
      </c>
      <c r="B2940" s="62" t="str">
        <f t="shared" si="387"/>
        <v/>
      </c>
      <c r="C2940" s="63"/>
      <c r="D2940" s="63"/>
      <c r="E2940" s="63"/>
      <c r="F2940" s="71"/>
      <c r="G2940" s="66"/>
      <c r="H2940" s="330"/>
      <c r="I2940" s="405"/>
      <c r="J2940" s="405"/>
      <c r="K2940" s="398"/>
      <c r="L2940" s="405"/>
      <c r="M2940" s="64"/>
      <c r="N2940" s="65"/>
      <c r="O2940" s="65"/>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0" ht="15.75" customHeight="1">
      <c r="A2941" s="327" t="str">
        <f>IF(B2941&lt;&gt;"",IF(AND(B2941='IN-TC'!$S$4,OR(TH!N2941="1111",TH!O2941="1111")),TH!D2941,""),"")</f>
        <v/>
      </c>
      <c r="B2941" s="62" t="str">
        <f t="shared" si="387"/>
        <v/>
      </c>
      <c r="C2941" s="63"/>
      <c r="D2941" s="63"/>
      <c r="E2941" s="63"/>
      <c r="F2941" s="71"/>
      <c r="G2941" s="66"/>
      <c r="H2941" s="330"/>
      <c r="I2941" s="405"/>
      <c r="J2941" s="405"/>
      <c r="K2941" s="398"/>
      <c r="L2941" s="405"/>
      <c r="M2941" s="64"/>
      <c r="N2941" s="65"/>
      <c r="O2941" s="65"/>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0" ht="15.75" customHeight="1">
      <c r="A2942" s="327" t="str">
        <f>IF(B2942&lt;&gt;"",IF(AND(B2942='IN-TC'!$S$4,OR(TH!N2942="1111",TH!O2942="1111")),TH!D2942,""),"")</f>
        <v/>
      </c>
      <c r="B2942" s="62" t="str">
        <f t="shared" si="387"/>
        <v/>
      </c>
      <c r="C2942" s="63"/>
      <c r="D2942" s="63"/>
      <c r="E2942" s="63"/>
      <c r="F2942" s="71"/>
      <c r="G2942" s="66"/>
      <c r="H2942" s="330"/>
      <c r="I2942" s="405"/>
      <c r="J2942" s="405"/>
      <c r="K2942" s="398"/>
      <c r="L2942" s="405"/>
      <c r="M2942" s="64"/>
      <c r="N2942" s="65"/>
      <c r="O2942" s="65"/>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0" ht="15.75" customHeight="1">
      <c r="A2943" s="327" t="str">
        <f>IF(B2943&lt;&gt;"",IF(AND(B2943='IN-TC'!$S$4,OR(TH!N2943="1111",TH!O2943="1111")),TH!D2943,""),"")</f>
        <v/>
      </c>
      <c r="B2943" s="62" t="str">
        <f t="shared" si="387"/>
        <v/>
      </c>
      <c r="C2943" s="63"/>
      <c r="D2943" s="63"/>
      <c r="E2943" s="63"/>
      <c r="F2943" s="71"/>
      <c r="G2943" s="66"/>
      <c r="H2943" s="330"/>
      <c r="I2943" s="407"/>
      <c r="J2943" s="407"/>
      <c r="K2943" s="400"/>
      <c r="L2943" s="407"/>
      <c r="M2943" s="64"/>
      <c r="N2943" s="65"/>
      <c r="O2943" s="65"/>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0" ht="15.75" customHeight="1">
      <c r="A2944" s="327" t="str">
        <f>IF(B2944&lt;&gt;"",IF(AND(B2944='IN-TC'!$S$4,OR(TH!N2944="1111",TH!O2944="1111")),TH!D2944,""),"")</f>
        <v/>
      </c>
      <c r="B2944" s="62" t="str">
        <f t="shared" si="387"/>
        <v/>
      </c>
      <c r="C2944" s="63"/>
      <c r="D2944" s="63"/>
      <c r="E2944" s="63"/>
      <c r="F2944" s="71"/>
      <c r="G2944" s="66"/>
      <c r="H2944" s="330"/>
      <c r="I2944" s="405"/>
      <c r="J2944" s="405"/>
      <c r="K2944" s="398"/>
      <c r="L2944" s="405"/>
      <c r="M2944" s="64"/>
      <c r="N2944" s="65"/>
      <c r="O2944" s="65"/>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ht="15.75" customHeight="1">
      <c r="A2945" s="327" t="str">
        <f>IF(B2945&lt;&gt;"",IF(AND(B2945='IN-TC'!$S$4,OR(TH!N2945="1111",TH!O2945="1111")),TH!D2945,""),"")</f>
        <v/>
      </c>
      <c r="B2945" s="62" t="str">
        <f t="shared" si="387"/>
        <v/>
      </c>
      <c r="C2945" s="63"/>
      <c r="D2945" s="63"/>
      <c r="E2945" s="63"/>
      <c r="F2945" s="71"/>
      <c r="G2945" s="66"/>
      <c r="H2945" s="330"/>
      <c r="I2945" s="405"/>
      <c r="J2945" s="405"/>
      <c r="K2945" s="398"/>
      <c r="L2945" s="405"/>
      <c r="M2945" s="64"/>
      <c r="N2945" s="65"/>
      <c r="O2945" s="65"/>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ht="15.75" customHeight="1">
      <c r="A2946" s="327" t="str">
        <f>IF(B2946&lt;&gt;"",IF(AND(B2946='IN-TC'!$S$4,OR(TH!N2946="1111",TH!O2946="1111")),TH!D2946,""),"")</f>
        <v/>
      </c>
      <c r="B2946" s="62" t="str">
        <f t="shared" si="387"/>
        <v/>
      </c>
      <c r="C2946" s="63"/>
      <c r="D2946" s="63"/>
      <c r="E2946" s="63"/>
      <c r="F2946" s="71"/>
      <c r="G2946" s="66"/>
      <c r="H2946" s="330"/>
      <c r="I2946" s="405"/>
      <c r="J2946" s="405"/>
      <c r="K2946" s="398"/>
      <c r="L2946" s="405"/>
      <c r="M2946" s="64"/>
      <c r="N2946" s="65"/>
      <c r="O2946" s="65"/>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ht="15.75" customHeight="1">
      <c r="A2947" s="327" t="str">
        <f>IF(B2947&lt;&gt;"",IF(AND(B2947='IN-TC'!$S$4,OR(TH!N2947="1111",TH!O2947="1111")),TH!D2947,""),"")</f>
        <v/>
      </c>
      <c r="B2947" s="62" t="str">
        <f t="shared" si="387"/>
        <v/>
      </c>
      <c r="C2947" s="63"/>
      <c r="D2947" s="63"/>
      <c r="E2947" s="63"/>
      <c r="F2947" s="71"/>
      <c r="G2947" s="66"/>
      <c r="H2947" s="330"/>
      <c r="I2947" s="405"/>
      <c r="J2947" s="405"/>
      <c r="K2947" s="398"/>
      <c r="L2947" s="405"/>
      <c r="M2947" s="64"/>
      <c r="N2947" s="65"/>
      <c r="O2947" s="65"/>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ht="15.75" customHeight="1">
      <c r="A2948" s="327" t="str">
        <f>IF(B2948&lt;&gt;"",IF(AND(B2948='IN-TC'!$S$4,OR(TH!N2948="1111",TH!O2948="1111")),TH!D2948,""),"")</f>
        <v/>
      </c>
      <c r="B2948" s="62" t="str">
        <f t="shared" si="387"/>
        <v/>
      </c>
      <c r="C2948" s="63"/>
      <c r="D2948" s="63"/>
      <c r="E2948" s="63"/>
      <c r="F2948" s="71"/>
      <c r="G2948" s="66"/>
      <c r="H2948" s="330"/>
      <c r="I2948" s="407"/>
      <c r="J2948" s="407"/>
      <c r="K2948" s="400"/>
      <c r="L2948" s="407"/>
      <c r="M2948" s="64"/>
      <c r="N2948" s="65"/>
      <c r="O2948" s="65"/>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ht="15.75" customHeight="1">
      <c r="A2949" s="327" t="str">
        <f>IF(B2949&lt;&gt;"",IF(AND(B2949='IN-TC'!$S$4,OR(TH!N2949="1111",TH!O2949="1111")),TH!D2949,""),"")</f>
        <v/>
      </c>
      <c r="B2949" s="62" t="str">
        <f t="shared" si="387"/>
        <v/>
      </c>
      <c r="C2949" s="63"/>
      <c r="D2949" s="63"/>
      <c r="E2949" s="63"/>
      <c r="F2949" s="71"/>
      <c r="G2949" s="66"/>
      <c r="H2949" s="330"/>
      <c r="I2949" s="405"/>
      <c r="J2949" s="405"/>
      <c r="K2949" s="398"/>
      <c r="L2949" s="405"/>
      <c r="M2949" s="64"/>
      <c r="N2949" s="65"/>
      <c r="O2949" s="65"/>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ht="15.75" customHeight="1">
      <c r="A2950" s="327" t="str">
        <f>IF(B2950&lt;&gt;"",IF(AND(B2950='IN-TC'!$S$4,OR(TH!N2950="1111",TH!O2950="1111")),TH!D2950,""),"")</f>
        <v/>
      </c>
      <c r="B2950" s="62" t="str">
        <f t="shared" si="387"/>
        <v/>
      </c>
      <c r="C2950" s="63"/>
      <c r="D2950" s="63"/>
      <c r="E2950" s="63"/>
      <c r="F2950" s="71"/>
      <c r="G2950" s="66"/>
      <c r="H2950" s="330"/>
      <c r="I2950" s="405"/>
      <c r="J2950" s="405"/>
      <c r="K2950" s="398"/>
      <c r="L2950" s="405"/>
      <c r="M2950" s="64"/>
      <c r="N2950" s="65"/>
      <c r="O2950" s="65"/>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ht="15.75" customHeight="1">
      <c r="A2951" s="327" t="str">
        <f>IF(B2951&lt;&gt;"",IF(AND(B2951='IN-TC'!$S$4,OR(TH!N2951="1111",TH!O2951="1111")),TH!D2951,""),"")</f>
        <v/>
      </c>
      <c r="B2951" s="62" t="str">
        <f t="shared" si="387"/>
        <v/>
      </c>
      <c r="C2951" s="63"/>
      <c r="D2951" s="63"/>
      <c r="E2951" s="63"/>
      <c r="F2951" s="71"/>
      <c r="G2951" s="66"/>
      <c r="H2951" s="330"/>
      <c r="I2951" s="407"/>
      <c r="J2951" s="407"/>
      <c r="K2951" s="400"/>
      <c r="L2951" s="407"/>
      <c r="M2951" s="64"/>
      <c r="N2951" s="65"/>
      <c r="O2951" s="65"/>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ht="15.75" customHeight="1">
      <c r="A2952" s="327" t="str">
        <f>IF(B2952&lt;&gt;"",IF(AND(B2952='IN-TC'!$S$4,OR(TH!N2952="1111",TH!O2952="1111")),TH!D2952,""),"")</f>
        <v/>
      </c>
      <c r="B2952" s="62" t="str">
        <f t="shared" si="387"/>
        <v/>
      </c>
      <c r="C2952" s="63"/>
      <c r="D2952" s="63"/>
      <c r="E2952" s="63"/>
      <c r="F2952" s="71"/>
      <c r="G2952" s="66"/>
      <c r="H2952" s="330"/>
      <c r="I2952" s="405"/>
      <c r="J2952" s="405"/>
      <c r="K2952" s="398"/>
      <c r="L2952" s="405"/>
      <c r="M2952" s="64"/>
      <c r="N2952" s="65"/>
      <c r="O2952" s="65"/>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ht="15.75" customHeight="1">
      <c r="A2953" s="327" t="str">
        <f>IF(B2953&lt;&gt;"",IF(AND(B2953='IN-TC'!$S$4,OR(TH!N2953="1111",TH!O2953="1111")),TH!D2953,""),"")</f>
        <v/>
      </c>
      <c r="B2953" s="62" t="str">
        <f t="shared" si="387"/>
        <v/>
      </c>
      <c r="C2953" s="63"/>
      <c r="D2953" s="63"/>
      <c r="E2953" s="63"/>
      <c r="F2953" s="71"/>
      <c r="G2953" s="66"/>
      <c r="H2953" s="330"/>
      <c r="I2953" s="405"/>
      <c r="J2953" s="405"/>
      <c r="K2953" s="398"/>
      <c r="L2953" s="405"/>
      <c r="M2953" s="64"/>
      <c r="N2953" s="65"/>
      <c r="O2953" s="65"/>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ht="15.75" customHeight="1">
      <c r="A2954" s="327" t="str">
        <f>IF(B2954&lt;&gt;"",IF(AND(B2954='IN-TC'!$S$4,OR(TH!N2954="1111",TH!O2954="1111")),TH!D2954,""),"")</f>
        <v/>
      </c>
      <c r="B2954" s="62" t="str">
        <f t="shared" si="387"/>
        <v/>
      </c>
      <c r="C2954" s="63"/>
      <c r="D2954" s="63"/>
      <c r="E2954" s="63"/>
      <c r="F2954" s="71"/>
      <c r="G2954" s="66"/>
      <c r="H2954" s="330"/>
      <c r="I2954" s="405"/>
      <c r="J2954" s="405"/>
      <c r="K2954" s="398"/>
      <c r="L2954" s="405"/>
      <c r="M2954" s="64"/>
      <c r="N2954" s="65"/>
      <c r="O2954" s="65"/>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ht="15.75" customHeight="1">
      <c r="A2955" s="327" t="str">
        <f>IF(B2955&lt;&gt;"",IF(AND(B2955='IN-TC'!$S$4,OR(TH!N2955="1111",TH!O2955="1111")),TH!D2955,""),"")</f>
        <v/>
      </c>
      <c r="B2955" s="62" t="str">
        <f t="shared" si="387"/>
        <v/>
      </c>
      <c r="C2955" s="63"/>
      <c r="D2955" s="63"/>
      <c r="E2955" s="63"/>
      <c r="F2955" s="71"/>
      <c r="G2955" s="66"/>
      <c r="H2955" s="330"/>
      <c r="I2955" s="405"/>
      <c r="J2955" s="405"/>
      <c r="K2955" s="398"/>
      <c r="L2955" s="405"/>
      <c r="M2955" s="64"/>
      <c r="N2955" s="65"/>
      <c r="O2955" s="65"/>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ht="15.75" customHeight="1">
      <c r="A2956" s="327" t="str">
        <f>IF(B2956&lt;&gt;"",IF(AND(B2956='IN-TC'!$S$4,OR(TH!N2956="1111",TH!O2956="1111")),TH!D2956,""),"")</f>
        <v/>
      </c>
      <c r="B2956" s="62" t="str">
        <f t="shared" si="387"/>
        <v/>
      </c>
      <c r="C2956" s="63"/>
      <c r="D2956" s="63"/>
      <c r="E2956" s="63"/>
      <c r="F2956" s="71"/>
      <c r="G2956" s="66"/>
      <c r="H2956" s="330"/>
      <c r="I2956" s="407"/>
      <c r="J2956" s="407"/>
      <c r="K2956" s="400"/>
      <c r="L2956" s="407"/>
      <c r="M2956" s="64"/>
      <c r="N2956" s="65"/>
      <c r="O2956" s="65"/>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ht="15.75" customHeight="1">
      <c r="A2957" s="327" t="str">
        <f>IF(B2957&lt;&gt;"",IF(AND(B2957='IN-TC'!$S$4,OR(TH!N2957="1111",TH!O2957="1111")),TH!D2957,""),"")</f>
        <v/>
      </c>
      <c r="B2957" s="62" t="str">
        <f t="shared" si="387"/>
        <v/>
      </c>
      <c r="C2957" s="63"/>
      <c r="D2957" s="63"/>
      <c r="E2957" s="63"/>
      <c r="F2957" s="71"/>
      <c r="G2957" s="66"/>
      <c r="H2957" s="330"/>
      <c r="I2957" s="405"/>
      <c r="J2957" s="405"/>
      <c r="K2957" s="398"/>
      <c r="L2957" s="405"/>
      <c r="M2957" s="64"/>
      <c r="N2957" s="65"/>
      <c r="O2957" s="65"/>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ht="15.75" customHeight="1">
      <c r="A2958" s="327" t="str">
        <f>IF(B2958&lt;&gt;"",IF(AND(B2958='IN-TC'!$S$4,OR(TH!N2958="1111",TH!O2958="1111")),TH!D2958,""),"")</f>
        <v/>
      </c>
      <c r="B2958" s="62" t="str">
        <f t="shared" si="387"/>
        <v/>
      </c>
      <c r="C2958" s="63"/>
      <c r="D2958" s="63"/>
      <c r="E2958" s="63"/>
      <c r="F2958" s="71"/>
      <c r="G2958" s="66"/>
      <c r="H2958" s="330"/>
      <c r="I2958" s="405"/>
      <c r="J2958" s="405"/>
      <c r="K2958" s="398"/>
      <c r="L2958" s="405"/>
      <c r="M2958" s="64"/>
      <c r="N2958" s="65"/>
      <c r="O2958" s="65"/>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
      </c>
      <c r="V2958" s="81" t="str">
        <f>IF(ISERROR(FIND('112'!$M$9,G2958,1)),"",IF((AND(RIGHT(G2958,2)=RIGHT('112'!$M$9,2),B2958&lt;'112'!$K$9,$O2958='112'!$I$6)),"x",""))</f>
        <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ht="15.75" customHeight="1">
      <c r="A2959" s="327" t="str">
        <f>IF(B2959&lt;&gt;"",IF(AND(B2959='IN-TC'!$S$4,OR(TH!N2959="1111",TH!O2959="1111")),TH!D2959,""),"")</f>
        <v/>
      </c>
      <c r="B2959" s="62" t="str">
        <f t="shared" si="387"/>
        <v/>
      </c>
      <c r="C2959" s="63"/>
      <c r="D2959" s="63"/>
      <c r="E2959" s="63"/>
      <c r="F2959" s="71"/>
      <c r="G2959" s="66"/>
      <c r="H2959" s="330"/>
      <c r="I2959" s="405"/>
      <c r="J2959" s="405"/>
      <c r="K2959" s="398"/>
      <c r="L2959" s="405"/>
      <c r="M2959" s="64"/>
      <c r="N2959" s="65"/>
      <c r="O2959" s="65"/>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
      </c>
      <c r="V2959" s="81" t="str">
        <f>IF(ISERROR(FIND('112'!$M$9,G2959,1)),"",IF((AND(RIGHT(G2959,2)=RIGHT('112'!$M$9,2),B2959&lt;'112'!$K$9,$O2959='112'!$I$6)),"x",""))</f>
        <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ht="15.75" customHeight="1">
      <c r="A2960" s="327" t="str">
        <f>IF(B2960&lt;&gt;"",IF(AND(B2960='IN-TC'!$S$4,OR(TH!N2960="1111",TH!O2960="1111")),TH!D2960,""),"")</f>
        <v/>
      </c>
      <c r="B2960" s="62" t="str">
        <f t="shared" si="387"/>
        <v/>
      </c>
      <c r="C2960" s="63"/>
      <c r="D2960" s="63"/>
      <c r="E2960" s="63"/>
      <c r="F2960" s="71"/>
      <c r="G2960" s="66"/>
      <c r="H2960" s="330"/>
      <c r="I2960" s="405"/>
      <c r="J2960" s="405"/>
      <c r="K2960" s="398"/>
      <c r="L2960" s="405"/>
      <c r="M2960" s="64"/>
      <c r="N2960" s="65"/>
      <c r="O2960" s="65"/>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0" ht="15.75" customHeight="1">
      <c r="A2961" s="327" t="str">
        <f>IF(B2961&lt;&gt;"",IF(AND(B2961='IN-TC'!$S$4,OR(TH!N2961="1111",TH!O2961="1111")),TH!D2961,""),"")</f>
        <v/>
      </c>
      <c r="B2961" s="62" t="str">
        <f t="shared" si="387"/>
        <v/>
      </c>
      <c r="C2961" s="63"/>
      <c r="D2961" s="63"/>
      <c r="E2961" s="63"/>
      <c r="F2961" s="71"/>
      <c r="G2961" s="66"/>
      <c r="H2961" s="330"/>
      <c r="I2961" s="407"/>
      <c r="J2961" s="407"/>
      <c r="K2961" s="400"/>
      <c r="L2961" s="407"/>
      <c r="M2961" s="64"/>
      <c r="N2961" s="65"/>
      <c r="O2961" s="65"/>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0" ht="15.75" customHeight="1">
      <c r="A2962" s="327" t="str">
        <f>IF(B2962&lt;&gt;"",IF(AND(B2962='IN-TC'!$S$4,OR(TH!N2962="1111",TH!O2962="1111")),TH!D2962,""),"")</f>
        <v/>
      </c>
      <c r="B2962" s="62" t="str">
        <f t="shared" si="387"/>
        <v/>
      </c>
      <c r="C2962" s="63"/>
      <c r="D2962" s="63"/>
      <c r="E2962" s="63"/>
      <c r="F2962" s="71"/>
      <c r="G2962" s="66"/>
      <c r="H2962" s="330"/>
      <c r="I2962" s="405"/>
      <c r="J2962" s="405"/>
      <c r="K2962" s="398"/>
      <c r="L2962" s="405"/>
      <c r="M2962" s="64"/>
      <c r="N2962" s="65"/>
      <c r="O2962" s="65"/>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0" ht="15.75" customHeight="1">
      <c r="A2963" s="327" t="str">
        <f>IF(B2963&lt;&gt;"",IF(AND(B2963='IN-TC'!$S$4,OR(TH!N2963="1111",TH!O2963="1111")),TH!D2963,""),"")</f>
        <v/>
      </c>
      <c r="B2963" s="62" t="str">
        <f t="shared" si="387"/>
        <v/>
      </c>
      <c r="C2963" s="63"/>
      <c r="D2963" s="63"/>
      <c r="E2963" s="63"/>
      <c r="F2963" s="71"/>
      <c r="G2963" s="66"/>
      <c r="H2963" s="330"/>
      <c r="I2963" s="405"/>
      <c r="J2963" s="405"/>
      <c r="K2963" s="398"/>
      <c r="L2963" s="405"/>
      <c r="M2963" s="64"/>
      <c r="N2963" s="65"/>
      <c r="O2963" s="65"/>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0" ht="15.75" customHeight="1">
      <c r="A2964" s="327" t="str">
        <f>IF(B2964&lt;&gt;"",IF(AND(B2964='IN-TC'!$S$4,OR(TH!N2964="1111",TH!O2964="1111")),TH!D2964,""),"")</f>
        <v/>
      </c>
      <c r="B2964" s="62" t="str">
        <f t="shared" si="387"/>
        <v/>
      </c>
      <c r="C2964" s="63"/>
      <c r="D2964" s="63"/>
      <c r="E2964" s="63"/>
      <c r="F2964" s="71"/>
      <c r="G2964" s="66"/>
      <c r="H2964" s="330"/>
      <c r="I2964" s="407"/>
      <c r="J2964" s="407"/>
      <c r="K2964" s="400"/>
      <c r="L2964" s="407"/>
      <c r="M2964" s="64"/>
      <c r="N2964" s="65"/>
      <c r="O2964" s="65"/>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0" ht="15.75" customHeight="1">
      <c r="A2965" s="327" t="str">
        <f>IF(B2965&lt;&gt;"",IF(AND(B2965='IN-TC'!$S$4,OR(TH!N2965="1111",TH!O2965="1111")),TH!D2965,""),"")</f>
        <v/>
      </c>
      <c r="B2965" s="62" t="str">
        <f t="shared" si="387"/>
        <v/>
      </c>
      <c r="C2965" s="63"/>
      <c r="D2965" s="63"/>
      <c r="E2965" s="63"/>
      <c r="F2965" s="71"/>
      <c r="G2965" s="66"/>
      <c r="H2965" s="330"/>
      <c r="I2965" s="405"/>
      <c r="J2965" s="405"/>
      <c r="K2965" s="398"/>
      <c r="L2965" s="405"/>
      <c r="M2965" s="64"/>
      <c r="N2965" s="65"/>
      <c r="O2965" s="65"/>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0" ht="15.75" customHeight="1">
      <c r="A2966" s="327" t="str">
        <f>IF(B2966&lt;&gt;"",IF(AND(B2966='IN-TC'!$S$4,OR(TH!N2966="1111",TH!O2966="1111")),TH!D2966,""),"")</f>
        <v/>
      </c>
      <c r="B2966" s="62" t="str">
        <f t="shared" ref="B2966:B3029" si="388">IF(C2966&lt;&gt;"",MONTH(C2966),"")</f>
        <v/>
      </c>
      <c r="C2966" s="63"/>
      <c r="D2966" s="63"/>
      <c r="E2966" s="63"/>
      <c r="F2966" s="71"/>
      <c r="G2966" s="66"/>
      <c r="H2966" s="330"/>
      <c r="I2966" s="405"/>
      <c r="J2966" s="405"/>
      <c r="K2966" s="398"/>
      <c r="L2966" s="405"/>
      <c r="M2966" s="64"/>
      <c r="N2966" s="65"/>
      <c r="O2966" s="65"/>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0" ht="15.75" customHeight="1">
      <c r="A2967" s="327" t="str">
        <f>IF(B2967&lt;&gt;"",IF(AND(B2967='IN-TC'!$S$4,OR(TH!N2967="1111",TH!O2967="1111")),TH!D2967,""),"")</f>
        <v/>
      </c>
      <c r="B2967" s="62" t="str">
        <f t="shared" si="388"/>
        <v/>
      </c>
      <c r="C2967" s="63"/>
      <c r="D2967" s="63"/>
      <c r="E2967" s="63"/>
      <c r="F2967" s="71"/>
      <c r="G2967" s="66"/>
      <c r="H2967" s="330"/>
      <c r="I2967" s="405"/>
      <c r="J2967" s="405"/>
      <c r="K2967" s="398"/>
      <c r="L2967" s="405"/>
      <c r="M2967" s="64"/>
      <c r="N2967" s="65"/>
      <c r="O2967" s="65"/>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0" ht="15.75" customHeight="1">
      <c r="A2968" s="327" t="str">
        <f>IF(B2968&lt;&gt;"",IF(AND(B2968='IN-TC'!$S$4,OR(TH!N2968="1111",TH!O2968="1111")),TH!D2968,""),"")</f>
        <v/>
      </c>
      <c r="B2968" s="62" t="str">
        <f t="shared" si="388"/>
        <v/>
      </c>
      <c r="C2968" s="63"/>
      <c r="D2968" s="63"/>
      <c r="E2968" s="63"/>
      <c r="F2968" s="71"/>
      <c r="G2968" s="66"/>
      <c r="H2968" s="330"/>
      <c r="I2968" s="405"/>
      <c r="J2968" s="405"/>
      <c r="K2968" s="398"/>
      <c r="L2968" s="405"/>
      <c r="M2968" s="64"/>
      <c r="N2968" s="65"/>
      <c r="O2968" s="65"/>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0" ht="15.75" customHeight="1">
      <c r="A2969" s="327" t="str">
        <f>IF(B2969&lt;&gt;"",IF(AND(B2969='IN-TC'!$S$4,OR(TH!N2969="1111",TH!O2969="1111")),TH!D2969,""),"")</f>
        <v/>
      </c>
      <c r="B2969" s="62" t="str">
        <f t="shared" si="388"/>
        <v/>
      </c>
      <c r="C2969" s="63"/>
      <c r="D2969" s="63"/>
      <c r="E2969" s="63"/>
      <c r="F2969" s="71"/>
      <c r="G2969" s="66"/>
      <c r="H2969" s="330"/>
      <c r="I2969" s="407"/>
      <c r="J2969" s="407"/>
      <c r="K2969" s="400"/>
      <c r="L2969" s="407"/>
      <c r="M2969" s="64"/>
      <c r="N2969" s="65"/>
      <c r="O2969" s="65"/>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0" ht="15.75" customHeight="1">
      <c r="A2970" s="327" t="str">
        <f>IF(B2970&lt;&gt;"",IF(AND(B2970='IN-TC'!$S$4,OR(TH!N2970="1111",TH!O2970="1111")),TH!D2970,""),"")</f>
        <v/>
      </c>
      <c r="B2970" s="62" t="str">
        <f t="shared" si="388"/>
        <v/>
      </c>
      <c r="C2970" s="63"/>
      <c r="D2970" s="63"/>
      <c r="E2970" s="63"/>
      <c r="F2970" s="71"/>
      <c r="G2970" s="66"/>
      <c r="H2970" s="330"/>
      <c r="I2970" s="405"/>
      <c r="J2970" s="405"/>
      <c r="K2970" s="398"/>
      <c r="L2970" s="405"/>
      <c r="M2970" s="64"/>
      <c r="N2970" s="65"/>
      <c r="O2970" s="65"/>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0" ht="15.75" customHeight="1">
      <c r="A2971" s="327" t="str">
        <f>IF(B2971&lt;&gt;"",IF(AND(B2971='IN-TC'!$S$4,OR(TH!N2971="1111",TH!O2971="1111")),TH!D2971,""),"")</f>
        <v/>
      </c>
      <c r="B2971" s="62" t="str">
        <f t="shared" si="388"/>
        <v/>
      </c>
      <c r="C2971" s="63"/>
      <c r="D2971" s="63"/>
      <c r="E2971" s="63"/>
      <c r="F2971" s="71"/>
      <c r="G2971" s="66"/>
      <c r="H2971" s="330"/>
      <c r="I2971" s="405"/>
      <c r="J2971" s="405"/>
      <c r="K2971" s="398"/>
      <c r="L2971" s="405"/>
      <c r="M2971" s="64"/>
      <c r="N2971" s="65"/>
      <c r="O2971" s="65"/>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0" ht="15.75" customHeight="1">
      <c r="A2972" s="327" t="str">
        <f>IF(B2972&lt;&gt;"",IF(AND(B2972='IN-TC'!$S$4,OR(TH!N2972="1111",TH!O2972="1111")),TH!D2972,""),"")</f>
        <v/>
      </c>
      <c r="B2972" s="62" t="str">
        <f t="shared" si="388"/>
        <v/>
      </c>
      <c r="C2972" s="63"/>
      <c r="D2972" s="63"/>
      <c r="E2972" s="63"/>
      <c r="F2972" s="71"/>
      <c r="G2972" s="66"/>
      <c r="H2972" s="330"/>
      <c r="I2972" s="405"/>
      <c r="J2972" s="405"/>
      <c r="K2972" s="398"/>
      <c r="L2972" s="405"/>
      <c r="M2972" s="64"/>
      <c r="N2972" s="65"/>
      <c r="O2972" s="65"/>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0" ht="15.75" customHeight="1">
      <c r="A2973" s="327" t="str">
        <f>IF(B2973&lt;&gt;"",IF(AND(B2973='IN-TC'!$S$4,OR(TH!N2973="1111",TH!O2973="1111")),TH!D2973,""),"")</f>
        <v/>
      </c>
      <c r="B2973" s="62" t="str">
        <f t="shared" si="388"/>
        <v/>
      </c>
      <c r="C2973" s="63"/>
      <c r="D2973" s="63"/>
      <c r="E2973" s="63"/>
      <c r="F2973" s="71"/>
      <c r="G2973" s="66"/>
      <c r="H2973" s="330"/>
      <c r="I2973" s="405"/>
      <c r="J2973" s="405"/>
      <c r="K2973" s="398"/>
      <c r="L2973" s="405"/>
      <c r="M2973" s="64"/>
      <c r="N2973" s="65"/>
      <c r="O2973" s="65"/>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0" ht="15.75" customHeight="1">
      <c r="A2974" s="327" t="str">
        <f>IF(B2974&lt;&gt;"",IF(AND(B2974='IN-TC'!$S$4,OR(TH!N2974="1111",TH!O2974="1111")),TH!D2974,""),"")</f>
        <v/>
      </c>
      <c r="B2974" s="62" t="str">
        <f t="shared" si="388"/>
        <v/>
      </c>
      <c r="C2974" s="63"/>
      <c r="D2974" s="63"/>
      <c r="E2974" s="63"/>
      <c r="F2974" s="71"/>
      <c r="G2974" s="66"/>
      <c r="H2974" s="330"/>
      <c r="I2974" s="407"/>
      <c r="J2974" s="407"/>
      <c r="K2974" s="400"/>
      <c r="L2974" s="407"/>
      <c r="M2974" s="64"/>
      <c r="N2974" s="65"/>
      <c r="O2974" s="65"/>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0" ht="15.75" customHeight="1">
      <c r="A2975" s="327" t="str">
        <f>IF(B2975&lt;&gt;"",IF(AND(B2975='IN-TC'!$S$4,OR(TH!N2975="1111",TH!O2975="1111")),TH!D2975,""),"")</f>
        <v/>
      </c>
      <c r="B2975" s="62" t="str">
        <f t="shared" si="388"/>
        <v/>
      </c>
      <c r="C2975" s="63"/>
      <c r="D2975" s="63"/>
      <c r="E2975" s="63"/>
      <c r="F2975" s="71"/>
      <c r="G2975" s="66"/>
      <c r="H2975" s="330"/>
      <c r="I2975" s="405"/>
      <c r="J2975" s="405"/>
      <c r="K2975" s="398"/>
      <c r="L2975" s="405"/>
      <c r="M2975" s="64"/>
      <c r="N2975" s="65"/>
      <c r="O2975" s="65"/>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0" ht="15.75" customHeight="1">
      <c r="A2976" s="327" t="str">
        <f>IF(B2976&lt;&gt;"",IF(AND(B2976='IN-TC'!$S$4,OR(TH!N2976="1111",TH!O2976="1111")),TH!D2976,""),"")</f>
        <v/>
      </c>
      <c r="B2976" s="62" t="str">
        <f t="shared" si="388"/>
        <v/>
      </c>
      <c r="C2976" s="63"/>
      <c r="D2976" s="63"/>
      <c r="E2976" s="63"/>
      <c r="F2976" s="71"/>
      <c r="G2976" s="66"/>
      <c r="H2976" s="330"/>
      <c r="I2976" s="405"/>
      <c r="J2976" s="405"/>
      <c r="K2976" s="398"/>
      <c r="L2976" s="405"/>
      <c r="M2976" s="64"/>
      <c r="N2976" s="65"/>
      <c r="O2976" s="65"/>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row>
    <row r="2977" spans="1:30" ht="15.75" customHeight="1">
      <c r="A2977" s="327" t="str">
        <f>IF(B2977&lt;&gt;"",IF(AND(B2977='IN-TC'!$S$4,OR(TH!N2977="1111",TH!O2977="1111")),TH!D2977,""),"")</f>
        <v/>
      </c>
      <c r="B2977" s="62" t="str">
        <f t="shared" si="388"/>
        <v/>
      </c>
      <c r="C2977" s="63"/>
      <c r="D2977" s="63"/>
      <c r="E2977" s="63"/>
      <c r="F2977" s="71"/>
      <c r="G2977" s="66"/>
      <c r="H2977" s="330"/>
      <c r="I2977" s="405"/>
      <c r="J2977" s="405"/>
      <c r="K2977" s="398"/>
      <c r="L2977" s="405"/>
      <c r="M2977" s="64"/>
      <c r="N2977" s="65"/>
      <c r="O2977" s="65"/>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row>
    <row r="2978" spans="1:30" ht="15.75" customHeight="1">
      <c r="A2978" s="327" t="str">
        <f>IF(B2978&lt;&gt;"",IF(AND(B2978='IN-TC'!$S$4,OR(TH!N2978="1111",TH!O2978="1111")),TH!D2978,""),"")</f>
        <v/>
      </c>
      <c r="B2978" s="62" t="str">
        <f t="shared" si="388"/>
        <v/>
      </c>
      <c r="C2978" s="63"/>
      <c r="D2978" s="63"/>
      <c r="E2978" s="63"/>
      <c r="F2978" s="71"/>
      <c r="G2978" s="66"/>
      <c r="H2978" s="330"/>
      <c r="I2978" s="407"/>
      <c r="J2978" s="407"/>
      <c r="K2978" s="400"/>
      <c r="L2978" s="407"/>
      <c r="M2978" s="64"/>
      <c r="N2978" s="65"/>
      <c r="O2978" s="65"/>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row>
    <row r="2979" spans="1:30" ht="15.75" customHeight="1">
      <c r="A2979" s="327" t="str">
        <f>IF(B2979&lt;&gt;"",IF(AND(B2979='IN-TC'!$S$4,OR(TH!N2979="1111",TH!O2979="1111")),TH!D2979,""),"")</f>
        <v/>
      </c>
      <c r="B2979" s="62" t="str">
        <f t="shared" si="388"/>
        <v/>
      </c>
      <c r="C2979" s="63"/>
      <c r="D2979" s="63"/>
      <c r="E2979" s="63"/>
      <c r="F2979" s="71"/>
      <c r="G2979" s="66"/>
      <c r="H2979" s="330"/>
      <c r="I2979" s="405"/>
      <c r="J2979" s="405"/>
      <c r="K2979" s="398"/>
      <c r="L2979" s="405"/>
      <c r="M2979" s="64"/>
      <c r="N2979" s="65"/>
      <c r="O2979" s="65"/>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row>
    <row r="2980" spans="1:30" ht="15.75" customHeight="1">
      <c r="A2980" s="327" t="str">
        <f>IF(B2980&lt;&gt;"",IF(AND(B2980='IN-TC'!$S$4,OR(TH!N2980="1111",TH!O2980="1111")),TH!D2980,""),"")</f>
        <v/>
      </c>
      <c r="B2980" s="62" t="str">
        <f t="shared" si="388"/>
        <v/>
      </c>
      <c r="C2980" s="63"/>
      <c r="D2980" s="63"/>
      <c r="E2980" s="63"/>
      <c r="F2980" s="71"/>
      <c r="G2980" s="66"/>
      <c r="H2980" s="330"/>
      <c r="I2980" s="405"/>
      <c r="J2980" s="405"/>
      <c r="K2980" s="398"/>
      <c r="L2980" s="405"/>
      <c r="M2980" s="64"/>
      <c r="N2980" s="65"/>
      <c r="O2980" s="65"/>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row>
    <row r="2981" spans="1:30" ht="15.75" customHeight="1">
      <c r="A2981" s="327" t="str">
        <f>IF(B2981&lt;&gt;"",IF(AND(B2981='IN-TC'!$S$4,OR(TH!N2981="1111",TH!O2981="1111")),TH!D2981,""),"")</f>
        <v/>
      </c>
      <c r="B2981" s="62" t="str">
        <f t="shared" si="388"/>
        <v/>
      </c>
      <c r="C2981" s="63"/>
      <c r="D2981" s="63"/>
      <c r="E2981" s="63"/>
      <c r="F2981" s="71"/>
      <c r="G2981" s="66"/>
      <c r="H2981" s="330"/>
      <c r="I2981" s="405"/>
      <c r="J2981" s="405"/>
      <c r="K2981" s="398"/>
      <c r="L2981" s="405"/>
      <c r="M2981" s="64"/>
      <c r="N2981" s="65"/>
      <c r="O2981" s="65"/>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row>
    <row r="2982" spans="1:30" ht="15.75" customHeight="1">
      <c r="A2982" s="327" t="str">
        <f>IF(B2982&lt;&gt;"",IF(AND(B2982='IN-TC'!$S$4,OR(TH!N2982="1111",TH!O2982="1111")),TH!D2982,""),"")</f>
        <v/>
      </c>
      <c r="B2982" s="62" t="str">
        <f t="shared" si="388"/>
        <v/>
      </c>
      <c r="C2982" s="63"/>
      <c r="D2982" s="63"/>
      <c r="E2982" s="63"/>
      <c r="F2982" s="71"/>
      <c r="G2982" s="66"/>
      <c r="H2982" s="330"/>
      <c r="I2982" s="405"/>
      <c r="J2982" s="405"/>
      <c r="K2982" s="398"/>
      <c r="L2982" s="405"/>
      <c r="M2982" s="64"/>
      <c r="N2982" s="65"/>
      <c r="O2982" s="65"/>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row>
    <row r="2983" spans="1:30" ht="15.75" customHeight="1">
      <c r="A2983" s="327" t="str">
        <f>IF(B2983&lt;&gt;"",IF(AND(B2983='IN-TC'!$S$4,OR(TH!N2983="1111",TH!O2983="1111")),TH!D2983,""),"")</f>
        <v/>
      </c>
      <c r="B2983" s="62" t="str">
        <f t="shared" si="388"/>
        <v/>
      </c>
      <c r="C2983" s="63"/>
      <c r="D2983" s="63"/>
      <c r="E2983" s="63"/>
      <c r="F2983" s="71"/>
      <c r="G2983" s="66"/>
      <c r="H2983" s="330"/>
      <c r="I2983" s="407"/>
      <c r="J2983" s="407"/>
      <c r="K2983" s="400"/>
      <c r="L2983" s="407"/>
      <c r="M2983" s="64"/>
      <c r="N2983" s="65"/>
      <c r="O2983" s="65"/>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row>
    <row r="2984" spans="1:30" ht="15.75" customHeight="1">
      <c r="A2984" s="327" t="str">
        <f>IF(B2984&lt;&gt;"",IF(AND(B2984='IN-TC'!$S$4,OR(TH!N2984="1111",TH!O2984="1111")),TH!D2984,""),"")</f>
        <v/>
      </c>
      <c r="B2984" s="62" t="str">
        <f t="shared" si="388"/>
        <v/>
      </c>
      <c r="C2984" s="63"/>
      <c r="D2984" s="63"/>
      <c r="E2984" s="63"/>
      <c r="F2984" s="71"/>
      <c r="G2984" s="66"/>
      <c r="H2984" s="330"/>
      <c r="I2984" s="405"/>
      <c r="J2984" s="405"/>
      <c r="K2984" s="398"/>
      <c r="L2984" s="405"/>
      <c r="M2984" s="64"/>
      <c r="N2984" s="65"/>
      <c r="O2984" s="65"/>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0" ht="15.75" customHeight="1">
      <c r="A2985" s="327" t="str">
        <f>IF(B2985&lt;&gt;"",IF(AND(B2985='IN-TC'!$S$4,OR(TH!N2985="1111",TH!O2985="1111")),TH!D2985,""),"")</f>
        <v/>
      </c>
      <c r="B2985" s="62" t="str">
        <f t="shared" si="388"/>
        <v/>
      </c>
      <c r="C2985" s="63"/>
      <c r="D2985" s="63"/>
      <c r="E2985" s="63"/>
      <c r="F2985" s="71"/>
      <c r="G2985" s="66"/>
      <c r="H2985" s="330"/>
      <c r="I2985" s="405"/>
      <c r="J2985" s="405"/>
      <c r="K2985" s="398"/>
      <c r="L2985" s="405"/>
      <c r="M2985" s="64"/>
      <c r="N2985" s="65"/>
      <c r="O2985" s="65"/>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0" ht="15.75" customHeight="1">
      <c r="A2986" s="327" t="str">
        <f>IF(B2986&lt;&gt;"",IF(AND(B2986='IN-TC'!$S$4,OR(TH!N2986="1111",TH!O2986="1111")),TH!D2986,""),"")</f>
        <v/>
      </c>
      <c r="B2986" s="62" t="str">
        <f t="shared" si="388"/>
        <v/>
      </c>
      <c r="C2986" s="63"/>
      <c r="D2986" s="63"/>
      <c r="E2986" s="63"/>
      <c r="F2986" s="71"/>
      <c r="G2986" s="66"/>
      <c r="H2986" s="330"/>
      <c r="I2986" s="405"/>
      <c r="J2986" s="405"/>
      <c r="K2986" s="398"/>
      <c r="L2986" s="405"/>
      <c r="M2986" s="64"/>
      <c r="N2986" s="65"/>
      <c r="O2986" s="65"/>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0" ht="15.75" customHeight="1">
      <c r="A2987" s="327" t="str">
        <f>IF(B2987&lt;&gt;"",IF(AND(B2987='IN-TC'!$S$4,OR(TH!N2987="1111",TH!O2987="1111")),TH!D2987,""),"")</f>
        <v/>
      </c>
      <c r="B2987" s="62" t="str">
        <f t="shared" si="388"/>
        <v/>
      </c>
      <c r="C2987" s="63"/>
      <c r="D2987" s="63"/>
      <c r="E2987" s="63"/>
      <c r="F2987" s="71"/>
      <c r="G2987" s="66"/>
      <c r="H2987" s="330"/>
      <c r="I2987" s="407"/>
      <c r="J2987" s="407"/>
      <c r="K2987" s="400"/>
      <c r="L2987" s="407"/>
      <c r="M2987" s="64"/>
      <c r="N2987" s="65"/>
      <c r="O2987" s="65"/>
      <c r="P2987" s="81" t="str">
        <f>IF(AND('331-CT'!$E$7=TH!H2987,OR(N2987="331",O2987="331")),"x","")</f>
        <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0" ht="15.75" customHeight="1">
      <c r="A2988" s="327" t="str">
        <f>IF(B2988&lt;&gt;"",IF(AND(B2988='IN-TC'!$S$4,OR(TH!N2988="1111",TH!O2988="1111")),TH!D2988,""),"")</f>
        <v/>
      </c>
      <c r="B2988" s="62" t="str">
        <f t="shared" si="388"/>
        <v/>
      </c>
      <c r="C2988" s="63"/>
      <c r="D2988" s="63"/>
      <c r="E2988" s="63"/>
      <c r="F2988" s="71"/>
      <c r="G2988" s="66"/>
      <c r="H2988" s="330"/>
      <c r="I2988" s="405"/>
      <c r="J2988" s="405"/>
      <c r="K2988" s="398"/>
      <c r="L2988" s="405"/>
      <c r="M2988" s="64"/>
      <c r="N2988" s="65"/>
      <c r="O2988" s="65"/>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0" ht="15.75" customHeight="1">
      <c r="A2989" s="327" t="str">
        <f>IF(B2989&lt;&gt;"",IF(AND(B2989='IN-TC'!$S$4,OR(TH!N2989="1111",TH!O2989="1111")),TH!D2989,""),"")</f>
        <v/>
      </c>
      <c r="B2989" s="62" t="str">
        <f t="shared" si="388"/>
        <v/>
      </c>
      <c r="C2989" s="63"/>
      <c r="D2989" s="63"/>
      <c r="E2989" s="63"/>
      <c r="F2989" s="71"/>
      <c r="G2989" s="66"/>
      <c r="H2989" s="330"/>
      <c r="I2989" s="405"/>
      <c r="J2989" s="405"/>
      <c r="K2989" s="398"/>
      <c r="L2989" s="405"/>
      <c r="M2989" s="64"/>
      <c r="N2989" s="65"/>
      <c r="O2989" s="65"/>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row>
    <row r="2990" spans="1:30" ht="15.75" customHeight="1">
      <c r="A2990" s="327" t="str">
        <f>IF(B2990&lt;&gt;"",IF(AND(B2990='IN-TC'!$S$4,OR(TH!N2990="1111",TH!O2990="1111")),TH!D2990,""),"")</f>
        <v/>
      </c>
      <c r="B2990" s="62" t="str">
        <f t="shared" si="388"/>
        <v/>
      </c>
      <c r="C2990" s="63"/>
      <c r="D2990" s="63"/>
      <c r="E2990" s="63"/>
      <c r="F2990" s="71"/>
      <c r="G2990" s="66"/>
      <c r="H2990" s="330"/>
      <c r="I2990" s="405"/>
      <c r="J2990" s="405"/>
      <c r="K2990" s="398"/>
      <c r="L2990" s="405"/>
      <c r="M2990" s="64"/>
      <c r="N2990" s="65"/>
      <c r="O2990" s="65"/>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
      </c>
      <c r="W2990" s="81" t="str">
        <f>IF(AND('341-CT'!$H$9=H2990,OR(LEFT(N2990,3)=$W$7,LEFT(O2990,3)=$W$7)),"x","")</f>
        <v/>
      </c>
      <c r="X2990" s="81" t="str">
        <f>IF(OR(TH!N2990=TH!$X$7,O2990=TH!$X$7),"x","")</f>
        <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row>
    <row r="2991" spans="1:30" ht="15.75" customHeight="1">
      <c r="A2991" s="327" t="str">
        <f>IF(B2991&lt;&gt;"",IF(AND(B2991='IN-TC'!$S$4,OR(TH!N2991="1111",TH!O2991="1111")),TH!D2991,""),"")</f>
        <v/>
      </c>
      <c r="B2991" s="62" t="str">
        <f t="shared" si="388"/>
        <v/>
      </c>
      <c r="C2991" s="63"/>
      <c r="D2991" s="63"/>
      <c r="E2991" s="63"/>
      <c r="F2991" s="71"/>
      <c r="G2991" s="66"/>
      <c r="H2991" s="330"/>
      <c r="I2991" s="405"/>
      <c r="J2991" s="405"/>
      <c r="K2991" s="398"/>
      <c r="L2991" s="405"/>
      <c r="M2991" s="64"/>
      <c r="N2991" s="65"/>
      <c r="O2991" s="65"/>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
      </c>
      <c r="W2991" s="81" t="str">
        <f>IF(AND('341-CT'!$H$9=H2991,OR(LEFT(N2991,3)=$W$7,LEFT(O2991,3)=$W$7)),"x","")</f>
        <v/>
      </c>
      <c r="X2991" s="81" t="str">
        <f>IF(OR(TH!N2991=TH!$X$7,O2991=TH!$X$7),"x","")</f>
        <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row>
    <row r="2992" spans="1:30" ht="15.75" customHeight="1">
      <c r="A2992" s="327" t="str">
        <f>IF(B2992&lt;&gt;"",IF(AND(B2992='IN-TC'!$S$4,OR(TH!N2992="1111",TH!O2992="1111")),TH!D2992,""),"")</f>
        <v/>
      </c>
      <c r="B2992" s="62" t="str">
        <f t="shared" si="388"/>
        <v/>
      </c>
      <c r="C2992" s="63"/>
      <c r="D2992" s="63"/>
      <c r="E2992" s="63"/>
      <c r="F2992" s="71"/>
      <c r="G2992" s="66"/>
      <c r="H2992" s="330"/>
      <c r="I2992" s="407"/>
      <c r="J2992" s="407"/>
      <c r="K2992" s="400"/>
      <c r="L2992" s="407"/>
      <c r="M2992" s="64"/>
      <c r="N2992" s="65"/>
      <c r="O2992" s="65"/>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
      </c>
      <c r="V2992" s="81" t="str">
        <f>IF(ISERROR(FIND('112'!$M$9,G2992,1)),"",IF((AND(RIGHT(G2992,2)=RIGHT('112'!$M$9,2),B2992&lt;'112'!$K$9,$O2992='112'!$I$6)),"x",""))</f>
        <v/>
      </c>
      <c r="W2992" s="81" t="str">
        <f>IF(AND('341-CT'!$H$9=H2992,OR(LEFT(N2992,3)=$W$7,LEFT(O2992,3)=$W$7)),"x","")</f>
        <v/>
      </c>
      <c r="X2992" s="81" t="str">
        <f>IF(OR(TH!N2992=TH!$X$7,O2992=TH!$X$7),"x","")</f>
        <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row>
    <row r="2993" spans="1:30" ht="15.75" customHeight="1">
      <c r="A2993" s="327" t="str">
        <f>IF(B2993&lt;&gt;"",IF(AND(B2993='IN-TC'!$S$4,OR(TH!N2993="1111",TH!O2993="1111")),TH!D2993,""),"")</f>
        <v/>
      </c>
      <c r="B2993" s="62" t="str">
        <f t="shared" si="388"/>
        <v/>
      </c>
      <c r="C2993" s="63"/>
      <c r="D2993" s="63"/>
      <c r="E2993" s="63"/>
      <c r="F2993" s="71"/>
      <c r="G2993" s="66"/>
      <c r="H2993" s="330"/>
      <c r="I2993" s="405"/>
      <c r="J2993" s="405"/>
      <c r="K2993" s="398"/>
      <c r="L2993" s="405"/>
      <c r="M2993" s="64"/>
      <c r="N2993" s="65"/>
      <c r="O2993" s="65"/>
      <c r="P2993" s="81" t="str">
        <f>IF(AND('331-CT'!$E$7=TH!H2993,OR(N2993="331",O2993="331")),"x","")</f>
        <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row>
    <row r="2994" spans="1:30" ht="15.75" customHeight="1">
      <c r="A2994" s="327" t="str">
        <f>IF(B2994&lt;&gt;"",IF(AND(B2994='IN-TC'!$S$4,OR(TH!N2994="1111",TH!O2994="1111")),TH!D2994,""),"")</f>
        <v/>
      </c>
      <c r="B2994" s="62" t="str">
        <f t="shared" si="388"/>
        <v/>
      </c>
      <c r="C2994" s="63"/>
      <c r="D2994" s="63"/>
      <c r="E2994" s="63"/>
      <c r="F2994" s="71"/>
      <c r="G2994" s="66"/>
      <c r="H2994" s="330"/>
      <c r="I2994" s="407"/>
      <c r="J2994" s="407"/>
      <c r="K2994" s="400"/>
      <c r="L2994" s="407"/>
      <c r="M2994" s="64"/>
      <c r="N2994" s="65"/>
      <c r="O2994" s="65"/>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
      </c>
      <c r="V2994" s="81" t="str">
        <f>IF(ISERROR(FIND('112'!$M$9,G2994,1)),"",IF((AND(RIGHT(G2994,2)=RIGHT('112'!$M$9,2),B2994&lt;'112'!$K$9,$O2994='112'!$I$6)),"x",""))</f>
        <v/>
      </c>
      <c r="W2994" s="81" t="str">
        <f>IF(AND('341-CT'!$H$9=H2994,OR(LEFT(N2994,3)=$W$7,LEFT(O2994,3)=$W$7)),"x","")</f>
        <v/>
      </c>
      <c r="X2994" s="81" t="str">
        <f>IF(OR(TH!N2994=TH!$X$7,O2994=TH!$X$7),"x","")</f>
        <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row>
    <row r="2995" spans="1:30" ht="15.75" customHeight="1">
      <c r="A2995" s="327" t="str">
        <f>IF(B2995&lt;&gt;"",IF(AND(B2995='IN-TC'!$S$4,OR(TH!N2995="1111",TH!O2995="1111")),TH!D2995,""),"")</f>
        <v/>
      </c>
      <c r="B2995" s="62" t="str">
        <f t="shared" si="388"/>
        <v/>
      </c>
      <c r="C2995" s="63"/>
      <c r="D2995" s="63"/>
      <c r="E2995" s="63"/>
      <c r="F2995" s="71"/>
      <c r="G2995" s="66"/>
      <c r="H2995" s="330"/>
      <c r="I2995" s="407"/>
      <c r="J2995" s="407"/>
      <c r="K2995" s="400"/>
      <c r="L2995" s="407"/>
      <c r="M2995" s="64"/>
      <c r="N2995" s="65"/>
      <c r="O2995" s="65"/>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row>
    <row r="2996" spans="1:30" ht="15.75" customHeight="1">
      <c r="A2996" s="327" t="str">
        <f>IF(B2996&lt;&gt;"",IF(AND(B2996='IN-TC'!$S$4,OR(TH!N2996="1111",TH!O2996="1111")),TH!D2996,""),"")</f>
        <v/>
      </c>
      <c r="B2996" s="62" t="str">
        <f t="shared" si="388"/>
        <v/>
      </c>
      <c r="C2996" s="63"/>
      <c r="D2996" s="63"/>
      <c r="E2996" s="63"/>
      <c r="F2996" s="71"/>
      <c r="G2996" s="66"/>
      <c r="H2996" s="330"/>
      <c r="I2996" s="405"/>
      <c r="J2996" s="405"/>
      <c r="K2996" s="398"/>
      <c r="L2996" s="405"/>
      <c r="M2996" s="64"/>
      <c r="N2996" s="65"/>
      <c r="O2996" s="65"/>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
      </c>
      <c r="W2996" s="81" t="str">
        <f>IF(AND('341-CT'!$H$9=H2996,OR(LEFT(N2996,3)=$W$7,LEFT(O2996,3)=$W$7)),"x","")</f>
        <v/>
      </c>
      <c r="X2996" s="81" t="str">
        <f>IF(OR(TH!N2996=TH!$X$7,O2996=TH!$X$7),"x","")</f>
        <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row>
    <row r="2997" spans="1:30" ht="15.75" customHeight="1">
      <c r="A2997" s="327" t="str">
        <f>IF(B2997&lt;&gt;"",IF(AND(B2997='IN-TC'!$S$4,OR(TH!N2997="1111",TH!O2997="1111")),TH!D2997,""),"")</f>
        <v/>
      </c>
      <c r="B2997" s="62" t="str">
        <f t="shared" si="388"/>
        <v/>
      </c>
      <c r="C2997" s="63"/>
      <c r="D2997" s="63"/>
      <c r="E2997" s="63"/>
      <c r="F2997" s="71"/>
      <c r="G2997" s="66"/>
      <c r="H2997" s="330"/>
      <c r="I2997" s="405"/>
      <c r="J2997" s="405"/>
      <c r="K2997" s="398"/>
      <c r="L2997" s="405"/>
      <c r="M2997" s="64"/>
      <c r="N2997" s="65"/>
      <c r="O2997" s="65"/>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
      </c>
      <c r="W2997" s="81" t="str">
        <f>IF(AND('341-CT'!$H$9=H2997,OR(LEFT(N2997,3)=$W$7,LEFT(O2997,3)=$W$7)),"x","")</f>
        <v/>
      </c>
      <c r="X2997" s="81" t="str">
        <f>IF(OR(TH!N2997=TH!$X$7,O2997=TH!$X$7),"x","")</f>
        <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row>
    <row r="2998" spans="1:30" ht="15.75" customHeight="1">
      <c r="A2998" s="327" t="str">
        <f>IF(B2998&lt;&gt;"",IF(AND(B2998='IN-TC'!$S$4,OR(TH!N2998="1111",TH!O2998="1111")),TH!D2998,""),"")</f>
        <v/>
      </c>
      <c r="B2998" s="62" t="str">
        <f t="shared" si="388"/>
        <v/>
      </c>
      <c r="C2998" s="63"/>
      <c r="D2998" s="63"/>
      <c r="E2998" s="63"/>
      <c r="F2998" s="71"/>
      <c r="G2998" s="66"/>
      <c r="H2998" s="330"/>
      <c r="I2998" s="405"/>
      <c r="J2998" s="405"/>
      <c r="K2998" s="398"/>
      <c r="L2998" s="405"/>
      <c r="M2998" s="64"/>
      <c r="N2998" s="65"/>
      <c r="O2998" s="65"/>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0" ht="15.75" customHeight="1">
      <c r="A2999" s="327" t="str">
        <f>IF(B2999&lt;&gt;"",IF(AND(B2999='IN-TC'!$S$4,OR(TH!N2999="1111",TH!O2999="1111")),TH!D2999,""),"")</f>
        <v/>
      </c>
      <c r="B2999" s="62" t="str">
        <f t="shared" si="388"/>
        <v/>
      </c>
      <c r="C2999" s="63"/>
      <c r="D2999" s="63"/>
      <c r="E2999" s="63"/>
      <c r="F2999" s="71"/>
      <c r="G2999" s="66"/>
      <c r="H2999" s="330"/>
      <c r="I2999" s="407"/>
      <c r="J2999" s="407"/>
      <c r="K2999" s="400"/>
      <c r="L2999" s="407"/>
      <c r="M2999" s="64"/>
      <c r="N2999" s="65"/>
      <c r="O2999" s="65"/>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row>
    <row r="3000" spans="1:30" ht="15.75" customHeight="1">
      <c r="A3000" s="327" t="str">
        <f>IF(B3000&lt;&gt;"",IF(AND(B3000='IN-TC'!$S$4,OR(TH!N3000="1111",TH!O3000="1111")),TH!D3000,""),"")</f>
        <v/>
      </c>
      <c r="B3000" s="62" t="str">
        <f t="shared" si="388"/>
        <v/>
      </c>
      <c r="C3000" s="63"/>
      <c r="D3000" s="63"/>
      <c r="E3000" s="63"/>
      <c r="F3000" s="71"/>
      <c r="G3000" s="66"/>
      <c r="H3000" s="330"/>
      <c r="I3000" s="405"/>
      <c r="J3000" s="405"/>
      <c r="K3000" s="398"/>
      <c r="L3000" s="405"/>
      <c r="M3000" s="64"/>
      <c r="N3000" s="65"/>
      <c r="O3000" s="65"/>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
      </c>
      <c r="W3000" s="81" t="str">
        <f>IF(AND('341-CT'!$H$9=H3000,OR(LEFT(N3000,3)=$W$7,LEFT(O3000,3)=$W$7)),"x","")</f>
        <v/>
      </c>
      <c r="X3000" s="81" t="str">
        <f>IF(OR(TH!N3000=TH!$X$7,O3000=TH!$X$7),"x","")</f>
        <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row>
    <row r="3001" spans="1:30" ht="15.75" customHeight="1">
      <c r="A3001" s="327" t="str">
        <f>IF(B3001&lt;&gt;"",IF(AND(B3001='IN-TC'!$S$4,OR(TH!N3001="1111",TH!O3001="1111")),TH!D3001,""),"")</f>
        <v/>
      </c>
      <c r="B3001" s="62" t="str">
        <f t="shared" si="388"/>
        <v/>
      </c>
      <c r="C3001" s="63"/>
      <c r="D3001" s="63"/>
      <c r="E3001" s="63"/>
      <c r="F3001" s="71"/>
      <c r="G3001" s="66"/>
      <c r="H3001" s="71"/>
      <c r="I3001" s="405"/>
      <c r="J3001" s="405"/>
      <c r="K3001" s="398"/>
      <c r="L3001" s="405"/>
      <c r="M3001" s="64"/>
      <c r="N3001" s="65"/>
      <c r="O3001" s="65"/>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0" ht="15.75" customHeight="1">
      <c r="A3002" s="327" t="str">
        <f>IF(B3002&lt;&gt;"",IF(AND(B3002='IN-TC'!$S$4,OR(TH!N3002="1111",TH!O3002="1111")),TH!D3002,""),"")</f>
        <v/>
      </c>
      <c r="B3002" s="62" t="str">
        <f t="shared" si="388"/>
        <v/>
      </c>
      <c r="C3002" s="63"/>
      <c r="D3002" s="63"/>
      <c r="E3002" s="63"/>
      <c r="F3002" s="71"/>
      <c r="G3002" s="66"/>
      <c r="H3002" s="71"/>
      <c r="I3002" s="405"/>
      <c r="J3002" s="405"/>
      <c r="K3002" s="398"/>
      <c r="L3002" s="405"/>
      <c r="M3002" s="64"/>
      <c r="N3002" s="65"/>
      <c r="O3002" s="65"/>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row>
    <row r="3003" spans="1:30" ht="15.75" customHeight="1">
      <c r="A3003" s="327" t="str">
        <f>IF(B3003&lt;&gt;"",IF(AND(B3003='IN-TC'!$S$4,OR(TH!N3003="1111",TH!O3003="1111")),TH!D3003,""),"")</f>
        <v/>
      </c>
      <c r="B3003" s="62" t="str">
        <f t="shared" si="388"/>
        <v/>
      </c>
      <c r="C3003" s="63"/>
      <c r="D3003" s="63"/>
      <c r="E3003" s="63"/>
      <c r="F3003" s="71"/>
      <c r="G3003" s="66"/>
      <c r="H3003" s="71"/>
      <c r="I3003" s="405"/>
      <c r="J3003" s="405"/>
      <c r="K3003" s="398"/>
      <c r="L3003" s="405"/>
      <c r="M3003" s="64"/>
      <c r="N3003" s="65"/>
      <c r="O3003" s="65"/>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
      </c>
      <c r="W3003" s="81" t="str">
        <f>IF(AND('341-CT'!$H$9=H3003,OR(LEFT(N3003,3)=$W$7,LEFT(O3003,3)=$W$7)),"x","")</f>
        <v/>
      </c>
      <c r="X3003" s="81" t="str">
        <f>IF(OR(TH!N3003=TH!$X$7,O3003=TH!$X$7),"x","")</f>
        <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row>
    <row r="3004" spans="1:30" ht="15.75" customHeight="1">
      <c r="A3004" s="327" t="str">
        <f>IF(B3004&lt;&gt;"",IF(AND(B3004='IN-TC'!$S$4,OR(TH!N3004="1111",TH!O3004="1111")),TH!D3004,""),"")</f>
        <v/>
      </c>
      <c r="B3004" s="62" t="str">
        <f t="shared" si="388"/>
        <v/>
      </c>
      <c r="C3004" s="63"/>
      <c r="D3004" s="63"/>
      <c r="E3004" s="63"/>
      <c r="F3004" s="71"/>
      <c r="G3004" s="66"/>
      <c r="H3004" s="71"/>
      <c r="I3004" s="407"/>
      <c r="J3004" s="407"/>
      <c r="K3004" s="400"/>
      <c r="L3004" s="407"/>
      <c r="M3004" s="64"/>
      <c r="N3004" s="65"/>
      <c r="O3004" s="65"/>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
      </c>
      <c r="W3004" s="81" t="str">
        <f>IF(AND('341-CT'!$H$9=H3004,OR(LEFT(N3004,3)=$W$7,LEFT(O3004,3)=$W$7)),"x","")</f>
        <v/>
      </c>
      <c r="X3004" s="81" t="str">
        <f>IF(OR(TH!N3004=TH!$X$7,O3004=TH!$X$7),"x","")</f>
        <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row>
    <row r="3005" spans="1:30" ht="15.75" customHeight="1">
      <c r="A3005" s="327" t="str">
        <f>IF(B3005&lt;&gt;"",IF(AND(B3005='IN-TC'!$S$4,OR(TH!N3005="1111",TH!O3005="1111")),TH!D3005,""),"")</f>
        <v/>
      </c>
      <c r="B3005" s="62" t="str">
        <f t="shared" si="388"/>
        <v/>
      </c>
      <c r="C3005" s="63"/>
      <c r="D3005" s="63"/>
      <c r="E3005" s="63"/>
      <c r="F3005" s="71"/>
      <c r="G3005" s="66"/>
      <c r="H3005" s="330"/>
      <c r="I3005" s="405"/>
      <c r="J3005" s="405"/>
      <c r="K3005" s="398"/>
      <c r="L3005" s="405"/>
      <c r="M3005" s="64"/>
      <c r="N3005" s="65"/>
      <c r="O3005" s="65"/>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
      </c>
      <c r="W3005" s="81" t="str">
        <f>IF(AND('341-CT'!$H$9=H3005,OR(LEFT(N3005,3)=$W$7,LEFT(O3005,3)=$W$7)),"x","")</f>
        <v/>
      </c>
      <c r="X3005" s="81" t="str">
        <f>IF(OR(TH!N3005=TH!$X$7,O3005=TH!$X$7),"x","")</f>
        <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row>
    <row r="3006" spans="1:30" ht="15.75" customHeight="1">
      <c r="A3006" s="327" t="str">
        <f>IF(B3006&lt;&gt;"",IF(AND(B3006='IN-TC'!$S$4,OR(TH!N3006="1111",TH!O3006="1111")),TH!D3006,""),"")</f>
        <v/>
      </c>
      <c r="B3006" s="62" t="str">
        <f t="shared" si="388"/>
        <v/>
      </c>
      <c r="C3006" s="63"/>
      <c r="D3006" s="63"/>
      <c r="E3006" s="63"/>
      <c r="F3006" s="71"/>
      <c r="G3006" s="66"/>
      <c r="H3006" s="330"/>
      <c r="I3006" s="405"/>
      <c r="J3006" s="405"/>
      <c r="K3006" s="398"/>
      <c r="L3006" s="405"/>
      <c r="M3006" s="64"/>
      <c r="N3006" s="65"/>
      <c r="O3006" s="65"/>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row>
    <row r="3007" spans="1:30" ht="15.75" customHeight="1">
      <c r="A3007" s="327" t="str">
        <f>IF(B3007&lt;&gt;"",IF(AND(B3007='IN-TC'!$S$4,OR(TH!N3007="1111",TH!O3007="1111")),TH!D3007,""),"")</f>
        <v/>
      </c>
      <c r="B3007" s="62" t="str">
        <f t="shared" si="388"/>
        <v/>
      </c>
      <c r="C3007" s="63"/>
      <c r="D3007" s="63"/>
      <c r="E3007" s="63"/>
      <c r="F3007" s="71"/>
      <c r="G3007" s="66"/>
      <c r="H3007" s="330"/>
      <c r="I3007" s="405"/>
      <c r="J3007" s="405"/>
      <c r="K3007" s="398"/>
      <c r="L3007" s="405"/>
      <c r="M3007" s="64"/>
      <c r="N3007" s="65"/>
      <c r="O3007" s="65"/>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
      </c>
      <c r="W3007" s="81" t="str">
        <f>IF(AND('341-CT'!$H$9=H3007,OR(LEFT(N3007,3)=$W$7,LEFT(O3007,3)=$W$7)),"x","")</f>
        <v/>
      </c>
      <c r="X3007" s="81" t="str">
        <f>IF(OR(TH!N3007=TH!$X$7,O3007=TH!$X$7),"x","")</f>
        <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row>
    <row r="3008" spans="1:30" ht="15.75" customHeight="1">
      <c r="A3008" s="327" t="str">
        <f>IF(B3008&lt;&gt;"",IF(AND(B3008='IN-TC'!$S$4,OR(TH!N3008="1111",TH!O3008="1111")),TH!D3008,""),"")</f>
        <v/>
      </c>
      <c r="B3008" s="62" t="str">
        <f t="shared" si="388"/>
        <v/>
      </c>
      <c r="C3008" s="63"/>
      <c r="D3008" s="63"/>
      <c r="E3008" s="63"/>
      <c r="F3008" s="71"/>
      <c r="G3008" s="66"/>
      <c r="H3008" s="330"/>
      <c r="I3008" s="405"/>
      <c r="J3008" s="405"/>
      <c r="K3008" s="398"/>
      <c r="L3008" s="405"/>
      <c r="M3008" s="64"/>
      <c r="N3008" s="65"/>
      <c r="O3008" s="65"/>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0" ht="15.75" customHeight="1">
      <c r="A3009" s="327" t="str">
        <f>IF(B3009&lt;&gt;"",IF(AND(B3009='IN-TC'!$S$4,OR(TH!N3009="1111",TH!O3009="1111")),TH!D3009,""),"")</f>
        <v/>
      </c>
      <c r="B3009" s="62" t="str">
        <f t="shared" si="388"/>
        <v/>
      </c>
      <c r="C3009" s="63"/>
      <c r="D3009" s="63"/>
      <c r="E3009" s="63"/>
      <c r="F3009" s="71"/>
      <c r="G3009" s="66"/>
      <c r="H3009" s="330"/>
      <c r="I3009" s="405"/>
      <c r="J3009" s="405"/>
      <c r="K3009" s="398"/>
      <c r="L3009" s="405"/>
      <c r="M3009" s="64"/>
      <c r="N3009" s="65"/>
      <c r="O3009" s="65"/>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row>
    <row r="3010" spans="1:30" ht="15.75" customHeight="1">
      <c r="A3010" s="327" t="str">
        <f>IF(B3010&lt;&gt;"",IF(AND(B3010='IN-TC'!$S$4,OR(TH!N3010="1111",TH!O3010="1111")),TH!D3010,""),"")</f>
        <v/>
      </c>
      <c r="B3010" s="62" t="str">
        <f t="shared" si="388"/>
        <v/>
      </c>
      <c r="C3010" s="63"/>
      <c r="D3010" s="63"/>
      <c r="E3010" s="63"/>
      <c r="F3010" s="71"/>
      <c r="G3010" s="66"/>
      <c r="H3010" s="71"/>
      <c r="I3010" s="405"/>
      <c r="J3010" s="405"/>
      <c r="K3010" s="398"/>
      <c r="L3010" s="405"/>
      <c r="M3010" s="64"/>
      <c r="N3010" s="65"/>
      <c r="O3010" s="65"/>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row>
    <row r="3011" spans="1:30" ht="15.75" customHeight="1">
      <c r="A3011" s="327" t="str">
        <f>IF(B3011&lt;&gt;"",IF(AND(B3011='IN-TC'!$S$4,OR(TH!N3011="1111",TH!O3011="1111")),TH!D3011,""),"")</f>
        <v/>
      </c>
      <c r="B3011" s="62" t="str">
        <f t="shared" si="388"/>
        <v/>
      </c>
      <c r="C3011" s="63"/>
      <c r="D3011" s="63"/>
      <c r="E3011" s="63"/>
      <c r="F3011" s="71"/>
      <c r="G3011" s="66"/>
      <c r="H3011" s="71"/>
      <c r="I3011" s="407"/>
      <c r="J3011" s="407"/>
      <c r="K3011" s="400"/>
      <c r="L3011" s="407"/>
      <c r="M3011" s="64"/>
      <c r="N3011" s="65"/>
      <c r="O3011" s="65"/>
      <c r="P3011" s="81" t="str">
        <f>IF(AND('331-CT'!$E$7=TH!H3011,OR(N3011="331",O3011="331")),"x","")</f>
        <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0" ht="15.75" customHeight="1">
      <c r="A3012" s="327" t="str">
        <f>IF(B3012&lt;&gt;"",IF(AND(B3012='IN-TC'!$S$4,OR(TH!N3012="1111",TH!O3012="1111")),TH!D3012,""),"")</f>
        <v/>
      </c>
      <c r="B3012" s="62" t="str">
        <f t="shared" si="388"/>
        <v/>
      </c>
      <c r="C3012" s="63"/>
      <c r="D3012" s="63"/>
      <c r="E3012" s="63"/>
      <c r="F3012" s="71"/>
      <c r="G3012" s="66"/>
      <c r="H3012" s="71"/>
      <c r="I3012" s="405"/>
      <c r="J3012" s="405"/>
      <c r="K3012" s="398"/>
      <c r="L3012" s="405"/>
      <c r="M3012" s="64"/>
      <c r="N3012" s="65"/>
      <c r="O3012" s="65"/>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row>
    <row r="3013" spans="1:30" ht="15.75" customHeight="1">
      <c r="A3013" s="327" t="str">
        <f>IF(B3013&lt;&gt;"",IF(AND(B3013='IN-TC'!$S$4,OR(TH!N3013="1111",TH!O3013="1111")),TH!D3013,""),"")</f>
        <v/>
      </c>
      <c r="B3013" s="62" t="str">
        <f t="shared" si="388"/>
        <v/>
      </c>
      <c r="C3013" s="63"/>
      <c r="D3013" s="63"/>
      <c r="E3013" s="63"/>
      <c r="F3013" s="71"/>
      <c r="G3013" s="66"/>
      <c r="H3013" s="71"/>
      <c r="I3013" s="405"/>
      <c r="J3013" s="405"/>
      <c r="K3013" s="398"/>
      <c r="L3013" s="405"/>
      <c r="M3013" s="64"/>
      <c r="N3013" s="65"/>
      <c r="O3013" s="65"/>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row>
    <row r="3014" spans="1:30" ht="15.75" customHeight="1">
      <c r="A3014" s="327" t="str">
        <f>IF(B3014&lt;&gt;"",IF(AND(B3014='IN-TC'!$S$4,OR(TH!N3014="1111",TH!O3014="1111")),TH!D3014,""),"")</f>
        <v/>
      </c>
      <c r="B3014" s="62" t="str">
        <f t="shared" si="388"/>
        <v/>
      </c>
      <c r="C3014" s="63"/>
      <c r="D3014" s="63"/>
      <c r="E3014" s="63"/>
      <c r="F3014" s="71"/>
      <c r="G3014" s="66"/>
      <c r="H3014" s="71"/>
      <c r="I3014" s="405"/>
      <c r="J3014" s="405"/>
      <c r="K3014" s="398"/>
      <c r="L3014" s="405"/>
      <c r="M3014" s="64"/>
      <c r="N3014" s="65"/>
      <c r="O3014" s="65"/>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0" ht="15.75" customHeight="1">
      <c r="A3015" s="327" t="str">
        <f>IF(B3015&lt;&gt;"",IF(AND(B3015='IN-TC'!$S$4,OR(TH!N3015="1111",TH!O3015="1111")),TH!D3015,""),"")</f>
        <v/>
      </c>
      <c r="B3015" s="62" t="str">
        <f t="shared" si="388"/>
        <v/>
      </c>
      <c r="C3015" s="63"/>
      <c r="D3015" s="63"/>
      <c r="E3015" s="63"/>
      <c r="F3015" s="71"/>
      <c r="G3015" s="66"/>
      <c r="H3015" s="71"/>
      <c r="I3015" s="407"/>
      <c r="J3015" s="407"/>
      <c r="K3015" s="400"/>
      <c r="L3015" s="407"/>
      <c r="M3015" s="64"/>
      <c r="N3015" s="65"/>
      <c r="O3015" s="65"/>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row>
    <row r="3016" spans="1:30" ht="15.75" customHeight="1">
      <c r="A3016" s="327" t="str">
        <f>IF(B3016&lt;&gt;"",IF(AND(B3016='IN-TC'!$S$4,OR(TH!N3016="1111",TH!O3016="1111")),TH!D3016,""),"")</f>
        <v/>
      </c>
      <c r="B3016" s="62" t="str">
        <f t="shared" si="388"/>
        <v/>
      </c>
      <c r="C3016" s="63"/>
      <c r="D3016" s="63"/>
      <c r="E3016" s="63"/>
      <c r="F3016" s="71"/>
      <c r="G3016" s="66"/>
      <c r="H3016" s="330"/>
      <c r="I3016" s="405"/>
      <c r="J3016" s="405"/>
      <c r="K3016" s="398"/>
      <c r="L3016" s="405"/>
      <c r="M3016" s="64"/>
      <c r="N3016" s="65"/>
      <c r="O3016" s="65"/>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row>
    <row r="3017" spans="1:30" ht="15.75" customHeight="1">
      <c r="A3017" s="327" t="str">
        <f>IF(B3017&lt;&gt;"",IF(AND(B3017='IN-TC'!$S$4,OR(TH!N3017="1111",TH!O3017="1111")),TH!D3017,""),"")</f>
        <v/>
      </c>
      <c r="B3017" s="62" t="str">
        <f t="shared" si="388"/>
        <v/>
      </c>
      <c r="C3017" s="63"/>
      <c r="D3017" s="63"/>
      <c r="E3017" s="63"/>
      <c r="F3017" s="71"/>
      <c r="G3017" s="66"/>
      <c r="H3017" s="330"/>
      <c r="I3017" s="405"/>
      <c r="J3017" s="405"/>
      <c r="K3017" s="398"/>
      <c r="L3017" s="405"/>
      <c r="M3017" s="64"/>
      <c r="N3017" s="65"/>
      <c r="O3017" s="65"/>
      <c r="P3017" s="81" t="str">
        <f>IF(AND('331-CT'!$E$7=TH!H3017,OR(N3017="331",O3017="331")),"x","")</f>
        <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row>
    <row r="3018" spans="1:30" ht="15.75" customHeight="1">
      <c r="A3018" s="327" t="str">
        <f>IF(B3018&lt;&gt;"",IF(AND(B3018='IN-TC'!$S$4,OR(TH!N3018="1111",TH!O3018="1111")),TH!D3018,""),"")</f>
        <v/>
      </c>
      <c r="B3018" s="62" t="str">
        <f t="shared" si="388"/>
        <v/>
      </c>
      <c r="C3018" s="63"/>
      <c r="D3018" s="63"/>
      <c r="E3018" s="63"/>
      <c r="F3018" s="71"/>
      <c r="G3018" s="66"/>
      <c r="H3018" s="330"/>
      <c r="I3018" s="405"/>
      <c r="J3018" s="405"/>
      <c r="K3018" s="398"/>
      <c r="L3018" s="405"/>
      <c r="M3018" s="64"/>
      <c r="N3018" s="65"/>
      <c r="O3018" s="65"/>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row>
    <row r="3019" spans="1:30" ht="15.75" customHeight="1">
      <c r="A3019" s="327" t="str">
        <f>IF(B3019&lt;&gt;"",IF(AND(B3019='IN-TC'!$S$4,OR(TH!N3019="1111",TH!O3019="1111")),TH!D3019,""),"")</f>
        <v/>
      </c>
      <c r="B3019" s="62" t="str">
        <f t="shared" si="388"/>
        <v/>
      </c>
      <c r="C3019" s="63"/>
      <c r="D3019" s="63"/>
      <c r="E3019" s="63"/>
      <c r="F3019" s="71"/>
      <c r="G3019" s="66"/>
      <c r="H3019" s="330"/>
      <c r="I3019" s="405"/>
      <c r="J3019" s="405"/>
      <c r="K3019" s="398"/>
      <c r="L3019" s="405"/>
      <c r="M3019" s="64"/>
      <c r="N3019" s="65"/>
      <c r="O3019" s="65"/>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row>
    <row r="3020" spans="1:30" ht="15.75" customHeight="1">
      <c r="A3020" s="327" t="str">
        <f>IF(B3020&lt;&gt;"",IF(AND(B3020='IN-TC'!$S$4,OR(TH!N3020="1111",TH!O3020="1111")),TH!D3020,""),"")</f>
        <v/>
      </c>
      <c r="B3020" s="62" t="str">
        <f t="shared" si="388"/>
        <v/>
      </c>
      <c r="C3020" s="63"/>
      <c r="D3020" s="63"/>
      <c r="E3020" s="63"/>
      <c r="F3020" s="71"/>
      <c r="G3020" s="66"/>
      <c r="H3020" s="330"/>
      <c r="I3020" s="405"/>
      <c r="J3020" s="405"/>
      <c r="K3020" s="398"/>
      <c r="L3020" s="405"/>
      <c r="M3020" s="64"/>
      <c r="N3020" s="65"/>
      <c r="O3020" s="65"/>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row>
    <row r="3021" spans="1:30" ht="15.75" customHeight="1">
      <c r="A3021" s="327" t="str">
        <f>IF(B3021&lt;&gt;"",IF(AND(B3021='IN-TC'!$S$4,OR(TH!N3021="1111",TH!O3021="1111")),TH!D3021,""),"")</f>
        <v/>
      </c>
      <c r="B3021" s="62" t="str">
        <f t="shared" si="388"/>
        <v/>
      </c>
      <c r="C3021" s="63"/>
      <c r="D3021" s="63"/>
      <c r="E3021" s="63"/>
      <c r="F3021" s="71"/>
      <c r="G3021" s="66"/>
      <c r="H3021" s="330"/>
      <c r="I3021" s="405"/>
      <c r="J3021" s="405"/>
      <c r="K3021" s="398"/>
      <c r="L3021" s="405"/>
      <c r="M3021" s="64"/>
      <c r="N3021" s="65"/>
      <c r="O3021" s="65"/>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0" ht="15.75" customHeight="1">
      <c r="A3022" s="327" t="str">
        <f>IF(B3022&lt;&gt;"",IF(AND(B3022='IN-TC'!$S$4,OR(TH!N3022="1111",TH!O3022="1111")),TH!D3022,""),"")</f>
        <v/>
      </c>
      <c r="B3022" s="62" t="str">
        <f t="shared" si="388"/>
        <v/>
      </c>
      <c r="C3022" s="63"/>
      <c r="D3022" s="63"/>
      <c r="E3022" s="63"/>
      <c r="F3022" s="71"/>
      <c r="G3022" s="66"/>
      <c r="H3022" s="330"/>
      <c r="I3022" s="405"/>
      <c r="J3022" s="405"/>
      <c r="K3022" s="398"/>
      <c r="L3022" s="405"/>
      <c r="M3022" s="64"/>
      <c r="N3022" s="65"/>
      <c r="O3022" s="65"/>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0" ht="15.75" customHeight="1">
      <c r="A3023" s="327" t="str">
        <f>IF(B3023&lt;&gt;"",IF(AND(B3023='IN-TC'!$S$4,OR(TH!N3023="1111",TH!O3023="1111")),TH!D3023,""),"")</f>
        <v/>
      </c>
      <c r="B3023" s="62" t="str">
        <f t="shared" si="388"/>
        <v/>
      </c>
      <c r="C3023" s="63"/>
      <c r="D3023" s="63"/>
      <c r="E3023" s="63"/>
      <c r="F3023" s="71"/>
      <c r="G3023" s="66"/>
      <c r="H3023" s="330"/>
      <c r="I3023" s="405"/>
      <c r="J3023" s="405"/>
      <c r="K3023" s="398"/>
      <c r="L3023" s="405"/>
      <c r="M3023" s="64"/>
      <c r="N3023" s="65"/>
      <c r="O3023" s="65"/>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0" ht="15.75" customHeight="1">
      <c r="A3024" s="327" t="str">
        <f>IF(B3024&lt;&gt;"",IF(AND(B3024='IN-TC'!$S$4,OR(TH!N3024="1111",TH!O3024="1111")),TH!D3024,""),"")</f>
        <v/>
      </c>
      <c r="B3024" s="62" t="str">
        <f t="shared" si="388"/>
        <v/>
      </c>
      <c r="C3024" s="63"/>
      <c r="D3024" s="63"/>
      <c r="E3024" s="63"/>
      <c r="F3024" s="71"/>
      <c r="G3024" s="66"/>
      <c r="H3024" s="330"/>
      <c r="I3024" s="405"/>
      <c r="J3024" s="405"/>
      <c r="K3024" s="398"/>
      <c r="L3024" s="405"/>
      <c r="M3024" s="64"/>
      <c r="N3024" s="65"/>
      <c r="O3024" s="65"/>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0" ht="15.75" customHeight="1">
      <c r="A3025" s="327" t="str">
        <f>IF(B3025&lt;&gt;"",IF(AND(B3025='IN-TC'!$S$4,OR(TH!N3025="1111",TH!O3025="1111")),TH!D3025,""),"")</f>
        <v/>
      </c>
      <c r="B3025" s="62" t="str">
        <f t="shared" si="388"/>
        <v/>
      </c>
      <c r="C3025" s="63"/>
      <c r="D3025" s="63"/>
      <c r="E3025" s="63"/>
      <c r="F3025" s="71"/>
      <c r="G3025" s="66"/>
      <c r="H3025" s="330"/>
      <c r="I3025" s="405"/>
      <c r="J3025" s="405"/>
      <c r="K3025" s="398"/>
      <c r="L3025" s="405"/>
      <c r="M3025" s="64"/>
      <c r="N3025" s="65"/>
      <c r="O3025" s="65"/>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row>
    <row r="3026" spans="1:30" ht="15.75" customHeight="1">
      <c r="A3026" s="327" t="str">
        <f>IF(B3026&lt;&gt;"",IF(AND(B3026='IN-TC'!$S$4,OR(TH!N3026="1111",TH!O3026="1111")),TH!D3026,""),"")</f>
        <v/>
      </c>
      <c r="B3026" s="62" t="str">
        <f t="shared" si="388"/>
        <v/>
      </c>
      <c r="C3026" s="63"/>
      <c r="D3026" s="63"/>
      <c r="E3026" s="63"/>
      <c r="F3026" s="71"/>
      <c r="G3026" s="66"/>
      <c r="H3026" s="330"/>
      <c r="I3026" s="405"/>
      <c r="J3026" s="405"/>
      <c r="K3026" s="398"/>
      <c r="L3026" s="405"/>
      <c r="M3026" s="64"/>
      <c r="N3026" s="65"/>
      <c r="O3026" s="65"/>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row>
    <row r="3027" spans="1:30" ht="15.75" customHeight="1">
      <c r="A3027" s="327" t="str">
        <f>IF(B3027&lt;&gt;"",IF(AND(B3027='IN-TC'!$S$4,OR(TH!N3027="1111",TH!O3027="1111")),TH!D3027,""),"")</f>
        <v/>
      </c>
      <c r="B3027" s="62" t="str">
        <f t="shared" si="388"/>
        <v/>
      </c>
      <c r="C3027" s="63"/>
      <c r="D3027" s="63"/>
      <c r="E3027" s="63"/>
      <c r="F3027" s="71"/>
      <c r="G3027" s="66"/>
      <c r="H3027" s="330"/>
      <c r="I3027" s="405"/>
      <c r="J3027" s="405"/>
      <c r="K3027" s="398"/>
      <c r="L3027" s="405"/>
      <c r="M3027" s="64"/>
      <c r="N3027" s="65"/>
      <c r="O3027" s="65"/>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0" ht="15.75" customHeight="1">
      <c r="A3028" s="327" t="str">
        <f>IF(B3028&lt;&gt;"",IF(AND(B3028='IN-TC'!$S$4,OR(TH!N3028="1111",TH!O3028="1111")),TH!D3028,""),"")</f>
        <v/>
      </c>
      <c r="B3028" s="62" t="str">
        <f t="shared" si="388"/>
        <v/>
      </c>
      <c r="C3028" s="63"/>
      <c r="D3028" s="63"/>
      <c r="E3028" s="63"/>
      <c r="F3028" s="71"/>
      <c r="G3028" s="66"/>
      <c r="H3028" s="330"/>
      <c r="I3028" s="405"/>
      <c r="J3028" s="405"/>
      <c r="K3028" s="398"/>
      <c r="L3028" s="405"/>
      <c r="M3028" s="64"/>
      <c r="N3028" s="65"/>
      <c r="O3028" s="65"/>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0" ht="15.75" customHeight="1">
      <c r="A3029" s="327" t="str">
        <f>IF(B3029&lt;&gt;"",IF(AND(B3029='IN-TC'!$S$4,OR(TH!N3029="1111",TH!O3029="1111")),TH!D3029,""),"")</f>
        <v/>
      </c>
      <c r="B3029" s="62" t="str">
        <f t="shared" si="388"/>
        <v/>
      </c>
      <c r="C3029" s="63"/>
      <c r="D3029" s="63"/>
      <c r="E3029" s="63"/>
      <c r="F3029" s="71"/>
      <c r="G3029" s="66"/>
      <c r="H3029" s="72"/>
      <c r="I3029" s="405"/>
      <c r="J3029" s="405"/>
      <c r="K3029" s="398"/>
      <c r="L3029" s="405"/>
      <c r="M3029" s="64"/>
      <c r="N3029" s="65"/>
      <c r="O3029" s="65"/>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0" ht="15.75" customHeight="1">
      <c r="A3030" s="327" t="str">
        <f>IF(B3030&lt;&gt;"",IF(AND(B3030='IN-TC'!$S$4,OR(TH!N3030="1111",TH!O3030="1111")),TH!D3030,""),"")</f>
        <v/>
      </c>
      <c r="B3030" s="62" t="str">
        <f t="shared" ref="B3030:B3093" si="389">IF(C3030&lt;&gt;"",MONTH(C3030),"")</f>
        <v/>
      </c>
      <c r="C3030" s="63"/>
      <c r="D3030" s="63"/>
      <c r="E3030" s="63"/>
      <c r="F3030" s="71"/>
      <c r="G3030" s="66"/>
      <c r="H3030" s="71"/>
      <c r="I3030" s="405"/>
      <c r="J3030" s="405"/>
      <c r="K3030" s="398"/>
      <c r="L3030" s="405"/>
      <c r="M3030" s="64"/>
      <c r="N3030" s="65"/>
      <c r="O3030" s="65"/>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0" ht="15.75" customHeight="1">
      <c r="A3031" s="327" t="str">
        <f>IF(B3031&lt;&gt;"",IF(AND(B3031='IN-TC'!$S$4,OR(TH!N3031="1111",TH!O3031="1111")),TH!D3031,""),"")</f>
        <v/>
      </c>
      <c r="B3031" s="62" t="str">
        <f t="shared" si="389"/>
        <v/>
      </c>
      <c r="C3031" s="63"/>
      <c r="D3031" s="63"/>
      <c r="E3031" s="63"/>
      <c r="F3031" s="71"/>
      <c r="G3031" s="66"/>
      <c r="H3031" s="71"/>
      <c r="I3031" s="405"/>
      <c r="J3031" s="405"/>
      <c r="K3031" s="398"/>
      <c r="L3031" s="405"/>
      <c r="M3031" s="64"/>
      <c r="N3031" s="65"/>
      <c r="O3031" s="65"/>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row>
    <row r="3032" spans="1:30" ht="15.75" customHeight="1">
      <c r="A3032" s="327" t="str">
        <f>IF(B3032&lt;&gt;"",IF(AND(B3032='IN-TC'!$S$4,OR(TH!N3032="1111",TH!O3032="1111")),TH!D3032,""),"")</f>
        <v/>
      </c>
      <c r="B3032" s="62" t="str">
        <f t="shared" si="389"/>
        <v/>
      </c>
      <c r="C3032" s="63"/>
      <c r="D3032" s="63"/>
      <c r="E3032" s="63"/>
      <c r="F3032" s="71"/>
      <c r="G3032" s="66"/>
      <c r="H3032" s="71"/>
      <c r="I3032" s="405"/>
      <c r="J3032" s="405"/>
      <c r="K3032" s="398"/>
      <c r="L3032" s="405"/>
      <c r="M3032" s="64"/>
      <c r="N3032" s="65"/>
      <c r="O3032" s="65"/>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row>
    <row r="3033" spans="1:30" ht="15.75" customHeight="1">
      <c r="A3033" s="327" t="str">
        <f>IF(B3033&lt;&gt;"",IF(AND(B3033='IN-TC'!$S$4,OR(TH!N3033="1111",TH!O3033="1111")),TH!D3033,""),"")</f>
        <v/>
      </c>
      <c r="B3033" s="62" t="str">
        <f t="shared" si="389"/>
        <v/>
      </c>
      <c r="C3033" s="63"/>
      <c r="D3033" s="63"/>
      <c r="E3033" s="63"/>
      <c r="F3033" s="71"/>
      <c r="G3033" s="66"/>
      <c r="H3033" s="71"/>
      <c r="I3033" s="407"/>
      <c r="J3033" s="407"/>
      <c r="K3033" s="400"/>
      <c r="L3033" s="407"/>
      <c r="M3033" s="64"/>
      <c r="N3033" s="65"/>
      <c r="O3033" s="65"/>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0" ht="15.75" customHeight="1">
      <c r="A3034" s="327" t="str">
        <f>IF(B3034&lt;&gt;"",IF(AND(B3034='IN-TC'!$S$4,OR(TH!N3034="1111",TH!O3034="1111")),TH!D3034,""),"")</f>
        <v/>
      </c>
      <c r="B3034" s="62" t="str">
        <f t="shared" si="389"/>
        <v/>
      </c>
      <c r="C3034" s="63"/>
      <c r="D3034" s="63"/>
      <c r="E3034" s="63"/>
      <c r="F3034" s="71"/>
      <c r="G3034" s="66"/>
      <c r="H3034" s="330"/>
      <c r="I3034" s="405"/>
      <c r="J3034" s="405"/>
      <c r="K3034" s="398"/>
      <c r="L3034" s="405"/>
      <c r="M3034" s="64"/>
      <c r="N3034" s="65"/>
      <c r="O3034" s="65"/>
      <c r="P3034" s="81" t="str">
        <f>IF(AND('331-CT'!$E$7=TH!H3034,OR(N3034="331",O3034="331")),"x","")</f>
        <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0" ht="15.75" customHeight="1">
      <c r="A3035" s="327" t="str">
        <f>IF(B3035&lt;&gt;"",IF(AND(B3035='IN-TC'!$S$4,OR(TH!N3035="1111",TH!O3035="1111")),TH!D3035,""),"")</f>
        <v/>
      </c>
      <c r="B3035" s="62" t="str">
        <f t="shared" si="389"/>
        <v/>
      </c>
      <c r="C3035" s="63"/>
      <c r="D3035" s="63"/>
      <c r="E3035" s="63"/>
      <c r="F3035" s="71"/>
      <c r="G3035" s="66"/>
      <c r="H3035" s="330"/>
      <c r="I3035" s="405"/>
      <c r="J3035" s="405"/>
      <c r="K3035" s="398"/>
      <c r="L3035" s="405"/>
      <c r="M3035" s="64"/>
      <c r="N3035" s="65"/>
      <c r="O3035" s="65"/>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row>
    <row r="3036" spans="1:30" ht="15.75" customHeight="1">
      <c r="A3036" s="327" t="str">
        <f>IF(B3036&lt;&gt;"",IF(AND(B3036='IN-TC'!$S$4,OR(TH!N3036="1111",TH!O3036="1111")),TH!D3036,""),"")</f>
        <v/>
      </c>
      <c r="B3036" s="62" t="str">
        <f t="shared" si="389"/>
        <v/>
      </c>
      <c r="C3036" s="63"/>
      <c r="D3036" s="63"/>
      <c r="E3036" s="63"/>
      <c r="F3036" s="71"/>
      <c r="G3036" s="66"/>
      <c r="H3036" s="330"/>
      <c r="I3036" s="405"/>
      <c r="J3036" s="405"/>
      <c r="K3036" s="398"/>
      <c r="L3036" s="405"/>
      <c r="M3036" s="64"/>
      <c r="N3036" s="65"/>
      <c r="O3036" s="65"/>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row>
    <row r="3037" spans="1:30" ht="15.75" customHeight="1">
      <c r="A3037" s="327" t="str">
        <f>IF(B3037&lt;&gt;"",IF(AND(B3037='IN-TC'!$S$4,OR(TH!N3037="1111",TH!O3037="1111")),TH!D3037,""),"")</f>
        <v/>
      </c>
      <c r="B3037" s="62" t="str">
        <f t="shared" si="389"/>
        <v/>
      </c>
      <c r="C3037" s="63"/>
      <c r="D3037" s="63"/>
      <c r="E3037" s="63"/>
      <c r="F3037" s="71"/>
      <c r="G3037" s="66"/>
      <c r="H3037" s="330"/>
      <c r="I3037" s="405"/>
      <c r="J3037" s="405"/>
      <c r="K3037" s="398"/>
      <c r="L3037" s="405"/>
      <c r="M3037" s="64"/>
      <c r="N3037" s="65"/>
      <c r="O3037" s="65"/>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0" ht="15.75" customHeight="1">
      <c r="A3038" s="327" t="str">
        <f>IF(B3038&lt;&gt;"",IF(AND(B3038='IN-TC'!$S$4,OR(TH!N3038="1111",TH!O3038="1111")),TH!D3038,""),"")</f>
        <v/>
      </c>
      <c r="B3038" s="62" t="str">
        <f t="shared" si="389"/>
        <v/>
      </c>
      <c r="C3038" s="63"/>
      <c r="D3038" s="63"/>
      <c r="E3038" s="63"/>
      <c r="F3038" s="71"/>
      <c r="G3038" s="66"/>
      <c r="H3038" s="330"/>
      <c r="I3038" s="405"/>
      <c r="J3038" s="405"/>
      <c r="K3038" s="398"/>
      <c r="L3038" s="405"/>
      <c r="M3038" s="64"/>
      <c r="N3038" s="65"/>
      <c r="O3038" s="65"/>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0" ht="15.75" customHeight="1">
      <c r="A3039" s="327" t="str">
        <f>IF(B3039&lt;&gt;"",IF(AND(B3039='IN-TC'!$S$4,OR(TH!N3039="1111",TH!O3039="1111")),TH!D3039,""),"")</f>
        <v/>
      </c>
      <c r="B3039" s="62" t="str">
        <f t="shared" si="389"/>
        <v/>
      </c>
      <c r="C3039" s="63"/>
      <c r="D3039" s="63"/>
      <c r="E3039" s="63"/>
      <c r="F3039" s="71"/>
      <c r="G3039" s="66"/>
      <c r="H3039" s="330"/>
      <c r="I3039" s="405"/>
      <c r="J3039" s="405"/>
      <c r="K3039" s="398"/>
      <c r="L3039" s="405"/>
      <c r="M3039" s="64"/>
      <c r="N3039" s="65"/>
      <c r="O3039" s="65"/>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row>
    <row r="3040" spans="1:30" ht="15.75" customHeight="1">
      <c r="A3040" s="327" t="str">
        <f>IF(B3040&lt;&gt;"",IF(AND(B3040='IN-TC'!$S$4,OR(TH!N3040="1111",TH!O3040="1111")),TH!D3040,""),"")</f>
        <v/>
      </c>
      <c r="B3040" s="62" t="str">
        <f t="shared" si="389"/>
        <v/>
      </c>
      <c r="C3040" s="63"/>
      <c r="D3040" s="63"/>
      <c r="E3040" s="63"/>
      <c r="F3040" s="71"/>
      <c r="G3040" s="66"/>
      <c r="H3040" s="330"/>
      <c r="I3040" s="405"/>
      <c r="J3040" s="405"/>
      <c r="K3040" s="398"/>
      <c r="L3040" s="405"/>
      <c r="M3040" s="64"/>
      <c r="N3040" s="65"/>
      <c r="O3040" s="65"/>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row>
    <row r="3041" spans="1:30" ht="15.75" customHeight="1">
      <c r="A3041" s="327" t="str">
        <f>IF(B3041&lt;&gt;"",IF(AND(B3041='IN-TC'!$S$4,OR(TH!N3041="1111",TH!O3041="1111")),TH!D3041,""),"")</f>
        <v/>
      </c>
      <c r="B3041" s="62" t="str">
        <f t="shared" si="389"/>
        <v/>
      </c>
      <c r="C3041" s="63"/>
      <c r="D3041" s="63"/>
      <c r="E3041" s="63"/>
      <c r="F3041" s="71"/>
      <c r="G3041" s="66"/>
      <c r="H3041" s="330"/>
      <c r="I3041" s="405"/>
      <c r="J3041" s="405"/>
      <c r="K3041" s="398"/>
      <c r="L3041" s="405"/>
      <c r="M3041" s="64"/>
      <c r="N3041" s="65"/>
      <c r="O3041" s="65"/>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0" ht="15.75" customHeight="1">
      <c r="A3042" s="327" t="str">
        <f>IF(B3042&lt;&gt;"",IF(AND(B3042='IN-TC'!$S$4,OR(TH!N3042="1111",TH!O3042="1111")),TH!D3042,""),"")</f>
        <v/>
      </c>
      <c r="B3042" s="62" t="str">
        <f t="shared" si="389"/>
        <v/>
      </c>
      <c r="C3042" s="63"/>
      <c r="D3042" s="63"/>
      <c r="E3042" s="63"/>
      <c r="F3042" s="71"/>
      <c r="G3042" s="66"/>
      <c r="H3042" s="330"/>
      <c r="I3042" s="405"/>
      <c r="J3042" s="405"/>
      <c r="K3042" s="398"/>
      <c r="L3042" s="405"/>
      <c r="M3042" s="64"/>
      <c r="N3042" s="65"/>
      <c r="O3042" s="65"/>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row>
    <row r="3043" spans="1:30" ht="15.75" customHeight="1">
      <c r="A3043" s="327" t="str">
        <f>IF(B3043&lt;&gt;"",IF(AND(B3043='IN-TC'!$S$4,OR(TH!N3043="1111",TH!O3043="1111")),TH!D3043,""),"")</f>
        <v/>
      </c>
      <c r="B3043" s="62" t="str">
        <f t="shared" si="389"/>
        <v/>
      </c>
      <c r="C3043" s="63"/>
      <c r="D3043" s="63"/>
      <c r="E3043" s="63"/>
      <c r="F3043" s="71"/>
      <c r="G3043" s="66"/>
      <c r="H3043" s="330"/>
      <c r="I3043" s="405"/>
      <c r="J3043" s="405"/>
      <c r="K3043" s="398"/>
      <c r="L3043" s="405"/>
      <c r="M3043" s="64"/>
      <c r="N3043" s="65"/>
      <c r="O3043" s="65"/>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row>
    <row r="3044" spans="1:30" ht="15.75" customHeight="1">
      <c r="A3044" s="327" t="str">
        <f>IF(B3044&lt;&gt;"",IF(AND(B3044='IN-TC'!$S$4,OR(TH!N3044="1111",TH!O3044="1111")),TH!D3044,""),"")</f>
        <v/>
      </c>
      <c r="B3044" s="62" t="str">
        <f t="shared" si="389"/>
        <v/>
      </c>
      <c r="C3044" s="63"/>
      <c r="D3044" s="63"/>
      <c r="E3044" s="63"/>
      <c r="F3044" s="71"/>
      <c r="G3044" s="66"/>
      <c r="H3044" s="330"/>
      <c r="I3044" s="405"/>
      <c r="J3044" s="405"/>
      <c r="K3044" s="398"/>
      <c r="L3044" s="405"/>
      <c r="M3044" s="64"/>
      <c r="N3044" s="65"/>
      <c r="O3044" s="65"/>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0" ht="15.75" customHeight="1">
      <c r="A3045" s="327" t="str">
        <f>IF(B3045&lt;&gt;"",IF(AND(B3045='IN-TC'!$S$4,OR(TH!N3045="1111",TH!O3045="1111")),TH!D3045,""),"")</f>
        <v/>
      </c>
      <c r="B3045" s="62" t="str">
        <f t="shared" si="389"/>
        <v/>
      </c>
      <c r="C3045" s="63"/>
      <c r="D3045" s="63"/>
      <c r="E3045" s="63"/>
      <c r="F3045" s="71"/>
      <c r="G3045" s="66"/>
      <c r="H3045" s="330"/>
      <c r="I3045" s="405"/>
      <c r="J3045" s="405"/>
      <c r="K3045" s="398"/>
      <c r="L3045" s="405"/>
      <c r="M3045" s="64"/>
      <c r="N3045" s="65"/>
      <c r="O3045" s="65"/>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row>
    <row r="3046" spans="1:30" ht="15.75" customHeight="1">
      <c r="A3046" s="327" t="str">
        <f>IF(B3046&lt;&gt;"",IF(AND(B3046='IN-TC'!$S$4,OR(TH!N3046="1111",TH!O3046="1111")),TH!D3046,""),"")</f>
        <v/>
      </c>
      <c r="B3046" s="62" t="str">
        <f t="shared" si="389"/>
        <v/>
      </c>
      <c r="C3046" s="63"/>
      <c r="D3046" s="63"/>
      <c r="E3046" s="63"/>
      <c r="F3046" s="71"/>
      <c r="G3046" s="66"/>
      <c r="H3046" s="330"/>
      <c r="I3046" s="405"/>
      <c r="J3046" s="405"/>
      <c r="K3046" s="398"/>
      <c r="L3046" s="405"/>
      <c r="M3046" s="64"/>
      <c r="N3046" s="65"/>
      <c r="O3046" s="65"/>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
      </c>
      <c r="W3046" s="81" t="str">
        <f>IF(AND('341-CT'!$H$9=H3046,OR(LEFT(N3046,3)=$W$7,LEFT(O3046,3)=$W$7)),"x","")</f>
        <v/>
      </c>
      <c r="X3046" s="81" t="str">
        <f>IF(OR(TH!N3046=TH!$X$7,O3046=TH!$X$7),"x","")</f>
        <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row>
    <row r="3047" spans="1:30" ht="15.75" customHeight="1">
      <c r="A3047" s="327" t="str">
        <f>IF(B3047&lt;&gt;"",IF(AND(B3047='IN-TC'!$S$4,OR(TH!N3047="1111",TH!O3047="1111")),TH!D3047,""),"")</f>
        <v/>
      </c>
      <c r="B3047" s="62" t="str">
        <f t="shared" si="389"/>
        <v/>
      </c>
      <c r="C3047" s="63"/>
      <c r="D3047" s="63"/>
      <c r="E3047" s="63"/>
      <c r="F3047" s="71"/>
      <c r="G3047" s="66"/>
      <c r="H3047" s="71"/>
      <c r="I3047" s="405"/>
      <c r="J3047" s="405"/>
      <c r="K3047" s="398"/>
      <c r="L3047" s="405"/>
      <c r="M3047" s="64"/>
      <c r="N3047" s="65"/>
      <c r="O3047" s="65"/>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0" ht="15.75" customHeight="1">
      <c r="A3048" s="327" t="str">
        <f>IF(B3048&lt;&gt;"",IF(AND(B3048='IN-TC'!$S$4,OR(TH!N3048="1111",TH!O3048="1111")),TH!D3048,""),"")</f>
        <v/>
      </c>
      <c r="B3048" s="62" t="str">
        <f t="shared" si="389"/>
        <v/>
      </c>
      <c r="C3048" s="63"/>
      <c r="D3048" s="63"/>
      <c r="E3048" s="63"/>
      <c r="F3048" s="71"/>
      <c r="G3048" s="66"/>
      <c r="H3048" s="71"/>
      <c r="I3048" s="405"/>
      <c r="J3048" s="405"/>
      <c r="K3048" s="398"/>
      <c r="L3048" s="405"/>
      <c r="M3048" s="64"/>
      <c r="N3048" s="65"/>
      <c r="O3048" s="65"/>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row>
    <row r="3049" spans="1:30" ht="15.75" customHeight="1">
      <c r="A3049" s="327" t="str">
        <f>IF(B3049&lt;&gt;"",IF(AND(B3049='IN-TC'!$S$4,OR(TH!N3049="1111",TH!O3049="1111")),TH!D3049,""),"")</f>
        <v/>
      </c>
      <c r="B3049" s="62" t="str">
        <f t="shared" si="389"/>
        <v/>
      </c>
      <c r="C3049" s="63"/>
      <c r="D3049" s="63"/>
      <c r="E3049" s="63"/>
      <c r="F3049" s="71"/>
      <c r="G3049" s="66"/>
      <c r="H3049" s="71"/>
      <c r="I3049" s="405"/>
      <c r="J3049" s="405"/>
      <c r="K3049" s="398"/>
      <c r="L3049" s="405"/>
      <c r="M3049" s="64"/>
      <c r="N3049" s="65"/>
      <c r="O3049" s="65"/>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row>
    <row r="3050" spans="1:30" ht="15.75" customHeight="1">
      <c r="A3050" s="327" t="str">
        <f>IF(B3050&lt;&gt;"",IF(AND(B3050='IN-TC'!$S$4,OR(TH!N3050="1111",TH!O3050="1111")),TH!D3050,""),"")</f>
        <v/>
      </c>
      <c r="B3050" s="62" t="str">
        <f t="shared" si="389"/>
        <v/>
      </c>
      <c r="C3050" s="63"/>
      <c r="D3050" s="63"/>
      <c r="E3050" s="63"/>
      <c r="F3050" s="71"/>
      <c r="G3050" s="66"/>
      <c r="H3050" s="71"/>
      <c r="I3050" s="405"/>
      <c r="J3050" s="405"/>
      <c r="K3050" s="398"/>
      <c r="L3050" s="405"/>
      <c r="M3050" s="64"/>
      <c r="N3050" s="65"/>
      <c r="O3050" s="65"/>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row>
    <row r="3051" spans="1:30" ht="15.75" customHeight="1">
      <c r="A3051" s="327" t="str">
        <f>IF(B3051&lt;&gt;"",IF(AND(B3051='IN-TC'!$S$4,OR(TH!N3051="1111",TH!O3051="1111")),TH!D3051,""),"")</f>
        <v/>
      </c>
      <c r="B3051" s="62" t="str">
        <f t="shared" si="389"/>
        <v/>
      </c>
      <c r="C3051" s="63"/>
      <c r="D3051" s="63"/>
      <c r="E3051" s="63"/>
      <c r="F3051" s="71"/>
      <c r="G3051" s="66"/>
      <c r="H3051" s="71"/>
      <c r="I3051" s="407"/>
      <c r="J3051" s="407"/>
      <c r="K3051" s="400"/>
      <c r="L3051" s="407"/>
      <c r="M3051" s="64"/>
      <c r="N3051" s="65"/>
      <c r="O3051" s="65"/>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row>
    <row r="3052" spans="1:30" ht="15.75" customHeight="1">
      <c r="A3052" s="327" t="str">
        <f>IF(B3052&lt;&gt;"",IF(AND(B3052='IN-TC'!$S$4,OR(TH!N3052="1111",TH!O3052="1111")),TH!D3052,""),"")</f>
        <v/>
      </c>
      <c r="B3052" s="62" t="str">
        <f t="shared" si="389"/>
        <v/>
      </c>
      <c r="C3052" s="63"/>
      <c r="D3052" s="63"/>
      <c r="E3052" s="63"/>
      <c r="F3052" s="71"/>
      <c r="G3052" s="66"/>
      <c r="H3052" s="71"/>
      <c r="I3052" s="405"/>
      <c r="J3052" s="405"/>
      <c r="K3052" s="398"/>
      <c r="L3052" s="405"/>
      <c r="M3052" s="64"/>
      <c r="N3052" s="65"/>
      <c r="O3052" s="65"/>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row>
    <row r="3053" spans="1:30" ht="15.75" customHeight="1">
      <c r="A3053" s="327" t="str">
        <f>IF(B3053&lt;&gt;"",IF(AND(B3053='IN-TC'!$S$4,OR(TH!N3053="1111",TH!O3053="1111")),TH!D3053,""),"")</f>
        <v/>
      </c>
      <c r="B3053" s="62" t="str">
        <f t="shared" si="389"/>
        <v/>
      </c>
      <c r="C3053" s="63"/>
      <c r="D3053" s="63"/>
      <c r="E3053" s="63"/>
      <c r="F3053" s="71"/>
      <c r="G3053" s="66"/>
      <c r="H3053" s="71"/>
      <c r="I3053" s="405"/>
      <c r="J3053" s="405"/>
      <c r="K3053" s="398"/>
      <c r="L3053" s="405"/>
      <c r="M3053" s="64"/>
      <c r="N3053" s="65"/>
      <c r="O3053" s="65"/>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row>
    <row r="3054" spans="1:30" ht="15.75" customHeight="1">
      <c r="A3054" s="327" t="str">
        <f>IF(B3054&lt;&gt;"",IF(AND(B3054='IN-TC'!$S$4,OR(TH!N3054="1111",TH!O3054="1111")),TH!D3054,""),"")</f>
        <v/>
      </c>
      <c r="B3054" s="62" t="str">
        <f t="shared" si="389"/>
        <v/>
      </c>
      <c r="C3054" s="63"/>
      <c r="D3054" s="63"/>
      <c r="E3054" s="63"/>
      <c r="F3054" s="71"/>
      <c r="G3054" s="66"/>
      <c r="H3054" s="71"/>
      <c r="I3054" s="405"/>
      <c r="J3054" s="405"/>
      <c r="K3054" s="398"/>
      <c r="L3054" s="405"/>
      <c r="M3054" s="64"/>
      <c r="N3054" s="65"/>
      <c r="O3054" s="65"/>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0" ht="15.75" customHeight="1">
      <c r="A3055" s="327" t="str">
        <f>IF(B3055&lt;&gt;"",IF(AND(B3055='IN-TC'!$S$4,OR(TH!N3055="1111",TH!O3055="1111")),TH!D3055,""),"")</f>
        <v/>
      </c>
      <c r="B3055" s="62" t="str">
        <f t="shared" si="389"/>
        <v/>
      </c>
      <c r="C3055" s="63"/>
      <c r="D3055" s="63"/>
      <c r="E3055" s="63"/>
      <c r="F3055" s="71"/>
      <c r="G3055" s="66"/>
      <c r="H3055" s="71"/>
      <c r="I3055" s="405"/>
      <c r="J3055" s="405"/>
      <c r="K3055" s="398"/>
      <c r="L3055" s="405"/>
      <c r="M3055" s="64"/>
      <c r="N3055" s="65"/>
      <c r="O3055" s="65"/>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row>
    <row r="3056" spans="1:30" ht="15.75" customHeight="1">
      <c r="A3056" s="327" t="str">
        <f>IF(B3056&lt;&gt;"",IF(AND(B3056='IN-TC'!$S$4,OR(TH!N3056="1111",TH!O3056="1111")),TH!D3056,""),"")</f>
        <v/>
      </c>
      <c r="B3056" s="62" t="str">
        <f t="shared" si="389"/>
        <v/>
      </c>
      <c r="C3056" s="63"/>
      <c r="D3056" s="63"/>
      <c r="E3056" s="63"/>
      <c r="F3056" s="71"/>
      <c r="G3056" s="66"/>
      <c r="H3056" s="71"/>
      <c r="I3056" s="405"/>
      <c r="J3056" s="405"/>
      <c r="K3056" s="398"/>
      <c r="L3056" s="405"/>
      <c r="M3056" s="64"/>
      <c r="N3056" s="65"/>
      <c r="O3056" s="65"/>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row>
    <row r="3057" spans="1:30" ht="15.75" customHeight="1">
      <c r="A3057" s="327" t="str">
        <f>IF(B3057&lt;&gt;"",IF(AND(B3057='IN-TC'!$S$4,OR(TH!N3057="1111",TH!O3057="1111")),TH!D3057,""),"")</f>
        <v/>
      </c>
      <c r="B3057" s="62" t="str">
        <f t="shared" si="389"/>
        <v/>
      </c>
      <c r="C3057" s="63"/>
      <c r="D3057" s="63"/>
      <c r="E3057" s="63"/>
      <c r="F3057" s="71"/>
      <c r="G3057" s="66"/>
      <c r="H3057" s="71"/>
      <c r="I3057" s="405"/>
      <c r="J3057" s="405"/>
      <c r="K3057" s="398"/>
      <c r="L3057" s="405"/>
      <c r="M3057" s="64"/>
      <c r="N3057" s="65"/>
      <c r="O3057" s="65"/>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row>
    <row r="3058" spans="1:30" ht="15.75" customHeight="1">
      <c r="A3058" s="327" t="str">
        <f>IF(B3058&lt;&gt;"",IF(AND(B3058='IN-TC'!$S$4,OR(TH!N3058="1111",TH!O3058="1111")),TH!D3058,""),"")</f>
        <v/>
      </c>
      <c r="B3058" s="62" t="str">
        <f t="shared" si="389"/>
        <v/>
      </c>
      <c r="C3058" s="63"/>
      <c r="D3058" s="63"/>
      <c r="E3058" s="63"/>
      <c r="F3058" s="71"/>
      <c r="G3058" s="66"/>
      <c r="H3058" s="72"/>
      <c r="I3058" s="405"/>
      <c r="J3058" s="405"/>
      <c r="K3058" s="398"/>
      <c r="L3058" s="405"/>
      <c r="M3058" s="64"/>
      <c r="N3058" s="65"/>
      <c r="O3058" s="65"/>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row>
    <row r="3059" spans="1:30" ht="15.75" customHeight="1">
      <c r="A3059" s="327" t="str">
        <f>IF(B3059&lt;&gt;"",IF(AND(B3059='IN-TC'!$S$4,OR(TH!N3059="1111",TH!O3059="1111")),TH!D3059,""),"")</f>
        <v/>
      </c>
      <c r="B3059" s="62" t="str">
        <f t="shared" si="389"/>
        <v/>
      </c>
      <c r="C3059" s="63"/>
      <c r="D3059" s="63"/>
      <c r="E3059" s="63"/>
      <c r="F3059" s="71"/>
      <c r="G3059" s="66"/>
      <c r="H3059" s="71"/>
      <c r="I3059" s="407"/>
      <c r="J3059" s="407"/>
      <c r="K3059" s="400"/>
      <c r="L3059" s="407"/>
      <c r="M3059" s="64"/>
      <c r="N3059" s="65"/>
      <c r="O3059" s="65"/>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row>
    <row r="3060" spans="1:30" ht="15.75" customHeight="1">
      <c r="A3060" s="327" t="str">
        <f>IF(B3060&lt;&gt;"",IF(AND(B3060='IN-TC'!$S$4,OR(TH!N3060="1111",TH!O3060="1111")),TH!D3060,""),"")</f>
        <v/>
      </c>
      <c r="B3060" s="62" t="str">
        <f t="shared" si="389"/>
        <v/>
      </c>
      <c r="C3060" s="63"/>
      <c r="D3060" s="63"/>
      <c r="E3060" s="63"/>
      <c r="F3060" s="71"/>
      <c r="G3060" s="66"/>
      <c r="H3060" s="71"/>
      <c r="I3060" s="405"/>
      <c r="J3060" s="405"/>
      <c r="K3060" s="398"/>
      <c r="L3060" s="405"/>
      <c r="M3060" s="64"/>
      <c r="N3060" s="65"/>
      <c r="O3060" s="65"/>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row>
    <row r="3061" spans="1:30" ht="15.75" customHeight="1">
      <c r="A3061" s="327" t="str">
        <f>IF(B3061&lt;&gt;"",IF(AND(B3061='IN-TC'!$S$4,OR(TH!N3061="1111",TH!O3061="1111")),TH!D3061,""),"")</f>
        <v/>
      </c>
      <c r="B3061" s="62" t="str">
        <f t="shared" si="389"/>
        <v/>
      </c>
      <c r="C3061" s="63"/>
      <c r="D3061" s="63"/>
      <c r="E3061" s="63"/>
      <c r="F3061" s="71"/>
      <c r="G3061" s="66"/>
      <c r="H3061" s="71"/>
      <c r="I3061" s="407"/>
      <c r="J3061" s="407"/>
      <c r="K3061" s="400"/>
      <c r="L3061" s="407"/>
      <c r="M3061" s="64"/>
      <c r="N3061" s="65"/>
      <c r="O3061" s="65"/>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row>
    <row r="3062" spans="1:30" ht="15.75" customHeight="1">
      <c r="A3062" s="327" t="str">
        <f>IF(B3062&lt;&gt;"",IF(AND(B3062='IN-TC'!$S$4,OR(TH!N3062="1111",TH!O3062="1111")),TH!D3062,""),"")</f>
        <v/>
      </c>
      <c r="B3062" s="62" t="str">
        <f t="shared" si="389"/>
        <v/>
      </c>
      <c r="C3062" s="63"/>
      <c r="D3062" s="63"/>
      <c r="E3062" s="63"/>
      <c r="F3062" s="71"/>
      <c r="G3062" s="66"/>
      <c r="H3062" s="71"/>
      <c r="I3062" s="405"/>
      <c r="J3062" s="405"/>
      <c r="K3062" s="398"/>
      <c r="L3062" s="405"/>
      <c r="M3062" s="64"/>
      <c r="N3062" s="65"/>
      <c r="O3062" s="65"/>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row>
    <row r="3063" spans="1:30" ht="15.75" customHeight="1">
      <c r="A3063" s="327" t="str">
        <f>IF(B3063&lt;&gt;"",IF(AND(B3063='IN-TC'!$S$4,OR(TH!N3063="1111",TH!O3063="1111")),TH!D3063,""),"")</f>
        <v/>
      </c>
      <c r="B3063" s="62" t="str">
        <f t="shared" si="389"/>
        <v/>
      </c>
      <c r="C3063" s="63"/>
      <c r="D3063" s="63"/>
      <c r="E3063" s="63"/>
      <c r="F3063" s="71"/>
      <c r="G3063" s="66"/>
      <c r="H3063" s="71"/>
      <c r="I3063" s="405"/>
      <c r="J3063" s="405"/>
      <c r="K3063" s="398"/>
      <c r="L3063" s="405"/>
      <c r="M3063" s="64"/>
      <c r="N3063" s="65"/>
      <c r="O3063" s="65"/>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row>
    <row r="3064" spans="1:30" ht="15.75" customHeight="1">
      <c r="A3064" s="327" t="str">
        <f>IF(B3064&lt;&gt;"",IF(AND(B3064='IN-TC'!$S$4,OR(TH!N3064="1111",TH!O3064="1111")),TH!D3064,""),"")</f>
        <v/>
      </c>
      <c r="B3064" s="62" t="str">
        <f t="shared" si="389"/>
        <v/>
      </c>
      <c r="C3064" s="63"/>
      <c r="D3064" s="63"/>
      <c r="E3064" s="63"/>
      <c r="F3064" s="71"/>
      <c r="G3064" s="66"/>
      <c r="H3064" s="71"/>
      <c r="I3064" s="405"/>
      <c r="J3064" s="405"/>
      <c r="K3064" s="398"/>
      <c r="L3064" s="405"/>
      <c r="M3064" s="64"/>
      <c r="N3064" s="65"/>
      <c r="O3064" s="65"/>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row>
    <row r="3065" spans="1:30" ht="15.75" customHeight="1">
      <c r="A3065" s="327" t="str">
        <f>IF(B3065&lt;&gt;"",IF(AND(B3065='IN-TC'!$S$4,OR(TH!N3065="1111",TH!O3065="1111")),TH!D3065,""),"")</f>
        <v/>
      </c>
      <c r="B3065" s="62" t="str">
        <f t="shared" si="389"/>
        <v/>
      </c>
      <c r="C3065" s="63"/>
      <c r="D3065" s="63"/>
      <c r="E3065" s="63"/>
      <c r="F3065" s="71"/>
      <c r="G3065" s="66"/>
      <c r="H3065" s="71"/>
      <c r="I3065" s="405"/>
      <c r="J3065" s="405"/>
      <c r="K3065" s="398"/>
      <c r="L3065" s="405"/>
      <c r="M3065" s="64"/>
      <c r="N3065" s="65"/>
      <c r="O3065" s="65"/>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row>
    <row r="3066" spans="1:30" ht="15.75" customHeight="1">
      <c r="A3066" s="327" t="str">
        <f>IF(B3066&lt;&gt;"",IF(AND(B3066='IN-TC'!$S$4,OR(TH!N3066="1111",TH!O3066="1111")),TH!D3066,""),"")</f>
        <v/>
      </c>
      <c r="B3066" s="62" t="str">
        <f t="shared" si="389"/>
        <v/>
      </c>
      <c r="C3066" s="63"/>
      <c r="D3066" s="63"/>
      <c r="E3066" s="63"/>
      <c r="F3066" s="71"/>
      <c r="G3066" s="66"/>
      <c r="H3066" s="72"/>
      <c r="I3066" s="407"/>
      <c r="J3066" s="407"/>
      <c r="K3066" s="400"/>
      <c r="L3066" s="407"/>
      <c r="M3066" s="64"/>
      <c r="N3066" s="65"/>
      <c r="O3066" s="65"/>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row>
    <row r="3067" spans="1:30" ht="15.75" customHeight="1">
      <c r="A3067" s="327" t="str">
        <f>IF(B3067&lt;&gt;"",IF(AND(B3067='IN-TC'!$S$4,OR(TH!N3067="1111",TH!O3067="1111")),TH!D3067,""),"")</f>
        <v/>
      </c>
      <c r="B3067" s="62" t="str">
        <f t="shared" si="389"/>
        <v/>
      </c>
      <c r="C3067" s="63"/>
      <c r="D3067" s="63"/>
      <c r="E3067" s="63"/>
      <c r="F3067" s="71"/>
      <c r="G3067" s="66"/>
      <c r="H3067" s="71"/>
      <c r="I3067" s="405"/>
      <c r="J3067" s="405"/>
      <c r="K3067" s="398"/>
      <c r="L3067" s="405"/>
      <c r="M3067" s="64"/>
      <c r="N3067" s="65"/>
      <c r="O3067" s="65"/>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0" ht="15.75" customHeight="1">
      <c r="A3068" s="327" t="str">
        <f>IF(B3068&lt;&gt;"",IF(AND(B3068='IN-TC'!$S$4,OR(TH!N3068="1111",TH!O3068="1111")),TH!D3068,""),"")</f>
        <v/>
      </c>
      <c r="B3068" s="62" t="str">
        <f t="shared" si="389"/>
        <v/>
      </c>
      <c r="C3068" s="63"/>
      <c r="D3068" s="63"/>
      <c r="E3068" s="63"/>
      <c r="F3068" s="71"/>
      <c r="G3068" s="66"/>
      <c r="H3068" s="71"/>
      <c r="I3068" s="405"/>
      <c r="J3068" s="405"/>
      <c r="K3068" s="398"/>
      <c r="L3068" s="405"/>
      <c r="M3068" s="64"/>
      <c r="N3068" s="65"/>
      <c r="O3068" s="65"/>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0" ht="15.75" customHeight="1">
      <c r="A3069" s="327" t="str">
        <f>IF(B3069&lt;&gt;"",IF(AND(B3069='IN-TC'!$S$4,OR(TH!N3069="1111",TH!O3069="1111")),TH!D3069,""),"")</f>
        <v/>
      </c>
      <c r="B3069" s="62" t="str">
        <f t="shared" si="389"/>
        <v/>
      </c>
      <c r="C3069" s="63"/>
      <c r="D3069" s="63"/>
      <c r="E3069" s="63"/>
      <c r="F3069" s="71"/>
      <c r="G3069" s="66"/>
      <c r="H3069" s="71"/>
      <c r="I3069" s="405"/>
      <c r="J3069" s="405"/>
      <c r="K3069" s="398"/>
      <c r="L3069" s="405"/>
      <c r="M3069" s="64"/>
      <c r="N3069" s="65"/>
      <c r="O3069" s="65"/>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0" ht="15.75" customHeight="1">
      <c r="A3070" s="327" t="str">
        <f>IF(B3070&lt;&gt;"",IF(AND(B3070='IN-TC'!$S$4,OR(TH!N3070="1111",TH!O3070="1111")),TH!D3070,""),"")</f>
        <v/>
      </c>
      <c r="B3070" s="62" t="str">
        <f t="shared" si="389"/>
        <v/>
      </c>
      <c r="C3070" s="63"/>
      <c r="D3070" s="63"/>
      <c r="E3070" s="63"/>
      <c r="F3070" s="71"/>
      <c r="G3070" s="66"/>
      <c r="H3070" s="71"/>
      <c r="I3070" s="405"/>
      <c r="J3070" s="405"/>
      <c r="K3070" s="398"/>
      <c r="L3070" s="405"/>
      <c r="M3070" s="64"/>
      <c r="N3070" s="65"/>
      <c r="O3070" s="65"/>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row>
    <row r="3071" spans="1:30" ht="15.75" customHeight="1">
      <c r="A3071" s="327" t="str">
        <f>IF(B3071&lt;&gt;"",IF(AND(B3071='IN-TC'!$S$4,OR(TH!N3071="1111",TH!O3071="1111")),TH!D3071,""),"")</f>
        <v/>
      </c>
      <c r="B3071" s="62" t="str">
        <f t="shared" si="389"/>
        <v/>
      </c>
      <c r="C3071" s="63"/>
      <c r="D3071" s="63"/>
      <c r="E3071" s="63"/>
      <c r="F3071" s="71"/>
      <c r="G3071" s="66"/>
      <c r="H3071" s="71"/>
      <c r="I3071" s="407"/>
      <c r="J3071" s="407"/>
      <c r="K3071" s="400"/>
      <c r="L3071" s="407"/>
      <c r="M3071" s="64"/>
      <c r="N3071" s="65"/>
      <c r="O3071" s="65"/>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row>
    <row r="3072" spans="1:30" ht="15.75" customHeight="1">
      <c r="A3072" s="327" t="str">
        <f>IF(B3072&lt;&gt;"",IF(AND(B3072='IN-TC'!$S$4,OR(TH!N3072="1111",TH!O3072="1111")),TH!D3072,""),"")</f>
        <v/>
      </c>
      <c r="B3072" s="62" t="str">
        <f t="shared" si="389"/>
        <v/>
      </c>
      <c r="C3072" s="63"/>
      <c r="D3072" s="63"/>
      <c r="E3072" s="63"/>
      <c r="F3072" s="71"/>
      <c r="G3072" s="66"/>
      <c r="H3072" s="330"/>
      <c r="I3072" s="405"/>
      <c r="J3072" s="405"/>
      <c r="K3072" s="398"/>
      <c r="L3072" s="405"/>
      <c r="M3072" s="64"/>
      <c r="N3072" s="65"/>
      <c r="O3072" s="65"/>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row>
    <row r="3073" spans="1:30" ht="15.75" customHeight="1">
      <c r="A3073" s="327" t="str">
        <f>IF(B3073&lt;&gt;"",IF(AND(B3073='IN-TC'!$S$4,OR(TH!N3073="1111",TH!O3073="1111")),TH!D3073,""),"")</f>
        <v/>
      </c>
      <c r="B3073" s="62" t="str">
        <f t="shared" si="389"/>
        <v/>
      </c>
      <c r="C3073" s="63"/>
      <c r="D3073" s="63"/>
      <c r="E3073" s="63"/>
      <c r="F3073" s="71"/>
      <c r="G3073" s="66"/>
      <c r="H3073" s="330"/>
      <c r="I3073" s="405"/>
      <c r="J3073" s="405"/>
      <c r="K3073" s="398"/>
      <c r="L3073" s="405"/>
      <c r="M3073" s="64"/>
      <c r="N3073" s="65"/>
      <c r="O3073" s="65"/>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row>
    <row r="3074" spans="1:30" ht="15.75" customHeight="1">
      <c r="A3074" s="327" t="str">
        <f>IF(B3074&lt;&gt;"",IF(AND(B3074='IN-TC'!$S$4,OR(TH!N3074="1111",TH!O3074="1111")),TH!D3074,""),"")</f>
        <v/>
      </c>
      <c r="B3074" s="62" t="str">
        <f t="shared" si="389"/>
        <v/>
      </c>
      <c r="C3074" s="63"/>
      <c r="D3074" s="63"/>
      <c r="E3074" s="63"/>
      <c r="F3074" s="71"/>
      <c r="G3074" s="66"/>
      <c r="H3074" s="330"/>
      <c r="I3074" s="405"/>
      <c r="J3074" s="405"/>
      <c r="K3074" s="398"/>
      <c r="L3074" s="405"/>
      <c r="M3074" s="64"/>
      <c r="N3074" s="65"/>
      <c r="O3074" s="65"/>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row>
    <row r="3075" spans="1:30" ht="15.75" customHeight="1">
      <c r="A3075" s="327" t="str">
        <f>IF(B3075&lt;&gt;"",IF(AND(B3075='IN-TC'!$S$4,OR(TH!N3075="1111",TH!O3075="1111")),TH!D3075,""),"")</f>
        <v/>
      </c>
      <c r="B3075" s="62" t="str">
        <f t="shared" si="389"/>
        <v/>
      </c>
      <c r="C3075" s="63"/>
      <c r="D3075" s="63"/>
      <c r="E3075" s="63"/>
      <c r="F3075" s="71"/>
      <c r="G3075" s="66"/>
      <c r="H3075" s="330"/>
      <c r="I3075" s="405"/>
      <c r="J3075" s="405"/>
      <c r="K3075" s="398"/>
      <c r="L3075" s="405"/>
      <c r="M3075" s="64"/>
      <c r="N3075" s="65"/>
      <c r="O3075" s="65"/>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row>
    <row r="3076" spans="1:30" ht="15.75" customHeight="1">
      <c r="A3076" s="327" t="str">
        <f>IF(B3076&lt;&gt;"",IF(AND(B3076='IN-TC'!$S$4,OR(TH!N3076="1111",TH!O3076="1111")),TH!D3076,""),"")</f>
        <v/>
      </c>
      <c r="B3076" s="62" t="str">
        <f t="shared" si="389"/>
        <v/>
      </c>
      <c r="C3076" s="63"/>
      <c r="D3076" s="63"/>
      <c r="E3076" s="63"/>
      <c r="F3076" s="71"/>
      <c r="G3076" s="66"/>
      <c r="H3076" s="330"/>
      <c r="I3076" s="407"/>
      <c r="J3076" s="407"/>
      <c r="K3076" s="400"/>
      <c r="L3076" s="407"/>
      <c r="M3076" s="64"/>
      <c r="N3076" s="65"/>
      <c r="O3076" s="65"/>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row>
    <row r="3077" spans="1:30" ht="15.75" customHeight="1">
      <c r="A3077" s="327" t="str">
        <f>IF(B3077&lt;&gt;"",IF(AND(B3077='IN-TC'!$S$4,OR(TH!N3077="1111",TH!O3077="1111")),TH!D3077,""),"")</f>
        <v/>
      </c>
      <c r="B3077" s="62" t="str">
        <f t="shared" si="389"/>
        <v/>
      </c>
      <c r="C3077" s="63"/>
      <c r="D3077" s="63"/>
      <c r="E3077" s="63"/>
      <c r="F3077" s="71"/>
      <c r="G3077" s="66"/>
      <c r="H3077" s="330"/>
      <c r="I3077" s="405"/>
      <c r="J3077" s="405"/>
      <c r="K3077" s="398"/>
      <c r="L3077" s="405"/>
      <c r="M3077" s="64"/>
      <c r="N3077" s="65"/>
      <c r="O3077" s="65"/>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row>
    <row r="3078" spans="1:30" ht="15.75" customHeight="1">
      <c r="A3078" s="327" t="str">
        <f>IF(B3078&lt;&gt;"",IF(AND(B3078='IN-TC'!$S$4,OR(TH!N3078="1111",TH!O3078="1111")),TH!D3078,""),"")</f>
        <v/>
      </c>
      <c r="B3078" s="62" t="str">
        <f t="shared" si="389"/>
        <v/>
      </c>
      <c r="C3078" s="63"/>
      <c r="D3078" s="63"/>
      <c r="E3078" s="63"/>
      <c r="F3078" s="71"/>
      <c r="G3078" s="66"/>
      <c r="H3078" s="330"/>
      <c r="I3078" s="405"/>
      <c r="J3078" s="405"/>
      <c r="K3078" s="398"/>
      <c r="L3078" s="405"/>
      <c r="M3078" s="64"/>
      <c r="N3078" s="65"/>
      <c r="O3078" s="65"/>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row>
    <row r="3079" spans="1:30" ht="15.75" customHeight="1">
      <c r="A3079" s="327" t="str">
        <f>IF(B3079&lt;&gt;"",IF(AND(B3079='IN-TC'!$S$4,OR(TH!N3079="1111",TH!O3079="1111")),TH!D3079,""),"")</f>
        <v/>
      </c>
      <c r="B3079" s="62" t="str">
        <f t="shared" si="389"/>
        <v/>
      </c>
      <c r="C3079" s="63"/>
      <c r="D3079" s="63"/>
      <c r="E3079" s="63"/>
      <c r="F3079" s="71"/>
      <c r="G3079" s="66"/>
      <c r="H3079" s="330"/>
      <c r="I3079" s="405"/>
      <c r="J3079" s="405"/>
      <c r="K3079" s="398"/>
      <c r="L3079" s="405"/>
      <c r="M3079" s="64"/>
      <c r="N3079" s="65"/>
      <c r="O3079" s="65"/>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row>
    <row r="3080" spans="1:30" ht="15.75" customHeight="1">
      <c r="A3080" s="327" t="str">
        <f>IF(B3080&lt;&gt;"",IF(AND(B3080='IN-TC'!$S$4,OR(TH!N3080="1111",TH!O3080="1111")),TH!D3080,""),"")</f>
        <v/>
      </c>
      <c r="B3080" s="62" t="str">
        <f t="shared" si="389"/>
        <v/>
      </c>
      <c r="C3080" s="63"/>
      <c r="D3080" s="63"/>
      <c r="E3080" s="63"/>
      <c r="F3080" s="71"/>
      <c r="G3080" s="66"/>
      <c r="H3080" s="330"/>
      <c r="I3080" s="405"/>
      <c r="J3080" s="405"/>
      <c r="K3080" s="398"/>
      <c r="L3080" s="405"/>
      <c r="M3080" s="64"/>
      <c r="N3080" s="65"/>
      <c r="O3080" s="65"/>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0" ht="15.75" customHeight="1">
      <c r="A3081" s="327" t="str">
        <f>IF(B3081&lt;&gt;"",IF(AND(B3081='IN-TC'!$S$4,OR(TH!N3081="1111",TH!O3081="1111")),TH!D3081,""),"")</f>
        <v/>
      </c>
      <c r="B3081" s="62" t="str">
        <f t="shared" si="389"/>
        <v/>
      </c>
      <c r="C3081" s="63"/>
      <c r="D3081" s="63"/>
      <c r="E3081" s="63"/>
      <c r="F3081" s="71"/>
      <c r="G3081" s="66"/>
      <c r="H3081" s="330"/>
      <c r="I3081" s="407"/>
      <c r="J3081" s="407"/>
      <c r="K3081" s="400"/>
      <c r="L3081" s="407"/>
      <c r="M3081" s="64"/>
      <c r="N3081" s="65"/>
      <c r="O3081" s="65"/>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0" ht="15.75" customHeight="1">
      <c r="A3082" s="327" t="str">
        <f>IF(B3082&lt;&gt;"",IF(AND(B3082='IN-TC'!$S$4,OR(TH!N3082="1111",TH!O3082="1111")),TH!D3082,""),"")</f>
        <v/>
      </c>
      <c r="B3082" s="62" t="str">
        <f t="shared" si="389"/>
        <v/>
      </c>
      <c r="C3082" s="63"/>
      <c r="D3082" s="63"/>
      <c r="E3082" s="63"/>
      <c r="F3082" s="71"/>
      <c r="G3082" s="66"/>
      <c r="H3082" s="330"/>
      <c r="I3082" s="407"/>
      <c r="J3082" s="407"/>
      <c r="K3082" s="400"/>
      <c r="L3082" s="407"/>
      <c r="M3082" s="64"/>
      <c r="N3082" s="65"/>
      <c r="O3082" s="65"/>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0" ht="15.75" customHeight="1">
      <c r="A3083" s="327" t="str">
        <f>IF(B3083&lt;&gt;"",IF(AND(B3083='IN-TC'!$S$4,OR(TH!N3083="1111",TH!O3083="1111")),TH!D3083,""),"")</f>
        <v/>
      </c>
      <c r="B3083" s="62" t="str">
        <f t="shared" si="389"/>
        <v/>
      </c>
      <c r="C3083" s="63"/>
      <c r="D3083" s="63"/>
      <c r="E3083" s="63"/>
      <c r="F3083" s="71"/>
      <c r="G3083" s="66"/>
      <c r="H3083" s="330"/>
      <c r="I3083" s="405"/>
      <c r="J3083" s="405"/>
      <c r="K3083" s="398"/>
      <c r="L3083" s="405"/>
      <c r="M3083" s="64"/>
      <c r="N3083" s="65"/>
      <c r="O3083" s="65"/>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row>
    <row r="3084" spans="1:30" ht="15.75" customHeight="1">
      <c r="A3084" s="327" t="str">
        <f>IF(B3084&lt;&gt;"",IF(AND(B3084='IN-TC'!$S$4,OR(TH!N3084="1111",TH!O3084="1111")),TH!D3084,""),"")</f>
        <v/>
      </c>
      <c r="B3084" s="62" t="str">
        <f t="shared" si="389"/>
        <v/>
      </c>
      <c r="C3084" s="63"/>
      <c r="D3084" s="63"/>
      <c r="E3084" s="63"/>
      <c r="F3084" s="71"/>
      <c r="G3084" s="66"/>
      <c r="H3084" s="330"/>
      <c r="I3084" s="405"/>
      <c r="J3084" s="405"/>
      <c r="K3084" s="398"/>
      <c r="L3084" s="405"/>
      <c r="M3084" s="64"/>
      <c r="N3084" s="65"/>
      <c r="O3084" s="65"/>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
      </c>
      <c r="V3084" s="81" t="str">
        <f>IF(ISERROR(FIND('112'!$M$9,G3084,1)),"",IF((AND(RIGHT(G3084,2)=RIGHT('112'!$M$9,2),B3084&lt;'112'!$K$9,$O3084='112'!$I$6)),"x",""))</f>
        <v/>
      </c>
      <c r="W3084" s="81" t="str">
        <f>IF(AND('341-CT'!$H$9=H3084,OR(LEFT(N3084,3)=$W$7,LEFT(O3084,3)=$W$7)),"x","")</f>
        <v/>
      </c>
      <c r="X3084" s="81" t="str">
        <f>IF(OR(TH!N3084=TH!$X$7,O3084=TH!$X$7),"x","")</f>
        <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row>
    <row r="3085" spans="1:30" ht="15.75" customHeight="1">
      <c r="A3085" s="327" t="str">
        <f>IF(B3085&lt;&gt;"",IF(AND(B3085='IN-TC'!$S$4,OR(TH!N3085="1111",TH!O3085="1111")),TH!D3085,""),"")</f>
        <v/>
      </c>
      <c r="B3085" s="62" t="str">
        <f t="shared" si="389"/>
        <v/>
      </c>
      <c r="C3085" s="63"/>
      <c r="D3085" s="63"/>
      <c r="E3085" s="63"/>
      <c r="F3085" s="71"/>
      <c r="G3085" s="66"/>
      <c r="H3085" s="330"/>
      <c r="I3085" s="405"/>
      <c r="J3085" s="405"/>
      <c r="K3085" s="398"/>
      <c r="L3085" s="405"/>
      <c r="M3085" s="64"/>
      <c r="N3085" s="65"/>
      <c r="O3085" s="65"/>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0" ht="15.75" customHeight="1">
      <c r="A3086" s="327" t="str">
        <f>IF(B3086&lt;&gt;"",IF(AND(B3086='IN-TC'!$S$4,OR(TH!N3086="1111",TH!O3086="1111")),TH!D3086,""),"")</f>
        <v/>
      </c>
      <c r="B3086" s="62" t="str">
        <f t="shared" si="389"/>
        <v/>
      </c>
      <c r="C3086" s="63"/>
      <c r="D3086" s="63"/>
      <c r="E3086" s="63"/>
      <c r="F3086" s="71"/>
      <c r="G3086" s="66"/>
      <c r="H3086" s="330"/>
      <c r="I3086" s="405"/>
      <c r="J3086" s="405"/>
      <c r="K3086" s="398"/>
      <c r="L3086" s="405"/>
      <c r="M3086" s="64"/>
      <c r="N3086" s="65"/>
      <c r="O3086" s="65"/>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0" ht="15.75" customHeight="1">
      <c r="A3087" s="327" t="str">
        <f>IF(B3087&lt;&gt;"",IF(AND(B3087='IN-TC'!$S$4,OR(TH!N3087="1111",TH!O3087="1111")),TH!D3087,""),"")</f>
        <v/>
      </c>
      <c r="B3087" s="62" t="str">
        <f t="shared" si="389"/>
        <v/>
      </c>
      <c r="C3087" s="63"/>
      <c r="D3087" s="63"/>
      <c r="E3087" s="63"/>
      <c r="F3087" s="71"/>
      <c r="G3087" s="66"/>
      <c r="H3087" s="330"/>
      <c r="I3087" s="407"/>
      <c r="J3087" s="407"/>
      <c r="K3087" s="400"/>
      <c r="L3087" s="407"/>
      <c r="M3087" s="64"/>
      <c r="N3087" s="65"/>
      <c r="O3087" s="65"/>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0" ht="15.75" customHeight="1">
      <c r="A3088" s="327" t="str">
        <f>IF(B3088&lt;&gt;"",IF(AND(B3088='IN-TC'!$S$4,OR(TH!N3088="1111",TH!O3088="1111")),TH!D3088,""),"")</f>
        <v/>
      </c>
      <c r="B3088" s="62" t="str">
        <f t="shared" si="389"/>
        <v/>
      </c>
      <c r="C3088" s="63"/>
      <c r="D3088" s="63"/>
      <c r="E3088" s="63"/>
      <c r="F3088" s="71"/>
      <c r="G3088" s="66"/>
      <c r="H3088" s="330"/>
      <c r="I3088" s="405"/>
      <c r="J3088" s="405"/>
      <c r="K3088" s="398"/>
      <c r="L3088" s="405"/>
      <c r="M3088" s="64"/>
      <c r="N3088" s="65"/>
      <c r="O3088" s="65"/>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0" ht="15.75" customHeight="1">
      <c r="A3089" s="327" t="str">
        <f>IF(B3089&lt;&gt;"",IF(AND(B3089='IN-TC'!$S$4,OR(TH!N3089="1111",TH!O3089="1111")),TH!D3089,""),"")</f>
        <v/>
      </c>
      <c r="B3089" s="62" t="str">
        <f t="shared" si="389"/>
        <v/>
      </c>
      <c r="C3089" s="63"/>
      <c r="D3089" s="63"/>
      <c r="E3089" s="63"/>
      <c r="F3089" s="71"/>
      <c r="G3089" s="66"/>
      <c r="H3089" s="330"/>
      <c r="I3089" s="405"/>
      <c r="J3089" s="405"/>
      <c r="K3089" s="398"/>
      <c r="L3089" s="405"/>
      <c r="M3089" s="64"/>
      <c r="N3089" s="65"/>
      <c r="O3089" s="65"/>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0" ht="15.75" customHeight="1">
      <c r="A3090" s="327" t="str">
        <f>IF(B3090&lt;&gt;"",IF(AND(B3090='IN-TC'!$S$4,OR(TH!N3090="1111",TH!O3090="1111")),TH!D3090,""),"")</f>
        <v/>
      </c>
      <c r="B3090" s="62" t="str">
        <f t="shared" si="389"/>
        <v/>
      </c>
      <c r="C3090" s="63"/>
      <c r="D3090" s="63"/>
      <c r="E3090" s="63"/>
      <c r="F3090" s="71"/>
      <c r="G3090" s="66"/>
      <c r="H3090" s="330"/>
      <c r="I3090" s="405"/>
      <c r="J3090" s="405"/>
      <c r="K3090" s="398"/>
      <c r="L3090" s="405"/>
      <c r="M3090" s="64"/>
      <c r="N3090" s="65"/>
      <c r="O3090" s="65"/>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0" ht="15.75" customHeight="1">
      <c r="A3091" s="327" t="str">
        <f>IF(B3091&lt;&gt;"",IF(AND(B3091='IN-TC'!$S$4,OR(TH!N3091="1111",TH!O3091="1111")),TH!D3091,""),"")</f>
        <v/>
      </c>
      <c r="B3091" s="62" t="str">
        <f t="shared" si="389"/>
        <v/>
      </c>
      <c r="C3091" s="63"/>
      <c r="D3091" s="63"/>
      <c r="E3091" s="63"/>
      <c r="F3091" s="71"/>
      <c r="G3091" s="66"/>
      <c r="H3091" s="330"/>
      <c r="I3091" s="405"/>
      <c r="J3091" s="405"/>
      <c r="K3091" s="398"/>
      <c r="L3091" s="405"/>
      <c r="M3091" s="64"/>
      <c r="N3091" s="65"/>
      <c r="O3091" s="65"/>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0" ht="15.75" customHeight="1">
      <c r="A3092" s="327" t="str">
        <f>IF(B3092&lt;&gt;"",IF(AND(B3092='IN-TC'!$S$4,OR(TH!N3092="1111",TH!O3092="1111")),TH!D3092,""),"")</f>
        <v/>
      </c>
      <c r="B3092" s="62" t="str">
        <f t="shared" si="389"/>
        <v/>
      </c>
      <c r="C3092" s="63"/>
      <c r="D3092" s="63"/>
      <c r="E3092" s="63"/>
      <c r="F3092" s="71"/>
      <c r="G3092" s="66"/>
      <c r="H3092" s="330"/>
      <c r="I3092" s="407"/>
      <c r="J3092" s="407"/>
      <c r="K3092" s="400"/>
      <c r="L3092" s="407"/>
      <c r="M3092" s="64"/>
      <c r="N3092" s="65"/>
      <c r="O3092" s="65"/>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0" ht="15.75" customHeight="1">
      <c r="A3093" s="327" t="str">
        <f>IF(B3093&lt;&gt;"",IF(AND(B3093='IN-TC'!$S$4,OR(TH!N3093="1111",TH!O3093="1111")),TH!D3093,""),"")</f>
        <v/>
      </c>
      <c r="B3093" s="62" t="str">
        <f t="shared" si="389"/>
        <v/>
      </c>
      <c r="C3093" s="63"/>
      <c r="D3093" s="63"/>
      <c r="E3093" s="63"/>
      <c r="F3093" s="71"/>
      <c r="G3093" s="816"/>
      <c r="H3093" s="71"/>
      <c r="I3093" s="405"/>
      <c r="J3093" s="405"/>
      <c r="K3093" s="398"/>
      <c r="L3093" s="405"/>
      <c r="M3093" s="64"/>
      <c r="N3093" s="65"/>
      <c r="O3093" s="65"/>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0" ht="15.75" customHeight="1">
      <c r="A3094" s="327" t="str">
        <f>IF(B3094&lt;&gt;"",IF(AND(B3094='IN-TC'!$S$4,OR(TH!N3094="1111",TH!O3094="1111")),TH!D3094,""),"")</f>
        <v/>
      </c>
      <c r="B3094" s="62" t="str">
        <f t="shared" ref="B3094:B3157" si="390">IF(C3094&lt;&gt;"",MONTH(C3094),"")</f>
        <v/>
      </c>
      <c r="C3094" s="63"/>
      <c r="D3094" s="63"/>
      <c r="E3094" s="63"/>
      <c r="F3094" s="71"/>
      <c r="G3094" s="816"/>
      <c r="H3094" s="71"/>
      <c r="I3094" s="405"/>
      <c r="J3094" s="405"/>
      <c r="K3094" s="398"/>
      <c r="L3094" s="405"/>
      <c r="M3094" s="64"/>
      <c r="N3094" s="65"/>
      <c r="O3094" s="65"/>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0" ht="15.75" customHeight="1">
      <c r="A3095" s="327" t="str">
        <f>IF(B3095&lt;&gt;"",IF(AND(B3095='IN-TC'!$S$4,OR(TH!N3095="1111",TH!O3095="1111")),TH!D3095,""),"")</f>
        <v/>
      </c>
      <c r="B3095" s="62" t="str">
        <f t="shared" si="390"/>
        <v/>
      </c>
      <c r="C3095" s="63"/>
      <c r="D3095" s="63"/>
      <c r="E3095" s="63"/>
      <c r="F3095" s="71"/>
      <c r="G3095" s="816"/>
      <c r="H3095" s="71"/>
      <c r="I3095" s="405"/>
      <c r="J3095" s="405"/>
      <c r="K3095" s="398"/>
      <c r="L3095" s="405"/>
      <c r="M3095" s="64"/>
      <c r="N3095" s="65"/>
      <c r="O3095" s="65"/>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0" ht="15.75" customHeight="1">
      <c r="A3096" s="327" t="str">
        <f>IF(B3096&lt;&gt;"",IF(AND(B3096='IN-TC'!$S$4,OR(TH!N3096="1111",TH!O3096="1111")),TH!D3096,""),"")</f>
        <v/>
      </c>
      <c r="B3096" s="62" t="str">
        <f t="shared" si="390"/>
        <v/>
      </c>
      <c r="C3096" s="63"/>
      <c r="D3096" s="63"/>
      <c r="E3096" s="63"/>
      <c r="F3096" s="71"/>
      <c r="G3096" s="816"/>
      <c r="H3096" s="71"/>
      <c r="I3096" s="405"/>
      <c r="J3096" s="405"/>
      <c r="K3096" s="398"/>
      <c r="L3096" s="405"/>
      <c r="M3096" s="64"/>
      <c r="N3096" s="65"/>
      <c r="O3096" s="65"/>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row>
    <row r="3097" spans="1:30" ht="15.75" customHeight="1">
      <c r="A3097" s="327" t="str">
        <f>IF(B3097&lt;&gt;"",IF(AND(B3097='IN-TC'!$S$4,OR(TH!N3097="1111",TH!O3097="1111")),TH!D3097,""),"")</f>
        <v/>
      </c>
      <c r="B3097" s="62" t="str">
        <f t="shared" si="390"/>
        <v/>
      </c>
      <c r="C3097" s="63"/>
      <c r="D3097" s="63"/>
      <c r="E3097" s="63"/>
      <c r="F3097" s="71"/>
      <c r="G3097" s="816"/>
      <c r="H3097" s="71"/>
      <c r="I3097" s="405"/>
      <c r="J3097" s="405"/>
      <c r="K3097" s="398"/>
      <c r="L3097" s="405"/>
      <c r="M3097" s="64"/>
      <c r="N3097" s="65"/>
      <c r="O3097" s="65"/>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
      </c>
      <c r="W3097" s="81" t="str">
        <f>IF(AND('341-CT'!$H$9=H3097,OR(LEFT(N3097,3)=$W$7,LEFT(O3097,3)=$W$7)),"x","")</f>
        <v/>
      </c>
      <c r="X3097" s="81" t="str">
        <f>IF(OR(TH!N3097=TH!$X$7,O3097=TH!$X$7),"x","")</f>
        <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row>
    <row r="3098" spans="1:30" ht="15.75" customHeight="1">
      <c r="A3098" s="327" t="str">
        <f>IF(B3098&lt;&gt;"",IF(AND(B3098='IN-TC'!$S$4,OR(TH!N3098="1111",TH!O3098="1111")),TH!D3098,""),"")</f>
        <v/>
      </c>
      <c r="B3098" s="62" t="str">
        <f t="shared" si="390"/>
        <v/>
      </c>
      <c r="C3098" s="63"/>
      <c r="D3098" s="63"/>
      <c r="E3098" s="63"/>
      <c r="F3098" s="71"/>
      <c r="G3098" s="816"/>
      <c r="H3098" s="71"/>
      <c r="I3098" s="405"/>
      <c r="J3098" s="405"/>
      <c r="K3098" s="398"/>
      <c r="L3098" s="405"/>
      <c r="M3098" s="64"/>
      <c r="N3098" s="65"/>
      <c r="O3098" s="65"/>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0" ht="15.75" customHeight="1">
      <c r="A3099" s="327" t="str">
        <f>IF(B3099&lt;&gt;"",IF(AND(B3099='IN-TC'!$S$4,OR(TH!N3099="1111",TH!O3099="1111")),TH!D3099,""),"")</f>
        <v/>
      </c>
      <c r="B3099" s="62" t="str">
        <f t="shared" si="390"/>
        <v/>
      </c>
      <c r="C3099" s="63"/>
      <c r="D3099" s="63"/>
      <c r="E3099" s="63"/>
      <c r="F3099" s="71"/>
      <c r="G3099" s="816"/>
      <c r="H3099" s="71"/>
      <c r="I3099" s="405"/>
      <c r="J3099" s="405"/>
      <c r="K3099" s="398"/>
      <c r="L3099" s="405"/>
      <c r="M3099" s="64"/>
      <c r="N3099" s="65"/>
      <c r="O3099" s="65"/>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0" ht="15.75" customHeight="1">
      <c r="A3100" s="327" t="str">
        <f>IF(B3100&lt;&gt;"",IF(AND(B3100='IN-TC'!$S$4,OR(TH!N3100="1111",TH!O3100="1111")),TH!D3100,""),"")</f>
        <v/>
      </c>
      <c r="B3100" s="62" t="str">
        <f t="shared" si="390"/>
        <v/>
      </c>
      <c r="C3100" s="63"/>
      <c r="D3100" s="63"/>
      <c r="E3100" s="63"/>
      <c r="F3100" s="71"/>
      <c r="G3100" s="816"/>
      <c r="H3100" s="71"/>
      <c r="I3100" s="405"/>
      <c r="J3100" s="405"/>
      <c r="K3100" s="398"/>
      <c r="L3100" s="405"/>
      <c r="M3100" s="64"/>
      <c r="N3100" s="65"/>
      <c r="O3100" s="65"/>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0" ht="15.75" customHeight="1">
      <c r="A3101" s="327" t="str">
        <f>IF(B3101&lt;&gt;"",IF(AND(B3101='IN-TC'!$S$4,OR(TH!N3101="1111",TH!O3101="1111")),TH!D3101,""),"")</f>
        <v/>
      </c>
      <c r="B3101" s="62" t="str">
        <f t="shared" si="390"/>
        <v/>
      </c>
      <c r="C3101" s="63"/>
      <c r="D3101" s="63"/>
      <c r="E3101" s="63"/>
      <c r="F3101" s="71"/>
      <c r="G3101" s="816"/>
      <c r="H3101" s="71"/>
      <c r="I3101" s="405"/>
      <c r="J3101" s="405"/>
      <c r="K3101" s="398"/>
      <c r="L3101" s="405"/>
      <c r="M3101" s="64"/>
      <c r="N3101" s="65"/>
      <c r="O3101" s="65"/>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0" ht="15.75" customHeight="1">
      <c r="A3102" s="327" t="str">
        <f>IF(B3102&lt;&gt;"",IF(AND(B3102='IN-TC'!$S$4,OR(TH!N3102="1111",TH!O3102="1111")),TH!D3102,""),"")</f>
        <v/>
      </c>
      <c r="B3102" s="62" t="str">
        <f t="shared" si="390"/>
        <v/>
      </c>
      <c r="C3102" s="63"/>
      <c r="D3102" s="63"/>
      <c r="E3102" s="63"/>
      <c r="F3102" s="71"/>
      <c r="G3102" s="816"/>
      <c r="H3102" s="71"/>
      <c r="I3102" s="405"/>
      <c r="J3102" s="405"/>
      <c r="K3102" s="398"/>
      <c r="L3102" s="405"/>
      <c r="M3102" s="64"/>
      <c r="N3102" s="65"/>
      <c r="O3102" s="65"/>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0" ht="15.75" customHeight="1">
      <c r="A3103" s="327" t="str">
        <f>IF(B3103&lt;&gt;"",IF(AND(B3103='IN-TC'!$S$4,OR(TH!N3103="1111",TH!O3103="1111")),TH!D3103,""),"")</f>
        <v/>
      </c>
      <c r="B3103" s="62" t="str">
        <f t="shared" si="390"/>
        <v/>
      </c>
      <c r="C3103" s="63"/>
      <c r="D3103" s="63"/>
      <c r="E3103" s="63"/>
      <c r="F3103" s="71"/>
      <c r="G3103" s="816"/>
      <c r="H3103" s="71"/>
      <c r="I3103" s="405"/>
      <c r="J3103" s="405"/>
      <c r="K3103" s="398"/>
      <c r="L3103" s="405"/>
      <c r="M3103" s="64"/>
      <c r="N3103" s="65"/>
      <c r="O3103" s="65"/>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0" ht="15.75" customHeight="1">
      <c r="A3104" s="327" t="str">
        <f>IF(B3104&lt;&gt;"",IF(AND(B3104='IN-TC'!$S$4,OR(TH!N3104="1111",TH!O3104="1111")),TH!D3104,""),"")</f>
        <v/>
      </c>
      <c r="B3104" s="62" t="str">
        <f t="shared" si="390"/>
        <v/>
      </c>
      <c r="C3104" s="63"/>
      <c r="D3104" s="63"/>
      <c r="E3104" s="63"/>
      <c r="F3104" s="71"/>
      <c r="G3104" s="816"/>
      <c r="H3104" s="71"/>
      <c r="I3104" s="405"/>
      <c r="J3104" s="405"/>
      <c r="K3104" s="398"/>
      <c r="L3104" s="405"/>
      <c r="M3104" s="64"/>
      <c r="N3104" s="65"/>
      <c r="O3104" s="65"/>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ht="15.75" customHeight="1">
      <c r="A3105" s="327" t="str">
        <f>IF(B3105&lt;&gt;"",IF(AND(B3105='IN-TC'!$S$4,OR(TH!N3105="1111",TH!O3105="1111")),TH!D3105,""),"")</f>
        <v/>
      </c>
      <c r="B3105" s="62" t="str">
        <f t="shared" si="390"/>
        <v/>
      </c>
      <c r="C3105" s="63"/>
      <c r="D3105" s="63"/>
      <c r="E3105" s="63"/>
      <c r="F3105" s="477"/>
      <c r="G3105" s="66"/>
      <c r="H3105" s="71"/>
      <c r="I3105" s="405"/>
      <c r="J3105" s="405"/>
      <c r="K3105" s="398"/>
      <c r="L3105" s="405"/>
      <c r="M3105" s="64"/>
      <c r="N3105" s="65"/>
      <c r="O3105" s="65"/>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ht="15.75" customHeight="1">
      <c r="A3106" s="327" t="str">
        <f>IF(B3106&lt;&gt;"",IF(AND(B3106='IN-TC'!$S$4,OR(TH!N3106="1111",TH!O3106="1111")),TH!D3106,""),"")</f>
        <v/>
      </c>
      <c r="B3106" s="62" t="str">
        <f t="shared" si="390"/>
        <v/>
      </c>
      <c r="C3106" s="63"/>
      <c r="D3106" s="63"/>
      <c r="E3106" s="63"/>
      <c r="F3106" s="477"/>
      <c r="G3106" s="66"/>
      <c r="H3106" s="71"/>
      <c r="I3106" s="405"/>
      <c r="J3106" s="405"/>
      <c r="K3106" s="398"/>
      <c r="L3106" s="405"/>
      <c r="M3106" s="64"/>
      <c r="N3106" s="65"/>
      <c r="O3106" s="65"/>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ht="15.75" customHeight="1">
      <c r="A3107" s="327" t="str">
        <f>IF(B3107&lt;&gt;"",IF(AND(B3107='IN-TC'!$S$4,OR(TH!N3107="1111",TH!O3107="1111")),TH!D3107,""),"")</f>
        <v/>
      </c>
      <c r="B3107" s="62" t="str">
        <f t="shared" si="390"/>
        <v/>
      </c>
      <c r="C3107" s="63"/>
      <c r="D3107" s="63"/>
      <c r="E3107" s="63"/>
      <c r="F3107" s="71"/>
      <c r="G3107" s="816"/>
      <c r="H3107" s="71"/>
      <c r="I3107" s="405"/>
      <c r="J3107" s="405"/>
      <c r="K3107" s="398"/>
      <c r="L3107" s="405"/>
      <c r="M3107" s="64"/>
      <c r="N3107" s="65"/>
      <c r="O3107" s="65"/>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ht="15.75" customHeight="1">
      <c r="A3108" s="327" t="str">
        <f>IF(B3108&lt;&gt;"",IF(AND(B3108='IN-TC'!$S$4,OR(TH!N3108="1111",TH!O3108="1111")),TH!D3108,""),"")</f>
        <v/>
      </c>
      <c r="B3108" s="62" t="str">
        <f t="shared" si="390"/>
        <v/>
      </c>
      <c r="C3108" s="63"/>
      <c r="D3108" s="63"/>
      <c r="E3108" s="63"/>
      <c r="F3108" s="71"/>
      <c r="G3108" s="816"/>
      <c r="H3108" s="71"/>
      <c r="I3108" s="405"/>
      <c r="J3108" s="405"/>
      <c r="K3108" s="398"/>
      <c r="L3108" s="405"/>
      <c r="M3108" s="64"/>
      <c r="N3108" s="65"/>
      <c r="O3108" s="65"/>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ht="15.75" customHeight="1">
      <c r="A3109" s="327" t="str">
        <f>IF(B3109&lt;&gt;"",IF(AND(B3109='IN-TC'!$S$4,OR(TH!N3109="1111",TH!O3109="1111")),TH!D3109,""),"")</f>
        <v/>
      </c>
      <c r="B3109" s="62" t="str">
        <f t="shared" si="390"/>
        <v/>
      </c>
      <c r="C3109" s="63"/>
      <c r="D3109" s="63"/>
      <c r="E3109" s="63"/>
      <c r="F3109" s="71"/>
      <c r="G3109" s="816"/>
      <c r="H3109" s="71"/>
      <c r="I3109" s="405"/>
      <c r="J3109" s="405"/>
      <c r="K3109" s="398"/>
      <c r="L3109" s="405"/>
      <c r="M3109" s="64"/>
      <c r="N3109" s="65"/>
      <c r="O3109" s="65"/>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ht="15.75" customHeight="1">
      <c r="A3110" s="327" t="str">
        <f>IF(B3110&lt;&gt;"",IF(AND(B3110='IN-TC'!$S$4,OR(TH!N3110="1111",TH!O3110="1111")),TH!D3110,""),"")</f>
        <v/>
      </c>
      <c r="B3110" s="62" t="str">
        <f t="shared" si="390"/>
        <v/>
      </c>
      <c r="C3110" s="63"/>
      <c r="D3110" s="63"/>
      <c r="E3110" s="63"/>
      <c r="F3110" s="71"/>
      <c r="G3110" s="816"/>
      <c r="H3110" s="311"/>
      <c r="I3110" s="405"/>
      <c r="J3110" s="405"/>
      <c r="K3110" s="398"/>
      <c r="L3110" s="405"/>
      <c r="M3110" s="64"/>
      <c r="N3110" s="65"/>
      <c r="O3110" s="65"/>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ht="15.75" customHeight="1">
      <c r="A3111" s="327" t="str">
        <f>IF(B3111&lt;&gt;"",IF(AND(B3111='IN-TC'!$S$4,OR(TH!N3111="1111",TH!O3111="1111")),TH!D3111,""),"")</f>
        <v/>
      </c>
      <c r="B3111" s="62" t="str">
        <f t="shared" si="390"/>
        <v/>
      </c>
      <c r="C3111" s="63"/>
      <c r="D3111" s="63"/>
      <c r="E3111" s="63"/>
      <c r="F3111" s="71"/>
      <c r="G3111" s="816"/>
      <c r="H3111" s="311"/>
      <c r="I3111" s="405"/>
      <c r="J3111" s="405"/>
      <c r="K3111" s="398"/>
      <c r="L3111" s="405"/>
      <c r="M3111" s="64"/>
      <c r="N3111" s="65"/>
      <c r="O3111" s="65"/>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ht="15.75" customHeight="1">
      <c r="A3112" s="327" t="str">
        <f>IF(B3112&lt;&gt;"",IF(AND(B3112='IN-TC'!$S$4,OR(TH!N3112="1111",TH!O3112="1111")),TH!D3112,""),"")</f>
        <v/>
      </c>
      <c r="B3112" s="62" t="str">
        <f t="shared" si="390"/>
        <v/>
      </c>
      <c r="C3112" s="63"/>
      <c r="D3112" s="63"/>
      <c r="E3112" s="63"/>
      <c r="F3112" s="71"/>
      <c r="G3112" s="816"/>
      <c r="H3112" s="71"/>
      <c r="I3112" s="405"/>
      <c r="J3112" s="405"/>
      <c r="K3112" s="398"/>
      <c r="L3112" s="405"/>
      <c r="M3112" s="64"/>
      <c r="N3112" s="65"/>
      <c r="O3112" s="65"/>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ht="15.75" customHeight="1">
      <c r="A3113" s="327" t="str">
        <f>IF(B3113&lt;&gt;"",IF(AND(B3113='IN-TC'!$S$4,OR(TH!N3113="1111",TH!O3113="1111")),TH!D3113,""),"")</f>
        <v/>
      </c>
      <c r="B3113" s="62" t="str">
        <f t="shared" si="390"/>
        <v/>
      </c>
      <c r="C3113" s="63"/>
      <c r="D3113" s="63"/>
      <c r="E3113" s="63"/>
      <c r="F3113" s="71"/>
      <c r="G3113" s="816"/>
      <c r="H3113" s="71"/>
      <c r="I3113" s="405"/>
      <c r="J3113" s="405"/>
      <c r="K3113" s="398"/>
      <c r="L3113" s="405"/>
      <c r="M3113" s="64"/>
      <c r="N3113" s="65"/>
      <c r="O3113" s="65"/>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ht="15.75" customHeight="1">
      <c r="A3114" s="327" t="str">
        <f>IF(B3114&lt;&gt;"",IF(AND(B3114='IN-TC'!$S$4,OR(TH!N3114="1111",TH!O3114="1111")),TH!D3114,""),"")</f>
        <v/>
      </c>
      <c r="B3114" s="62" t="str">
        <f t="shared" si="390"/>
        <v/>
      </c>
      <c r="C3114" s="63"/>
      <c r="D3114" s="63"/>
      <c r="E3114" s="63"/>
      <c r="F3114" s="71"/>
      <c r="G3114" s="816"/>
      <c r="H3114" s="71"/>
      <c r="I3114" s="405"/>
      <c r="J3114" s="405"/>
      <c r="K3114" s="398"/>
      <c r="L3114" s="405"/>
      <c r="M3114" s="64"/>
      <c r="N3114" s="65"/>
      <c r="O3114" s="65"/>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ht="15.75" customHeight="1">
      <c r="A3115" s="327" t="str">
        <f>IF(B3115&lt;&gt;"",IF(AND(B3115='IN-TC'!$S$4,OR(TH!N3115="1111",TH!O3115="1111")),TH!D3115,""),"")</f>
        <v/>
      </c>
      <c r="B3115" s="62" t="str">
        <f t="shared" si="390"/>
        <v/>
      </c>
      <c r="C3115" s="63"/>
      <c r="D3115" s="63"/>
      <c r="E3115" s="63"/>
      <c r="F3115" s="71"/>
      <c r="G3115" s="816"/>
      <c r="H3115" s="71"/>
      <c r="I3115" s="405"/>
      <c r="J3115" s="405"/>
      <c r="K3115" s="398"/>
      <c r="L3115" s="405"/>
      <c r="M3115" s="64"/>
      <c r="N3115" s="65"/>
      <c r="O3115" s="65"/>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ht="15.75" customHeight="1">
      <c r="A3116" s="327" t="str">
        <f>IF(B3116&lt;&gt;"",IF(AND(B3116='IN-TC'!$S$4,OR(TH!N3116="1111",TH!O3116="1111")),TH!D3116,""),"")</f>
        <v/>
      </c>
      <c r="B3116" s="62" t="str">
        <f t="shared" si="390"/>
        <v/>
      </c>
      <c r="C3116" s="63"/>
      <c r="D3116" s="63"/>
      <c r="E3116" s="63"/>
      <c r="F3116" s="71"/>
      <c r="G3116" s="816"/>
      <c r="H3116" s="311"/>
      <c r="I3116" s="405"/>
      <c r="J3116" s="405"/>
      <c r="K3116" s="398"/>
      <c r="L3116" s="405"/>
      <c r="M3116" s="64"/>
      <c r="N3116" s="65"/>
      <c r="O3116" s="65"/>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ht="15.75" customHeight="1">
      <c r="A3117" s="327" t="str">
        <f>IF(B3117&lt;&gt;"",IF(AND(B3117='IN-TC'!$S$4,OR(TH!N3117="1111",TH!O3117="1111")),TH!D3117,""),"")</f>
        <v/>
      </c>
      <c r="B3117" s="62" t="str">
        <f t="shared" si="390"/>
        <v/>
      </c>
      <c r="C3117" s="63"/>
      <c r="D3117" s="63"/>
      <c r="E3117" s="63"/>
      <c r="F3117" s="71"/>
      <c r="G3117" s="816"/>
      <c r="H3117" s="311"/>
      <c r="I3117" s="405"/>
      <c r="J3117" s="405"/>
      <c r="K3117" s="398"/>
      <c r="L3117" s="405"/>
      <c r="M3117" s="64"/>
      <c r="N3117" s="65"/>
      <c r="O3117" s="65"/>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ht="15.75" customHeight="1">
      <c r="A3118" s="327" t="str">
        <f>IF(B3118&lt;&gt;"",IF(AND(B3118='IN-TC'!$S$4,OR(TH!N3118="1111",TH!O3118="1111")),TH!D3118,""),"")</f>
        <v/>
      </c>
      <c r="B3118" s="62" t="str">
        <f t="shared" si="390"/>
        <v/>
      </c>
      <c r="C3118" s="63"/>
      <c r="D3118" s="63"/>
      <c r="E3118" s="63"/>
      <c r="F3118" s="71"/>
      <c r="G3118" s="816"/>
      <c r="H3118" s="71"/>
      <c r="I3118" s="405"/>
      <c r="J3118" s="405"/>
      <c r="K3118" s="398"/>
      <c r="L3118" s="405"/>
      <c r="M3118" s="64"/>
      <c r="N3118" s="65"/>
      <c r="O3118" s="65"/>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ht="15.75" customHeight="1">
      <c r="A3119" s="327" t="str">
        <f>IF(B3119&lt;&gt;"",IF(AND(B3119='IN-TC'!$S$4,OR(TH!N3119="1111",TH!O3119="1111")),TH!D3119,""),"")</f>
        <v/>
      </c>
      <c r="B3119" s="62" t="str">
        <f t="shared" si="390"/>
        <v/>
      </c>
      <c r="C3119" s="63"/>
      <c r="D3119" s="63"/>
      <c r="E3119" s="63"/>
      <c r="F3119" s="71"/>
      <c r="G3119" s="816"/>
      <c r="H3119" s="71"/>
      <c r="I3119" s="405"/>
      <c r="J3119" s="405"/>
      <c r="K3119" s="398"/>
      <c r="L3119" s="405"/>
      <c r="M3119" s="64"/>
      <c r="N3119" s="65"/>
      <c r="O3119" s="65"/>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ht="15.75" customHeight="1">
      <c r="A3120" s="327" t="str">
        <f>IF(B3120&lt;&gt;"",IF(AND(B3120='IN-TC'!$S$4,OR(TH!N3120="1111",TH!O3120="1111")),TH!D3120,""),"")</f>
        <v/>
      </c>
      <c r="B3120" s="62" t="str">
        <f t="shared" si="390"/>
        <v/>
      </c>
      <c r="C3120" s="63"/>
      <c r="D3120" s="63"/>
      <c r="E3120" s="63"/>
      <c r="F3120" s="71"/>
      <c r="G3120" s="816"/>
      <c r="H3120" s="71"/>
      <c r="I3120" s="405"/>
      <c r="J3120" s="405"/>
      <c r="K3120" s="398"/>
      <c r="L3120" s="405"/>
      <c r="M3120" s="64"/>
      <c r="N3120" s="65"/>
      <c r="O3120" s="65"/>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
      </c>
      <c r="V3120" s="81" t="str">
        <f>IF(ISERROR(FIND('112'!$M$9,G3120,1)),"",IF((AND(RIGHT(G3120,2)=RIGHT('112'!$M$9,2),B3120&lt;'112'!$K$9,$O3120='112'!$I$6)),"x",""))</f>
        <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0" ht="17.25" customHeight="1">
      <c r="A3121" s="327" t="str">
        <f>IF(B3121&lt;&gt;"",IF(AND(B3121='IN-TC'!$S$4,OR(TH!N3121="1111",TH!O3121="1111")),TH!D3121,""),"")</f>
        <v/>
      </c>
      <c r="B3121" s="62" t="str">
        <f t="shared" si="390"/>
        <v/>
      </c>
      <c r="C3121" s="63"/>
      <c r="D3121" s="63"/>
      <c r="E3121" s="63"/>
      <c r="F3121" s="71"/>
      <c r="G3121" s="816"/>
      <c r="H3121" s="71"/>
      <c r="I3121" s="405"/>
      <c r="J3121" s="405"/>
      <c r="K3121" s="398"/>
      <c r="L3121" s="405"/>
      <c r="M3121" s="64"/>
      <c r="N3121" s="312"/>
      <c r="O3121" s="65"/>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row>
    <row r="3122" spans="1:30" ht="15.75" customHeight="1">
      <c r="A3122" s="327" t="str">
        <f>IF(B3122&lt;&gt;"",IF(AND(B3122='IN-TC'!$S$4,OR(TH!N3122="1111",TH!O3122="1111")),TH!D3122,""),"")</f>
        <v/>
      </c>
      <c r="B3122" s="62" t="str">
        <f t="shared" si="390"/>
        <v/>
      </c>
      <c r="C3122" s="63"/>
      <c r="D3122" s="63"/>
      <c r="E3122" s="63"/>
      <c r="F3122" s="71"/>
      <c r="G3122" s="816"/>
      <c r="H3122" s="71"/>
      <c r="I3122" s="405"/>
      <c r="J3122" s="405"/>
      <c r="K3122" s="398"/>
      <c r="L3122" s="405"/>
      <c r="M3122" s="64"/>
      <c r="N3122" s="65"/>
      <c r="O3122" s="65"/>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
      </c>
      <c r="W3122" s="81" t="str">
        <f>IF(AND('341-CT'!$H$9=H3122,OR(LEFT(N3122,3)=$W$7,LEFT(O3122,3)=$W$7)),"x","")</f>
        <v/>
      </c>
      <c r="X3122" s="81" t="str">
        <f>IF(OR(TH!N3122=TH!$X$7,O3122=TH!$X$7),"x","")</f>
        <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row>
    <row r="3123" spans="1:30" ht="15.75" customHeight="1">
      <c r="A3123" s="327" t="str">
        <f>IF(B3123&lt;&gt;"",IF(AND(B3123='IN-TC'!$S$4,OR(TH!N3123="1111",TH!O3123="1111")),TH!D3123,""),"")</f>
        <v/>
      </c>
      <c r="B3123" s="62" t="str">
        <f t="shared" si="390"/>
        <v/>
      </c>
      <c r="C3123" s="63"/>
      <c r="D3123" s="63"/>
      <c r="E3123" s="63"/>
      <c r="F3123" s="71"/>
      <c r="G3123" s="816"/>
      <c r="H3123" s="71"/>
      <c r="I3123" s="405"/>
      <c r="J3123" s="405"/>
      <c r="K3123" s="398"/>
      <c r="L3123" s="405"/>
      <c r="M3123" s="64"/>
      <c r="N3123" s="65"/>
      <c r="O3123" s="65"/>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
      </c>
      <c r="V3123" s="81" t="str">
        <f>IF(ISERROR(FIND('112'!$M$9,G3123,1)),"",IF((AND(RIGHT(G3123,2)=RIGHT('112'!$M$9,2),B3123&lt;'112'!$K$9,$O3123='112'!$I$6)),"x",""))</f>
        <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0" ht="15.75" customHeight="1">
      <c r="A3124" s="327" t="str">
        <f>IF(B3124&lt;&gt;"",IF(AND(B3124='IN-TC'!$S$4,OR(TH!N3124="1111",TH!O3124="1111")),TH!D3124,""),"")</f>
        <v/>
      </c>
      <c r="B3124" s="62" t="str">
        <f t="shared" si="390"/>
        <v/>
      </c>
      <c r="C3124" s="63"/>
      <c r="D3124" s="63"/>
      <c r="E3124" s="63"/>
      <c r="F3124" s="71"/>
      <c r="G3124" s="816"/>
      <c r="H3124" s="71"/>
      <c r="I3124" s="405"/>
      <c r="J3124" s="405"/>
      <c r="K3124" s="398"/>
      <c r="L3124" s="405"/>
      <c r="M3124" s="64"/>
      <c r="N3124" s="65"/>
      <c r="O3124" s="65"/>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
      </c>
      <c r="V3124" s="81" t="str">
        <f>IF(ISERROR(FIND('112'!$M$9,G3124,1)),"",IF((AND(RIGHT(G3124,2)=RIGHT('112'!$M$9,2),B3124&lt;'112'!$K$9,$O3124='112'!$I$6)),"x",""))</f>
        <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0" ht="15.75" customHeight="1">
      <c r="A3125" s="327" t="str">
        <f>IF(B3125&lt;&gt;"",IF(AND(B3125='IN-TC'!$S$4,OR(TH!N3125="1111",TH!O3125="1111")),TH!D3125,""),"")</f>
        <v/>
      </c>
      <c r="B3125" s="62" t="str">
        <f t="shared" si="390"/>
        <v/>
      </c>
      <c r="C3125" s="63"/>
      <c r="D3125" s="63"/>
      <c r="E3125" s="63"/>
      <c r="F3125" s="71"/>
      <c r="G3125" s="816"/>
      <c r="H3125" s="71"/>
      <c r="I3125" s="405"/>
      <c r="J3125" s="405"/>
      <c r="K3125" s="398"/>
      <c r="L3125" s="405"/>
      <c r="M3125" s="64"/>
      <c r="N3125" s="65"/>
      <c r="O3125" s="65"/>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0" ht="15.75" customHeight="1">
      <c r="A3126" s="327" t="str">
        <f>IF(B3126&lt;&gt;"",IF(AND(B3126='IN-TC'!$S$4,OR(TH!N3126="1111",TH!O3126="1111")),TH!D3126,""),"")</f>
        <v/>
      </c>
      <c r="B3126" s="62" t="str">
        <f t="shared" si="390"/>
        <v/>
      </c>
      <c r="C3126" s="63"/>
      <c r="D3126" s="63"/>
      <c r="E3126" s="63"/>
      <c r="F3126" s="331"/>
      <c r="G3126" s="816"/>
      <c r="H3126" s="71"/>
      <c r="I3126" s="407"/>
      <c r="J3126" s="407"/>
      <c r="K3126" s="400"/>
      <c r="L3126" s="405"/>
      <c r="M3126" s="64"/>
      <c r="N3126" s="65"/>
      <c r="O3126" s="65"/>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
      </c>
      <c r="V3126" s="81" t="str">
        <f>IF(ISERROR(FIND('112'!$M$9,G3126,1)),"",IF((AND(RIGHT(G3126,2)=RIGHT('112'!$M$9,2),B3126&lt;'112'!$K$9,$O3126='112'!$I$6)),"x",""))</f>
        <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row>
    <row r="3127" spans="1:30" ht="15.75" customHeight="1">
      <c r="A3127" s="327" t="str">
        <f>IF(B3127&lt;&gt;"",IF(AND(B3127='IN-TC'!$S$4,OR(TH!N3127="1111",TH!O3127="1111")),TH!D3127,""),"")</f>
        <v/>
      </c>
      <c r="B3127" s="62" t="str">
        <f t="shared" si="390"/>
        <v/>
      </c>
      <c r="C3127" s="63"/>
      <c r="D3127" s="63"/>
      <c r="E3127" s="63"/>
      <c r="F3127" s="477"/>
      <c r="G3127" s="816"/>
      <c r="H3127" s="71"/>
      <c r="I3127" s="405"/>
      <c r="J3127" s="405"/>
      <c r="K3127" s="398"/>
      <c r="L3127" s="405"/>
      <c r="M3127" s="64"/>
      <c r="N3127" s="65"/>
      <c r="O3127" s="65"/>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
      </c>
      <c r="W3127" s="81" t="str">
        <f>IF(AND('341-CT'!$H$9=H3127,OR(LEFT(N3127,3)=$W$7,LEFT(O3127,3)=$W$7)),"x","")</f>
        <v/>
      </c>
      <c r="X3127" s="81" t="str">
        <f>IF(OR(TH!N3127=TH!$X$7,O3127=TH!$X$7),"x","")</f>
        <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row>
    <row r="3128" spans="1:30" ht="15.75" customHeight="1">
      <c r="A3128" s="327" t="str">
        <f>IF(B3128&lt;&gt;"",IF(AND(B3128='IN-TC'!$S$4,OR(TH!N3128="1111",TH!O3128="1111")),TH!D3128,""),"")</f>
        <v/>
      </c>
      <c r="B3128" s="62" t="str">
        <f t="shared" si="390"/>
        <v/>
      </c>
      <c r="C3128" s="63"/>
      <c r="D3128" s="63"/>
      <c r="E3128" s="63"/>
      <c r="F3128" s="477"/>
      <c r="G3128" s="816"/>
      <c r="H3128" s="71"/>
      <c r="I3128" s="405"/>
      <c r="J3128" s="405"/>
      <c r="K3128" s="398"/>
      <c r="L3128" s="405"/>
      <c r="M3128" s="64"/>
      <c r="N3128" s="65"/>
      <c r="O3128" s="65"/>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0" ht="15.75" customHeight="1">
      <c r="A3129" s="327" t="str">
        <f>IF(B3129&lt;&gt;"",IF(AND(B3129='IN-TC'!$S$4,OR(TH!N3129="1111",TH!O3129="1111")),TH!D3129,""),"")</f>
        <v/>
      </c>
      <c r="B3129" s="62" t="str">
        <f t="shared" si="390"/>
        <v/>
      </c>
      <c r="C3129" s="63"/>
      <c r="D3129" s="63"/>
      <c r="E3129" s="63"/>
      <c r="F3129" s="477"/>
      <c r="G3129" s="816"/>
      <c r="H3129" s="71"/>
      <c r="I3129" s="405"/>
      <c r="J3129" s="405"/>
      <c r="K3129" s="398"/>
      <c r="L3129" s="405"/>
      <c r="M3129" s="64"/>
      <c r="N3129" s="65"/>
      <c r="O3129" s="65"/>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row>
    <row r="3130" spans="1:30" ht="15.75" customHeight="1">
      <c r="A3130" s="327" t="str">
        <f>IF(B3130&lt;&gt;"",IF(AND(B3130='IN-TC'!$S$4,OR(TH!N3130="1111",TH!O3130="1111")),TH!D3130,""),"")</f>
        <v/>
      </c>
      <c r="B3130" s="62" t="str">
        <f t="shared" si="390"/>
        <v/>
      </c>
      <c r="C3130" s="63"/>
      <c r="D3130" s="63"/>
      <c r="E3130" s="63"/>
      <c r="F3130" s="477"/>
      <c r="G3130" s="816"/>
      <c r="H3130" s="71"/>
      <c r="I3130" s="405"/>
      <c r="J3130" s="405"/>
      <c r="K3130" s="398"/>
      <c r="L3130" s="405"/>
      <c r="M3130" s="64"/>
      <c r="N3130" s="65"/>
      <c r="O3130" s="65"/>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
      </c>
      <c r="W3130" s="81" t="str">
        <f>IF(AND('341-CT'!$H$9=H3130,OR(LEFT(N3130,3)=$W$7,LEFT(O3130,3)=$W$7)),"x","")</f>
        <v/>
      </c>
      <c r="X3130" s="81" t="str">
        <f>IF(OR(TH!N3130=TH!$X$7,O3130=TH!$X$7),"x","")</f>
        <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row>
    <row r="3131" spans="1:30" ht="15.75" customHeight="1">
      <c r="A3131" s="327" t="str">
        <f>IF(B3131&lt;&gt;"",IF(AND(B3131='IN-TC'!$S$4,OR(TH!N3131="1111",TH!O3131="1111")),TH!D3131,""),"")</f>
        <v/>
      </c>
      <c r="B3131" s="62" t="str">
        <f t="shared" si="390"/>
        <v/>
      </c>
      <c r="C3131" s="63"/>
      <c r="D3131" s="63"/>
      <c r="E3131" s="63"/>
      <c r="F3131" s="71"/>
      <c r="G3131" s="816"/>
      <c r="H3131" s="71"/>
      <c r="I3131" s="405"/>
      <c r="J3131" s="405"/>
      <c r="K3131" s="398"/>
      <c r="L3131" s="405"/>
      <c r="M3131" s="64"/>
      <c r="N3131" s="65"/>
      <c r="O3131" s="65"/>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0" ht="15.75" customHeight="1">
      <c r="A3132" s="327" t="str">
        <f>IF(B3132&lt;&gt;"",IF(AND(B3132='IN-TC'!$S$4,OR(TH!N3132="1111",TH!O3132="1111")),TH!D3132,""),"")</f>
        <v/>
      </c>
      <c r="B3132" s="62" t="str">
        <f t="shared" si="390"/>
        <v/>
      </c>
      <c r="C3132" s="63"/>
      <c r="D3132" s="63"/>
      <c r="E3132" s="63"/>
      <c r="F3132" s="71"/>
      <c r="G3132" s="816"/>
      <c r="H3132" s="71"/>
      <c r="I3132" s="405"/>
      <c r="J3132" s="405"/>
      <c r="K3132" s="398"/>
      <c r="L3132" s="405"/>
      <c r="M3132" s="64"/>
      <c r="N3132" s="312"/>
      <c r="O3132" s="65"/>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
      </c>
      <c r="V3132" s="81" t="str">
        <f>IF(ISERROR(FIND('112'!$M$9,G3132,1)),"",IF((AND(RIGHT(G3132,2)=RIGHT('112'!$M$9,2),B3132&lt;'112'!$K$9,$O3132='112'!$I$6)),"x",""))</f>
        <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row>
    <row r="3133" spans="1:30" ht="15.75" customHeight="1">
      <c r="A3133" s="327" t="str">
        <f>IF(B3133&lt;&gt;"",IF(AND(B3133='IN-TC'!$S$4,OR(TH!N3133="1111",TH!O3133="1111")),TH!D3133,""),"")</f>
        <v/>
      </c>
      <c r="B3133" s="62" t="str">
        <f t="shared" si="390"/>
        <v/>
      </c>
      <c r="C3133" s="63"/>
      <c r="D3133" s="63"/>
      <c r="E3133" s="63"/>
      <c r="F3133" s="71"/>
      <c r="G3133" s="816"/>
      <c r="H3133" s="71"/>
      <c r="I3133" s="405"/>
      <c r="J3133" s="405"/>
      <c r="K3133" s="398"/>
      <c r="L3133" s="405"/>
      <c r="M3133" s="64"/>
      <c r="N3133" s="65"/>
      <c r="O3133" s="65"/>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
      </c>
      <c r="W3133" s="81" t="str">
        <f>IF(AND('341-CT'!$H$9=H3133,OR(LEFT(N3133,3)=$W$7,LEFT(O3133,3)=$W$7)),"x","")</f>
        <v/>
      </c>
      <c r="X3133" s="81" t="str">
        <f>IF(OR(TH!N3133=TH!$X$7,O3133=TH!$X$7),"x","")</f>
        <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row>
    <row r="3134" spans="1:30" ht="15.75" customHeight="1">
      <c r="A3134" s="327" t="str">
        <f>IF(B3134&lt;&gt;"",IF(AND(B3134='IN-TC'!$S$4,OR(TH!N3134="1111",TH!O3134="1111")),TH!D3134,""),"")</f>
        <v/>
      </c>
      <c r="B3134" s="62" t="str">
        <f t="shared" si="390"/>
        <v/>
      </c>
      <c r="C3134" s="63"/>
      <c r="D3134" s="63"/>
      <c r="E3134" s="63"/>
      <c r="F3134" s="71"/>
      <c r="G3134" s="816"/>
      <c r="H3134" s="71"/>
      <c r="I3134" s="405"/>
      <c r="J3134" s="405"/>
      <c r="K3134" s="398"/>
      <c r="L3134" s="405"/>
      <c r="M3134" s="64"/>
      <c r="N3134" s="65"/>
      <c r="O3134" s="65"/>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row>
    <row r="3135" spans="1:30" ht="15.75" customHeight="1">
      <c r="A3135" s="327" t="str">
        <f>IF(B3135&lt;&gt;"",IF(AND(B3135='IN-TC'!$S$4,OR(TH!N3135="1111",TH!O3135="1111")),TH!D3135,""),"")</f>
        <v/>
      </c>
      <c r="B3135" s="62" t="str">
        <f t="shared" si="390"/>
        <v/>
      </c>
      <c r="C3135" s="63"/>
      <c r="D3135" s="63"/>
      <c r="E3135" s="63"/>
      <c r="F3135" s="71"/>
      <c r="G3135" s="816"/>
      <c r="H3135" s="71"/>
      <c r="I3135" s="405"/>
      <c r="J3135" s="405"/>
      <c r="K3135" s="398"/>
      <c r="L3135" s="405"/>
      <c r="M3135" s="64"/>
      <c r="N3135" s="65"/>
      <c r="O3135" s="65"/>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
      </c>
      <c r="W3135" s="81" t="str">
        <f>IF(AND('341-CT'!$H$9=H3135,OR(LEFT(N3135,3)=$W$7,LEFT(O3135,3)=$W$7)),"x","")</f>
        <v/>
      </c>
      <c r="X3135" s="81" t="str">
        <f>IF(OR(TH!N3135=TH!$X$7,O3135=TH!$X$7),"x","")</f>
        <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row>
    <row r="3136" spans="1:30" ht="15.75" customHeight="1">
      <c r="A3136" s="327" t="str">
        <f>IF(B3136&lt;&gt;"",IF(AND(B3136='IN-TC'!$S$4,OR(TH!N3136="1111",TH!O3136="1111")),TH!D3136,""),"")</f>
        <v/>
      </c>
      <c r="B3136" s="62" t="str">
        <f t="shared" si="390"/>
        <v/>
      </c>
      <c r="C3136" s="63"/>
      <c r="D3136" s="63"/>
      <c r="E3136" s="63"/>
      <c r="F3136" s="71"/>
      <c r="G3136" s="816"/>
      <c r="H3136" s="71"/>
      <c r="I3136" s="405"/>
      <c r="J3136" s="405"/>
      <c r="K3136" s="398"/>
      <c r="L3136" s="405"/>
      <c r="M3136" s="64"/>
      <c r="N3136" s="65"/>
      <c r="O3136" s="65"/>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
      </c>
      <c r="W3136" s="81" t="str">
        <f>IF(AND('341-CT'!$H$9=H3136,OR(LEFT(N3136,3)=$W$7,LEFT(O3136,3)=$W$7)),"x","")</f>
        <v/>
      </c>
      <c r="X3136" s="81" t="str">
        <f>IF(OR(TH!N3136=TH!$X$7,O3136=TH!$X$7),"x","")</f>
        <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row>
    <row r="3137" spans="1:30" ht="15.75" customHeight="1">
      <c r="A3137" s="327" t="str">
        <f>IF(B3137&lt;&gt;"",IF(AND(B3137='IN-TC'!$S$4,OR(TH!N3137="1111",TH!O3137="1111")),TH!D3137,""),"")</f>
        <v/>
      </c>
      <c r="B3137" s="62" t="str">
        <f t="shared" si="390"/>
        <v/>
      </c>
      <c r="C3137" s="63"/>
      <c r="D3137" s="63"/>
      <c r="E3137" s="63"/>
      <c r="F3137" s="71"/>
      <c r="G3137" s="816"/>
      <c r="H3137" s="330"/>
      <c r="I3137" s="405"/>
      <c r="J3137" s="405"/>
      <c r="K3137" s="398"/>
      <c r="L3137" s="405"/>
      <c r="M3137" s="64"/>
      <c r="N3137" s="65"/>
      <c r="O3137" s="65"/>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row>
    <row r="3138" spans="1:30" ht="15.75" customHeight="1">
      <c r="A3138" s="327" t="str">
        <f>IF(B3138&lt;&gt;"",IF(AND(B3138='IN-TC'!$S$4,OR(TH!N3138="1111",TH!O3138="1111")),TH!D3138,""),"")</f>
        <v/>
      </c>
      <c r="B3138" s="62" t="str">
        <f t="shared" si="390"/>
        <v/>
      </c>
      <c r="C3138" s="63"/>
      <c r="D3138" s="63"/>
      <c r="E3138" s="63"/>
      <c r="F3138" s="71"/>
      <c r="G3138" s="816"/>
      <c r="H3138" s="330"/>
      <c r="I3138" s="405"/>
      <c r="J3138" s="405"/>
      <c r="K3138" s="398"/>
      <c r="L3138" s="405"/>
      <c r="M3138" s="64"/>
      <c r="N3138" s="65"/>
      <c r="O3138" s="65"/>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
      </c>
      <c r="W3138" s="81" t="str">
        <f>IF(AND('341-CT'!$H$9=H3138,OR(LEFT(N3138,3)=$W$7,LEFT(O3138,3)=$W$7)),"x","")</f>
        <v/>
      </c>
      <c r="X3138" s="81" t="str">
        <f>IF(OR(TH!N3138=TH!$X$7,O3138=TH!$X$7),"x","")</f>
        <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row>
    <row r="3139" spans="1:30" ht="15.75" customHeight="1">
      <c r="A3139" s="327" t="str">
        <f>IF(B3139&lt;&gt;"",IF(AND(B3139='IN-TC'!$S$4,OR(TH!N3139="1111",TH!O3139="1111")),TH!D3139,""),"")</f>
        <v/>
      </c>
      <c r="B3139" s="62" t="str">
        <f t="shared" si="390"/>
        <v/>
      </c>
      <c r="C3139" s="63"/>
      <c r="D3139" s="63"/>
      <c r="E3139" s="63"/>
      <c r="F3139" s="71"/>
      <c r="G3139" s="816"/>
      <c r="H3139" s="330"/>
      <c r="I3139" s="405"/>
      <c r="J3139" s="405"/>
      <c r="K3139" s="398"/>
      <c r="L3139" s="405"/>
      <c r="M3139" s="64"/>
      <c r="N3139" s="65"/>
      <c r="O3139" s="65"/>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row>
    <row r="3140" spans="1:30" ht="15.75" customHeight="1">
      <c r="A3140" s="327" t="str">
        <f>IF(B3140&lt;&gt;"",IF(AND(B3140='IN-TC'!$S$4,OR(TH!N3140="1111",TH!O3140="1111")),TH!D3140,""),"")</f>
        <v/>
      </c>
      <c r="B3140" s="62" t="str">
        <f t="shared" si="390"/>
        <v/>
      </c>
      <c r="C3140" s="63"/>
      <c r="D3140" s="63"/>
      <c r="E3140" s="63"/>
      <c r="F3140" s="71"/>
      <c r="G3140" s="816"/>
      <c r="H3140" s="330"/>
      <c r="I3140" s="405"/>
      <c r="J3140" s="405"/>
      <c r="K3140" s="398"/>
      <c r="L3140" s="405"/>
      <c r="M3140" s="64"/>
      <c r="N3140" s="65"/>
      <c r="O3140" s="65"/>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
      </c>
      <c r="W3140" s="81" t="str">
        <f>IF(AND('341-CT'!$H$9=H3140,OR(LEFT(N3140,3)=$W$7,LEFT(O3140,3)=$W$7)),"x","")</f>
        <v/>
      </c>
      <c r="X3140" s="81" t="str">
        <f>IF(OR(TH!N3140=TH!$X$7,O3140=TH!$X$7),"x","")</f>
        <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row>
    <row r="3141" spans="1:30" ht="15.75" customHeight="1">
      <c r="A3141" s="327" t="str">
        <f>IF(B3141&lt;&gt;"",IF(AND(B3141='IN-TC'!$S$4,OR(TH!N3141="1111",TH!O3141="1111")),TH!D3141,""),"")</f>
        <v/>
      </c>
      <c r="B3141" s="62" t="str">
        <f t="shared" si="390"/>
        <v/>
      </c>
      <c r="C3141" s="63"/>
      <c r="D3141" s="63"/>
      <c r="E3141" s="63"/>
      <c r="F3141" s="71"/>
      <c r="G3141" s="816"/>
      <c r="H3141" s="330"/>
      <c r="I3141" s="405"/>
      <c r="J3141" s="405"/>
      <c r="K3141" s="398"/>
      <c r="L3141" s="405"/>
      <c r="M3141" s="64"/>
      <c r="N3141" s="312"/>
      <c r="O3141" s="65"/>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0" ht="15.75" customHeight="1">
      <c r="A3142" s="327" t="str">
        <f>IF(B3142&lt;&gt;"",IF(AND(B3142='IN-TC'!$S$4,OR(TH!N3142="1111",TH!O3142="1111")),TH!D3142,""),"")</f>
        <v/>
      </c>
      <c r="B3142" s="62" t="str">
        <f t="shared" si="390"/>
        <v/>
      </c>
      <c r="C3142" s="63"/>
      <c r="D3142" s="63"/>
      <c r="E3142" s="63"/>
      <c r="F3142" s="71"/>
      <c r="G3142" s="816"/>
      <c r="H3142" s="71"/>
      <c r="I3142" s="405"/>
      <c r="J3142" s="405"/>
      <c r="K3142" s="398"/>
      <c r="L3142" s="405"/>
      <c r="M3142" s="64"/>
      <c r="N3142" s="65"/>
      <c r="O3142" s="65"/>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row>
    <row r="3143" spans="1:30" ht="15.75" customHeight="1">
      <c r="A3143" s="327" t="str">
        <f>IF(B3143&lt;&gt;"",IF(AND(B3143='IN-TC'!$S$4,OR(TH!N3143="1111",TH!O3143="1111")),TH!D3143,""),"")</f>
        <v/>
      </c>
      <c r="B3143" s="62" t="str">
        <f t="shared" si="390"/>
        <v/>
      </c>
      <c r="C3143" s="63"/>
      <c r="D3143" s="63"/>
      <c r="E3143" s="63"/>
      <c r="F3143" s="71"/>
      <c r="G3143" s="816"/>
      <c r="H3143" s="71"/>
      <c r="I3143" s="405"/>
      <c r="J3143" s="405"/>
      <c r="K3143" s="398"/>
      <c r="L3143" s="405"/>
      <c r="M3143" s="64"/>
      <c r="N3143" s="65"/>
      <c r="O3143" s="65"/>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
      </c>
      <c r="W3143" s="81" t="str">
        <f>IF(AND('341-CT'!$H$9=H3143,OR(LEFT(N3143,3)=$W$7,LEFT(O3143,3)=$W$7)),"x","")</f>
        <v/>
      </c>
      <c r="X3143" s="81" t="str">
        <f>IF(OR(TH!N3143=TH!$X$7,O3143=TH!$X$7),"x","")</f>
        <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row>
    <row r="3144" spans="1:30" ht="15.75" customHeight="1">
      <c r="A3144" s="327" t="str">
        <f>IF(B3144&lt;&gt;"",IF(AND(B3144='IN-TC'!$S$4,OR(TH!N3144="1111",TH!O3144="1111")),TH!D3144,""),"")</f>
        <v/>
      </c>
      <c r="B3144" s="62" t="str">
        <f t="shared" si="390"/>
        <v/>
      </c>
      <c r="C3144" s="63"/>
      <c r="D3144" s="63"/>
      <c r="E3144" s="63"/>
      <c r="F3144" s="71"/>
      <c r="G3144" s="816"/>
      <c r="H3144" s="71"/>
      <c r="I3144" s="405"/>
      <c r="J3144" s="405"/>
      <c r="K3144" s="398"/>
      <c r="L3144" s="405"/>
      <c r="M3144" s="64"/>
      <c r="N3144" s="65"/>
      <c r="O3144" s="65"/>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0" ht="15.75" customHeight="1">
      <c r="A3145" s="327" t="str">
        <f>IF(B3145&lt;&gt;"",IF(AND(B3145='IN-TC'!$S$4,OR(TH!N3145="1111",TH!O3145="1111")),TH!D3145,""),"")</f>
        <v/>
      </c>
      <c r="B3145" s="62" t="str">
        <f t="shared" si="390"/>
        <v/>
      </c>
      <c r="C3145" s="63"/>
      <c r="D3145" s="63"/>
      <c r="E3145" s="63"/>
      <c r="F3145" s="71"/>
      <c r="G3145" s="816"/>
      <c r="H3145" s="977"/>
      <c r="I3145" s="405"/>
      <c r="J3145" s="405"/>
      <c r="K3145" s="398"/>
      <c r="L3145" s="405"/>
      <c r="M3145" s="64"/>
      <c r="N3145" s="65"/>
      <c r="O3145" s="65"/>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row>
    <row r="3146" spans="1:30" ht="15.75" customHeight="1">
      <c r="A3146" s="327" t="str">
        <f>IF(B3146&lt;&gt;"",IF(AND(B3146='IN-TC'!$S$4,OR(TH!N3146="1111",TH!O3146="1111")),TH!D3146,""),"")</f>
        <v/>
      </c>
      <c r="B3146" s="62" t="str">
        <f t="shared" si="390"/>
        <v/>
      </c>
      <c r="C3146" s="63"/>
      <c r="D3146" s="63"/>
      <c r="E3146" s="63"/>
      <c r="F3146" s="71"/>
      <c r="G3146" s="816"/>
      <c r="H3146" s="977"/>
      <c r="I3146" s="405"/>
      <c r="J3146" s="405"/>
      <c r="K3146" s="398"/>
      <c r="L3146" s="405"/>
      <c r="M3146" s="64"/>
      <c r="N3146" s="65"/>
      <c r="O3146" s="65"/>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
      </c>
      <c r="W3146" s="81" t="str">
        <f>IF(AND('341-CT'!$H$9=H3146,OR(LEFT(N3146,3)=$W$7,LEFT(O3146,3)=$W$7)),"x","")</f>
        <v/>
      </c>
      <c r="X3146" s="81" t="str">
        <f>IF(OR(TH!N3146=TH!$X$7,O3146=TH!$X$7),"x","")</f>
        <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row>
    <row r="3147" spans="1:30" ht="15.75" customHeight="1">
      <c r="A3147" s="327" t="str">
        <f>IF(B3147&lt;&gt;"",IF(AND(B3147='IN-TC'!$S$4,OR(TH!N3147="1111",TH!O3147="1111")),TH!D3147,""),"")</f>
        <v/>
      </c>
      <c r="B3147" s="62" t="str">
        <f t="shared" si="390"/>
        <v/>
      </c>
      <c r="C3147" s="63"/>
      <c r="D3147" s="63"/>
      <c r="E3147" s="63"/>
      <c r="F3147" s="71"/>
      <c r="G3147" s="816"/>
      <c r="H3147" s="977"/>
      <c r="I3147" s="405"/>
      <c r="J3147" s="405"/>
      <c r="K3147" s="398"/>
      <c r="L3147" s="405"/>
      <c r="M3147" s="64"/>
      <c r="N3147" s="65"/>
      <c r="O3147" s="65"/>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
      </c>
      <c r="W3147" s="81" t="str">
        <f>IF(AND('341-CT'!$H$9=H3147,OR(LEFT(N3147,3)=$W$7,LEFT(O3147,3)=$W$7)),"x","")</f>
        <v/>
      </c>
      <c r="X3147" s="81" t="str">
        <f>IF(OR(TH!N3147=TH!$X$7,O3147=TH!$X$7),"x","")</f>
        <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row>
    <row r="3148" spans="1:30" ht="15.75" customHeight="1">
      <c r="A3148" s="327" t="str">
        <f>IF(B3148&lt;&gt;"",IF(AND(B3148='IN-TC'!$S$4,OR(TH!N3148="1111",TH!O3148="1111")),TH!D3148,""),"")</f>
        <v/>
      </c>
      <c r="B3148" s="62" t="str">
        <f t="shared" si="390"/>
        <v/>
      </c>
      <c r="C3148" s="63"/>
      <c r="D3148" s="63"/>
      <c r="E3148" s="63"/>
      <c r="F3148" s="71"/>
      <c r="G3148" s="816"/>
      <c r="H3148" s="977"/>
      <c r="I3148" s="405"/>
      <c r="J3148" s="405"/>
      <c r="K3148" s="398"/>
      <c r="L3148" s="405"/>
      <c r="M3148" s="64"/>
      <c r="N3148" s="65"/>
      <c r="O3148" s="65"/>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row>
    <row r="3149" spans="1:30" ht="15.75" customHeight="1">
      <c r="A3149" s="327" t="str">
        <f>IF(B3149&lt;&gt;"",IF(AND(B3149='IN-TC'!$S$4,OR(TH!N3149="1111",TH!O3149="1111")),TH!D3149,""),"")</f>
        <v/>
      </c>
      <c r="B3149" s="62" t="str">
        <f t="shared" si="390"/>
        <v/>
      </c>
      <c r="C3149" s="63"/>
      <c r="D3149" s="63"/>
      <c r="E3149" s="63"/>
      <c r="F3149" s="71"/>
      <c r="G3149" s="816"/>
      <c r="H3149" s="977"/>
      <c r="I3149" s="405"/>
      <c r="J3149" s="405"/>
      <c r="K3149" s="398"/>
      <c r="L3149" s="405"/>
      <c r="M3149" s="64"/>
      <c r="N3149" s="65"/>
      <c r="O3149" s="65"/>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
      </c>
      <c r="W3149" s="81" t="str">
        <f>IF(AND('341-CT'!$H$9=H3149,OR(LEFT(N3149,3)=$W$7,LEFT(O3149,3)=$W$7)),"x","")</f>
        <v/>
      </c>
      <c r="X3149" s="81" t="str">
        <f>IF(OR(TH!N3149=TH!$X$7,O3149=TH!$X$7),"x","")</f>
        <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row>
    <row r="3150" spans="1:30" ht="15.75" customHeight="1">
      <c r="A3150" s="327" t="str">
        <f>IF(B3150&lt;&gt;"",IF(AND(B3150='IN-TC'!$S$4,OR(TH!N3150="1111",TH!O3150="1111")),TH!D3150,""),"")</f>
        <v/>
      </c>
      <c r="B3150" s="62" t="str">
        <f t="shared" si="390"/>
        <v/>
      </c>
      <c r="C3150" s="63"/>
      <c r="D3150" s="63"/>
      <c r="E3150" s="63"/>
      <c r="F3150" s="71"/>
      <c r="G3150" s="816"/>
      <c r="H3150" s="71"/>
      <c r="I3150" s="405"/>
      <c r="J3150" s="405"/>
      <c r="K3150" s="398"/>
      <c r="L3150" s="405"/>
      <c r="M3150" s="64"/>
      <c r="N3150" s="65"/>
      <c r="O3150" s="65"/>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row>
    <row r="3151" spans="1:30" ht="15.75" customHeight="1">
      <c r="A3151" s="327" t="str">
        <f>IF(B3151&lt;&gt;"",IF(AND(B3151='IN-TC'!$S$4,OR(TH!N3151="1111",TH!O3151="1111")),TH!D3151,""),"")</f>
        <v/>
      </c>
      <c r="B3151" s="62" t="str">
        <f t="shared" si="390"/>
        <v/>
      </c>
      <c r="C3151" s="63"/>
      <c r="D3151" s="63"/>
      <c r="E3151" s="63"/>
      <c r="F3151" s="71"/>
      <c r="G3151" s="816"/>
      <c r="H3151" s="330"/>
      <c r="I3151" s="405"/>
      <c r="J3151" s="405"/>
      <c r="K3151" s="398"/>
      <c r="L3151" s="405"/>
      <c r="M3151" s="64"/>
      <c r="N3151" s="65"/>
      <c r="O3151" s="65"/>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
      </c>
      <c r="W3151" s="81" t="str">
        <f>IF(AND('341-CT'!$H$9=H3151,OR(LEFT(N3151,3)=$W$7,LEFT(O3151,3)=$W$7)),"x","")</f>
        <v/>
      </c>
      <c r="X3151" s="81" t="str">
        <f>IF(OR(TH!N3151=TH!$X$7,O3151=TH!$X$7),"x","")</f>
        <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row>
    <row r="3152" spans="1:30" ht="15.75" customHeight="1">
      <c r="A3152" s="327" t="str">
        <f>IF(B3152&lt;&gt;"",IF(AND(B3152='IN-TC'!$S$4,OR(TH!N3152="1111",TH!O3152="1111")),TH!D3152,""),"")</f>
        <v/>
      </c>
      <c r="B3152" s="62" t="str">
        <f t="shared" si="390"/>
        <v/>
      </c>
      <c r="C3152" s="63"/>
      <c r="D3152" s="63"/>
      <c r="E3152" s="63"/>
      <c r="F3152" s="71"/>
      <c r="G3152" s="816"/>
      <c r="H3152" s="330"/>
      <c r="I3152" s="405"/>
      <c r="J3152" s="405"/>
      <c r="K3152" s="398"/>
      <c r="L3152" s="405"/>
      <c r="M3152" s="64"/>
      <c r="N3152" s="65"/>
      <c r="O3152" s="65"/>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row>
    <row r="3153" spans="1:30" ht="15.75" customHeight="1">
      <c r="A3153" s="327" t="str">
        <f>IF(B3153&lt;&gt;"",IF(AND(B3153='IN-TC'!$S$4,OR(TH!N3153="1111",TH!O3153="1111")),TH!D3153,""),"")</f>
        <v/>
      </c>
      <c r="B3153" s="62" t="str">
        <f t="shared" si="390"/>
        <v/>
      </c>
      <c r="C3153" s="63"/>
      <c r="D3153" s="63"/>
      <c r="E3153" s="63"/>
      <c r="F3153" s="71"/>
      <c r="G3153" s="816"/>
      <c r="H3153" s="330"/>
      <c r="I3153" s="405"/>
      <c r="J3153" s="405"/>
      <c r="K3153" s="398"/>
      <c r="L3153" s="405"/>
      <c r="M3153" s="64"/>
      <c r="N3153" s="65"/>
      <c r="O3153" s="65"/>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
      </c>
      <c r="W3153" s="81" t="str">
        <f>IF(AND('341-CT'!$H$9=H3153,OR(LEFT(N3153,3)=$W$7,LEFT(O3153,3)=$W$7)),"x","")</f>
        <v/>
      </c>
      <c r="X3153" s="81" t="str">
        <f>IF(OR(TH!N3153=TH!$X$7,O3153=TH!$X$7),"x","")</f>
        <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row>
    <row r="3154" spans="1:30" ht="15.75" customHeight="1">
      <c r="A3154" s="327" t="str">
        <f>IF(B3154&lt;&gt;"",IF(AND(B3154='IN-TC'!$S$4,OR(TH!N3154="1111",TH!O3154="1111")),TH!D3154,""),"")</f>
        <v/>
      </c>
      <c r="B3154" s="62" t="str">
        <f t="shared" si="390"/>
        <v/>
      </c>
      <c r="C3154" s="63"/>
      <c r="D3154" s="63"/>
      <c r="E3154" s="63"/>
      <c r="F3154" s="71"/>
      <c r="G3154" s="816"/>
      <c r="H3154" s="330"/>
      <c r="I3154" s="407"/>
      <c r="J3154" s="407"/>
      <c r="K3154" s="400"/>
      <c r="L3154" s="407"/>
      <c r="M3154" s="64"/>
      <c r="N3154" s="65"/>
      <c r="O3154" s="65"/>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
      </c>
      <c r="W3154" s="81" t="str">
        <f>IF(AND('341-CT'!$H$9=H3154,OR(LEFT(N3154,3)=$W$7,LEFT(O3154,3)=$W$7)),"x","")</f>
        <v/>
      </c>
      <c r="X3154" s="81" t="str">
        <f>IF(OR(TH!N3154=TH!$X$7,O3154=TH!$X$7),"x","")</f>
        <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row>
    <row r="3155" spans="1:30" ht="15.75" customHeight="1">
      <c r="A3155" s="327" t="str">
        <f>IF(B3155&lt;&gt;"",IF(AND(B3155='IN-TC'!$S$4,OR(TH!N3155="1111",TH!O3155="1111")),TH!D3155,""),"")</f>
        <v/>
      </c>
      <c r="B3155" s="62" t="str">
        <f t="shared" si="390"/>
        <v/>
      </c>
      <c r="C3155" s="63"/>
      <c r="D3155" s="63"/>
      <c r="E3155" s="63"/>
      <c r="F3155" s="71"/>
      <c r="G3155" s="816"/>
      <c r="H3155" s="330"/>
      <c r="I3155" s="405"/>
      <c r="J3155" s="405"/>
      <c r="K3155" s="398"/>
      <c r="L3155" s="405"/>
      <c r="M3155" s="64"/>
      <c r="N3155" s="65"/>
      <c r="O3155" s="65"/>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row>
    <row r="3156" spans="1:30" ht="15.75" customHeight="1">
      <c r="A3156" s="327" t="str">
        <f>IF(B3156&lt;&gt;"",IF(AND(B3156='IN-TC'!$S$4,OR(TH!N3156="1111",TH!O3156="1111")),TH!D3156,""),"")</f>
        <v/>
      </c>
      <c r="B3156" s="62" t="str">
        <f t="shared" si="390"/>
        <v/>
      </c>
      <c r="C3156" s="63"/>
      <c r="D3156" s="63"/>
      <c r="E3156" s="63"/>
      <c r="F3156" s="71"/>
      <c r="G3156" s="816"/>
      <c r="H3156" s="330"/>
      <c r="I3156" s="405"/>
      <c r="J3156" s="405"/>
      <c r="K3156" s="398"/>
      <c r="L3156" s="405"/>
      <c r="M3156" s="64"/>
      <c r="N3156" s="65"/>
      <c r="O3156" s="65"/>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
      </c>
      <c r="W3156" s="81" t="str">
        <f>IF(AND('341-CT'!$H$9=H3156,OR(LEFT(N3156,3)=$W$7,LEFT(O3156,3)=$W$7)),"x","")</f>
        <v/>
      </c>
      <c r="X3156" s="81" t="str">
        <f>IF(OR(TH!N3156=TH!$X$7,O3156=TH!$X$7),"x","")</f>
        <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row>
    <row r="3157" spans="1:30" ht="15.75" customHeight="1">
      <c r="A3157" s="327" t="str">
        <f>IF(B3157&lt;&gt;"",IF(AND(B3157='IN-TC'!$S$4,OR(TH!N3157="1111",TH!O3157="1111")),TH!D3157,""),"")</f>
        <v/>
      </c>
      <c r="B3157" s="62" t="str">
        <f t="shared" si="390"/>
        <v/>
      </c>
      <c r="C3157" s="63"/>
      <c r="D3157" s="63"/>
      <c r="E3157" s="63"/>
      <c r="F3157" s="71"/>
      <c r="G3157" s="816"/>
      <c r="H3157" s="330"/>
      <c r="I3157" s="407"/>
      <c r="J3157" s="407"/>
      <c r="K3157" s="400"/>
      <c r="L3157" s="407"/>
      <c r="M3157" s="64"/>
      <c r="N3157" s="65"/>
      <c r="O3157" s="65"/>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
      </c>
      <c r="W3157" s="81" t="str">
        <f>IF(AND('341-CT'!$H$9=H3157,OR(LEFT(N3157,3)=$W$7,LEFT(O3157,3)=$W$7)),"x","")</f>
        <v/>
      </c>
      <c r="X3157" s="81" t="str">
        <f>IF(OR(TH!N3157=TH!$X$7,O3157=TH!$X$7),"x","")</f>
        <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row>
    <row r="3158" spans="1:30" ht="15.75" customHeight="1">
      <c r="A3158" s="327" t="str">
        <f>IF(B3158&lt;&gt;"",IF(AND(B3158='IN-TC'!$S$4,OR(TH!N3158="1111",TH!O3158="1111")),TH!D3158,""),"")</f>
        <v/>
      </c>
      <c r="B3158" s="62" t="str">
        <f t="shared" ref="B3158:B3221" si="391">IF(C3158&lt;&gt;"",MONTH(C3158),"")</f>
        <v/>
      </c>
      <c r="C3158" s="63"/>
      <c r="D3158" s="63"/>
      <c r="E3158" s="63"/>
      <c r="F3158" s="71"/>
      <c r="G3158" s="816"/>
      <c r="H3158" s="71"/>
      <c r="I3158" s="405"/>
      <c r="J3158" s="405"/>
      <c r="K3158" s="398"/>
      <c r="L3158" s="405"/>
      <c r="M3158" s="64"/>
      <c r="N3158" s="65"/>
      <c r="O3158" s="65"/>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0" ht="15.75" customHeight="1">
      <c r="A3159" s="327" t="str">
        <f>IF(B3159&lt;&gt;"",IF(AND(B3159='IN-TC'!$S$4,OR(TH!N3159="1111",TH!O3159="1111")),TH!D3159,""),"")</f>
        <v/>
      </c>
      <c r="B3159" s="62" t="str">
        <f t="shared" si="391"/>
        <v/>
      </c>
      <c r="C3159" s="63"/>
      <c r="D3159" s="63"/>
      <c r="E3159" s="63"/>
      <c r="F3159" s="71"/>
      <c r="G3159" s="816"/>
      <c r="H3159" s="71"/>
      <c r="I3159" s="405"/>
      <c r="J3159" s="405"/>
      <c r="K3159" s="398"/>
      <c r="L3159" s="405"/>
      <c r="M3159" s="64"/>
      <c r="N3159" s="65"/>
      <c r="O3159" s="65"/>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row>
    <row r="3160" spans="1:30" ht="15.75" customHeight="1">
      <c r="A3160" s="327" t="str">
        <f>IF(B3160&lt;&gt;"",IF(AND(B3160='IN-TC'!$S$4,OR(TH!N3160="1111",TH!O3160="1111")),TH!D3160,""),"")</f>
        <v/>
      </c>
      <c r="B3160" s="62" t="str">
        <f t="shared" si="391"/>
        <v/>
      </c>
      <c r="C3160" s="63"/>
      <c r="D3160" s="63"/>
      <c r="E3160" s="63"/>
      <c r="F3160" s="71"/>
      <c r="G3160" s="816"/>
      <c r="H3160" s="311"/>
      <c r="I3160" s="405"/>
      <c r="J3160" s="405"/>
      <c r="K3160" s="398"/>
      <c r="L3160" s="405"/>
      <c r="M3160" s="64"/>
      <c r="N3160" s="65"/>
      <c r="O3160" s="65"/>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
      </c>
      <c r="W3160" s="81" t="str">
        <f>IF(AND('341-CT'!$H$9=H3160,OR(LEFT(N3160,3)=$W$7,LEFT(O3160,3)=$W$7)),"x","")</f>
        <v/>
      </c>
      <c r="X3160" s="81" t="str">
        <f>IF(OR(TH!N3160=TH!$X$7,O3160=TH!$X$7),"x","")</f>
        <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row>
    <row r="3161" spans="1:30" ht="15.75" customHeight="1">
      <c r="A3161" s="327" t="str">
        <f>IF(B3161&lt;&gt;"",IF(AND(B3161='IN-TC'!$S$4,OR(TH!N3161="1111",TH!O3161="1111")),TH!D3161,""),"")</f>
        <v/>
      </c>
      <c r="B3161" s="62" t="str">
        <f t="shared" si="391"/>
        <v/>
      </c>
      <c r="C3161" s="63"/>
      <c r="D3161" s="63"/>
      <c r="E3161" s="63"/>
      <c r="F3161" s="71"/>
      <c r="G3161" s="816"/>
      <c r="H3161" s="330"/>
      <c r="I3161" s="405"/>
      <c r="J3161" s="405"/>
      <c r="K3161" s="398"/>
      <c r="L3161" s="405"/>
      <c r="M3161" s="64"/>
      <c r="N3161" s="65"/>
      <c r="O3161" s="65"/>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0" ht="15.75" customHeight="1">
      <c r="A3162" s="327" t="str">
        <f>IF(B3162&lt;&gt;"",IF(AND(B3162='IN-TC'!$S$4,OR(TH!N3162="1111",TH!O3162="1111")),TH!D3162,""),"")</f>
        <v/>
      </c>
      <c r="B3162" s="62" t="str">
        <f t="shared" si="391"/>
        <v/>
      </c>
      <c r="C3162" s="63"/>
      <c r="D3162" s="63"/>
      <c r="E3162" s="63"/>
      <c r="F3162" s="71"/>
      <c r="G3162" s="816"/>
      <c r="H3162" s="311"/>
      <c r="I3162" s="405"/>
      <c r="J3162" s="405"/>
      <c r="K3162" s="398"/>
      <c r="L3162" s="405"/>
      <c r="M3162" s="64"/>
      <c r="N3162" s="312"/>
      <c r="O3162" s="65"/>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0" ht="15.75" customHeight="1">
      <c r="A3163" s="327" t="str">
        <f>IF(B3163&lt;&gt;"",IF(AND(B3163='IN-TC'!$S$4,OR(TH!N3163="1111",TH!O3163="1111")),TH!D3163,""),"")</f>
        <v/>
      </c>
      <c r="B3163" s="62" t="str">
        <f t="shared" si="391"/>
        <v/>
      </c>
      <c r="C3163" s="63"/>
      <c r="D3163" s="63"/>
      <c r="E3163" s="63"/>
      <c r="F3163" s="71"/>
      <c r="G3163" s="816"/>
      <c r="H3163" s="311"/>
      <c r="I3163" s="405"/>
      <c r="J3163" s="405"/>
      <c r="K3163" s="398"/>
      <c r="L3163" s="405"/>
      <c r="M3163" s="64"/>
      <c r="N3163" s="312"/>
      <c r="O3163" s="65"/>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row>
    <row r="3164" spans="1:30" ht="15.75" customHeight="1">
      <c r="A3164" s="327" t="str">
        <f>IF(B3164&lt;&gt;"",IF(AND(B3164='IN-TC'!$S$4,OR(TH!N3164="1111",TH!O3164="1111")),TH!D3164,""),"")</f>
        <v/>
      </c>
      <c r="B3164" s="62" t="str">
        <f t="shared" si="391"/>
        <v/>
      </c>
      <c r="C3164" s="63"/>
      <c r="D3164" s="63"/>
      <c r="E3164" s="63"/>
      <c r="F3164" s="71"/>
      <c r="G3164" s="816"/>
      <c r="H3164" s="330"/>
      <c r="I3164" s="405"/>
      <c r="J3164" s="405"/>
      <c r="K3164" s="398"/>
      <c r="L3164" s="405"/>
      <c r="M3164" s="64"/>
      <c r="N3164" s="65"/>
      <c r="O3164" s="65"/>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row>
    <row r="3165" spans="1:30" ht="15.75" customHeight="1">
      <c r="A3165" s="327" t="str">
        <f>IF(B3165&lt;&gt;"",IF(AND(B3165='IN-TC'!$S$4,OR(TH!N3165="1111",TH!O3165="1111")),TH!D3165,""),"")</f>
        <v/>
      </c>
      <c r="B3165" s="62" t="str">
        <f t="shared" si="391"/>
        <v/>
      </c>
      <c r="C3165" s="63"/>
      <c r="D3165" s="63"/>
      <c r="E3165" s="63"/>
      <c r="F3165" s="71"/>
      <c r="G3165" s="816"/>
      <c r="H3165" s="330"/>
      <c r="I3165" s="407"/>
      <c r="J3165" s="407"/>
      <c r="K3165" s="400"/>
      <c r="L3165" s="407"/>
      <c r="M3165" s="64"/>
      <c r="N3165" s="312"/>
      <c r="O3165" s="65"/>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0" ht="15.75" customHeight="1">
      <c r="A3166" s="327" t="str">
        <f>IF(B3166&lt;&gt;"",IF(AND(B3166='IN-TC'!$S$4,OR(TH!N3166="1111",TH!O3166="1111")),TH!D3166,""),"")</f>
        <v/>
      </c>
      <c r="B3166" s="62" t="str">
        <f t="shared" si="391"/>
        <v/>
      </c>
      <c r="C3166" s="63"/>
      <c r="D3166" s="63"/>
      <c r="E3166" s="63"/>
      <c r="F3166" s="71"/>
      <c r="G3166" s="816"/>
      <c r="H3166" s="330"/>
      <c r="I3166" s="407"/>
      <c r="J3166" s="407"/>
      <c r="K3166" s="400"/>
      <c r="L3166" s="407"/>
      <c r="M3166" s="64"/>
      <c r="N3166" s="312"/>
      <c r="O3166" s="65"/>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row>
    <row r="3167" spans="1:30" ht="15.75" customHeight="1">
      <c r="A3167" s="327" t="str">
        <f>IF(B3167&lt;&gt;"",IF(AND(B3167='IN-TC'!$S$4,OR(TH!N3167="1111",TH!O3167="1111")),TH!D3167,""),"")</f>
        <v/>
      </c>
      <c r="B3167" s="62" t="str">
        <f t="shared" si="391"/>
        <v/>
      </c>
      <c r="C3167" s="63"/>
      <c r="D3167" s="63"/>
      <c r="E3167" s="63"/>
      <c r="F3167" s="71"/>
      <c r="G3167" s="816"/>
      <c r="H3167" s="74"/>
      <c r="I3167" s="405"/>
      <c r="J3167" s="405"/>
      <c r="K3167" s="398"/>
      <c r="L3167" s="405"/>
      <c r="M3167" s="64"/>
      <c r="N3167" s="65"/>
      <c r="O3167" s="65"/>
      <c r="P3167" s="81" t="str">
        <f>IF(AND('331-CT'!$E$7=TH!H3167,OR(N3167="331",O3167="331")),"x","")</f>
        <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row>
    <row r="3168" spans="1:30" ht="15.75" customHeight="1">
      <c r="A3168" s="327" t="str">
        <f>IF(B3168&lt;&gt;"",IF(AND(B3168='IN-TC'!$S$4,OR(TH!N3168="1111",TH!O3168="1111")),TH!D3168,""),"")</f>
        <v/>
      </c>
      <c r="B3168" s="62" t="str">
        <f t="shared" si="391"/>
        <v/>
      </c>
      <c r="C3168" s="63"/>
      <c r="D3168" s="63"/>
      <c r="E3168" s="63"/>
      <c r="F3168" s="71"/>
      <c r="G3168" s="816"/>
      <c r="H3168" s="311"/>
      <c r="I3168" s="405"/>
      <c r="J3168" s="405"/>
      <c r="K3168" s="398"/>
      <c r="L3168" s="405"/>
      <c r="M3168" s="64"/>
      <c r="N3168" s="312"/>
      <c r="O3168" s="65"/>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row>
    <row r="3169" spans="1:30" ht="15.75" customHeight="1">
      <c r="A3169" s="327" t="str">
        <f>IF(B3169&lt;&gt;"",IF(AND(B3169='IN-TC'!$S$4,OR(TH!N3169="1111",TH!O3169="1111")),TH!D3169,""),"")</f>
        <v/>
      </c>
      <c r="B3169" s="62" t="str">
        <f t="shared" si="391"/>
        <v/>
      </c>
      <c r="C3169" s="63"/>
      <c r="D3169" s="63"/>
      <c r="E3169" s="63"/>
      <c r="F3169" s="71"/>
      <c r="G3169" s="816"/>
      <c r="H3169" s="311"/>
      <c r="I3169" s="405"/>
      <c r="J3169" s="405"/>
      <c r="K3169" s="398"/>
      <c r="L3169" s="405"/>
      <c r="M3169" s="64"/>
      <c r="N3169" s="312"/>
      <c r="O3169" s="65"/>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row>
    <row r="3170" spans="1:30" ht="15.75" customHeight="1">
      <c r="A3170" s="327" t="str">
        <f>IF(B3170&lt;&gt;"",IF(AND(B3170='IN-TC'!$S$4,OR(TH!N3170="1111",TH!O3170="1111")),TH!D3170,""),"")</f>
        <v/>
      </c>
      <c r="B3170" s="62" t="str">
        <f t="shared" si="391"/>
        <v/>
      </c>
      <c r="C3170" s="63"/>
      <c r="D3170" s="63"/>
      <c r="E3170" s="63"/>
      <c r="F3170" s="71"/>
      <c r="G3170" s="816"/>
      <c r="H3170" s="71"/>
      <c r="I3170" s="405"/>
      <c r="J3170" s="405"/>
      <c r="K3170" s="398"/>
      <c r="L3170" s="405"/>
      <c r="M3170" s="64"/>
      <c r="N3170" s="65"/>
      <c r="O3170" s="65"/>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row>
    <row r="3171" spans="1:30" ht="15.75" customHeight="1">
      <c r="A3171" s="327" t="str">
        <f>IF(B3171&lt;&gt;"",IF(AND(B3171='IN-TC'!$S$4,OR(TH!N3171="1111",TH!O3171="1111")),TH!D3171,""),"")</f>
        <v/>
      </c>
      <c r="B3171" s="62" t="str">
        <f t="shared" si="391"/>
        <v/>
      </c>
      <c r="C3171" s="63"/>
      <c r="D3171" s="63"/>
      <c r="E3171" s="63"/>
      <c r="F3171" s="71"/>
      <c r="G3171" s="816"/>
      <c r="H3171" s="311"/>
      <c r="I3171" s="405"/>
      <c r="J3171" s="405"/>
      <c r="K3171" s="398"/>
      <c r="L3171" s="405"/>
      <c r="M3171" s="64"/>
      <c r="N3171" s="312"/>
      <c r="O3171" s="65"/>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0" ht="15.75" customHeight="1">
      <c r="A3172" s="327" t="str">
        <f>IF(B3172&lt;&gt;"",IF(AND(B3172='IN-TC'!$S$4,OR(TH!N3172="1111",TH!O3172="1111")),TH!D3172,""),"")</f>
        <v/>
      </c>
      <c r="B3172" s="62" t="str">
        <f t="shared" si="391"/>
        <v/>
      </c>
      <c r="C3172" s="63"/>
      <c r="D3172" s="63"/>
      <c r="E3172" s="63"/>
      <c r="F3172" s="71"/>
      <c r="G3172" s="816"/>
      <c r="H3172" s="311"/>
      <c r="I3172" s="405"/>
      <c r="J3172" s="405"/>
      <c r="K3172" s="398"/>
      <c r="L3172" s="405"/>
      <c r="M3172" s="64"/>
      <c r="N3172" s="312"/>
      <c r="O3172" s="65"/>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row>
    <row r="3173" spans="1:30" ht="15.75" customHeight="1">
      <c r="A3173" s="327" t="str">
        <f>IF(B3173&lt;&gt;"",IF(AND(B3173='IN-TC'!$S$4,OR(TH!N3173="1111",TH!O3173="1111")),TH!D3173,""),"")</f>
        <v/>
      </c>
      <c r="B3173" s="62" t="str">
        <f t="shared" si="391"/>
        <v/>
      </c>
      <c r="C3173" s="63"/>
      <c r="D3173" s="63"/>
      <c r="E3173" s="63"/>
      <c r="F3173" s="71"/>
      <c r="G3173" s="816"/>
      <c r="H3173" s="330"/>
      <c r="I3173" s="405"/>
      <c r="J3173" s="405"/>
      <c r="K3173" s="398"/>
      <c r="L3173" s="405"/>
      <c r="M3173" s="64"/>
      <c r="N3173" s="65"/>
      <c r="O3173" s="65"/>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row>
    <row r="3174" spans="1:30" ht="15.75" customHeight="1">
      <c r="A3174" s="327" t="str">
        <f>IF(B3174&lt;&gt;"",IF(AND(B3174='IN-TC'!$S$4,OR(TH!N3174="1111",TH!O3174="1111")),TH!D3174,""),"")</f>
        <v/>
      </c>
      <c r="B3174" s="62" t="str">
        <f t="shared" si="391"/>
        <v/>
      </c>
      <c r="C3174" s="63"/>
      <c r="D3174" s="63"/>
      <c r="E3174" s="63"/>
      <c r="F3174" s="71"/>
      <c r="G3174" s="816"/>
      <c r="H3174" s="71"/>
      <c r="I3174" s="405"/>
      <c r="J3174" s="405"/>
      <c r="K3174" s="398"/>
      <c r="L3174" s="405"/>
      <c r="M3174" s="64"/>
      <c r="N3174" s="312"/>
      <c r="O3174" s="65"/>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0" ht="15.75" customHeight="1">
      <c r="A3175" s="327" t="str">
        <f>IF(B3175&lt;&gt;"",IF(AND(B3175='IN-TC'!$S$4,OR(TH!N3175="1111",TH!O3175="1111")),TH!D3175,""),"")</f>
        <v/>
      </c>
      <c r="B3175" s="62" t="str">
        <f t="shared" si="391"/>
        <v/>
      </c>
      <c r="C3175" s="63"/>
      <c r="D3175" s="63"/>
      <c r="E3175" s="63"/>
      <c r="F3175" s="71"/>
      <c r="G3175" s="816"/>
      <c r="H3175" s="71"/>
      <c r="I3175" s="405"/>
      <c r="J3175" s="405"/>
      <c r="K3175" s="398"/>
      <c r="L3175" s="405"/>
      <c r="M3175" s="64"/>
      <c r="N3175" s="312"/>
      <c r="O3175" s="65"/>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0" ht="15.75" customHeight="1">
      <c r="A3176" s="327" t="str">
        <f>IF(B3176&lt;&gt;"",IF(AND(B3176='IN-TC'!$S$4,OR(TH!N3176="1111",TH!O3176="1111")),TH!D3176,""),"")</f>
        <v/>
      </c>
      <c r="B3176" s="62" t="str">
        <f t="shared" si="391"/>
        <v/>
      </c>
      <c r="C3176" s="63"/>
      <c r="D3176" s="63"/>
      <c r="E3176" s="63"/>
      <c r="F3176" s="71"/>
      <c r="G3176" s="816"/>
      <c r="H3176" s="311"/>
      <c r="I3176" s="405"/>
      <c r="J3176" s="405"/>
      <c r="K3176" s="398"/>
      <c r="L3176" s="405"/>
      <c r="M3176" s="64"/>
      <c r="N3176" s="65"/>
      <c r="O3176" s="65"/>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0" ht="15.75" customHeight="1">
      <c r="A3177" s="327" t="str">
        <f>IF(B3177&lt;&gt;"",IF(AND(B3177='IN-TC'!$S$4,OR(TH!N3177="1111",TH!O3177="1111")),TH!D3177,""),"")</f>
        <v/>
      </c>
      <c r="B3177" s="62" t="str">
        <f t="shared" si="391"/>
        <v/>
      </c>
      <c r="C3177" s="63"/>
      <c r="D3177" s="63"/>
      <c r="E3177" s="63"/>
      <c r="F3177" s="71"/>
      <c r="G3177" s="816"/>
      <c r="H3177" s="977"/>
      <c r="I3177" s="405"/>
      <c r="J3177" s="405"/>
      <c r="K3177" s="398"/>
      <c r="L3177" s="405"/>
      <c r="M3177" s="64"/>
      <c r="N3177" s="65"/>
      <c r="O3177" s="65"/>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row>
    <row r="3178" spans="1:30" ht="15.75" customHeight="1">
      <c r="A3178" s="327" t="str">
        <f>IF(B3178&lt;&gt;"",IF(AND(B3178='IN-TC'!$S$4,OR(TH!N3178="1111",TH!O3178="1111")),TH!D3178,""),"")</f>
        <v/>
      </c>
      <c r="B3178" s="62" t="str">
        <f t="shared" si="391"/>
        <v/>
      </c>
      <c r="C3178" s="63"/>
      <c r="D3178" s="63"/>
      <c r="E3178" s="63"/>
      <c r="F3178" s="71"/>
      <c r="G3178" s="816"/>
      <c r="H3178" s="977"/>
      <c r="I3178" s="405"/>
      <c r="J3178" s="405"/>
      <c r="K3178" s="398"/>
      <c r="L3178" s="405"/>
      <c r="M3178" s="64"/>
      <c r="N3178" s="312"/>
      <c r="O3178" s="65"/>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row>
    <row r="3179" spans="1:30" ht="15.75" customHeight="1">
      <c r="A3179" s="327" t="str">
        <f>IF(B3179&lt;&gt;"",IF(AND(B3179='IN-TC'!$S$4,OR(TH!N3179="1111",TH!O3179="1111")),TH!D3179,""),"")</f>
        <v/>
      </c>
      <c r="B3179" s="62" t="str">
        <f t="shared" si="391"/>
        <v/>
      </c>
      <c r="C3179" s="63"/>
      <c r="D3179" s="63"/>
      <c r="E3179" s="63"/>
      <c r="F3179" s="71"/>
      <c r="G3179" s="816"/>
      <c r="H3179" s="977"/>
      <c r="I3179" s="405"/>
      <c r="J3179" s="405"/>
      <c r="K3179" s="398"/>
      <c r="L3179" s="405"/>
      <c r="M3179" s="64"/>
      <c r="N3179" s="65"/>
      <c r="O3179" s="65"/>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0" ht="15.75" customHeight="1">
      <c r="A3180" s="327" t="str">
        <f>IF(B3180&lt;&gt;"",IF(AND(B3180='IN-TC'!$S$4,OR(TH!N3180="1111",TH!O3180="1111")),TH!D3180,""),"")</f>
        <v/>
      </c>
      <c r="B3180" s="62" t="str">
        <f t="shared" si="391"/>
        <v/>
      </c>
      <c r="C3180" s="63"/>
      <c r="D3180" s="63"/>
      <c r="E3180" s="63"/>
      <c r="F3180" s="71"/>
      <c r="G3180" s="816"/>
      <c r="H3180" s="977"/>
      <c r="I3180" s="405"/>
      <c r="J3180" s="405"/>
      <c r="K3180" s="398"/>
      <c r="L3180" s="405"/>
      <c r="M3180" s="64"/>
      <c r="N3180" s="312"/>
      <c r="O3180" s="65"/>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0" ht="15.75" customHeight="1">
      <c r="A3181" s="327" t="str">
        <f>IF(B3181&lt;&gt;"",IF(AND(B3181='IN-TC'!$S$4,OR(TH!N3181="1111",TH!O3181="1111")),TH!D3181,""),"")</f>
        <v/>
      </c>
      <c r="B3181" s="62" t="str">
        <f t="shared" si="391"/>
        <v/>
      </c>
      <c r="C3181" s="63"/>
      <c r="D3181" s="63"/>
      <c r="E3181" s="63"/>
      <c r="F3181" s="71"/>
      <c r="G3181" s="816"/>
      <c r="H3181" s="977"/>
      <c r="I3181" s="405"/>
      <c r="J3181" s="405"/>
      <c r="K3181" s="398"/>
      <c r="L3181" s="405"/>
      <c r="M3181" s="64"/>
      <c r="N3181" s="312"/>
      <c r="O3181" s="65"/>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row>
    <row r="3182" spans="1:30" ht="15.75" customHeight="1">
      <c r="A3182" s="327" t="str">
        <f>IF(B3182&lt;&gt;"",IF(AND(B3182='IN-TC'!$S$4,OR(TH!N3182="1111",TH!O3182="1111")),TH!D3182,""),"")</f>
        <v/>
      </c>
      <c r="B3182" s="62" t="str">
        <f t="shared" si="391"/>
        <v/>
      </c>
      <c r="C3182" s="63"/>
      <c r="D3182" s="63"/>
      <c r="E3182" s="63"/>
      <c r="F3182" s="71"/>
      <c r="G3182" s="816"/>
      <c r="H3182" s="977"/>
      <c r="I3182" s="405"/>
      <c r="J3182" s="405"/>
      <c r="K3182" s="398"/>
      <c r="L3182" s="405"/>
      <c r="M3182" s="64"/>
      <c r="N3182" s="312"/>
      <c r="O3182" s="65"/>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row>
    <row r="3183" spans="1:30" ht="15.75" customHeight="1">
      <c r="A3183" s="327" t="str">
        <f>IF(B3183&lt;&gt;"",IF(AND(B3183='IN-TC'!$S$4,OR(TH!N3183="1111",TH!O3183="1111")),TH!D3183,""),"")</f>
        <v/>
      </c>
      <c r="B3183" s="62" t="str">
        <f t="shared" si="391"/>
        <v/>
      </c>
      <c r="C3183" s="63"/>
      <c r="D3183" s="63"/>
      <c r="E3183" s="63"/>
      <c r="F3183" s="71"/>
      <c r="G3183" s="816"/>
      <c r="H3183" s="977"/>
      <c r="I3183" s="405"/>
      <c r="J3183" s="405"/>
      <c r="K3183" s="398"/>
      <c r="L3183" s="405"/>
      <c r="M3183" s="64"/>
      <c r="N3183" s="312"/>
      <c r="O3183" s="65"/>
      <c r="P3183" s="81" t="str">
        <f>IF(AND('331-CT'!$E$7=TH!H3183,OR(N3183="331",O3183="331")),"x","")</f>
        <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0" ht="15.75" customHeight="1">
      <c r="A3184" s="327" t="str">
        <f>IF(B3184&lt;&gt;"",IF(AND(B3184='IN-TC'!$S$4,OR(TH!N3184="1111",TH!O3184="1111")),TH!D3184,""),"")</f>
        <v/>
      </c>
      <c r="B3184" s="62" t="str">
        <f t="shared" si="391"/>
        <v/>
      </c>
      <c r="C3184" s="309"/>
      <c r="D3184" s="63"/>
      <c r="E3184" s="309"/>
      <c r="F3184" s="71"/>
      <c r="G3184" s="819"/>
      <c r="H3184" s="311"/>
      <c r="I3184" s="407"/>
      <c r="J3184" s="407"/>
      <c r="K3184" s="400"/>
      <c r="L3184" s="407"/>
      <c r="M3184" s="64"/>
      <c r="N3184" s="312"/>
      <c r="O3184" s="65"/>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row>
    <row r="3185" spans="1:30" ht="15.75" customHeight="1">
      <c r="A3185" s="327" t="str">
        <f>IF(B3185&lt;&gt;"",IF(AND(B3185='IN-TC'!$S$4,OR(TH!N3185="1111",TH!O3185="1111")),TH!D3185,""),"")</f>
        <v/>
      </c>
      <c r="B3185" s="62" t="str">
        <f t="shared" si="391"/>
        <v/>
      </c>
      <c r="C3185" s="63"/>
      <c r="D3185" s="63"/>
      <c r="E3185" s="63"/>
      <c r="F3185" s="477"/>
      <c r="G3185" s="66"/>
      <c r="H3185" s="71"/>
      <c r="I3185" s="405"/>
      <c r="J3185" s="405"/>
      <c r="K3185" s="398"/>
      <c r="L3185" s="405"/>
      <c r="M3185" s="64"/>
      <c r="N3185" s="65"/>
      <c r="O3185" s="65"/>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row>
    <row r="3186" spans="1:30" ht="15.75" customHeight="1">
      <c r="A3186" s="327" t="str">
        <f>IF(B3186&lt;&gt;"",IF(AND(B3186='IN-TC'!$S$4,OR(TH!N3186="1111",TH!O3186="1111")),TH!D3186,""),"")</f>
        <v/>
      </c>
      <c r="B3186" s="62" t="str">
        <f t="shared" si="391"/>
        <v/>
      </c>
      <c r="C3186" s="63"/>
      <c r="D3186" s="63"/>
      <c r="E3186" s="63"/>
      <c r="F3186" s="477"/>
      <c r="G3186" s="66"/>
      <c r="H3186" s="71"/>
      <c r="I3186" s="405"/>
      <c r="J3186" s="405"/>
      <c r="K3186" s="398"/>
      <c r="L3186" s="405"/>
      <c r="M3186" s="64"/>
      <c r="N3186" s="65"/>
      <c r="O3186" s="65"/>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0" ht="15.75" customHeight="1">
      <c r="A3187" s="327" t="str">
        <f>IF(B3187&lt;&gt;"",IF(AND(B3187='IN-TC'!$S$4,OR(TH!N3187="1111",TH!O3187="1111")),TH!D3187,""),"")</f>
        <v/>
      </c>
      <c r="B3187" s="62" t="str">
        <f t="shared" si="391"/>
        <v/>
      </c>
      <c r="C3187" s="63"/>
      <c r="D3187" s="63"/>
      <c r="E3187" s="63"/>
      <c r="F3187" s="71"/>
      <c r="G3187" s="816"/>
      <c r="H3187" s="71"/>
      <c r="I3187" s="407"/>
      <c r="J3187" s="407"/>
      <c r="K3187" s="400"/>
      <c r="L3187" s="407"/>
      <c r="M3187" s="64"/>
      <c r="N3187" s="312"/>
      <c r="O3187" s="65"/>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0" ht="15.75" customHeight="1">
      <c r="A3188" s="327" t="str">
        <f>IF(B3188&lt;&gt;"",IF(AND(B3188='IN-TC'!$S$4,OR(TH!N3188="1111",TH!O3188="1111")),TH!D3188,""),"")</f>
        <v/>
      </c>
      <c r="B3188" s="62" t="str">
        <f t="shared" si="391"/>
        <v/>
      </c>
      <c r="C3188" s="63"/>
      <c r="D3188" s="309"/>
      <c r="E3188" s="63"/>
      <c r="F3188" s="71"/>
      <c r="G3188" s="816"/>
      <c r="H3188" s="330"/>
      <c r="I3188" s="407"/>
      <c r="J3188" s="407"/>
      <c r="K3188" s="400"/>
      <c r="L3188" s="407"/>
      <c r="M3188" s="64"/>
      <c r="N3188" s="312"/>
      <c r="O3188" s="65"/>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0" ht="15.75" customHeight="1">
      <c r="A3189" s="327" t="str">
        <f>IF(B3189&lt;&gt;"",IF(AND(B3189='IN-TC'!$S$4,OR(TH!N3189="1111",TH!O3189="1111")),TH!D3189,""),"")</f>
        <v/>
      </c>
      <c r="B3189" s="62" t="str">
        <f t="shared" si="391"/>
        <v/>
      </c>
      <c r="C3189" s="63"/>
      <c r="D3189" s="309"/>
      <c r="E3189" s="63"/>
      <c r="F3189" s="71"/>
      <c r="G3189" s="816"/>
      <c r="H3189" s="330"/>
      <c r="I3189" s="407"/>
      <c r="J3189" s="407"/>
      <c r="K3189" s="400"/>
      <c r="L3189" s="407"/>
      <c r="M3189" s="64"/>
      <c r="N3189" s="312"/>
      <c r="O3189" s="65"/>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0" ht="15.75" customHeight="1">
      <c r="A3190" s="327" t="str">
        <f>IF(B3190&lt;&gt;"",IF(AND(B3190='IN-TC'!$S$4,OR(TH!N3190="1111",TH!O3190="1111")),TH!D3190,""),"")</f>
        <v/>
      </c>
      <c r="B3190" s="62" t="str">
        <f t="shared" si="391"/>
        <v/>
      </c>
      <c r="C3190" s="309"/>
      <c r="D3190" s="309"/>
      <c r="E3190" s="309"/>
      <c r="F3190" s="71"/>
      <c r="G3190" s="819"/>
      <c r="H3190" s="311"/>
      <c r="I3190" s="405"/>
      <c r="J3190" s="405"/>
      <c r="K3190" s="398"/>
      <c r="L3190" s="405"/>
      <c r="M3190" s="64"/>
      <c r="N3190" s="312"/>
      <c r="O3190" s="65"/>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row>
    <row r="3191" spans="1:30" ht="15.75" customHeight="1">
      <c r="A3191" s="327" t="str">
        <f>IF(B3191&lt;&gt;"",IF(AND(B3191='IN-TC'!$S$4,OR(TH!N3191="1111",TH!O3191="1111")),TH!D3191,""),"")</f>
        <v/>
      </c>
      <c r="B3191" s="62" t="str">
        <f t="shared" si="391"/>
        <v/>
      </c>
      <c r="C3191" s="309"/>
      <c r="D3191" s="309"/>
      <c r="E3191" s="309"/>
      <c r="F3191" s="71"/>
      <c r="G3191" s="819"/>
      <c r="H3191" s="311"/>
      <c r="I3191" s="405"/>
      <c r="J3191" s="405"/>
      <c r="K3191" s="398"/>
      <c r="L3191" s="405"/>
      <c r="M3191" s="64"/>
      <c r="N3191" s="312"/>
      <c r="O3191" s="65"/>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row>
    <row r="3192" spans="1:30" ht="15.75" customHeight="1">
      <c r="A3192" s="327" t="str">
        <f>IF(B3192&lt;&gt;"",IF(AND(B3192='IN-TC'!$S$4,OR(TH!N3192="1111",TH!O3192="1111")),TH!D3192,""),"")</f>
        <v/>
      </c>
      <c r="B3192" s="62" t="str">
        <f t="shared" si="391"/>
        <v/>
      </c>
      <c r="C3192" s="63"/>
      <c r="D3192" s="63"/>
      <c r="E3192" s="63"/>
      <c r="F3192" s="477"/>
      <c r="G3192" s="66"/>
      <c r="H3192" s="71"/>
      <c r="I3192" s="405"/>
      <c r="J3192" s="405"/>
      <c r="K3192" s="398"/>
      <c r="L3192" s="405"/>
      <c r="M3192" s="64"/>
      <c r="N3192" s="65"/>
      <c r="O3192" s="65"/>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0" ht="15.75" customHeight="1">
      <c r="A3193" s="327" t="str">
        <f>IF(B3193&lt;&gt;"",IF(AND(B3193='IN-TC'!$S$4,OR(TH!N3193="1111",TH!O3193="1111")),TH!D3193,""),"")</f>
        <v/>
      </c>
      <c r="B3193" s="62" t="str">
        <f t="shared" si="391"/>
        <v/>
      </c>
      <c r="C3193" s="63"/>
      <c r="D3193" s="63"/>
      <c r="E3193" s="63"/>
      <c r="F3193" s="477"/>
      <c r="G3193" s="66"/>
      <c r="H3193" s="71"/>
      <c r="I3193" s="405"/>
      <c r="J3193" s="405"/>
      <c r="K3193" s="398"/>
      <c r="L3193" s="405"/>
      <c r="M3193" s="64"/>
      <c r="N3193" s="65"/>
      <c r="O3193" s="65"/>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row>
    <row r="3194" spans="1:30" ht="15.75" customHeight="1">
      <c r="A3194" s="327" t="str">
        <f>IF(B3194&lt;&gt;"",IF(AND(B3194='IN-TC'!$S$4,OR(TH!N3194="1111",TH!O3194="1111")),TH!D3194,""),"")</f>
        <v/>
      </c>
      <c r="B3194" s="62" t="str">
        <f t="shared" si="391"/>
        <v/>
      </c>
      <c r="C3194" s="309"/>
      <c r="D3194" s="309"/>
      <c r="E3194" s="309"/>
      <c r="F3194" s="71"/>
      <c r="G3194" s="819"/>
      <c r="H3194" s="311"/>
      <c r="I3194" s="405"/>
      <c r="J3194" s="405"/>
      <c r="K3194" s="398"/>
      <c r="L3194" s="405"/>
      <c r="M3194" s="64"/>
      <c r="N3194" s="312"/>
      <c r="O3194" s="65"/>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row>
    <row r="3195" spans="1:30" ht="15.75" customHeight="1">
      <c r="A3195" s="327" t="str">
        <f>IF(B3195&lt;&gt;"",IF(AND(B3195='IN-TC'!$S$4,OR(TH!N3195="1111",TH!O3195="1111")),TH!D3195,""),"")</f>
        <v/>
      </c>
      <c r="B3195" s="62" t="str">
        <f t="shared" si="391"/>
        <v/>
      </c>
      <c r="C3195" s="309"/>
      <c r="D3195" s="309"/>
      <c r="E3195" s="309"/>
      <c r="F3195" s="71"/>
      <c r="G3195" s="819"/>
      <c r="H3195" s="311"/>
      <c r="I3195" s="405"/>
      <c r="J3195" s="405"/>
      <c r="K3195" s="398"/>
      <c r="L3195" s="405"/>
      <c r="M3195" s="64"/>
      <c r="N3195" s="312"/>
      <c r="O3195" s="65"/>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0" ht="15.75" customHeight="1">
      <c r="A3196" s="327" t="str">
        <f>IF(B3196&lt;&gt;"",IF(AND(B3196='IN-TC'!$S$4,OR(TH!N3196="1111",TH!O3196="1111")),TH!D3196,""),"")</f>
        <v/>
      </c>
      <c r="B3196" s="62" t="str">
        <f t="shared" si="391"/>
        <v/>
      </c>
      <c r="C3196" s="309"/>
      <c r="D3196" s="309"/>
      <c r="E3196" s="309"/>
      <c r="F3196" s="71"/>
      <c r="G3196" s="819"/>
      <c r="H3196" s="311"/>
      <c r="I3196" s="405"/>
      <c r="J3196" s="405"/>
      <c r="K3196" s="398"/>
      <c r="L3196" s="405"/>
      <c r="M3196" s="64"/>
      <c r="N3196" s="312"/>
      <c r="O3196" s="65"/>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row>
    <row r="3197" spans="1:30" ht="15.75" customHeight="1">
      <c r="A3197" s="327" t="str">
        <f>IF(B3197&lt;&gt;"",IF(AND(B3197='IN-TC'!$S$4,OR(TH!N3197="1111",TH!O3197="1111")),TH!D3197,""),"")</f>
        <v/>
      </c>
      <c r="B3197" s="62" t="str">
        <f t="shared" si="391"/>
        <v/>
      </c>
      <c r="C3197" s="309"/>
      <c r="D3197" s="309"/>
      <c r="E3197" s="309"/>
      <c r="F3197" s="71"/>
      <c r="G3197" s="819"/>
      <c r="H3197" s="311"/>
      <c r="I3197" s="405"/>
      <c r="J3197" s="405"/>
      <c r="K3197" s="398"/>
      <c r="L3197" s="405"/>
      <c r="M3197" s="64"/>
      <c r="N3197" s="312"/>
      <c r="O3197" s="65"/>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row>
    <row r="3198" spans="1:30" ht="15.75" customHeight="1">
      <c r="A3198" s="327" t="str">
        <f>IF(B3198&lt;&gt;"",IF(AND(B3198='IN-TC'!$S$4,OR(TH!N3198="1111",TH!O3198="1111")),TH!D3198,""),"")</f>
        <v/>
      </c>
      <c r="B3198" s="62" t="str">
        <f t="shared" si="391"/>
        <v/>
      </c>
      <c r="C3198" s="63"/>
      <c r="D3198" s="63"/>
      <c r="E3198" s="63"/>
      <c r="F3198" s="477"/>
      <c r="G3198" s="66"/>
      <c r="H3198" s="71"/>
      <c r="I3198" s="405"/>
      <c r="J3198" s="405"/>
      <c r="K3198" s="398"/>
      <c r="L3198" s="405"/>
      <c r="M3198" s="64"/>
      <c r="N3198" s="65"/>
      <c r="O3198" s="65"/>
      <c r="P3198" s="81" t="str">
        <f>IF(AND('331-CT'!$E$7=TH!H3198,OR(N3198="331",O3198="331")),"x","")</f>
        <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row>
    <row r="3199" spans="1:30" ht="15.75" customHeight="1">
      <c r="A3199" s="327" t="str">
        <f>IF(B3199&lt;&gt;"",IF(AND(B3199='IN-TC'!$S$4,OR(TH!N3199="1111",TH!O3199="1111")),TH!D3199,""),"")</f>
        <v/>
      </c>
      <c r="B3199" s="62" t="str">
        <f t="shared" si="391"/>
        <v/>
      </c>
      <c r="C3199" s="63"/>
      <c r="D3199" s="63"/>
      <c r="E3199" s="63"/>
      <c r="F3199" s="477"/>
      <c r="G3199" s="66"/>
      <c r="H3199" s="71"/>
      <c r="I3199" s="405"/>
      <c r="J3199" s="405"/>
      <c r="K3199" s="398"/>
      <c r="L3199" s="405"/>
      <c r="M3199" s="64"/>
      <c r="N3199" s="65"/>
      <c r="O3199" s="65"/>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row>
    <row r="3200" spans="1:30" ht="15.75" customHeight="1">
      <c r="A3200" s="327" t="str">
        <f>IF(B3200&lt;&gt;"",IF(AND(B3200='IN-TC'!$S$4,OR(TH!N3200="1111",TH!O3200="1111")),TH!D3200,""),"")</f>
        <v/>
      </c>
      <c r="B3200" s="62" t="str">
        <f t="shared" si="391"/>
        <v/>
      </c>
      <c r="C3200" s="309"/>
      <c r="D3200" s="309"/>
      <c r="E3200" s="309"/>
      <c r="F3200" s="71"/>
      <c r="G3200" s="819"/>
      <c r="H3200" s="310"/>
      <c r="I3200" s="405"/>
      <c r="J3200" s="405"/>
      <c r="K3200" s="398"/>
      <c r="L3200" s="405"/>
      <c r="M3200" s="64"/>
      <c r="N3200" s="312"/>
      <c r="O3200" s="65"/>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
      </c>
      <c r="W3200" s="81" t="str">
        <f>IF(AND('341-CT'!$H$9=H3200,OR(LEFT(N3200,3)=$W$7,LEFT(O3200,3)=$W$7)),"x","")</f>
        <v/>
      </c>
      <c r="X3200" s="81" t="str">
        <f>IF(OR(TH!N3200=TH!$X$7,O3200=TH!$X$7),"x","")</f>
        <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row>
    <row r="3201" spans="1:30" ht="15.75" customHeight="1">
      <c r="A3201" s="327" t="str">
        <f>IF(B3201&lt;&gt;"",IF(AND(B3201='IN-TC'!$S$4,OR(TH!N3201="1111",TH!O3201="1111")),TH!D3201,""),"")</f>
        <v/>
      </c>
      <c r="B3201" s="62" t="str">
        <f t="shared" si="391"/>
        <v/>
      </c>
      <c r="C3201" s="309"/>
      <c r="D3201" s="309"/>
      <c r="E3201" s="309"/>
      <c r="F3201" s="71"/>
      <c r="G3201" s="819"/>
      <c r="H3201" s="310"/>
      <c r="I3201" s="405"/>
      <c r="J3201" s="405"/>
      <c r="K3201" s="398"/>
      <c r="L3201" s="405"/>
      <c r="M3201" s="64"/>
      <c r="N3201" s="312"/>
      <c r="O3201" s="65"/>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0" ht="15.75" customHeight="1">
      <c r="A3202" s="327" t="str">
        <f>IF(B3202&lt;&gt;"",IF(AND(B3202='IN-TC'!$S$4,OR(TH!N3202="1111",TH!O3202="1111")),TH!D3202,""),"")</f>
        <v/>
      </c>
      <c r="B3202" s="62" t="str">
        <f t="shared" si="391"/>
        <v/>
      </c>
      <c r="C3202" s="309"/>
      <c r="D3202" s="309"/>
      <c r="E3202" s="309"/>
      <c r="F3202" s="71"/>
      <c r="G3202" s="819"/>
      <c r="H3202" s="310"/>
      <c r="I3202" s="405"/>
      <c r="J3202" s="405"/>
      <c r="K3202" s="398"/>
      <c r="L3202" s="405"/>
      <c r="M3202" s="64"/>
      <c r="N3202" s="312"/>
      <c r="O3202" s="65"/>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row>
    <row r="3203" spans="1:30" ht="15.75" customHeight="1">
      <c r="A3203" s="327" t="str">
        <f>IF(B3203&lt;&gt;"",IF(AND(B3203='IN-TC'!$S$4,OR(TH!N3203="1111",TH!O3203="1111")),TH!D3203,""),"")</f>
        <v/>
      </c>
      <c r="B3203" s="62" t="str">
        <f t="shared" si="391"/>
        <v/>
      </c>
      <c r="C3203" s="309"/>
      <c r="D3203" s="309"/>
      <c r="E3203" s="309"/>
      <c r="F3203" s="71"/>
      <c r="G3203" s="819"/>
      <c r="H3203" s="310"/>
      <c r="I3203" s="405"/>
      <c r="J3203" s="405"/>
      <c r="K3203" s="398"/>
      <c r="L3203" s="405"/>
      <c r="M3203" s="64"/>
      <c r="N3203" s="312"/>
      <c r="O3203" s="65"/>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row>
    <row r="3204" spans="1:30" ht="15.75" customHeight="1">
      <c r="A3204" s="327" t="str">
        <f>IF(B3204&lt;&gt;"",IF(AND(B3204='IN-TC'!$S$4,OR(TH!N3204="1111",TH!O3204="1111")),TH!D3204,""),"")</f>
        <v/>
      </c>
      <c r="B3204" s="62" t="str">
        <f t="shared" si="391"/>
        <v/>
      </c>
      <c r="C3204" s="309"/>
      <c r="D3204" s="309"/>
      <c r="E3204" s="309"/>
      <c r="F3204" s="71"/>
      <c r="G3204" s="819"/>
      <c r="H3204" s="311"/>
      <c r="I3204" s="405"/>
      <c r="J3204" s="405"/>
      <c r="K3204" s="398"/>
      <c r="L3204" s="405"/>
      <c r="M3204" s="64"/>
      <c r="N3204" s="312"/>
      <c r="O3204" s="65"/>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row>
    <row r="3205" spans="1:30" ht="15.75" customHeight="1">
      <c r="A3205" s="327" t="str">
        <f>IF(B3205&lt;&gt;"",IF(AND(B3205='IN-TC'!$S$4,OR(TH!N3205="1111",TH!O3205="1111")),TH!D3205,""),"")</f>
        <v/>
      </c>
      <c r="B3205" s="62" t="str">
        <f t="shared" si="391"/>
        <v/>
      </c>
      <c r="C3205" s="309"/>
      <c r="D3205" s="309"/>
      <c r="E3205" s="309"/>
      <c r="F3205" s="71"/>
      <c r="G3205" s="819"/>
      <c r="H3205" s="311"/>
      <c r="I3205" s="405"/>
      <c r="J3205" s="405"/>
      <c r="K3205" s="398"/>
      <c r="L3205" s="405"/>
      <c r="M3205" s="64"/>
      <c r="N3205" s="312"/>
      <c r="O3205" s="65"/>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row>
    <row r="3206" spans="1:30" ht="15.75" customHeight="1">
      <c r="A3206" s="327" t="str">
        <f>IF(B3206&lt;&gt;"",IF(AND(B3206='IN-TC'!$S$4,OR(TH!N3206="1111",TH!O3206="1111")),TH!D3206,""),"")</f>
        <v/>
      </c>
      <c r="B3206" s="62" t="str">
        <f t="shared" si="391"/>
        <v/>
      </c>
      <c r="C3206" s="309"/>
      <c r="D3206" s="309"/>
      <c r="E3206" s="309"/>
      <c r="F3206" s="71"/>
      <c r="G3206" s="819"/>
      <c r="H3206" s="311"/>
      <c r="I3206" s="405"/>
      <c r="J3206" s="405"/>
      <c r="K3206" s="398"/>
      <c r="L3206" s="405"/>
      <c r="M3206" s="64"/>
      <c r="N3206" s="312"/>
      <c r="O3206" s="65"/>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row>
    <row r="3207" spans="1:30" ht="15.75" customHeight="1">
      <c r="A3207" s="327" t="str">
        <f>IF(B3207&lt;&gt;"",IF(AND(B3207='IN-TC'!$S$4,OR(TH!N3207="1111",TH!O3207="1111")),TH!D3207,""),"")</f>
        <v/>
      </c>
      <c r="B3207" s="62" t="str">
        <f t="shared" si="391"/>
        <v/>
      </c>
      <c r="C3207" s="309"/>
      <c r="D3207" s="309"/>
      <c r="E3207" s="309"/>
      <c r="F3207" s="71"/>
      <c r="G3207" s="819"/>
      <c r="H3207" s="311"/>
      <c r="I3207" s="405"/>
      <c r="J3207" s="405"/>
      <c r="K3207" s="398"/>
      <c r="L3207" s="405"/>
      <c r="M3207" s="64"/>
      <c r="N3207" s="312"/>
      <c r="O3207" s="65"/>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row>
    <row r="3208" spans="1:30" ht="15.75" customHeight="1">
      <c r="A3208" s="327" t="str">
        <f>IF(B3208&lt;&gt;"",IF(AND(B3208='IN-TC'!$S$4,OR(TH!N3208="1111",TH!O3208="1111")),TH!D3208,""),"")</f>
        <v/>
      </c>
      <c r="B3208" s="62" t="str">
        <f t="shared" si="391"/>
        <v/>
      </c>
      <c r="C3208" s="309"/>
      <c r="D3208" s="309"/>
      <c r="E3208" s="309"/>
      <c r="F3208" s="71"/>
      <c r="G3208" s="819"/>
      <c r="H3208" s="311"/>
      <c r="I3208" s="405"/>
      <c r="J3208" s="405"/>
      <c r="K3208" s="398"/>
      <c r="L3208" s="405"/>
      <c r="M3208" s="64"/>
      <c r="N3208" s="312"/>
      <c r="O3208" s="65"/>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0" ht="15.75" customHeight="1">
      <c r="A3209" s="327" t="str">
        <f>IF(B3209&lt;&gt;"",IF(AND(B3209='IN-TC'!$S$4,OR(TH!N3209="1111",TH!O3209="1111")),TH!D3209,""),"")</f>
        <v/>
      </c>
      <c r="B3209" s="62" t="str">
        <f t="shared" si="391"/>
        <v/>
      </c>
      <c r="C3209" s="309"/>
      <c r="D3209" s="309"/>
      <c r="E3209" s="309"/>
      <c r="F3209" s="71"/>
      <c r="G3209" s="819"/>
      <c r="H3209" s="311"/>
      <c r="I3209" s="405"/>
      <c r="J3209" s="405"/>
      <c r="K3209" s="398"/>
      <c r="L3209" s="405"/>
      <c r="M3209" s="64"/>
      <c r="N3209" s="312"/>
      <c r="O3209" s="65"/>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row>
    <row r="3210" spans="1:30" ht="15.75" customHeight="1">
      <c r="A3210" s="327" t="str">
        <f>IF(B3210&lt;&gt;"",IF(AND(B3210='IN-TC'!$S$4,OR(TH!N3210="1111",TH!O3210="1111")),TH!D3210,""),"")</f>
        <v/>
      </c>
      <c r="B3210" s="62" t="str">
        <f t="shared" si="391"/>
        <v/>
      </c>
      <c r="C3210" s="309"/>
      <c r="D3210" s="309"/>
      <c r="E3210" s="309"/>
      <c r="F3210" s="71"/>
      <c r="G3210" s="819"/>
      <c r="H3210" s="311"/>
      <c r="I3210" s="405"/>
      <c r="J3210" s="405"/>
      <c r="K3210" s="398"/>
      <c r="L3210" s="405"/>
      <c r="M3210" s="64"/>
      <c r="N3210" s="312"/>
      <c r="O3210" s="65"/>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row>
    <row r="3211" spans="1:30" ht="15.75" customHeight="1">
      <c r="A3211" s="327" t="str">
        <f>IF(B3211&lt;&gt;"",IF(AND(B3211='IN-TC'!$S$4,OR(TH!N3211="1111",TH!O3211="1111")),TH!D3211,""),"")</f>
        <v/>
      </c>
      <c r="B3211" s="62" t="str">
        <f t="shared" si="391"/>
        <v/>
      </c>
      <c r="C3211" s="309"/>
      <c r="D3211" s="309"/>
      <c r="E3211" s="309"/>
      <c r="F3211" s="71"/>
      <c r="G3211" s="819"/>
      <c r="H3211" s="311"/>
      <c r="I3211" s="405"/>
      <c r="J3211" s="405"/>
      <c r="K3211" s="398"/>
      <c r="L3211" s="405"/>
      <c r="M3211" s="64"/>
      <c r="N3211" s="312"/>
      <c r="O3211" s="65"/>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0" ht="15.75" customHeight="1">
      <c r="A3212" s="327" t="str">
        <f>IF(B3212&lt;&gt;"",IF(AND(B3212='IN-TC'!$S$4,OR(TH!N3212="1111",TH!O3212="1111")),TH!D3212,""),"")</f>
        <v/>
      </c>
      <c r="B3212" s="62" t="str">
        <f t="shared" si="391"/>
        <v/>
      </c>
      <c r="C3212" s="309"/>
      <c r="D3212" s="309"/>
      <c r="E3212" s="309"/>
      <c r="F3212" s="71"/>
      <c r="G3212" s="819"/>
      <c r="H3212" s="311"/>
      <c r="I3212" s="405"/>
      <c r="J3212" s="405"/>
      <c r="K3212" s="398"/>
      <c r="L3212" s="405"/>
      <c r="M3212" s="64"/>
      <c r="N3212" s="312"/>
      <c r="O3212" s="65"/>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row>
    <row r="3213" spans="1:30" ht="15.75" customHeight="1">
      <c r="A3213" s="327" t="str">
        <f>IF(B3213&lt;&gt;"",IF(AND(B3213='IN-TC'!$S$4,OR(TH!N3213="1111",TH!O3213="1111")),TH!D3213,""),"")</f>
        <v/>
      </c>
      <c r="B3213" s="62" t="str">
        <f t="shared" si="391"/>
        <v/>
      </c>
      <c r="C3213" s="309"/>
      <c r="D3213" s="309"/>
      <c r="E3213" s="309"/>
      <c r="F3213" s="71"/>
      <c r="G3213" s="819"/>
      <c r="H3213" s="311"/>
      <c r="I3213" s="405"/>
      <c r="J3213" s="405"/>
      <c r="K3213" s="398"/>
      <c r="L3213" s="405"/>
      <c r="M3213" s="64"/>
      <c r="N3213" s="312"/>
      <c r="O3213" s="65"/>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row>
    <row r="3214" spans="1:30" ht="15.75" customHeight="1">
      <c r="A3214" s="327" t="str">
        <f>IF(B3214&lt;&gt;"",IF(AND(B3214='IN-TC'!$S$4,OR(TH!N3214="1111",TH!O3214="1111")),TH!D3214,""),"")</f>
        <v/>
      </c>
      <c r="B3214" s="62" t="str">
        <f t="shared" si="391"/>
        <v/>
      </c>
      <c r="C3214" s="309"/>
      <c r="D3214" s="309"/>
      <c r="E3214" s="309"/>
      <c r="F3214" s="71"/>
      <c r="G3214" s="819"/>
      <c r="H3214" s="310"/>
      <c r="I3214" s="405"/>
      <c r="J3214" s="405"/>
      <c r="K3214" s="398"/>
      <c r="L3214" s="405"/>
      <c r="M3214" s="64"/>
      <c r="N3214" s="312"/>
      <c r="O3214" s="65"/>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0" ht="15.75" customHeight="1">
      <c r="A3215" s="327" t="str">
        <f>IF(B3215&lt;&gt;"",IF(AND(B3215='IN-TC'!$S$4,OR(TH!N3215="1111",TH!O3215="1111")),TH!D3215,""),"")</f>
        <v/>
      </c>
      <c r="B3215" s="62" t="str">
        <f t="shared" si="391"/>
        <v/>
      </c>
      <c r="C3215" s="309"/>
      <c r="D3215" s="309"/>
      <c r="E3215" s="309"/>
      <c r="F3215" s="71"/>
      <c r="G3215" s="819"/>
      <c r="H3215" s="310"/>
      <c r="I3215" s="405"/>
      <c r="J3215" s="405"/>
      <c r="K3215" s="398"/>
      <c r="L3215" s="405"/>
      <c r="M3215" s="64"/>
      <c r="N3215" s="312"/>
      <c r="O3215" s="65"/>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row>
    <row r="3216" spans="1:30" ht="15.75" customHeight="1">
      <c r="A3216" s="327" t="str">
        <f>IF(B3216&lt;&gt;"",IF(AND(B3216='IN-TC'!$S$4,OR(TH!N3216="1111",TH!O3216="1111")),TH!D3216,""),"")</f>
        <v/>
      </c>
      <c r="B3216" s="62" t="str">
        <f t="shared" si="391"/>
        <v/>
      </c>
      <c r="C3216" s="63"/>
      <c r="D3216" s="309"/>
      <c r="E3216" s="63"/>
      <c r="F3216" s="71"/>
      <c r="G3216" s="816"/>
      <c r="H3216" s="330"/>
      <c r="I3216" s="407"/>
      <c r="J3216" s="407"/>
      <c r="K3216" s="400"/>
      <c r="L3216" s="407"/>
      <c r="M3216" s="64"/>
      <c r="N3216" s="312"/>
      <c r="O3216" s="65"/>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row>
    <row r="3217" spans="1:30" ht="15.75" customHeight="1">
      <c r="A3217" s="327" t="str">
        <f>IF(B3217&lt;&gt;"",IF(AND(B3217='IN-TC'!$S$4,OR(TH!N3217="1111",TH!O3217="1111")),TH!D3217,""),"")</f>
        <v/>
      </c>
      <c r="B3217" s="62" t="str">
        <f t="shared" si="391"/>
        <v/>
      </c>
      <c r="C3217" s="63"/>
      <c r="D3217" s="309"/>
      <c r="E3217" s="63"/>
      <c r="F3217" s="71"/>
      <c r="G3217" s="816"/>
      <c r="H3217" s="330"/>
      <c r="I3217" s="407"/>
      <c r="J3217" s="407"/>
      <c r="K3217" s="400"/>
      <c r="L3217" s="407"/>
      <c r="M3217" s="64"/>
      <c r="N3217" s="312"/>
      <c r="O3217" s="65"/>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0" ht="15.75" customHeight="1">
      <c r="A3218" s="327" t="str">
        <f>IF(B3218&lt;&gt;"",IF(AND(B3218='IN-TC'!$S$4,OR(TH!N3218="1111",TH!O3218="1111")),TH!D3218,""),"")</f>
        <v/>
      </c>
      <c r="B3218" s="62" t="str">
        <f t="shared" si="391"/>
        <v/>
      </c>
      <c r="C3218" s="309"/>
      <c r="D3218" s="309"/>
      <c r="E3218" s="309"/>
      <c r="F3218" s="71"/>
      <c r="G3218" s="819"/>
      <c r="H3218" s="311"/>
      <c r="I3218" s="405"/>
      <c r="J3218" s="405"/>
      <c r="K3218" s="398"/>
      <c r="L3218" s="405"/>
      <c r="M3218" s="64"/>
      <c r="N3218" s="312"/>
      <c r="O3218" s="65"/>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row>
    <row r="3219" spans="1:30" ht="15.75" customHeight="1">
      <c r="A3219" s="327" t="str">
        <f>IF(B3219&lt;&gt;"",IF(AND(B3219='IN-TC'!$S$4,OR(TH!N3219="1111",TH!O3219="1111")),TH!D3219,""),"")</f>
        <v/>
      </c>
      <c r="B3219" s="62" t="str">
        <f t="shared" si="391"/>
        <v/>
      </c>
      <c r="C3219" s="309"/>
      <c r="D3219" s="309"/>
      <c r="E3219" s="309"/>
      <c r="F3219" s="71"/>
      <c r="G3219" s="819"/>
      <c r="H3219" s="311"/>
      <c r="I3219" s="405"/>
      <c r="J3219" s="405"/>
      <c r="K3219" s="398"/>
      <c r="L3219" s="405"/>
      <c r="M3219" s="64"/>
      <c r="N3219" s="312"/>
      <c r="O3219" s="65"/>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row>
    <row r="3220" spans="1:30" ht="15.75" customHeight="1">
      <c r="A3220" s="327" t="str">
        <f>IF(B3220&lt;&gt;"",IF(AND(B3220='IN-TC'!$S$4,OR(TH!N3220="1111",TH!O3220="1111")),TH!D3220,""),"")</f>
        <v/>
      </c>
      <c r="B3220" s="62" t="str">
        <f t="shared" si="391"/>
        <v/>
      </c>
      <c r="C3220" s="309"/>
      <c r="D3220" s="309"/>
      <c r="E3220" s="309"/>
      <c r="F3220" s="71"/>
      <c r="G3220" s="819"/>
      <c r="H3220" s="311"/>
      <c r="I3220" s="405"/>
      <c r="J3220" s="405"/>
      <c r="K3220" s="398"/>
      <c r="L3220" s="405"/>
      <c r="M3220" s="64"/>
      <c r="N3220" s="312"/>
      <c r="O3220" s="65"/>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0" ht="15.75" customHeight="1">
      <c r="A3221" s="327" t="str">
        <f>IF(B3221&lt;&gt;"",IF(AND(B3221='IN-TC'!$S$4,OR(TH!N3221="1111",TH!O3221="1111")),TH!D3221,""),"")</f>
        <v/>
      </c>
      <c r="B3221" s="62" t="str">
        <f t="shared" si="391"/>
        <v/>
      </c>
      <c r="C3221" s="309"/>
      <c r="D3221" s="309"/>
      <c r="E3221" s="309"/>
      <c r="F3221" s="71"/>
      <c r="G3221" s="819"/>
      <c r="H3221" s="311"/>
      <c r="I3221" s="405"/>
      <c r="J3221" s="405"/>
      <c r="K3221" s="398"/>
      <c r="L3221" s="405"/>
      <c r="M3221" s="64"/>
      <c r="N3221" s="312"/>
      <c r="O3221" s="65"/>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0" ht="15.75" customHeight="1">
      <c r="A3222" s="327" t="str">
        <f>IF(B3222&lt;&gt;"",IF(AND(B3222='IN-TC'!$S$4,OR(TH!N3222="1111",TH!O3222="1111")),TH!D3222,""),"")</f>
        <v/>
      </c>
      <c r="B3222" s="62" t="str">
        <f t="shared" ref="B3222:B3285" si="392">IF(C3222&lt;&gt;"",MONTH(C3222),"")</f>
        <v/>
      </c>
      <c r="C3222" s="309"/>
      <c r="D3222" s="309"/>
      <c r="E3222" s="309"/>
      <c r="F3222" s="71"/>
      <c r="G3222" s="819"/>
      <c r="H3222" s="311"/>
      <c r="I3222" s="405"/>
      <c r="J3222" s="405"/>
      <c r="K3222" s="398"/>
      <c r="L3222" s="405"/>
      <c r="M3222" s="64"/>
      <c r="N3222" s="312"/>
      <c r="O3222" s="65"/>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0" ht="15.75" customHeight="1">
      <c r="A3223" s="327" t="str">
        <f>IF(B3223&lt;&gt;"",IF(AND(B3223='IN-TC'!$S$4,OR(TH!N3223="1111",TH!O3223="1111")),TH!D3223,""),"")</f>
        <v/>
      </c>
      <c r="B3223" s="62" t="str">
        <f t="shared" si="392"/>
        <v/>
      </c>
      <c r="C3223" s="309"/>
      <c r="D3223" s="309"/>
      <c r="E3223" s="309"/>
      <c r="F3223" s="71"/>
      <c r="G3223" s="310"/>
      <c r="H3223" s="74"/>
      <c r="I3223" s="405"/>
      <c r="J3223" s="405"/>
      <c r="K3223" s="398"/>
      <c r="L3223" s="405"/>
      <c r="M3223" s="64"/>
      <c r="N3223" s="312"/>
      <c r="O3223" s="65"/>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0" ht="15.75" customHeight="1">
      <c r="A3224" s="327" t="str">
        <f>IF(B3224&lt;&gt;"",IF(AND(B3224='IN-TC'!$S$4,OR(TH!N3224="1111",TH!O3224="1111")),TH!D3224,""),"")</f>
        <v/>
      </c>
      <c r="B3224" s="62" t="str">
        <f t="shared" si="392"/>
        <v/>
      </c>
      <c r="C3224" s="309"/>
      <c r="D3224" s="309"/>
      <c r="E3224" s="309"/>
      <c r="F3224" s="71"/>
      <c r="G3224" s="310"/>
      <c r="H3224" s="311"/>
      <c r="I3224" s="405"/>
      <c r="J3224" s="405"/>
      <c r="K3224" s="398"/>
      <c r="L3224" s="405"/>
      <c r="M3224" s="64"/>
      <c r="N3224" s="312"/>
      <c r="O3224" s="65"/>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0" ht="15.75" customHeight="1">
      <c r="A3225" s="327" t="str">
        <f>IF(B3225&lt;&gt;"",IF(AND(B3225='IN-TC'!$S$4,OR(TH!N3225="1111",TH!O3225="1111")),TH!D3225,""),"")</f>
        <v/>
      </c>
      <c r="B3225" s="62" t="str">
        <f t="shared" si="392"/>
        <v/>
      </c>
      <c r="C3225" s="309"/>
      <c r="D3225" s="309"/>
      <c r="E3225" s="309"/>
      <c r="F3225" s="71"/>
      <c r="G3225" s="816"/>
      <c r="H3225" s="311"/>
      <c r="I3225" s="405"/>
      <c r="J3225" s="405"/>
      <c r="K3225" s="398"/>
      <c r="L3225" s="405"/>
      <c r="M3225" s="64"/>
      <c r="N3225" s="312"/>
      <c r="O3225" s="65"/>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0" ht="15.75" customHeight="1">
      <c r="A3226" s="327" t="str">
        <f>IF(B3226&lt;&gt;"",IF(AND(B3226='IN-TC'!$S$4,OR(TH!N3226="1111",TH!O3226="1111")),TH!D3226,""),"")</f>
        <v/>
      </c>
      <c r="B3226" s="62" t="str">
        <f t="shared" si="392"/>
        <v/>
      </c>
      <c r="C3226" s="309"/>
      <c r="D3226" s="309"/>
      <c r="E3226" s="309"/>
      <c r="F3226" s="71"/>
      <c r="G3226" s="816"/>
      <c r="H3226" s="311"/>
      <c r="I3226" s="405"/>
      <c r="J3226" s="405"/>
      <c r="K3226" s="398"/>
      <c r="L3226" s="405"/>
      <c r="M3226" s="64"/>
      <c r="N3226" s="312"/>
      <c r="O3226" s="65"/>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0" ht="15.75" customHeight="1">
      <c r="A3227" s="327" t="str">
        <f>IF(B3227&lt;&gt;"",IF(AND(B3227='IN-TC'!$S$4,OR(TH!N3227="1111",TH!O3227="1111")),TH!D3227,""),"")</f>
        <v/>
      </c>
      <c r="B3227" s="62" t="str">
        <f t="shared" si="392"/>
        <v/>
      </c>
      <c r="C3227" s="63"/>
      <c r="D3227" s="63"/>
      <c r="E3227" s="63"/>
      <c r="F3227" s="71"/>
      <c r="G3227" s="816"/>
      <c r="H3227" s="330"/>
      <c r="I3227" s="405"/>
      <c r="J3227" s="405"/>
      <c r="K3227" s="398"/>
      <c r="L3227" s="405"/>
      <c r="M3227" s="64"/>
      <c r="N3227" s="65"/>
      <c r="O3227" s="65"/>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0" ht="15.75" customHeight="1">
      <c r="A3228" s="327" t="str">
        <f>IF(B3228&lt;&gt;"",IF(AND(B3228='IN-TC'!$S$4,OR(TH!N3228="1111",TH!O3228="1111")),TH!D3228,""),"")</f>
        <v/>
      </c>
      <c r="B3228" s="62" t="str">
        <f t="shared" si="392"/>
        <v/>
      </c>
      <c r="C3228" s="63"/>
      <c r="D3228" s="63"/>
      <c r="E3228" s="63"/>
      <c r="F3228" s="71"/>
      <c r="G3228" s="816"/>
      <c r="H3228" s="330"/>
      <c r="I3228" s="405"/>
      <c r="J3228" s="405"/>
      <c r="K3228" s="398"/>
      <c r="L3228" s="405"/>
      <c r="M3228" s="64"/>
      <c r="N3228" s="65"/>
      <c r="O3228" s="65"/>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0" ht="15.75" customHeight="1">
      <c r="A3229" s="327" t="str">
        <f>IF(B3229&lt;&gt;"",IF(AND(B3229='IN-TC'!$S$4,OR(TH!N3229="1111",TH!O3229="1111")),TH!D3229,""),"")</f>
        <v/>
      </c>
      <c r="B3229" s="62" t="str">
        <f t="shared" si="392"/>
        <v/>
      </c>
      <c r="C3229" s="63"/>
      <c r="D3229" s="63"/>
      <c r="E3229" s="63"/>
      <c r="F3229" s="71"/>
      <c r="G3229" s="816"/>
      <c r="H3229" s="330"/>
      <c r="I3229" s="405"/>
      <c r="J3229" s="405"/>
      <c r="K3229" s="398"/>
      <c r="L3229" s="405"/>
      <c r="M3229" s="64"/>
      <c r="N3229" s="65"/>
      <c r="O3229" s="65"/>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row>
    <row r="3230" spans="1:30" ht="15.75" customHeight="1">
      <c r="A3230" s="327" t="str">
        <f>IF(B3230&lt;&gt;"",IF(AND(B3230='IN-TC'!$S$4,OR(TH!N3230="1111",TH!O3230="1111")),TH!D3230,""),"")</f>
        <v/>
      </c>
      <c r="B3230" s="62" t="str">
        <f t="shared" si="392"/>
        <v/>
      </c>
      <c r="C3230" s="63"/>
      <c r="D3230" s="63"/>
      <c r="E3230" s="63"/>
      <c r="F3230" s="71"/>
      <c r="G3230" s="816"/>
      <c r="H3230" s="330"/>
      <c r="I3230" s="405"/>
      <c r="J3230" s="405"/>
      <c r="K3230" s="398"/>
      <c r="L3230" s="405"/>
      <c r="M3230" s="64"/>
      <c r="N3230" s="65"/>
      <c r="O3230" s="65"/>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
      </c>
      <c r="W3230" s="81" t="str">
        <f>IF(AND('341-CT'!$H$9=H3230,OR(LEFT(N3230,3)=$W$7,LEFT(O3230,3)=$W$7)),"x","")</f>
        <v/>
      </c>
      <c r="X3230" s="81" t="str">
        <f>IF(OR(TH!N3230=TH!$X$7,O3230=TH!$X$7),"x","")</f>
        <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row>
    <row r="3231" spans="1:30" ht="15.75" customHeight="1">
      <c r="A3231" s="327" t="str">
        <f>IF(B3231&lt;&gt;"",IF(AND(B3231='IN-TC'!$S$4,OR(TH!N3231="1111",TH!O3231="1111")),TH!D3231,""),"")</f>
        <v/>
      </c>
      <c r="B3231" s="62" t="str">
        <f t="shared" si="392"/>
        <v/>
      </c>
      <c r="C3231" s="63"/>
      <c r="D3231" s="63"/>
      <c r="E3231" s="63"/>
      <c r="F3231" s="71"/>
      <c r="G3231" s="816"/>
      <c r="H3231" s="330"/>
      <c r="I3231" s="405"/>
      <c r="J3231" s="405"/>
      <c r="K3231" s="398"/>
      <c r="L3231" s="405"/>
      <c r="M3231" s="64"/>
      <c r="N3231" s="65"/>
      <c r="O3231" s="65"/>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row>
    <row r="3232" spans="1:30" ht="15.75" customHeight="1">
      <c r="A3232" s="327" t="str">
        <f>IF(B3232&lt;&gt;"",IF(AND(B3232='IN-TC'!$S$4,OR(TH!N3232="1111",TH!O3232="1111")),TH!D3232,""),"")</f>
        <v/>
      </c>
      <c r="B3232" s="62" t="str">
        <f t="shared" si="392"/>
        <v/>
      </c>
      <c r="C3232" s="63"/>
      <c r="D3232" s="63"/>
      <c r="E3232" s="63"/>
      <c r="F3232" s="71"/>
      <c r="G3232" s="816"/>
      <c r="H3232" s="330"/>
      <c r="I3232" s="405"/>
      <c r="J3232" s="405"/>
      <c r="K3232" s="398"/>
      <c r="L3232" s="405"/>
      <c r="M3232" s="64"/>
      <c r="N3232" s="65"/>
      <c r="O3232" s="65"/>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
      </c>
      <c r="W3232" s="81" t="str">
        <f>IF(AND('341-CT'!$H$9=H3232,OR(LEFT(N3232,3)=$W$7,LEFT(O3232,3)=$W$7)),"x","")</f>
        <v/>
      </c>
      <c r="X3232" s="81" t="str">
        <f>IF(OR(TH!N3232=TH!$X$7,O3232=TH!$X$7),"x","")</f>
        <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row>
    <row r="3233" spans="1:30" ht="15.75" customHeight="1">
      <c r="A3233" s="327" t="str">
        <f>IF(B3233&lt;&gt;"",IF(AND(B3233='IN-TC'!$S$4,OR(TH!N3233="1111",TH!O3233="1111")),TH!D3233,""),"")</f>
        <v/>
      </c>
      <c r="B3233" s="62" t="str">
        <f t="shared" si="392"/>
        <v/>
      </c>
      <c r="C3233" s="63"/>
      <c r="D3233" s="63"/>
      <c r="E3233" s="63"/>
      <c r="F3233" s="71"/>
      <c r="G3233" s="816"/>
      <c r="H3233" s="330"/>
      <c r="I3233" s="405"/>
      <c r="J3233" s="405"/>
      <c r="K3233" s="398"/>
      <c r="L3233" s="405"/>
      <c r="M3233" s="64"/>
      <c r="N3233" s="65"/>
      <c r="O3233" s="65"/>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row>
    <row r="3234" spans="1:30" ht="15.75" customHeight="1">
      <c r="A3234" s="327" t="str">
        <f>IF(B3234&lt;&gt;"",IF(AND(B3234='IN-TC'!$S$4,OR(TH!N3234="1111",TH!O3234="1111")),TH!D3234,""),"")</f>
        <v/>
      </c>
      <c r="B3234" s="62" t="str">
        <f t="shared" si="392"/>
        <v/>
      </c>
      <c r="C3234" s="63"/>
      <c r="D3234" s="63"/>
      <c r="E3234" s="63"/>
      <c r="F3234" s="71"/>
      <c r="G3234" s="816"/>
      <c r="H3234" s="330"/>
      <c r="I3234" s="405"/>
      <c r="J3234" s="405"/>
      <c r="K3234" s="398"/>
      <c r="L3234" s="405"/>
      <c r="M3234" s="64"/>
      <c r="N3234" s="65"/>
      <c r="O3234" s="65"/>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row>
    <row r="3235" spans="1:30" ht="15.75" customHeight="1">
      <c r="A3235" s="327" t="str">
        <f>IF(B3235&lt;&gt;"",IF(AND(B3235='IN-TC'!$S$4,OR(TH!N3235="1111",TH!O3235="1111")),TH!D3235,""),"")</f>
        <v/>
      </c>
      <c r="B3235" s="62" t="str">
        <f t="shared" si="392"/>
        <v/>
      </c>
      <c r="C3235" s="63"/>
      <c r="D3235" s="63"/>
      <c r="E3235" s="63"/>
      <c r="F3235" s="71"/>
      <c r="G3235" s="816"/>
      <c r="H3235" s="330"/>
      <c r="I3235" s="405"/>
      <c r="J3235" s="405"/>
      <c r="K3235" s="398"/>
      <c r="L3235" s="405"/>
      <c r="M3235" s="64"/>
      <c r="N3235" s="65"/>
      <c r="O3235" s="65"/>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0" ht="15.75" customHeight="1">
      <c r="A3236" s="327" t="str">
        <f>IF(B3236&lt;&gt;"",IF(AND(B3236='IN-TC'!$S$4,OR(TH!N3236="1111",TH!O3236="1111")),TH!D3236,""),"")</f>
        <v/>
      </c>
      <c r="B3236" s="62" t="str">
        <f t="shared" si="392"/>
        <v/>
      </c>
      <c r="C3236" s="63"/>
      <c r="D3236" s="63"/>
      <c r="E3236" s="63"/>
      <c r="F3236" s="71"/>
      <c r="G3236" s="816"/>
      <c r="H3236" s="330"/>
      <c r="I3236" s="405"/>
      <c r="J3236" s="405"/>
      <c r="K3236" s="398"/>
      <c r="L3236" s="405"/>
      <c r="M3236" s="64"/>
      <c r="N3236" s="65"/>
      <c r="O3236" s="65"/>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0" ht="15.75" customHeight="1">
      <c r="A3237" s="327" t="str">
        <f>IF(B3237&lt;&gt;"",IF(AND(B3237='IN-TC'!$S$4,OR(TH!N3237="1111",TH!O3237="1111")),TH!D3237,""),"")</f>
        <v/>
      </c>
      <c r="B3237" s="62" t="str">
        <f t="shared" si="392"/>
        <v/>
      </c>
      <c r="C3237" s="63"/>
      <c r="D3237" s="63"/>
      <c r="E3237" s="63"/>
      <c r="F3237" s="71"/>
      <c r="G3237" s="816"/>
      <c r="H3237" s="330"/>
      <c r="I3237" s="405"/>
      <c r="J3237" s="405"/>
      <c r="K3237" s="398"/>
      <c r="L3237" s="405"/>
      <c r="M3237" s="64"/>
      <c r="N3237" s="65"/>
      <c r="O3237" s="65"/>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0" ht="15.75" customHeight="1">
      <c r="A3238" s="327" t="str">
        <f>IF(B3238&lt;&gt;"",IF(AND(B3238='IN-TC'!$S$4,OR(TH!N3238="1111",TH!O3238="1111")),TH!D3238,""),"")</f>
        <v/>
      </c>
      <c r="B3238" s="62" t="str">
        <f t="shared" si="392"/>
        <v/>
      </c>
      <c r="C3238" s="63"/>
      <c r="D3238" s="63"/>
      <c r="E3238" s="63"/>
      <c r="F3238" s="71"/>
      <c r="G3238" s="816"/>
      <c r="H3238" s="330"/>
      <c r="I3238" s="405"/>
      <c r="J3238" s="405"/>
      <c r="K3238" s="398"/>
      <c r="L3238" s="405"/>
      <c r="M3238" s="64"/>
      <c r="N3238" s="65"/>
      <c r="O3238" s="65"/>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0" ht="15.75" customHeight="1">
      <c r="A3239" s="327" t="str">
        <f>IF(B3239&lt;&gt;"",IF(AND(B3239='IN-TC'!$S$4,OR(TH!N3239="1111",TH!O3239="1111")),TH!D3239,""),"")</f>
        <v/>
      </c>
      <c r="B3239" s="62" t="str">
        <f t="shared" si="392"/>
        <v/>
      </c>
      <c r="C3239" s="63"/>
      <c r="D3239" s="63"/>
      <c r="E3239" s="309"/>
      <c r="F3239" s="71"/>
      <c r="G3239" s="816"/>
      <c r="H3239" s="977"/>
      <c r="I3239" s="405"/>
      <c r="J3239" s="405"/>
      <c r="K3239" s="398"/>
      <c r="L3239" s="405"/>
      <c r="M3239" s="64"/>
      <c r="N3239" s="65"/>
      <c r="O3239" s="65"/>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0" ht="15.75" customHeight="1">
      <c r="A3240" s="327" t="str">
        <f>IF(B3240&lt;&gt;"",IF(AND(B3240='IN-TC'!$S$4,OR(TH!N3240="1111",TH!O3240="1111")),TH!D3240,""),"")</f>
        <v/>
      </c>
      <c r="B3240" s="62" t="str">
        <f t="shared" si="392"/>
        <v/>
      </c>
      <c r="C3240" s="63"/>
      <c r="D3240" s="63"/>
      <c r="E3240" s="309"/>
      <c r="F3240" s="71"/>
      <c r="G3240" s="816"/>
      <c r="H3240" s="977"/>
      <c r="I3240" s="405"/>
      <c r="J3240" s="405"/>
      <c r="K3240" s="398"/>
      <c r="L3240" s="405"/>
      <c r="M3240" s="64"/>
      <c r="N3240" s="65"/>
      <c r="O3240" s="65"/>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0" ht="15.75" customHeight="1">
      <c r="A3241" s="327" t="str">
        <f>IF(B3241&lt;&gt;"",IF(AND(B3241='IN-TC'!$S$4,OR(TH!N3241="1111",TH!O3241="1111")),TH!D3241,""),"")</f>
        <v/>
      </c>
      <c r="B3241" s="62" t="str">
        <f t="shared" si="392"/>
        <v/>
      </c>
      <c r="C3241" s="63"/>
      <c r="D3241" s="63"/>
      <c r="E3241" s="309"/>
      <c r="F3241" s="71"/>
      <c r="G3241" s="816"/>
      <c r="H3241" s="977"/>
      <c r="I3241" s="405"/>
      <c r="J3241" s="405"/>
      <c r="K3241" s="398"/>
      <c r="L3241" s="405"/>
      <c r="M3241" s="64"/>
      <c r="N3241" s="65"/>
      <c r="O3241" s="65"/>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0" ht="15.75" customHeight="1">
      <c r="A3242" s="327" t="str">
        <f>IF(B3242&lt;&gt;"",IF(AND(B3242='IN-TC'!$S$4,OR(TH!N3242="1111",TH!O3242="1111")),TH!D3242,""),"")</f>
        <v/>
      </c>
      <c r="B3242" s="62" t="str">
        <f t="shared" si="392"/>
        <v/>
      </c>
      <c r="C3242" s="63"/>
      <c r="D3242" s="63"/>
      <c r="E3242" s="309"/>
      <c r="F3242" s="71"/>
      <c r="G3242" s="816"/>
      <c r="H3242" s="977"/>
      <c r="I3242" s="405"/>
      <c r="J3242" s="405"/>
      <c r="K3242" s="398"/>
      <c r="L3242" s="405"/>
      <c r="M3242" s="64"/>
      <c r="N3242" s="65"/>
      <c r="O3242" s="65"/>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row>
    <row r="3243" spans="1:30" ht="15.75" customHeight="1">
      <c r="A3243" s="327" t="str">
        <f>IF(B3243&lt;&gt;"",IF(AND(B3243='IN-TC'!$S$4,OR(TH!N3243="1111",TH!O3243="1111")),TH!D3243,""),"")</f>
        <v/>
      </c>
      <c r="B3243" s="62" t="str">
        <f t="shared" si="392"/>
        <v/>
      </c>
      <c r="C3243" s="63"/>
      <c r="D3243" s="63"/>
      <c r="E3243" s="309"/>
      <c r="F3243" s="71"/>
      <c r="G3243" s="816"/>
      <c r="H3243" s="330"/>
      <c r="I3243" s="405"/>
      <c r="J3243" s="405"/>
      <c r="K3243" s="398"/>
      <c r="L3243" s="405"/>
      <c r="M3243" s="64"/>
      <c r="N3243" s="65"/>
      <c r="O3243" s="65"/>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
      </c>
      <c r="W3243" s="81" t="str">
        <f>IF(AND('341-CT'!$H$9=H3243,OR(LEFT(N3243,3)=$W$7,LEFT(O3243,3)=$W$7)),"x","")</f>
        <v/>
      </c>
      <c r="X3243" s="81" t="str">
        <f>IF(OR(TH!N3243=TH!$X$7,O3243=TH!$X$7),"x","")</f>
        <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row>
    <row r="3244" spans="1:30" ht="15.75" customHeight="1">
      <c r="A3244" s="327" t="str">
        <f>IF(B3244&lt;&gt;"",IF(AND(B3244='IN-TC'!$S$4,OR(TH!N3244="1111",TH!O3244="1111")),TH!D3244,""),"")</f>
        <v/>
      </c>
      <c r="B3244" s="62" t="str">
        <f t="shared" si="392"/>
        <v/>
      </c>
      <c r="C3244" s="63"/>
      <c r="D3244" s="309"/>
      <c r="E3244" s="63"/>
      <c r="F3244" s="71"/>
      <c r="G3244" s="816"/>
      <c r="H3244" s="977"/>
      <c r="I3244" s="405"/>
      <c r="J3244" s="405"/>
      <c r="K3244" s="398"/>
      <c r="L3244" s="405"/>
      <c r="M3244" s="64"/>
      <c r="N3244" s="65"/>
      <c r="O3244" s="65"/>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row>
    <row r="3245" spans="1:30" ht="15.75" customHeight="1">
      <c r="A3245" s="327" t="str">
        <f>IF(B3245&lt;&gt;"",IF(AND(B3245='IN-TC'!$S$4,OR(TH!N3245="1111",TH!O3245="1111")),TH!D3245,""),"")</f>
        <v/>
      </c>
      <c r="B3245" s="62" t="str">
        <f t="shared" si="392"/>
        <v/>
      </c>
      <c r="C3245" s="63"/>
      <c r="D3245" s="63"/>
      <c r="E3245" s="63"/>
      <c r="F3245" s="71"/>
      <c r="G3245" s="816"/>
      <c r="H3245" s="977"/>
      <c r="I3245" s="405"/>
      <c r="J3245" s="405"/>
      <c r="K3245" s="398"/>
      <c r="L3245" s="405"/>
      <c r="M3245" s="64"/>
      <c r="N3245" s="65"/>
      <c r="O3245" s="65"/>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
      </c>
      <c r="W3245" s="81" t="str">
        <f>IF(AND('341-CT'!$H$9=H3245,OR(LEFT(N3245,3)=$W$7,LEFT(O3245,3)=$W$7)),"x","")</f>
        <v/>
      </c>
      <c r="X3245" s="81" t="str">
        <f>IF(OR(TH!N3245=TH!$X$7,O3245=TH!$X$7),"x","")</f>
        <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row>
    <row r="3246" spans="1:30" ht="15.75" customHeight="1">
      <c r="A3246" s="327" t="str">
        <f>IF(B3246&lt;&gt;"",IF(AND(B3246='IN-TC'!$S$4,OR(TH!N3246="1111",TH!O3246="1111")),TH!D3246,""),"")</f>
        <v/>
      </c>
      <c r="B3246" s="62" t="str">
        <f t="shared" si="392"/>
        <v/>
      </c>
      <c r="C3246" s="63"/>
      <c r="D3246" s="63"/>
      <c r="E3246" s="63"/>
      <c r="F3246" s="71"/>
      <c r="G3246" s="816"/>
      <c r="H3246" s="977"/>
      <c r="I3246" s="405"/>
      <c r="J3246" s="405"/>
      <c r="K3246" s="398"/>
      <c r="L3246" s="405"/>
      <c r="M3246" s="64"/>
      <c r="N3246" s="65"/>
      <c r="O3246" s="65"/>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row>
    <row r="3247" spans="1:30" ht="15.75" customHeight="1">
      <c r="A3247" s="327" t="str">
        <f>IF(B3247&lt;&gt;"",IF(AND(B3247='IN-TC'!$S$4,OR(TH!N3247="1111",TH!O3247="1111")),TH!D3247,""),"")</f>
        <v/>
      </c>
      <c r="B3247" s="62" t="str">
        <f t="shared" si="392"/>
        <v/>
      </c>
      <c r="C3247" s="63"/>
      <c r="D3247" s="63"/>
      <c r="E3247" s="63"/>
      <c r="F3247" s="71"/>
      <c r="G3247" s="816"/>
      <c r="H3247" s="977"/>
      <c r="I3247" s="405"/>
      <c r="J3247" s="405"/>
      <c r="K3247" s="398"/>
      <c r="L3247" s="405"/>
      <c r="M3247" s="64"/>
      <c r="N3247" s="65"/>
      <c r="O3247" s="65"/>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
      </c>
      <c r="W3247" s="81" t="str">
        <f>IF(AND('341-CT'!$H$9=H3247,OR(LEFT(N3247,3)=$W$7,LEFT(O3247,3)=$W$7)),"x","")</f>
        <v/>
      </c>
      <c r="X3247" s="81" t="str">
        <f>IF(OR(TH!N3247=TH!$X$7,O3247=TH!$X$7),"x","")</f>
        <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row>
    <row r="3248" spans="1:30" ht="15.75" customHeight="1">
      <c r="A3248" s="327" t="str">
        <f>IF(B3248&lt;&gt;"",IF(AND(B3248='IN-TC'!$S$4,OR(TH!N3248="1111",TH!O3248="1111")),TH!D3248,""),"")</f>
        <v/>
      </c>
      <c r="B3248" s="62" t="str">
        <f t="shared" si="392"/>
        <v/>
      </c>
      <c r="C3248" s="63"/>
      <c r="D3248" s="63"/>
      <c r="E3248" s="63"/>
      <c r="F3248" s="71"/>
      <c r="G3248" s="816"/>
      <c r="H3248" s="977"/>
      <c r="I3248" s="405"/>
      <c r="J3248" s="405"/>
      <c r="K3248" s="398"/>
      <c r="L3248" s="405"/>
      <c r="M3248" s="64"/>
      <c r="N3248" s="65"/>
      <c r="O3248" s="65"/>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0" ht="15.75" customHeight="1">
      <c r="A3249" s="327" t="str">
        <f>IF(B3249&lt;&gt;"",IF(AND(B3249='IN-TC'!$S$4,OR(TH!N3249="1111",TH!O3249="1111")),TH!D3249,""),"")</f>
        <v/>
      </c>
      <c r="B3249" s="62" t="str">
        <f t="shared" si="392"/>
        <v/>
      </c>
      <c r="C3249" s="63"/>
      <c r="D3249" s="309"/>
      <c r="E3249" s="63"/>
      <c r="F3249" s="71"/>
      <c r="G3249" s="816"/>
      <c r="H3249" s="977"/>
      <c r="I3249" s="405"/>
      <c r="J3249" s="405"/>
      <c r="K3249" s="398"/>
      <c r="L3249" s="405"/>
      <c r="M3249" s="64"/>
      <c r="N3249" s="65"/>
      <c r="O3249" s="65"/>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0" ht="15.75" customHeight="1">
      <c r="A3250" s="327" t="str">
        <f>IF(B3250&lt;&gt;"",IF(AND(B3250='IN-TC'!$S$4,OR(TH!N3250="1111",TH!O3250="1111")),TH!D3250,""),"")</f>
        <v/>
      </c>
      <c r="B3250" s="62" t="str">
        <f t="shared" si="392"/>
        <v/>
      </c>
      <c r="C3250" s="63"/>
      <c r="D3250" s="63"/>
      <c r="E3250" s="63"/>
      <c r="F3250" s="71"/>
      <c r="G3250" s="816"/>
      <c r="H3250" s="977"/>
      <c r="I3250" s="405"/>
      <c r="J3250" s="405"/>
      <c r="K3250" s="398"/>
      <c r="L3250" s="405"/>
      <c r="M3250" s="64"/>
      <c r="N3250" s="65"/>
      <c r="O3250" s="65"/>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0" ht="15.75" customHeight="1">
      <c r="A3251" s="327" t="str">
        <f>IF(B3251&lt;&gt;"",IF(AND(B3251='IN-TC'!$S$4,OR(TH!N3251="1111",TH!O3251="1111")),TH!D3251,""),"")</f>
        <v/>
      </c>
      <c r="B3251" s="62" t="str">
        <f t="shared" si="392"/>
        <v/>
      </c>
      <c r="C3251" s="63"/>
      <c r="D3251" s="63"/>
      <c r="E3251" s="63"/>
      <c r="F3251" s="71"/>
      <c r="G3251" s="816"/>
      <c r="H3251" s="977"/>
      <c r="I3251" s="405"/>
      <c r="J3251" s="405"/>
      <c r="K3251" s="398"/>
      <c r="L3251" s="405"/>
      <c r="M3251" s="64"/>
      <c r="N3251" s="65"/>
      <c r="O3251" s="65"/>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0" ht="15.75" customHeight="1">
      <c r="A3252" s="327" t="str">
        <f>IF(B3252&lt;&gt;"",IF(AND(B3252='IN-TC'!$S$4,OR(TH!N3252="1111",TH!O3252="1111")),TH!D3252,""),"")</f>
        <v/>
      </c>
      <c r="B3252" s="62" t="str">
        <f t="shared" si="392"/>
        <v/>
      </c>
      <c r="C3252" s="63"/>
      <c r="D3252" s="63"/>
      <c r="E3252" s="63"/>
      <c r="F3252" s="71"/>
      <c r="G3252" s="816"/>
      <c r="H3252" s="977"/>
      <c r="I3252" s="405"/>
      <c r="J3252" s="405"/>
      <c r="K3252" s="398"/>
      <c r="L3252" s="405"/>
      <c r="M3252" s="64"/>
      <c r="N3252" s="65"/>
      <c r="O3252" s="65"/>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0" ht="15.75" customHeight="1">
      <c r="A3253" s="327" t="str">
        <f>IF(B3253&lt;&gt;"",IF(AND(B3253='IN-TC'!$S$4,OR(TH!N3253="1111",TH!O3253="1111")),TH!D3253,""),"")</f>
        <v/>
      </c>
      <c r="B3253" s="62" t="str">
        <f t="shared" si="392"/>
        <v/>
      </c>
      <c r="C3253" s="63"/>
      <c r="D3253" s="63"/>
      <c r="E3253" s="63"/>
      <c r="F3253" s="71"/>
      <c r="G3253" s="816"/>
      <c r="H3253" s="977"/>
      <c r="I3253" s="405"/>
      <c r="J3253" s="405"/>
      <c r="K3253" s="398"/>
      <c r="L3253" s="405"/>
      <c r="M3253" s="64"/>
      <c r="N3253" s="65"/>
      <c r="O3253" s="65"/>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0" ht="15.75" customHeight="1">
      <c r="A3254" s="327" t="str">
        <f>IF(B3254&lt;&gt;"",IF(AND(B3254='IN-TC'!$S$4,OR(TH!N3254="1111",TH!O3254="1111")),TH!D3254,""),"")</f>
        <v/>
      </c>
      <c r="B3254" s="62" t="str">
        <f t="shared" si="392"/>
        <v/>
      </c>
      <c r="C3254" s="63"/>
      <c r="D3254" s="63"/>
      <c r="E3254" s="63"/>
      <c r="F3254" s="71"/>
      <c r="G3254" s="816"/>
      <c r="H3254" s="977"/>
      <c r="I3254" s="405"/>
      <c r="J3254" s="405"/>
      <c r="K3254" s="398"/>
      <c r="L3254" s="405"/>
      <c r="M3254" s="64"/>
      <c r="N3254" s="65"/>
      <c r="O3254" s="65"/>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0" ht="15.75" customHeight="1">
      <c r="A3255" s="327" t="str">
        <f>IF(B3255&lt;&gt;"",IF(AND(B3255='IN-TC'!$S$4,OR(TH!N3255="1111",TH!O3255="1111")),TH!D3255,""),"")</f>
        <v/>
      </c>
      <c r="B3255" s="62" t="str">
        <f t="shared" si="392"/>
        <v/>
      </c>
      <c r="C3255" s="63"/>
      <c r="D3255" s="63"/>
      <c r="E3255" s="63"/>
      <c r="F3255" s="71"/>
      <c r="G3255" s="816"/>
      <c r="H3255" s="977"/>
      <c r="I3255" s="405"/>
      <c r="J3255" s="405"/>
      <c r="K3255" s="398"/>
      <c r="L3255" s="405"/>
      <c r="M3255" s="64"/>
      <c r="N3255" s="65"/>
      <c r="O3255" s="65"/>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0" ht="15.75" customHeight="1">
      <c r="A3256" s="327" t="str">
        <f>IF(B3256&lt;&gt;"",IF(AND(B3256='IN-TC'!$S$4,OR(TH!N3256="1111",TH!O3256="1111")),TH!D3256,""),"")</f>
        <v/>
      </c>
      <c r="B3256" s="62" t="str">
        <f t="shared" si="392"/>
        <v/>
      </c>
      <c r="C3256" s="63"/>
      <c r="D3256" s="309"/>
      <c r="E3256" s="63"/>
      <c r="F3256" s="71"/>
      <c r="G3256" s="816"/>
      <c r="H3256" s="71"/>
      <c r="I3256" s="405"/>
      <c r="J3256" s="405"/>
      <c r="K3256" s="398"/>
      <c r="L3256" s="405"/>
      <c r="M3256" s="64"/>
      <c r="N3256" s="65"/>
      <c r="O3256" s="65"/>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0" ht="15.75" customHeight="1">
      <c r="A3257" s="327" t="str">
        <f>IF(B3257&lt;&gt;"",IF(AND(B3257='IN-TC'!$S$4,OR(TH!N3257="1111",TH!O3257="1111")),TH!D3257,""),"")</f>
        <v/>
      </c>
      <c r="B3257" s="62" t="str">
        <f t="shared" si="392"/>
        <v/>
      </c>
      <c r="C3257" s="63"/>
      <c r="D3257" s="309"/>
      <c r="E3257" s="63"/>
      <c r="F3257" s="71"/>
      <c r="G3257" s="816"/>
      <c r="H3257" s="71"/>
      <c r="I3257" s="405"/>
      <c r="J3257" s="405"/>
      <c r="K3257" s="398"/>
      <c r="L3257" s="405"/>
      <c r="M3257" s="64"/>
      <c r="N3257" s="65"/>
      <c r="O3257" s="65"/>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0" ht="15.75" customHeight="1">
      <c r="A3258" s="327" t="str">
        <f>IF(B3258&lt;&gt;"",IF(AND(B3258='IN-TC'!$S$4,OR(TH!N3258="1111",TH!O3258="1111")),TH!D3258,""),"")</f>
        <v/>
      </c>
      <c r="B3258" s="62" t="str">
        <f t="shared" si="392"/>
        <v/>
      </c>
      <c r="C3258" s="63"/>
      <c r="D3258" s="309"/>
      <c r="E3258" s="63"/>
      <c r="F3258" s="71"/>
      <c r="G3258" s="816"/>
      <c r="H3258" s="71"/>
      <c r="I3258" s="405"/>
      <c r="J3258" s="405"/>
      <c r="K3258" s="398"/>
      <c r="L3258" s="405"/>
      <c r="M3258" s="64"/>
      <c r="N3258" s="65"/>
      <c r="O3258" s="65"/>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0" ht="15.75" customHeight="1">
      <c r="A3259" s="327" t="str">
        <f>IF(B3259&lt;&gt;"",IF(AND(B3259='IN-TC'!$S$4,OR(TH!N3259="1111",TH!O3259="1111")),TH!D3259,""),"")</f>
        <v/>
      </c>
      <c r="B3259" s="62" t="str">
        <f t="shared" si="392"/>
        <v/>
      </c>
      <c r="C3259" s="63"/>
      <c r="D3259" s="309"/>
      <c r="E3259" s="63"/>
      <c r="F3259" s="71"/>
      <c r="G3259" s="816"/>
      <c r="H3259" s="330"/>
      <c r="I3259" s="405"/>
      <c r="J3259" s="405"/>
      <c r="K3259" s="398"/>
      <c r="L3259" s="405"/>
      <c r="M3259" s="64"/>
      <c r="N3259" s="65"/>
      <c r="O3259" s="65"/>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row>
    <row r="3260" spans="1:30" ht="15.75" customHeight="1">
      <c r="A3260" s="327" t="str">
        <f>IF(B3260&lt;&gt;"",IF(AND(B3260='IN-TC'!$S$4,OR(TH!N3260="1111",TH!O3260="1111")),TH!D3260,""),"")</f>
        <v/>
      </c>
      <c r="B3260" s="62" t="str">
        <f t="shared" si="392"/>
        <v/>
      </c>
      <c r="C3260" s="63"/>
      <c r="D3260" s="309"/>
      <c r="E3260" s="63"/>
      <c r="F3260" s="71"/>
      <c r="G3260" s="816"/>
      <c r="H3260" s="330"/>
      <c r="I3260" s="405"/>
      <c r="J3260" s="405"/>
      <c r="K3260" s="398"/>
      <c r="L3260" s="405"/>
      <c r="M3260" s="64"/>
      <c r="N3260" s="65"/>
      <c r="O3260" s="65"/>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
      </c>
      <c r="W3260" s="81" t="str">
        <f>IF(AND('341-CT'!$H$9=H3260,OR(LEFT(N3260,3)=$W$7,LEFT(O3260,3)=$W$7)),"x","")</f>
        <v/>
      </c>
      <c r="X3260" s="81" t="str">
        <f>IF(OR(TH!N3260=TH!$X$7,O3260=TH!$X$7),"x","")</f>
        <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row>
    <row r="3261" spans="1:30" ht="15.75" customHeight="1">
      <c r="A3261" s="327" t="str">
        <f>IF(B3261&lt;&gt;"",IF(AND(B3261='IN-TC'!$S$4,OR(TH!N3261="1111",TH!O3261="1111")),TH!D3261,""),"")</f>
        <v/>
      </c>
      <c r="B3261" s="62" t="str">
        <f t="shared" si="392"/>
        <v/>
      </c>
      <c r="C3261" s="63"/>
      <c r="D3261" s="309"/>
      <c r="E3261" s="63"/>
      <c r="F3261" s="71"/>
      <c r="G3261" s="816"/>
      <c r="H3261" s="71"/>
      <c r="I3261" s="405"/>
      <c r="J3261" s="405"/>
      <c r="K3261" s="398"/>
      <c r="L3261" s="405"/>
      <c r="M3261" s="64"/>
      <c r="N3261" s="65"/>
      <c r="O3261" s="65"/>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0" ht="15.75" customHeight="1">
      <c r="A3262" s="327" t="str">
        <f>IF(B3262&lt;&gt;"",IF(AND(B3262='IN-TC'!$S$4,OR(TH!N3262="1111",TH!O3262="1111")),TH!D3262,""),"")</f>
        <v/>
      </c>
      <c r="B3262" s="62" t="str">
        <f t="shared" si="392"/>
        <v/>
      </c>
      <c r="C3262" s="63"/>
      <c r="D3262" s="309"/>
      <c r="E3262" s="63"/>
      <c r="F3262" s="71"/>
      <c r="G3262" s="816"/>
      <c r="H3262" s="71"/>
      <c r="I3262" s="405"/>
      <c r="J3262" s="405"/>
      <c r="K3262" s="398"/>
      <c r="L3262" s="405"/>
      <c r="M3262" s="64"/>
      <c r="N3262" s="65"/>
      <c r="O3262" s="65"/>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0" ht="15.75" customHeight="1">
      <c r="A3263" s="327" t="str">
        <f>IF(B3263&lt;&gt;"",IF(AND(B3263='IN-TC'!$S$4,OR(TH!N3263="1111",TH!O3263="1111")),TH!D3263,""),"")</f>
        <v/>
      </c>
      <c r="B3263" s="62" t="str">
        <f t="shared" si="392"/>
        <v/>
      </c>
      <c r="C3263" s="63"/>
      <c r="D3263" s="309"/>
      <c r="E3263" s="63"/>
      <c r="F3263" s="71"/>
      <c r="G3263" s="816"/>
      <c r="H3263" s="330"/>
      <c r="I3263" s="405"/>
      <c r="J3263" s="405"/>
      <c r="K3263" s="398"/>
      <c r="L3263" s="405"/>
      <c r="M3263" s="64"/>
      <c r="N3263" s="65"/>
      <c r="O3263" s="65"/>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0" ht="15.75" customHeight="1">
      <c r="A3264" s="327" t="str">
        <f>IF(B3264&lt;&gt;"",IF(AND(B3264='IN-TC'!$S$4,OR(TH!N3264="1111",TH!O3264="1111")),TH!D3264,""),"")</f>
        <v/>
      </c>
      <c r="B3264" s="62" t="str">
        <f t="shared" si="392"/>
        <v/>
      </c>
      <c r="C3264" s="63"/>
      <c r="D3264" s="309"/>
      <c r="E3264" s="63"/>
      <c r="F3264" s="71"/>
      <c r="G3264" s="816"/>
      <c r="H3264" s="330"/>
      <c r="I3264" s="405"/>
      <c r="J3264" s="405"/>
      <c r="K3264" s="398"/>
      <c r="L3264" s="405"/>
      <c r="M3264" s="64"/>
      <c r="N3264" s="65"/>
      <c r="O3264" s="65"/>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0" ht="15.75" customHeight="1">
      <c r="A3265" s="327" t="str">
        <f>IF(B3265&lt;&gt;"",IF(AND(B3265='IN-TC'!$S$4,OR(TH!N3265="1111",TH!O3265="1111")),TH!D3265,""),"")</f>
        <v/>
      </c>
      <c r="B3265" s="62" t="str">
        <f t="shared" si="392"/>
        <v/>
      </c>
      <c r="C3265" s="63"/>
      <c r="D3265" s="309"/>
      <c r="E3265" s="63"/>
      <c r="F3265" s="71"/>
      <c r="G3265" s="816"/>
      <c r="H3265" s="71"/>
      <c r="I3265" s="405"/>
      <c r="J3265" s="405"/>
      <c r="K3265" s="398"/>
      <c r="L3265" s="405"/>
      <c r="M3265" s="64"/>
      <c r="N3265" s="65"/>
      <c r="O3265" s="65"/>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0" ht="15.75" customHeight="1">
      <c r="A3266" s="327" t="str">
        <f>IF(B3266&lt;&gt;"",IF(AND(B3266='IN-TC'!$S$4,OR(TH!N3266="1111",TH!O3266="1111")),TH!D3266,""),"")</f>
        <v/>
      </c>
      <c r="B3266" s="62" t="str">
        <f t="shared" si="392"/>
        <v/>
      </c>
      <c r="C3266" s="63"/>
      <c r="D3266" s="309"/>
      <c r="E3266" s="63"/>
      <c r="F3266" s="71"/>
      <c r="G3266" s="816"/>
      <c r="H3266" s="71"/>
      <c r="I3266" s="405"/>
      <c r="J3266" s="405"/>
      <c r="K3266" s="398"/>
      <c r="L3266" s="405"/>
      <c r="M3266" s="64"/>
      <c r="N3266" s="65"/>
      <c r="O3266" s="65"/>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row>
    <row r="3267" spans="1:30" ht="15.75" customHeight="1">
      <c r="A3267" s="327" t="str">
        <f>IF(B3267&lt;&gt;"",IF(AND(B3267='IN-TC'!$S$4,OR(TH!N3267="1111",TH!O3267="1111")),TH!D3267,""),"")</f>
        <v/>
      </c>
      <c r="B3267" s="62" t="str">
        <f t="shared" si="392"/>
        <v/>
      </c>
      <c r="C3267" s="63"/>
      <c r="D3267" s="309"/>
      <c r="E3267" s="63"/>
      <c r="F3267" s="71"/>
      <c r="G3267" s="816"/>
      <c r="H3267" s="71"/>
      <c r="I3267" s="405"/>
      <c r="J3267" s="405"/>
      <c r="K3267" s="398"/>
      <c r="L3267" s="405"/>
      <c r="M3267" s="64"/>
      <c r="N3267" s="65"/>
      <c r="O3267" s="65"/>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
      </c>
      <c r="W3267" s="81" t="str">
        <f>IF(AND('341-CT'!$H$9=H3267,OR(LEFT(N3267,3)=$W$7,LEFT(O3267,3)=$W$7)),"x","")</f>
        <v/>
      </c>
      <c r="X3267" s="81" t="str">
        <f>IF(OR(TH!N3267=TH!$X$7,O3267=TH!$X$7),"x","")</f>
        <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row>
    <row r="3268" spans="1:30" ht="15.75" customHeight="1">
      <c r="A3268" s="327" t="str">
        <f>IF(B3268&lt;&gt;"",IF(AND(B3268='IN-TC'!$S$4,OR(TH!N3268="1111",TH!O3268="1111")),TH!D3268,""),"")</f>
        <v/>
      </c>
      <c r="B3268" s="62" t="str">
        <f t="shared" si="392"/>
        <v/>
      </c>
      <c r="C3268" s="63"/>
      <c r="D3268" s="309"/>
      <c r="E3268" s="63"/>
      <c r="F3268" s="71"/>
      <c r="G3268" s="816"/>
      <c r="H3268" s="71"/>
      <c r="I3268" s="405"/>
      <c r="J3268" s="405"/>
      <c r="K3268" s="398"/>
      <c r="L3268" s="405"/>
      <c r="M3268" s="64"/>
      <c r="N3268" s="65"/>
      <c r="O3268" s="65"/>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0" ht="15.75" customHeight="1">
      <c r="A3269" s="327" t="str">
        <f>IF(B3269&lt;&gt;"",IF(AND(B3269='IN-TC'!$S$4,OR(TH!N3269="1111",TH!O3269="1111")),TH!D3269,""),"")</f>
        <v/>
      </c>
      <c r="B3269" s="62" t="str">
        <f t="shared" si="392"/>
        <v/>
      </c>
      <c r="C3269" s="63"/>
      <c r="D3269" s="309"/>
      <c r="E3269" s="63"/>
      <c r="F3269" s="71"/>
      <c r="G3269" s="816"/>
      <c r="H3269" s="330"/>
      <c r="I3269" s="405"/>
      <c r="J3269" s="405"/>
      <c r="K3269" s="398"/>
      <c r="L3269" s="405"/>
      <c r="M3269" s="64"/>
      <c r="N3269" s="65"/>
      <c r="O3269" s="65"/>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0" ht="15.75" customHeight="1">
      <c r="A3270" s="327" t="str">
        <f>IF(B3270&lt;&gt;"",IF(AND(B3270='IN-TC'!$S$4,OR(TH!N3270="1111",TH!O3270="1111")),TH!D3270,""),"")</f>
        <v/>
      </c>
      <c r="B3270" s="62" t="str">
        <f t="shared" si="392"/>
        <v/>
      </c>
      <c r="C3270" s="63"/>
      <c r="D3270" s="309"/>
      <c r="E3270" s="63"/>
      <c r="F3270" s="71"/>
      <c r="G3270" s="816"/>
      <c r="H3270" s="330"/>
      <c r="I3270" s="405"/>
      <c r="J3270" s="405"/>
      <c r="K3270" s="398"/>
      <c r="L3270" s="405"/>
      <c r="M3270" s="64"/>
      <c r="N3270" s="65"/>
      <c r="O3270" s="65"/>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0" ht="15.75" customHeight="1">
      <c r="A3271" s="327" t="str">
        <f>IF(B3271&lt;&gt;"",IF(AND(B3271='IN-TC'!$S$4,OR(TH!N3271="1111",TH!O3271="1111")),TH!D3271,""),"")</f>
        <v/>
      </c>
      <c r="B3271" s="62" t="str">
        <f t="shared" si="392"/>
        <v/>
      </c>
      <c r="C3271" s="63"/>
      <c r="D3271" s="309"/>
      <c r="E3271" s="63"/>
      <c r="F3271" s="71"/>
      <c r="G3271" s="816"/>
      <c r="H3271" s="71"/>
      <c r="I3271" s="405"/>
      <c r="J3271" s="405"/>
      <c r="K3271" s="398"/>
      <c r="L3271" s="405"/>
      <c r="M3271" s="64"/>
      <c r="N3271" s="65"/>
      <c r="O3271" s="65"/>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0" ht="15.75" customHeight="1">
      <c r="A3272" s="327" t="str">
        <f>IF(B3272&lt;&gt;"",IF(AND(B3272='IN-TC'!$S$4,OR(TH!N3272="1111",TH!O3272="1111")),TH!D3272,""),"")</f>
        <v/>
      </c>
      <c r="B3272" s="62" t="str">
        <f t="shared" si="392"/>
        <v/>
      </c>
      <c r="C3272" s="63"/>
      <c r="D3272" s="309"/>
      <c r="E3272" s="63"/>
      <c r="F3272" s="71"/>
      <c r="G3272" s="816"/>
      <c r="H3272" s="74"/>
      <c r="I3272" s="405"/>
      <c r="J3272" s="405"/>
      <c r="K3272" s="398"/>
      <c r="L3272" s="405"/>
      <c r="M3272" s="64"/>
      <c r="N3272" s="65"/>
      <c r="O3272" s="65"/>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row>
    <row r="3273" spans="1:30" ht="15.75" customHeight="1">
      <c r="A3273" s="327" t="str">
        <f>IF(B3273&lt;&gt;"",IF(AND(B3273='IN-TC'!$S$4,OR(TH!N3273="1111",TH!O3273="1111")),TH!D3273,""),"")</f>
        <v/>
      </c>
      <c r="B3273" s="62" t="str">
        <f t="shared" si="392"/>
        <v/>
      </c>
      <c r="C3273" s="63"/>
      <c r="D3273" s="309"/>
      <c r="E3273" s="63"/>
      <c r="F3273" s="71"/>
      <c r="G3273" s="816"/>
      <c r="H3273" s="71"/>
      <c r="I3273" s="405"/>
      <c r="J3273" s="405"/>
      <c r="K3273" s="398"/>
      <c r="L3273" s="405"/>
      <c r="M3273" s="64"/>
      <c r="N3273" s="65"/>
      <c r="O3273" s="65"/>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
      </c>
      <c r="W3273" s="81" t="str">
        <f>IF(AND('341-CT'!$H$9=H3273,OR(LEFT(N3273,3)=$W$7,LEFT(O3273,3)=$W$7)),"x","")</f>
        <v/>
      </c>
      <c r="X3273" s="81" t="str">
        <f>IF(OR(TH!N3273=TH!$X$7,O3273=TH!$X$7),"x","")</f>
        <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row>
    <row r="3274" spans="1:30" ht="15.75" customHeight="1">
      <c r="A3274" s="327" t="str">
        <f>IF(B3274&lt;&gt;"",IF(AND(B3274='IN-TC'!$S$4,OR(TH!N3274="1111",TH!O3274="1111")),TH!D3274,""),"")</f>
        <v/>
      </c>
      <c r="B3274" s="62" t="str">
        <f t="shared" si="392"/>
        <v/>
      </c>
      <c r="C3274" s="63"/>
      <c r="D3274" s="309"/>
      <c r="E3274" s="63"/>
      <c r="F3274" s="71"/>
      <c r="G3274" s="816"/>
      <c r="H3274" s="71"/>
      <c r="I3274" s="405"/>
      <c r="J3274" s="405"/>
      <c r="K3274" s="398"/>
      <c r="L3274" s="405"/>
      <c r="M3274" s="64"/>
      <c r="N3274" s="65"/>
      <c r="O3274" s="65"/>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0" ht="15.75" customHeight="1">
      <c r="A3275" s="327" t="str">
        <f>IF(B3275&lt;&gt;"",IF(AND(B3275='IN-TC'!$S$4,OR(TH!N3275="1111",TH!O3275="1111")),TH!D3275,""),"")</f>
        <v/>
      </c>
      <c r="B3275" s="62" t="str">
        <f t="shared" si="392"/>
        <v/>
      </c>
      <c r="C3275" s="63"/>
      <c r="D3275" s="309"/>
      <c r="E3275" s="63"/>
      <c r="F3275" s="71"/>
      <c r="G3275" s="816"/>
      <c r="H3275" s="71"/>
      <c r="I3275" s="405"/>
      <c r="J3275" s="405"/>
      <c r="K3275" s="398"/>
      <c r="L3275" s="405"/>
      <c r="M3275" s="64"/>
      <c r="N3275" s="65"/>
      <c r="O3275" s="65"/>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0" ht="15.75" customHeight="1">
      <c r="A3276" s="327" t="str">
        <f>IF(B3276&lt;&gt;"",IF(AND(B3276='IN-TC'!$S$4,OR(TH!N3276="1111",TH!O3276="1111")),TH!D3276,""),"")</f>
        <v/>
      </c>
      <c r="B3276" s="62" t="str">
        <f t="shared" si="392"/>
        <v/>
      </c>
      <c r="C3276" s="63"/>
      <c r="D3276" s="309"/>
      <c r="E3276" s="63"/>
      <c r="F3276" s="71"/>
      <c r="G3276" s="816"/>
      <c r="H3276" s="71"/>
      <c r="I3276" s="405"/>
      <c r="J3276" s="405"/>
      <c r="K3276" s="398"/>
      <c r="L3276" s="405"/>
      <c r="M3276" s="64"/>
      <c r="N3276" s="65"/>
      <c r="O3276" s="65"/>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0" ht="15.75" customHeight="1">
      <c r="A3277" s="327" t="str">
        <f>IF(B3277&lt;&gt;"",IF(AND(B3277='IN-TC'!$S$4,OR(TH!N3277="1111",TH!O3277="1111")),TH!D3277,""),"")</f>
        <v/>
      </c>
      <c r="B3277" s="62" t="str">
        <f t="shared" si="392"/>
        <v/>
      </c>
      <c r="C3277" s="63"/>
      <c r="D3277" s="309"/>
      <c r="E3277" s="63"/>
      <c r="F3277" s="71"/>
      <c r="G3277" s="816"/>
      <c r="H3277" s="71"/>
      <c r="I3277" s="405"/>
      <c r="J3277" s="405"/>
      <c r="K3277" s="398"/>
      <c r="L3277" s="405"/>
      <c r="M3277" s="64"/>
      <c r="N3277" s="65"/>
      <c r="O3277" s="65"/>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0" ht="15.75" customHeight="1">
      <c r="A3278" s="327" t="str">
        <f>IF(B3278&lt;&gt;"",IF(AND(B3278='IN-TC'!$S$4,OR(TH!N3278="1111",TH!O3278="1111")),TH!D3278,""),"")</f>
        <v/>
      </c>
      <c r="B3278" s="62" t="str">
        <f t="shared" si="392"/>
        <v/>
      </c>
      <c r="C3278" s="63"/>
      <c r="D3278" s="309"/>
      <c r="E3278" s="63"/>
      <c r="F3278" s="71"/>
      <c r="G3278" s="816"/>
      <c r="H3278" s="330"/>
      <c r="I3278" s="405"/>
      <c r="J3278" s="405"/>
      <c r="K3278" s="398"/>
      <c r="L3278" s="405"/>
      <c r="M3278" s="64"/>
      <c r="N3278" s="65"/>
      <c r="O3278" s="65"/>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0" ht="15.75" customHeight="1">
      <c r="A3279" s="327" t="str">
        <f>IF(B3279&lt;&gt;"",IF(AND(B3279='IN-TC'!$S$4,OR(TH!N3279="1111",TH!O3279="1111")),TH!D3279,""),"")</f>
        <v/>
      </c>
      <c r="B3279" s="62" t="str">
        <f t="shared" si="392"/>
        <v/>
      </c>
      <c r="C3279" s="63"/>
      <c r="D3279" s="309"/>
      <c r="E3279" s="63"/>
      <c r="F3279" s="71"/>
      <c r="G3279" s="816"/>
      <c r="H3279" s="330"/>
      <c r="I3279" s="405"/>
      <c r="J3279" s="405"/>
      <c r="K3279" s="398"/>
      <c r="L3279" s="405"/>
      <c r="M3279" s="64"/>
      <c r="N3279" s="65"/>
      <c r="O3279" s="65"/>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row>
    <row r="3280" spans="1:30" ht="15.75" customHeight="1">
      <c r="A3280" s="327" t="str">
        <f>IF(B3280&lt;&gt;"",IF(AND(B3280='IN-TC'!$S$4,OR(TH!N3280="1111",TH!O3280="1111")),TH!D3280,""),"")</f>
        <v/>
      </c>
      <c r="B3280" s="62" t="str">
        <f t="shared" si="392"/>
        <v/>
      </c>
      <c r="C3280" s="63"/>
      <c r="D3280" s="309"/>
      <c r="E3280" s="63"/>
      <c r="F3280" s="71"/>
      <c r="G3280" s="816"/>
      <c r="H3280" s="330"/>
      <c r="I3280" s="405"/>
      <c r="J3280" s="405"/>
      <c r="K3280" s="398"/>
      <c r="L3280" s="405"/>
      <c r="M3280" s="64"/>
      <c r="N3280" s="65"/>
      <c r="O3280" s="65"/>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
      </c>
      <c r="W3280" s="81" t="str">
        <f>IF(AND('341-CT'!$H$9=H3280,OR(LEFT(N3280,3)=$W$7,LEFT(O3280,3)=$W$7)),"x","")</f>
        <v/>
      </c>
      <c r="X3280" s="81" t="str">
        <f>IF(OR(TH!N3280=TH!$X$7,O3280=TH!$X$7),"x","")</f>
        <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row>
    <row r="3281" spans="1:30" ht="15.75" customHeight="1">
      <c r="A3281" s="327" t="str">
        <f>IF(B3281&lt;&gt;"",IF(AND(B3281='IN-TC'!$S$4,OR(TH!N3281="1111",TH!O3281="1111")),TH!D3281,""),"")</f>
        <v/>
      </c>
      <c r="B3281" s="62" t="str">
        <f t="shared" si="392"/>
        <v/>
      </c>
      <c r="C3281" s="63"/>
      <c r="D3281" s="309"/>
      <c r="E3281" s="63"/>
      <c r="F3281" s="71"/>
      <c r="G3281" s="816"/>
      <c r="H3281" s="330"/>
      <c r="I3281" s="405"/>
      <c r="J3281" s="405"/>
      <c r="K3281" s="398"/>
      <c r="L3281" s="405"/>
      <c r="M3281" s="64"/>
      <c r="N3281" s="65"/>
      <c r="O3281" s="65"/>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ht="15.75" customHeight="1">
      <c r="A3282" s="327" t="str">
        <f>IF(B3282&lt;&gt;"",IF(AND(B3282='IN-TC'!$S$4,OR(TH!N3282="1111",TH!O3282="1111")),TH!D3282,""),"")</f>
        <v/>
      </c>
      <c r="B3282" s="62" t="str">
        <f t="shared" si="392"/>
        <v/>
      </c>
      <c r="C3282" s="63"/>
      <c r="D3282" s="309"/>
      <c r="E3282" s="63"/>
      <c r="F3282" s="71"/>
      <c r="G3282" s="816"/>
      <c r="H3282" s="330"/>
      <c r="I3282" s="405"/>
      <c r="J3282" s="405"/>
      <c r="K3282" s="398"/>
      <c r="L3282" s="405"/>
      <c r="M3282" s="64"/>
      <c r="N3282" s="65"/>
      <c r="O3282" s="65"/>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ht="15.75" customHeight="1">
      <c r="A3283" s="327" t="str">
        <f>IF(B3283&lt;&gt;"",IF(AND(B3283='IN-TC'!$S$4,OR(TH!N3283="1111",TH!O3283="1111")),TH!D3283,""),"")</f>
        <v/>
      </c>
      <c r="B3283" s="62" t="str">
        <f t="shared" si="392"/>
        <v/>
      </c>
      <c r="C3283" s="63"/>
      <c r="D3283" s="309"/>
      <c r="E3283" s="63"/>
      <c r="F3283" s="71"/>
      <c r="G3283" s="816"/>
      <c r="H3283" s="977"/>
      <c r="I3283" s="405"/>
      <c r="J3283" s="405"/>
      <c r="K3283" s="398"/>
      <c r="L3283" s="405"/>
      <c r="M3283" s="64"/>
      <c r="N3283" s="65"/>
      <c r="O3283" s="65"/>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ht="15.75" customHeight="1">
      <c r="A3284" s="327" t="str">
        <f>IF(B3284&lt;&gt;"",IF(AND(B3284='IN-TC'!$S$4,OR(TH!N3284="1111",TH!O3284="1111")),TH!D3284,""),"")</f>
        <v/>
      </c>
      <c r="B3284" s="62" t="str">
        <f t="shared" si="392"/>
        <v/>
      </c>
      <c r="C3284" s="63"/>
      <c r="D3284" s="309"/>
      <c r="E3284" s="63"/>
      <c r="F3284" s="71"/>
      <c r="G3284" s="816"/>
      <c r="H3284" s="330"/>
      <c r="I3284" s="405"/>
      <c r="J3284" s="405"/>
      <c r="K3284" s="398"/>
      <c r="L3284" s="405"/>
      <c r="M3284" s="64"/>
      <c r="N3284" s="65"/>
      <c r="O3284" s="65"/>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ht="15.75" customHeight="1">
      <c r="A3285" s="327" t="str">
        <f>IF(B3285&lt;&gt;"",IF(AND(B3285='IN-TC'!$S$4,OR(TH!N3285="1111",TH!O3285="1111")),TH!D3285,""),"")</f>
        <v/>
      </c>
      <c r="B3285" s="62" t="str">
        <f t="shared" si="392"/>
        <v/>
      </c>
      <c r="C3285" s="63"/>
      <c r="D3285" s="309"/>
      <c r="E3285" s="63"/>
      <c r="F3285" s="71"/>
      <c r="G3285" s="816"/>
      <c r="H3285" s="71"/>
      <c r="I3285" s="405"/>
      <c r="J3285" s="405"/>
      <c r="K3285" s="398"/>
      <c r="L3285" s="405"/>
      <c r="M3285" s="64"/>
      <c r="N3285" s="65"/>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ht="15.75" customHeight="1">
      <c r="A3286" s="327" t="str">
        <f>IF(B3286&lt;&gt;"",IF(AND(B3286='IN-TC'!$S$4,OR(TH!N3286="1111",TH!O3286="1111")),TH!D3286,""),"")</f>
        <v/>
      </c>
      <c r="B3286" s="62" t="str">
        <f t="shared" ref="B3286:B3349" si="393">IF(C3286&lt;&gt;"",MONTH(C3286),"")</f>
        <v/>
      </c>
      <c r="C3286" s="63"/>
      <c r="D3286" s="309"/>
      <c r="E3286" s="63"/>
      <c r="F3286" s="71"/>
      <c r="G3286" s="816"/>
      <c r="H3286" s="71"/>
      <c r="I3286" s="405"/>
      <c r="J3286" s="405"/>
      <c r="K3286" s="398"/>
      <c r="L3286" s="405"/>
      <c r="M3286" s="64"/>
      <c r="N3286" s="65"/>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ht="15.75" customHeight="1">
      <c r="A3287" s="327" t="str">
        <f>IF(B3287&lt;&gt;"",IF(AND(B3287='IN-TC'!$S$4,OR(TH!N3287="1111",TH!O3287="1111")),TH!D3287,""),"")</f>
        <v/>
      </c>
      <c r="B3287" s="62" t="str">
        <f t="shared" si="393"/>
        <v/>
      </c>
      <c r="C3287" s="63"/>
      <c r="D3287" s="309"/>
      <c r="E3287" s="63"/>
      <c r="F3287" s="71"/>
      <c r="G3287" s="816"/>
      <c r="H3287" s="977"/>
      <c r="I3287" s="405"/>
      <c r="J3287" s="405"/>
      <c r="K3287" s="398"/>
      <c r="L3287" s="405"/>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ht="15.75" customHeight="1">
      <c r="A3288" s="327" t="str">
        <f>IF(B3288&lt;&gt;"",IF(AND(B3288='IN-TC'!$S$4,OR(TH!N3288="1111",TH!O3288="1111")),TH!D3288,""),"")</f>
        <v/>
      </c>
      <c r="B3288" s="62" t="str">
        <f t="shared" si="393"/>
        <v/>
      </c>
      <c r="C3288" s="63"/>
      <c r="D3288" s="309"/>
      <c r="E3288" s="63"/>
      <c r="F3288" s="71"/>
      <c r="G3288" s="816"/>
      <c r="H3288" s="71"/>
      <c r="I3288" s="405"/>
      <c r="J3288" s="405"/>
      <c r="K3288" s="398"/>
      <c r="L3288" s="405"/>
      <c r="M3288" s="64"/>
      <c r="N3288" s="65"/>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ht="15.75" customHeight="1">
      <c r="A3289" s="327" t="str">
        <f>IF(B3289&lt;&gt;"",IF(AND(B3289='IN-TC'!$S$4,OR(TH!N3289="1111",TH!O3289="1111")),TH!D3289,""),"")</f>
        <v/>
      </c>
      <c r="B3289" s="62" t="str">
        <f t="shared" si="393"/>
        <v/>
      </c>
      <c r="C3289" s="63"/>
      <c r="D3289" s="309"/>
      <c r="E3289" s="63"/>
      <c r="F3289" s="71"/>
      <c r="G3289" s="816"/>
      <c r="H3289" s="71"/>
      <c r="I3289" s="405"/>
      <c r="J3289" s="405"/>
      <c r="K3289" s="398"/>
      <c r="L3289" s="405"/>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ht="15.75" customHeight="1">
      <c r="A3290" s="327" t="str">
        <f>IF(B3290&lt;&gt;"",IF(AND(B3290='IN-TC'!$S$4,OR(TH!N3290="1111",TH!O3290="1111")),TH!D3290,""),"")</f>
        <v/>
      </c>
      <c r="B3290" s="62" t="str">
        <f t="shared" si="393"/>
        <v/>
      </c>
      <c r="C3290" s="63"/>
      <c r="D3290" s="309"/>
      <c r="E3290" s="63"/>
      <c r="F3290" s="71"/>
      <c r="G3290" s="816"/>
      <c r="H3290" s="71"/>
      <c r="I3290" s="405"/>
      <c r="J3290" s="405"/>
      <c r="K3290" s="398"/>
      <c r="L3290" s="405"/>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ht="15.75" customHeight="1">
      <c r="A3291" s="327" t="str">
        <f>IF(B3291&lt;&gt;"",IF(AND(B3291='IN-TC'!$S$4,OR(TH!N3291="1111",TH!O3291="1111")),TH!D3291,""),"")</f>
        <v/>
      </c>
      <c r="B3291" s="62" t="str">
        <f t="shared" si="393"/>
        <v/>
      </c>
      <c r="C3291" s="63"/>
      <c r="D3291" s="309"/>
      <c r="E3291" s="63"/>
      <c r="F3291" s="71"/>
      <c r="G3291" s="816"/>
      <c r="H3291" s="71"/>
      <c r="I3291" s="405"/>
      <c r="J3291" s="405"/>
      <c r="K3291" s="398"/>
      <c r="L3291" s="405"/>
      <c r="M3291" s="64"/>
      <c r="N3291" s="65"/>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ht="15.75" customHeight="1">
      <c r="A3292" s="327" t="str">
        <f>IF(B3292&lt;&gt;"",IF(AND(B3292='IN-TC'!$S$4,OR(TH!N3292="1111",TH!O3292="1111")),TH!D3292,""),"")</f>
        <v/>
      </c>
      <c r="B3292" s="62" t="str">
        <f t="shared" si="393"/>
        <v/>
      </c>
      <c r="C3292" s="63"/>
      <c r="D3292" s="309"/>
      <c r="E3292" s="63"/>
      <c r="F3292" s="71"/>
      <c r="G3292" s="816"/>
      <c r="H3292" s="71"/>
      <c r="I3292" s="405"/>
      <c r="J3292" s="405"/>
      <c r="K3292" s="398"/>
      <c r="L3292" s="405"/>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ht="15.75" customHeight="1">
      <c r="A3293" s="327" t="str">
        <f>IF(B3293&lt;&gt;"",IF(AND(B3293='IN-TC'!$S$4,OR(TH!N3293="1111",TH!O3293="1111")),TH!D3293,""),"")</f>
        <v/>
      </c>
      <c r="B3293" s="62" t="str">
        <f t="shared" si="393"/>
        <v/>
      </c>
      <c r="C3293" s="63"/>
      <c r="D3293" s="309"/>
      <c r="E3293" s="63"/>
      <c r="F3293" s="71"/>
      <c r="G3293" s="816"/>
      <c r="H3293" s="71"/>
      <c r="I3293" s="405"/>
      <c r="J3293" s="405"/>
      <c r="K3293" s="398"/>
      <c r="L3293" s="405"/>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ht="15.75" customHeight="1">
      <c r="A3294" s="327" t="str">
        <f>IF(B3294&lt;&gt;"",IF(AND(B3294='IN-TC'!$S$4,OR(TH!N3294="1111",TH!O3294="1111")),TH!D3294,""),"")</f>
        <v/>
      </c>
      <c r="B3294" s="62" t="str">
        <f t="shared" si="393"/>
        <v/>
      </c>
      <c r="C3294" s="63"/>
      <c r="D3294" s="309"/>
      <c r="E3294" s="63"/>
      <c r="F3294" s="71"/>
      <c r="G3294" s="816"/>
      <c r="H3294" s="71"/>
      <c r="I3294" s="405"/>
      <c r="J3294" s="405"/>
      <c r="K3294" s="398"/>
      <c r="L3294" s="405"/>
      <c r="M3294" s="64"/>
      <c r="N3294" s="65"/>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ht="15.75" customHeight="1">
      <c r="A3295" s="327" t="str">
        <f>IF(B3295&lt;&gt;"",IF(AND(B3295='IN-TC'!$S$4,OR(TH!N3295="1111",TH!O3295="1111")),TH!D3295,""),"")</f>
        <v/>
      </c>
      <c r="B3295" s="62" t="str">
        <f t="shared" si="393"/>
        <v/>
      </c>
      <c r="C3295" s="63"/>
      <c r="D3295" s="309"/>
      <c r="E3295" s="63"/>
      <c r="F3295" s="71"/>
      <c r="G3295" s="816"/>
      <c r="H3295" s="977"/>
      <c r="I3295" s="405"/>
      <c r="J3295" s="405"/>
      <c r="K3295" s="398"/>
      <c r="L3295" s="405"/>
      <c r="M3295" s="64"/>
      <c r="N3295" s="65"/>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ht="15.75" customHeight="1">
      <c r="A3296" s="327" t="str">
        <f>IF(B3296&lt;&gt;"",IF(AND(B3296='IN-TC'!$S$4,OR(TH!N3296="1111",TH!O3296="1111")),TH!D3296,""),"")</f>
        <v/>
      </c>
      <c r="B3296" s="62" t="str">
        <f t="shared" si="393"/>
        <v/>
      </c>
      <c r="C3296" s="63"/>
      <c r="D3296" s="309"/>
      <c r="E3296" s="63"/>
      <c r="F3296" s="71"/>
      <c r="G3296" s="816"/>
      <c r="H3296" s="71"/>
      <c r="I3296" s="405"/>
      <c r="J3296" s="405"/>
      <c r="K3296" s="398"/>
      <c r="L3296" s="405"/>
      <c r="M3296" s="64"/>
      <c r="N3296" s="65"/>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ht="15.75" customHeight="1">
      <c r="A3297" s="327" t="str">
        <f>IF(B3297&lt;&gt;"",IF(AND(B3297='IN-TC'!$S$4,OR(TH!N3297="1111",TH!O3297="1111")),TH!D3297,""),"")</f>
        <v/>
      </c>
      <c r="B3297" s="62" t="str">
        <f t="shared" si="393"/>
        <v/>
      </c>
      <c r="C3297" s="63"/>
      <c r="D3297" s="309"/>
      <c r="E3297" s="63"/>
      <c r="F3297" s="71"/>
      <c r="G3297" s="816"/>
      <c r="H3297" s="71"/>
      <c r="I3297" s="405"/>
      <c r="J3297" s="405"/>
      <c r="K3297" s="398"/>
      <c r="L3297" s="405"/>
      <c r="M3297" s="64"/>
      <c r="N3297" s="65"/>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ht="15.75" customHeight="1">
      <c r="A3298" s="327" t="str">
        <f>IF(B3298&lt;&gt;"",IF(AND(B3298='IN-TC'!$S$4,OR(TH!N3298="1111",TH!O3298="1111")),TH!D3298,""),"")</f>
        <v/>
      </c>
      <c r="B3298" s="62" t="str">
        <f t="shared" si="393"/>
        <v/>
      </c>
      <c r="C3298" s="63"/>
      <c r="D3298" s="309"/>
      <c r="E3298" s="63"/>
      <c r="F3298" s="71"/>
      <c r="G3298" s="816"/>
      <c r="H3298" s="977"/>
      <c r="I3298" s="405"/>
      <c r="J3298" s="405"/>
      <c r="K3298" s="398"/>
      <c r="L3298" s="405"/>
      <c r="M3298" s="64"/>
      <c r="N3298" s="65"/>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ht="15.75" customHeight="1">
      <c r="A3299" s="327" t="str">
        <f>IF(B3299&lt;&gt;"",IF(AND(B3299='IN-TC'!$S$4,OR(TH!N3299="1111",TH!O3299="1111")),TH!D3299,""),"")</f>
        <v/>
      </c>
      <c r="B3299" s="62" t="str">
        <f t="shared" si="393"/>
        <v/>
      </c>
      <c r="C3299" s="63"/>
      <c r="D3299" s="309"/>
      <c r="E3299" s="63"/>
      <c r="F3299" s="71"/>
      <c r="G3299" s="816"/>
      <c r="H3299" s="71"/>
      <c r="I3299" s="405"/>
      <c r="J3299" s="405"/>
      <c r="K3299" s="398"/>
      <c r="L3299" s="405"/>
      <c r="M3299" s="64"/>
      <c r="N3299" s="65"/>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ht="15.75" customHeight="1">
      <c r="A3300" s="327" t="str">
        <f>IF(B3300&lt;&gt;"",IF(AND(B3300='IN-TC'!$S$4,OR(TH!N3300="1111",TH!O3300="1111")),TH!D3300,""),"")</f>
        <v/>
      </c>
      <c r="B3300" s="62" t="str">
        <f t="shared" si="393"/>
        <v/>
      </c>
      <c r="C3300" s="63"/>
      <c r="D3300" s="309"/>
      <c r="E3300" s="63"/>
      <c r="F3300" s="71"/>
      <c r="G3300" s="816"/>
      <c r="H3300" s="71"/>
      <c r="I3300" s="405"/>
      <c r="J3300" s="405"/>
      <c r="K3300" s="398"/>
      <c r="L3300" s="405"/>
      <c r="M3300" s="64"/>
      <c r="N3300" s="65"/>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ht="15.75" customHeight="1">
      <c r="A3301" s="327" t="str">
        <f>IF(B3301&lt;&gt;"",IF(AND(B3301='IN-TC'!$S$4,OR(TH!N3301="1111",TH!O3301="1111")),TH!D3301,""),"")</f>
        <v/>
      </c>
      <c r="B3301" s="62" t="str">
        <f t="shared" si="393"/>
        <v/>
      </c>
      <c r="C3301" s="63"/>
      <c r="D3301" s="309"/>
      <c r="E3301" s="63"/>
      <c r="F3301" s="71"/>
      <c r="G3301" s="816"/>
      <c r="H3301" s="71"/>
      <c r="I3301" s="405"/>
      <c r="J3301" s="405"/>
      <c r="K3301" s="398"/>
      <c r="L3301" s="405"/>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ht="15.75" customHeight="1">
      <c r="A3302" s="327" t="str">
        <f>IF(B3302&lt;&gt;"",IF(AND(B3302='IN-TC'!$S$4,OR(TH!N3302="1111",TH!O3302="1111")),TH!D3302,""),"")</f>
        <v/>
      </c>
      <c r="B3302" s="62" t="str">
        <f t="shared" si="393"/>
        <v/>
      </c>
      <c r="C3302" s="63"/>
      <c r="D3302" s="309"/>
      <c r="E3302" s="63"/>
      <c r="F3302" s="71"/>
      <c r="G3302" s="816"/>
      <c r="H3302" s="71"/>
      <c r="I3302" s="405"/>
      <c r="J3302" s="405"/>
      <c r="K3302" s="398"/>
      <c r="L3302" s="405"/>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ht="15.75" customHeight="1">
      <c r="A3303" s="327" t="str">
        <f>IF(B3303&lt;&gt;"",IF(AND(B3303='IN-TC'!$S$4,OR(TH!N3303="1111",TH!O3303="1111")),TH!D3303,""),"")</f>
        <v/>
      </c>
      <c r="B3303" s="62" t="str">
        <f t="shared" si="393"/>
        <v/>
      </c>
      <c r="C3303" s="63"/>
      <c r="D3303" s="309"/>
      <c r="E3303" s="63"/>
      <c r="F3303" s="331"/>
      <c r="G3303" s="816"/>
      <c r="H3303" s="330"/>
      <c r="I3303" s="405"/>
      <c r="J3303" s="405"/>
      <c r="K3303" s="398"/>
      <c r="L3303" s="405"/>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ht="15.75" customHeight="1">
      <c r="A3304" s="327" t="str">
        <f>IF(B3304&lt;&gt;"",IF(AND(B3304='IN-TC'!$S$4,OR(TH!N3304="1111",TH!O3304="1111")),TH!D3304,""),"")</f>
        <v/>
      </c>
      <c r="B3304" s="62" t="str">
        <f t="shared" si="393"/>
        <v/>
      </c>
      <c r="C3304" s="63"/>
      <c r="D3304" s="309"/>
      <c r="E3304" s="63"/>
      <c r="F3304" s="477"/>
      <c r="G3304" s="816"/>
      <c r="H3304" s="330"/>
      <c r="I3304" s="405"/>
      <c r="J3304" s="405"/>
      <c r="K3304" s="398"/>
      <c r="L3304" s="405"/>
      <c r="M3304" s="64"/>
      <c r="N3304" s="65"/>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ht="15.75" customHeight="1">
      <c r="A3305" s="327" t="str">
        <f>IF(B3305&lt;&gt;"",IF(AND(B3305='IN-TC'!$S$4,OR(TH!N3305="1111",TH!O3305="1111")),TH!D3305,""),"")</f>
        <v/>
      </c>
      <c r="B3305" s="62" t="str">
        <f t="shared" si="393"/>
        <v/>
      </c>
      <c r="C3305" s="63"/>
      <c r="D3305" s="309"/>
      <c r="E3305" s="63"/>
      <c r="F3305" s="477"/>
      <c r="G3305" s="816"/>
      <c r="H3305" s="330"/>
      <c r="I3305" s="405"/>
      <c r="J3305" s="405"/>
      <c r="K3305" s="398"/>
      <c r="L3305" s="405"/>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ht="15.75" customHeight="1">
      <c r="A3306" s="327" t="str">
        <f>IF(B3306&lt;&gt;"",IF(AND(B3306='IN-TC'!$S$4,OR(TH!N3306="1111",TH!O3306="1111")),TH!D3306,""),"")</f>
        <v/>
      </c>
      <c r="B3306" s="62" t="str">
        <f t="shared" si="393"/>
        <v/>
      </c>
      <c r="C3306" s="63"/>
      <c r="D3306" s="309"/>
      <c r="E3306" s="63"/>
      <c r="F3306" s="477"/>
      <c r="G3306" s="816"/>
      <c r="H3306" s="330"/>
      <c r="I3306" s="405"/>
      <c r="J3306" s="405"/>
      <c r="K3306" s="398"/>
      <c r="L3306" s="405"/>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ht="15.75" customHeight="1">
      <c r="A3307" s="327" t="str">
        <f>IF(B3307&lt;&gt;"",IF(AND(B3307='IN-TC'!$S$4,OR(TH!N3307="1111",TH!O3307="1111")),TH!D3307,""),"")</f>
        <v/>
      </c>
      <c r="B3307" s="62" t="str">
        <f t="shared" si="393"/>
        <v/>
      </c>
      <c r="C3307" s="63"/>
      <c r="D3307" s="309"/>
      <c r="E3307" s="63"/>
      <c r="F3307" s="477"/>
      <c r="G3307" s="816"/>
      <c r="H3307" s="330"/>
      <c r="I3307" s="405"/>
      <c r="J3307" s="405"/>
      <c r="K3307" s="398"/>
      <c r="L3307" s="405"/>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ht="15.75" customHeight="1">
      <c r="A3308" s="327" t="str">
        <f>IF(B3308&lt;&gt;"",IF(AND(B3308='IN-TC'!$S$4,OR(TH!N3308="1111",TH!O3308="1111")),TH!D3308,""),"")</f>
        <v/>
      </c>
      <c r="B3308" s="62" t="str">
        <f t="shared" si="393"/>
        <v/>
      </c>
      <c r="C3308" s="63"/>
      <c r="D3308" s="63"/>
      <c r="E3308" s="63"/>
      <c r="F3308" s="71"/>
      <c r="G3308" s="66"/>
      <c r="H3308" s="71"/>
      <c r="I3308" s="405"/>
      <c r="J3308" s="405"/>
      <c r="K3308" s="398"/>
      <c r="L3308" s="405"/>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ht="15.75" customHeight="1">
      <c r="A3309" s="327" t="str">
        <f>IF(B3309&lt;&gt;"",IF(AND(B3309='IN-TC'!$S$4,OR(TH!N3309="1111",TH!O3309="1111")),TH!D3309,""),"")</f>
        <v/>
      </c>
      <c r="B3309" s="62" t="str">
        <f t="shared" si="393"/>
        <v/>
      </c>
      <c r="C3309" s="63"/>
      <c r="D3309" s="63"/>
      <c r="E3309" s="63"/>
      <c r="F3309" s="71"/>
      <c r="G3309" s="816"/>
      <c r="H3309" s="71"/>
      <c r="I3309" s="405"/>
      <c r="J3309" s="405"/>
      <c r="K3309" s="398"/>
      <c r="L3309" s="405"/>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ht="15.75" customHeight="1">
      <c r="A3310" s="327" t="str">
        <f>IF(B3310&lt;&gt;"",IF(AND(B3310='IN-TC'!$S$4,OR(TH!N3310="1111",TH!O3310="1111")),TH!D3310,""),"")</f>
        <v/>
      </c>
      <c r="B3310" s="62" t="str">
        <f t="shared" si="393"/>
        <v/>
      </c>
      <c r="C3310" s="63"/>
      <c r="D3310" s="63"/>
      <c r="E3310" s="63"/>
      <c r="F3310" s="71"/>
      <c r="G3310" s="816"/>
      <c r="H3310" s="71"/>
      <c r="I3310" s="405"/>
      <c r="J3310" s="405"/>
      <c r="K3310" s="398"/>
      <c r="L3310" s="405"/>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ht="15.75" customHeight="1">
      <c r="A3311" s="327" t="str">
        <f>IF(B3311&lt;&gt;"",IF(AND(B3311='IN-TC'!$S$4,OR(TH!N3311="1111",TH!O3311="1111")),TH!D3311,""),"")</f>
        <v/>
      </c>
      <c r="B3311" s="62" t="str">
        <f t="shared" si="393"/>
        <v/>
      </c>
      <c r="C3311" s="63"/>
      <c r="D3311" s="63"/>
      <c r="E3311" s="63"/>
      <c r="F3311" s="477"/>
      <c r="G3311" s="66"/>
      <c r="H3311" s="71"/>
      <c r="I3311" s="405"/>
      <c r="J3311" s="405"/>
      <c r="K3311" s="398"/>
      <c r="L3311" s="405"/>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ht="15.75" customHeight="1">
      <c r="A3312" s="327" t="str">
        <f>IF(B3312&lt;&gt;"",IF(AND(B3312='IN-TC'!$S$4,OR(TH!N3312="1111",TH!O3312="1111")),TH!D3312,""),"")</f>
        <v/>
      </c>
      <c r="B3312" s="62" t="str">
        <f t="shared" si="393"/>
        <v/>
      </c>
      <c r="C3312" s="63"/>
      <c r="D3312" s="63"/>
      <c r="E3312" s="63"/>
      <c r="F3312" s="477"/>
      <c r="G3312" s="66"/>
      <c r="H3312" s="71"/>
      <c r="I3312" s="405"/>
      <c r="J3312" s="405"/>
      <c r="K3312" s="398"/>
      <c r="L3312" s="405"/>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ht="15.75" customHeight="1">
      <c r="A3313" s="327" t="str">
        <f>IF(B3313&lt;&gt;"",IF(AND(B3313='IN-TC'!$S$4,OR(TH!N3313="1111",TH!O3313="1111")),TH!D3313,""),"")</f>
        <v/>
      </c>
      <c r="B3313" s="62" t="str">
        <f t="shared" si="393"/>
        <v/>
      </c>
      <c r="C3313" s="63"/>
      <c r="D3313" s="63"/>
      <c r="E3313" s="63"/>
      <c r="F3313" s="71"/>
      <c r="G3313" s="816"/>
      <c r="H3313" s="71"/>
      <c r="I3313" s="405"/>
      <c r="J3313" s="405"/>
      <c r="K3313" s="398"/>
      <c r="L3313" s="405"/>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ht="15.75" customHeight="1">
      <c r="A3314" s="327" t="str">
        <f>IF(B3314&lt;&gt;"",IF(AND(B3314='IN-TC'!$S$4,OR(TH!N3314="1111",TH!O3314="1111")),TH!D3314,""),"")</f>
        <v/>
      </c>
      <c r="B3314" s="62" t="str">
        <f t="shared" si="393"/>
        <v/>
      </c>
      <c r="C3314" s="63"/>
      <c r="D3314" s="63"/>
      <c r="E3314" s="63"/>
      <c r="F3314" s="71"/>
      <c r="G3314" s="66"/>
      <c r="H3314" s="71"/>
      <c r="I3314" s="405"/>
      <c r="J3314" s="405"/>
      <c r="K3314" s="398"/>
      <c r="L3314" s="405"/>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ht="15.75" customHeight="1">
      <c r="A3315" s="327" t="str">
        <f>IF(B3315&lt;&gt;"",IF(AND(B3315='IN-TC'!$S$4,OR(TH!N3315="1111",TH!O3315="1111")),TH!D3315,""),"")</f>
        <v/>
      </c>
      <c r="B3315" s="62" t="str">
        <f t="shared" si="393"/>
        <v/>
      </c>
      <c r="C3315" s="63"/>
      <c r="D3315" s="63"/>
      <c r="E3315" s="63"/>
      <c r="F3315" s="71"/>
      <c r="G3315" s="66"/>
      <c r="H3315" s="71"/>
      <c r="I3315" s="405"/>
      <c r="J3315" s="405"/>
      <c r="K3315" s="398"/>
      <c r="L3315" s="405"/>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ht="15.75" customHeight="1">
      <c r="A3316" s="327" t="str">
        <f>IF(B3316&lt;&gt;"",IF(AND(B3316='IN-TC'!$S$4,OR(TH!N3316="1111",TH!O3316="1111")),TH!D3316,""),"")</f>
        <v/>
      </c>
      <c r="B3316" s="62" t="str">
        <f t="shared" si="393"/>
        <v/>
      </c>
      <c r="C3316" s="63"/>
      <c r="D3316" s="63"/>
      <c r="E3316" s="63"/>
      <c r="F3316" s="71"/>
      <c r="G3316" s="66"/>
      <c r="H3316" s="71"/>
      <c r="I3316" s="405"/>
      <c r="J3316" s="405"/>
      <c r="K3316" s="398"/>
      <c r="L3316" s="405"/>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ht="15.75" customHeight="1">
      <c r="A3317" s="327" t="str">
        <f>IF(B3317&lt;&gt;"",IF(AND(B3317='IN-TC'!$S$4,OR(TH!N3317="1111",TH!O3317="1111")),TH!D3317,""),"")</f>
        <v/>
      </c>
      <c r="B3317" s="62" t="str">
        <f t="shared" si="393"/>
        <v/>
      </c>
      <c r="C3317" s="63"/>
      <c r="D3317" s="63"/>
      <c r="E3317" s="63"/>
      <c r="F3317" s="71"/>
      <c r="G3317" s="66"/>
      <c r="H3317" s="71"/>
      <c r="I3317" s="405"/>
      <c r="J3317" s="405"/>
      <c r="K3317" s="398"/>
      <c r="L3317" s="405"/>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ht="15.75" customHeight="1">
      <c r="A3318" s="327" t="str">
        <f>IF(B3318&lt;&gt;"",IF(AND(B3318='IN-TC'!$S$4,OR(TH!N3318="1111",TH!O3318="1111")),TH!D3318,""),"")</f>
        <v/>
      </c>
      <c r="B3318" s="62" t="str">
        <f t="shared" si="393"/>
        <v/>
      </c>
      <c r="C3318" s="63"/>
      <c r="D3318" s="63"/>
      <c r="E3318" s="63"/>
      <c r="F3318" s="71"/>
      <c r="G3318" s="66"/>
      <c r="H3318" s="71"/>
      <c r="I3318" s="405"/>
      <c r="J3318" s="405"/>
      <c r="K3318" s="398"/>
      <c r="L3318" s="405"/>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ht="15.75" customHeight="1">
      <c r="A3319" s="327" t="str">
        <f>IF(B3319&lt;&gt;"",IF(AND(B3319='IN-TC'!$S$4,OR(TH!N3319="1111",TH!O3319="1111")),TH!D3319,""),"")</f>
        <v/>
      </c>
      <c r="B3319" s="62" t="str">
        <f t="shared" si="393"/>
        <v/>
      </c>
      <c r="C3319" s="63"/>
      <c r="D3319" s="63"/>
      <c r="E3319" s="63"/>
      <c r="F3319" s="71"/>
      <c r="G3319" s="816"/>
      <c r="H3319" s="71"/>
      <c r="I3319" s="405"/>
      <c r="J3319" s="405"/>
      <c r="K3319" s="398"/>
      <c r="L3319" s="405"/>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ht="15.75" customHeight="1">
      <c r="A3320" s="327" t="str">
        <f>IF(B3320&lt;&gt;"",IF(AND(B3320='IN-TC'!$S$4,OR(TH!N3320="1111",TH!O3320="1111")),TH!D3320,""),"")</f>
        <v/>
      </c>
      <c r="B3320" s="62" t="str">
        <f t="shared" si="393"/>
        <v/>
      </c>
      <c r="C3320" s="63"/>
      <c r="D3320" s="63"/>
      <c r="E3320" s="63"/>
      <c r="F3320" s="71"/>
      <c r="G3320" s="816"/>
      <c r="H3320" s="71"/>
      <c r="I3320" s="405"/>
      <c r="J3320" s="405"/>
      <c r="K3320" s="398"/>
      <c r="L3320" s="405"/>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ht="15.75" customHeight="1">
      <c r="A3321" s="327" t="str">
        <f>IF(B3321&lt;&gt;"",IF(AND(B3321='IN-TC'!$S$4,OR(TH!N3321="1111",TH!O3321="1111")),TH!D3321,""),"")</f>
        <v/>
      </c>
      <c r="B3321" s="62" t="str">
        <f t="shared" si="393"/>
        <v/>
      </c>
      <c r="C3321" s="63"/>
      <c r="D3321" s="63"/>
      <c r="E3321" s="63"/>
      <c r="F3321" s="71"/>
      <c r="G3321" s="816"/>
      <c r="H3321" s="71"/>
      <c r="I3321" s="405"/>
      <c r="J3321" s="405"/>
      <c r="K3321" s="398"/>
      <c r="L3321" s="405"/>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ht="15.75" customHeight="1">
      <c r="A3322" s="327" t="str">
        <f>IF(B3322&lt;&gt;"",IF(AND(B3322='IN-TC'!$S$4,OR(TH!N3322="1111",TH!O3322="1111")),TH!D3322,""),"")</f>
        <v/>
      </c>
      <c r="B3322" s="62" t="str">
        <f t="shared" si="393"/>
        <v/>
      </c>
      <c r="C3322" s="63"/>
      <c r="D3322" s="63"/>
      <c r="E3322" s="63"/>
      <c r="F3322" s="71"/>
      <c r="G3322" s="66"/>
      <c r="H3322" s="977"/>
      <c r="I3322" s="405"/>
      <c r="J3322" s="405"/>
      <c r="K3322" s="398"/>
      <c r="L3322" s="405"/>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ht="15.75" customHeight="1">
      <c r="A3323" s="327" t="str">
        <f>IF(B3323&lt;&gt;"",IF(AND(B3323='IN-TC'!$S$4,OR(TH!N3323="1111",TH!O3323="1111")),TH!D3323,""),"")</f>
        <v/>
      </c>
      <c r="B3323" s="62" t="str">
        <f t="shared" si="393"/>
        <v/>
      </c>
      <c r="C3323" s="63"/>
      <c r="D3323" s="63"/>
      <c r="E3323" s="63"/>
      <c r="F3323" s="71"/>
      <c r="G3323" s="66"/>
      <c r="H3323" s="71"/>
      <c r="I3323" s="405"/>
      <c r="J3323" s="405"/>
      <c r="K3323" s="398"/>
      <c r="L3323" s="405"/>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ht="15.75" customHeight="1">
      <c r="A3324" s="327" t="str">
        <f>IF(B3324&lt;&gt;"",IF(AND(B3324='IN-TC'!$S$4,OR(TH!N3324="1111",TH!O3324="1111")),TH!D3324,""),"")</f>
        <v/>
      </c>
      <c r="B3324" s="62" t="str">
        <f t="shared" si="393"/>
        <v/>
      </c>
      <c r="C3324" s="63"/>
      <c r="D3324" s="63"/>
      <c r="E3324" s="63"/>
      <c r="F3324" s="71"/>
      <c r="G3324" s="66"/>
      <c r="H3324" s="71"/>
      <c r="I3324" s="405"/>
      <c r="J3324" s="405"/>
      <c r="K3324" s="398"/>
      <c r="L3324" s="405"/>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ht="15.75" customHeight="1">
      <c r="A3325" s="327" t="str">
        <f>IF(B3325&lt;&gt;"",IF(AND(B3325='IN-TC'!$S$4,OR(TH!N3325="1111",TH!O3325="1111")),TH!D3325,""),"")</f>
        <v/>
      </c>
      <c r="B3325" s="62" t="str">
        <f t="shared" si="393"/>
        <v/>
      </c>
      <c r="C3325" s="63"/>
      <c r="D3325" s="63"/>
      <c r="E3325" s="63"/>
      <c r="F3325" s="71"/>
      <c r="G3325" s="66"/>
      <c r="H3325" s="71"/>
      <c r="I3325" s="405"/>
      <c r="J3325" s="405"/>
      <c r="K3325" s="398"/>
      <c r="L3325" s="405"/>
      <c r="M3325" s="64"/>
      <c r="N3325" s="65"/>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ht="15.75" customHeight="1">
      <c r="A3326" s="327" t="str">
        <f>IF(B3326&lt;&gt;"",IF(AND(B3326='IN-TC'!$S$4,OR(TH!N3326="1111",TH!O3326="1111")),TH!D3326,""),"")</f>
        <v/>
      </c>
      <c r="B3326" s="62" t="str">
        <f t="shared" si="393"/>
        <v/>
      </c>
      <c r="C3326" s="63"/>
      <c r="D3326" s="309"/>
      <c r="E3326" s="309"/>
      <c r="F3326" s="71"/>
      <c r="G3326" s="816"/>
      <c r="H3326" s="71"/>
      <c r="I3326" s="405"/>
      <c r="J3326" s="405"/>
      <c r="K3326" s="398"/>
      <c r="L3326" s="405"/>
      <c r="M3326" s="64"/>
      <c r="N3326" s="65"/>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ht="15.75" customHeight="1">
      <c r="A3327" s="327" t="str">
        <f>IF(B3327&lt;&gt;"",IF(AND(B3327='IN-TC'!$S$4,OR(TH!N3327="1111",TH!O3327="1111")),TH!D3327,""),"")</f>
        <v/>
      </c>
      <c r="B3327" s="62" t="str">
        <f t="shared" si="393"/>
        <v/>
      </c>
      <c r="C3327" s="63"/>
      <c r="D3327" s="309"/>
      <c r="E3327" s="309"/>
      <c r="F3327" s="71"/>
      <c r="G3327" s="816"/>
      <c r="H3327" s="71"/>
      <c r="I3327" s="405"/>
      <c r="J3327" s="405"/>
      <c r="K3327" s="398"/>
      <c r="L3327" s="405"/>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ht="15.75" customHeight="1">
      <c r="A3328" s="327" t="str">
        <f>IF(B3328&lt;&gt;"",IF(AND(B3328='IN-TC'!$S$4,OR(TH!N3328="1111",TH!O3328="1111")),TH!D3328,""),"")</f>
        <v/>
      </c>
      <c r="B3328" s="62" t="str">
        <f t="shared" si="393"/>
        <v/>
      </c>
      <c r="C3328" s="63"/>
      <c r="D3328" s="63"/>
      <c r="E3328" s="63"/>
      <c r="F3328" s="71"/>
      <c r="G3328" s="66"/>
      <c r="H3328" s="71"/>
      <c r="I3328" s="405"/>
      <c r="J3328" s="405"/>
      <c r="K3328" s="398"/>
      <c r="L3328" s="405"/>
      <c r="M3328" s="64"/>
      <c r="N3328" s="65"/>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ht="15.75" customHeight="1">
      <c r="A3329" s="327" t="str">
        <f>IF(B3329&lt;&gt;"",IF(AND(B3329='IN-TC'!$S$4,OR(TH!N3329="1111",TH!O3329="1111")),TH!D3329,""),"")</f>
        <v/>
      </c>
      <c r="B3329" s="62" t="str">
        <f t="shared" si="393"/>
        <v/>
      </c>
      <c r="C3329" s="63"/>
      <c r="D3329" s="63"/>
      <c r="E3329" s="63"/>
      <c r="F3329" s="71"/>
      <c r="G3329" s="66"/>
      <c r="H3329" s="71"/>
      <c r="I3329" s="405"/>
      <c r="J3329" s="405"/>
      <c r="K3329" s="398"/>
      <c r="L3329" s="405"/>
      <c r="M3329" s="64"/>
      <c r="N3329" s="65"/>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ht="15.75" customHeight="1">
      <c r="A3330" s="327" t="str">
        <f>IF(B3330&lt;&gt;"",IF(AND(B3330='IN-TC'!$S$4,OR(TH!N3330="1111",TH!O3330="1111")),TH!D3330,""),"")</f>
        <v/>
      </c>
      <c r="B3330" s="62" t="str">
        <f t="shared" si="393"/>
        <v/>
      </c>
      <c r="C3330" s="63"/>
      <c r="D3330" s="63"/>
      <c r="E3330" s="63"/>
      <c r="F3330" s="71"/>
      <c r="G3330" s="66"/>
      <c r="H3330" s="71"/>
      <c r="I3330" s="405"/>
      <c r="J3330" s="405"/>
      <c r="K3330" s="398"/>
      <c r="L3330" s="405"/>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ht="15.75" customHeight="1">
      <c r="A3331" s="327" t="str">
        <f>IF(B3331&lt;&gt;"",IF(AND(B3331='IN-TC'!$S$4,OR(TH!N3331="1111",TH!O3331="1111")),TH!D3331,""),"")</f>
        <v/>
      </c>
      <c r="B3331" s="62" t="str">
        <f t="shared" si="393"/>
        <v/>
      </c>
      <c r="C3331" s="63"/>
      <c r="D3331" s="63"/>
      <c r="E3331" s="63"/>
      <c r="F3331" s="71"/>
      <c r="G3331" s="66"/>
      <c r="H3331" s="71"/>
      <c r="I3331" s="405"/>
      <c r="J3331" s="405"/>
      <c r="K3331" s="398"/>
      <c r="L3331" s="405"/>
      <c r="M3331" s="64"/>
      <c r="N3331" s="65"/>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ht="15.75" customHeight="1">
      <c r="A3332" s="327" t="str">
        <f>IF(B3332&lt;&gt;"",IF(AND(B3332='IN-TC'!$S$4,OR(TH!N3332="1111",TH!O3332="1111")),TH!D3332,""),"")</f>
        <v/>
      </c>
      <c r="B3332" s="62" t="str">
        <f t="shared" si="393"/>
        <v/>
      </c>
      <c r="C3332" s="63"/>
      <c r="D3332" s="63"/>
      <c r="E3332" s="63"/>
      <c r="F3332" s="71"/>
      <c r="G3332" s="66"/>
      <c r="H3332" s="71"/>
      <c r="I3332" s="405"/>
      <c r="J3332" s="405"/>
      <c r="K3332" s="398"/>
      <c r="L3332" s="405"/>
      <c r="M3332" s="64"/>
      <c r="N3332" s="65"/>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ht="15.75" customHeight="1">
      <c r="A3333" s="327" t="str">
        <f>IF(B3333&lt;&gt;"",IF(AND(B3333='IN-TC'!$S$4,OR(TH!N3333="1111",TH!O3333="1111")),TH!D3333,""),"")</f>
        <v/>
      </c>
      <c r="B3333" s="62" t="str">
        <f t="shared" si="393"/>
        <v/>
      </c>
      <c r="C3333" s="63"/>
      <c r="D3333" s="63"/>
      <c r="E3333" s="63"/>
      <c r="F3333" s="71"/>
      <c r="G3333" s="66"/>
      <c r="H3333" s="71"/>
      <c r="I3333" s="405"/>
      <c r="J3333" s="405"/>
      <c r="K3333" s="398"/>
      <c r="L3333" s="405"/>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ht="15.75" customHeight="1">
      <c r="A3334" s="327" t="str">
        <f>IF(B3334&lt;&gt;"",IF(AND(B3334='IN-TC'!$S$4,OR(TH!N3334="1111",TH!O3334="1111")),TH!D3334,""),"")</f>
        <v/>
      </c>
      <c r="B3334" s="62" t="str">
        <f t="shared" si="393"/>
        <v/>
      </c>
      <c r="C3334" s="63"/>
      <c r="D3334" s="63"/>
      <c r="E3334" s="63"/>
      <c r="F3334" s="71"/>
      <c r="G3334" s="66"/>
      <c r="H3334" s="71"/>
      <c r="I3334" s="405"/>
      <c r="J3334" s="405"/>
      <c r="K3334" s="398"/>
      <c r="L3334" s="405"/>
      <c r="M3334" s="64"/>
      <c r="N3334" s="65"/>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ht="15.75" customHeight="1">
      <c r="A3335" s="327" t="str">
        <f>IF(B3335&lt;&gt;"",IF(AND(B3335='IN-TC'!$S$4,OR(TH!N3335="1111",TH!O3335="1111")),TH!D3335,""),"")</f>
        <v/>
      </c>
      <c r="B3335" s="62" t="str">
        <f t="shared" si="393"/>
        <v/>
      </c>
      <c r="C3335" s="63"/>
      <c r="D3335" s="63"/>
      <c r="E3335" s="63"/>
      <c r="F3335" s="71"/>
      <c r="G3335" s="66"/>
      <c r="H3335" s="71"/>
      <c r="I3335" s="405"/>
      <c r="J3335" s="405"/>
      <c r="K3335" s="398"/>
      <c r="L3335" s="405"/>
      <c r="M3335" s="64"/>
      <c r="N3335" s="65"/>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ht="15.75" customHeight="1">
      <c r="A3336" s="327" t="str">
        <f>IF(B3336&lt;&gt;"",IF(AND(B3336='IN-TC'!$S$4,OR(TH!N3336="1111",TH!O3336="1111")),TH!D3336,""),"")</f>
        <v/>
      </c>
      <c r="B3336" s="62" t="str">
        <f t="shared" si="393"/>
        <v/>
      </c>
      <c r="C3336" s="63"/>
      <c r="D3336" s="63"/>
      <c r="E3336" s="63"/>
      <c r="F3336" s="71"/>
      <c r="G3336" s="66"/>
      <c r="H3336" s="71"/>
      <c r="I3336" s="405"/>
      <c r="J3336" s="405"/>
      <c r="K3336" s="398"/>
      <c r="L3336" s="405"/>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ht="15.75" customHeight="1">
      <c r="A3337" s="327" t="str">
        <f>IF(B3337&lt;&gt;"",IF(AND(B3337='IN-TC'!$S$4,OR(TH!N3337="1111",TH!O3337="1111")),TH!D3337,""),"")</f>
        <v/>
      </c>
      <c r="B3337" s="62" t="str">
        <f t="shared" si="393"/>
        <v/>
      </c>
      <c r="C3337" s="63"/>
      <c r="D3337" s="63"/>
      <c r="E3337" s="63"/>
      <c r="F3337" s="71"/>
      <c r="G3337" s="66"/>
      <c r="H3337" s="71"/>
      <c r="I3337" s="405"/>
      <c r="J3337" s="405"/>
      <c r="K3337" s="398"/>
      <c r="L3337" s="405"/>
      <c r="M3337" s="64"/>
      <c r="N3337" s="65"/>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ht="15.75" customHeight="1">
      <c r="A3338" s="327" t="str">
        <f>IF(B3338&lt;&gt;"",IF(AND(B3338='IN-TC'!$S$4,OR(TH!N3338="1111",TH!O3338="1111")),TH!D3338,""),"")</f>
        <v/>
      </c>
      <c r="B3338" s="62" t="str">
        <f t="shared" si="393"/>
        <v/>
      </c>
      <c r="C3338" s="63"/>
      <c r="D3338" s="63"/>
      <c r="E3338" s="63"/>
      <c r="F3338" s="71"/>
      <c r="G3338" s="66"/>
      <c r="H3338" s="71"/>
      <c r="I3338" s="405"/>
      <c r="J3338" s="405"/>
      <c r="K3338" s="398"/>
      <c r="L3338" s="405"/>
      <c r="M3338" s="64"/>
      <c r="N3338" s="65"/>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ht="15.75" customHeight="1">
      <c r="A3339" s="327" t="str">
        <f>IF(B3339&lt;&gt;"",IF(AND(B3339='IN-TC'!$S$4,OR(TH!N3339="1111",TH!O3339="1111")),TH!D3339,""),"")</f>
        <v/>
      </c>
      <c r="B3339" s="62" t="str">
        <f t="shared" si="393"/>
        <v/>
      </c>
      <c r="C3339" s="63"/>
      <c r="D3339" s="63"/>
      <c r="E3339" s="63"/>
      <c r="F3339" s="477"/>
      <c r="G3339" s="66"/>
      <c r="H3339" s="71"/>
      <c r="I3339" s="405"/>
      <c r="J3339" s="405"/>
      <c r="K3339" s="398"/>
      <c r="L3339" s="405"/>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ht="15.75" customHeight="1">
      <c r="A3340" s="327" t="str">
        <f>IF(B3340&lt;&gt;"",IF(AND(B3340='IN-TC'!$S$4,OR(TH!N3340="1111",TH!O3340="1111")),TH!D3340,""),"")</f>
        <v/>
      </c>
      <c r="B3340" s="62" t="str">
        <f t="shared" si="393"/>
        <v/>
      </c>
      <c r="C3340" s="63"/>
      <c r="D3340" s="63"/>
      <c r="E3340" s="63"/>
      <c r="F3340" s="71"/>
      <c r="G3340" s="66"/>
      <c r="H3340" s="977"/>
      <c r="I3340" s="405"/>
      <c r="J3340" s="405"/>
      <c r="K3340" s="398"/>
      <c r="L3340" s="405"/>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ht="15.75" customHeight="1">
      <c r="A3341" s="327" t="str">
        <f>IF(B3341&lt;&gt;"",IF(AND(B3341='IN-TC'!$S$4,OR(TH!N3341="1111",TH!O3341="1111")),TH!D3341,""),"")</f>
        <v/>
      </c>
      <c r="B3341" s="62" t="str">
        <f t="shared" si="393"/>
        <v/>
      </c>
      <c r="C3341" s="63"/>
      <c r="D3341" s="63"/>
      <c r="E3341" s="63"/>
      <c r="F3341" s="71"/>
      <c r="G3341" s="66"/>
      <c r="H3341" s="330"/>
      <c r="I3341" s="405"/>
      <c r="J3341" s="405"/>
      <c r="K3341" s="398"/>
      <c r="L3341" s="405"/>
      <c r="M3341" s="64"/>
      <c r="N3341" s="65"/>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ht="15.75" customHeight="1">
      <c r="A3342" s="327" t="str">
        <f>IF(B3342&lt;&gt;"",IF(AND(B3342='IN-TC'!$S$4,OR(TH!N3342="1111",TH!O3342="1111")),TH!D3342,""),"")</f>
        <v/>
      </c>
      <c r="B3342" s="62" t="str">
        <f t="shared" si="393"/>
        <v/>
      </c>
      <c r="C3342" s="63"/>
      <c r="D3342" s="63"/>
      <c r="E3342" s="63"/>
      <c r="F3342" s="71"/>
      <c r="G3342" s="66"/>
      <c r="H3342" s="330"/>
      <c r="I3342" s="405"/>
      <c r="J3342" s="405"/>
      <c r="K3342" s="398"/>
      <c r="L3342" s="405"/>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ht="15.75" customHeight="1">
      <c r="A3343" s="327" t="str">
        <f>IF(B3343&lt;&gt;"",IF(AND(B3343='IN-TC'!$S$4,OR(TH!N3343="1111",TH!O3343="1111")),TH!D3343,""),"")</f>
        <v/>
      </c>
      <c r="B3343" s="62" t="str">
        <f t="shared" si="393"/>
        <v/>
      </c>
      <c r="C3343" s="63"/>
      <c r="D3343" s="63"/>
      <c r="E3343" s="63"/>
      <c r="F3343" s="71"/>
      <c r="G3343" s="66"/>
      <c r="H3343" s="330"/>
      <c r="I3343" s="405"/>
      <c r="J3343" s="405"/>
      <c r="K3343" s="398"/>
      <c r="L3343" s="405"/>
      <c r="M3343" s="64"/>
      <c r="N3343" s="65"/>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ht="15.75" customHeight="1">
      <c r="A3344" s="327" t="str">
        <f>IF(B3344&lt;&gt;"",IF(AND(B3344='IN-TC'!$S$4,OR(TH!N3344="1111",TH!O3344="1111")),TH!D3344,""),"")</f>
        <v/>
      </c>
      <c r="B3344" s="62" t="str">
        <f t="shared" si="393"/>
        <v/>
      </c>
      <c r="C3344" s="63"/>
      <c r="D3344" s="63"/>
      <c r="E3344" s="63"/>
      <c r="F3344" s="71"/>
      <c r="G3344" s="66"/>
      <c r="H3344" s="330"/>
      <c r="I3344" s="405"/>
      <c r="J3344" s="405"/>
      <c r="K3344" s="398"/>
      <c r="L3344" s="405"/>
      <c r="M3344" s="64"/>
      <c r="N3344" s="65"/>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ht="15.75" customHeight="1">
      <c r="A3345" s="327" t="str">
        <f>IF(B3345&lt;&gt;"",IF(AND(B3345='IN-TC'!$S$4,OR(TH!N3345="1111",TH!O3345="1111")),TH!D3345,""),"")</f>
        <v/>
      </c>
      <c r="B3345" s="62" t="str">
        <f t="shared" si="393"/>
        <v/>
      </c>
      <c r="C3345" s="63"/>
      <c r="D3345" s="63"/>
      <c r="E3345" s="63"/>
      <c r="F3345" s="71"/>
      <c r="G3345" s="66"/>
      <c r="H3345" s="71"/>
      <c r="I3345" s="405"/>
      <c r="J3345" s="405"/>
      <c r="K3345" s="398"/>
      <c r="L3345" s="405"/>
      <c r="M3345" s="64"/>
      <c r="N3345" s="65"/>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ht="15.75" customHeight="1">
      <c r="A3346" s="327" t="str">
        <f>IF(B3346&lt;&gt;"",IF(AND(B3346='IN-TC'!$S$4,OR(TH!N3346="1111",TH!O3346="1111")),TH!D3346,""),"")</f>
        <v/>
      </c>
      <c r="B3346" s="62" t="str">
        <f t="shared" si="393"/>
        <v/>
      </c>
      <c r="C3346" s="63"/>
      <c r="D3346" s="63"/>
      <c r="E3346" s="63"/>
      <c r="F3346" s="71"/>
      <c r="G3346" s="66"/>
      <c r="H3346" s="71"/>
      <c r="I3346" s="405"/>
      <c r="J3346" s="405"/>
      <c r="K3346" s="398"/>
      <c r="L3346" s="405"/>
      <c r="M3346" s="64"/>
      <c r="N3346" s="65"/>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ht="15.75" customHeight="1">
      <c r="A3347" s="327" t="str">
        <f>IF(B3347&lt;&gt;"",IF(AND(B3347='IN-TC'!$S$4,OR(TH!N3347="1111",TH!O3347="1111")),TH!D3347,""),"")</f>
        <v/>
      </c>
      <c r="B3347" s="62" t="str">
        <f t="shared" si="393"/>
        <v/>
      </c>
      <c r="C3347" s="63"/>
      <c r="D3347" s="63"/>
      <c r="E3347" s="63"/>
      <c r="F3347" s="331"/>
      <c r="G3347" s="66"/>
      <c r="H3347" s="330"/>
      <c r="I3347" s="405"/>
      <c r="J3347" s="405"/>
      <c r="K3347" s="398"/>
      <c r="L3347" s="405"/>
      <c r="M3347" s="64"/>
      <c r="N3347" s="65"/>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ht="15.75" customHeight="1">
      <c r="A3348" s="327" t="str">
        <f>IF(B3348&lt;&gt;"",IF(AND(B3348='IN-TC'!$S$4,OR(TH!N3348="1111",TH!O3348="1111")),TH!D3348,""),"")</f>
        <v/>
      </c>
      <c r="B3348" s="62" t="str">
        <f t="shared" si="393"/>
        <v/>
      </c>
      <c r="C3348" s="63"/>
      <c r="D3348" s="63"/>
      <c r="E3348" s="63"/>
      <c r="F3348" s="71"/>
      <c r="G3348" s="66"/>
      <c r="H3348" s="71"/>
      <c r="I3348" s="405"/>
      <c r="J3348" s="405"/>
      <c r="K3348" s="398"/>
      <c r="L3348" s="405"/>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ht="15.75" customHeight="1">
      <c r="A3349" s="327" t="str">
        <f>IF(B3349&lt;&gt;"",IF(AND(B3349='IN-TC'!$S$4,OR(TH!N3349="1111",TH!O3349="1111")),TH!D3349,""),"")</f>
        <v/>
      </c>
      <c r="B3349" s="62" t="str">
        <f t="shared" si="393"/>
        <v/>
      </c>
      <c r="C3349" s="63"/>
      <c r="D3349" s="63"/>
      <c r="E3349" s="63"/>
      <c r="F3349" s="71"/>
      <c r="G3349" s="66"/>
      <c r="H3349" s="71"/>
      <c r="I3349" s="405"/>
      <c r="J3349" s="405"/>
      <c r="K3349" s="398"/>
      <c r="L3349" s="405"/>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ht="15.75" customHeight="1">
      <c r="A3350" s="327" t="str">
        <f>IF(B3350&lt;&gt;"",IF(AND(B3350='IN-TC'!$S$4,OR(TH!N3350="1111",TH!O3350="1111")),TH!D3350,""),"")</f>
        <v/>
      </c>
      <c r="B3350" s="62" t="str">
        <f t="shared" ref="B3350:B3413" si="394">IF(C3350&lt;&gt;"",MONTH(C3350),"")</f>
        <v/>
      </c>
      <c r="C3350" s="63"/>
      <c r="D3350" s="63"/>
      <c r="E3350" s="63"/>
      <c r="F3350" s="477"/>
      <c r="G3350" s="66"/>
      <c r="H3350" s="71"/>
      <c r="I3350" s="405"/>
      <c r="J3350" s="405"/>
      <c r="K3350" s="398"/>
      <c r="L3350" s="405"/>
      <c r="M3350" s="64"/>
      <c r="N3350" s="65"/>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ht="15.75" customHeight="1">
      <c r="A3351" s="327" t="str">
        <f>IF(B3351&lt;&gt;"",IF(AND(B3351='IN-TC'!$S$4,OR(TH!N3351="1111",TH!O3351="1111")),TH!D3351,""),"")</f>
        <v/>
      </c>
      <c r="B3351" s="62" t="str">
        <f t="shared" si="394"/>
        <v/>
      </c>
      <c r="C3351" s="63"/>
      <c r="D3351" s="63"/>
      <c r="E3351" s="63"/>
      <c r="F3351" s="71"/>
      <c r="G3351" s="66"/>
      <c r="H3351" s="71"/>
      <c r="I3351" s="405"/>
      <c r="J3351" s="405"/>
      <c r="K3351" s="398"/>
      <c r="L3351" s="405"/>
      <c r="M3351" s="64"/>
      <c r="N3351" s="65"/>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ht="15.75" customHeight="1">
      <c r="A3352" s="327" t="str">
        <f>IF(B3352&lt;&gt;"",IF(AND(B3352='IN-TC'!$S$4,OR(TH!N3352="1111",TH!O3352="1111")),TH!D3352,""),"")</f>
        <v/>
      </c>
      <c r="B3352" s="62" t="str">
        <f t="shared" si="394"/>
        <v/>
      </c>
      <c r="C3352" s="63"/>
      <c r="D3352" s="63"/>
      <c r="E3352" s="63"/>
      <c r="F3352" s="71"/>
      <c r="G3352" s="816"/>
      <c r="H3352" s="71"/>
      <c r="I3352" s="405"/>
      <c r="J3352" s="405"/>
      <c r="K3352" s="398"/>
      <c r="L3352" s="405"/>
      <c r="M3352" s="64"/>
      <c r="N3352" s="65"/>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ht="15.75" customHeight="1">
      <c r="A3353" s="327" t="str">
        <f>IF(B3353&lt;&gt;"",IF(AND(B3353='IN-TC'!$S$4,OR(TH!N3353="1111",TH!O3353="1111")),TH!D3353,""),"")</f>
        <v/>
      </c>
      <c r="B3353" s="62" t="str">
        <f t="shared" si="394"/>
        <v/>
      </c>
      <c r="C3353" s="63"/>
      <c r="D3353" s="63"/>
      <c r="E3353" s="63"/>
      <c r="F3353" s="71"/>
      <c r="G3353" s="66"/>
      <c r="H3353" s="71"/>
      <c r="I3353" s="405"/>
      <c r="J3353" s="405"/>
      <c r="K3353" s="398"/>
      <c r="L3353" s="405"/>
      <c r="M3353" s="64"/>
      <c r="N3353" s="65"/>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ht="15.75" customHeight="1">
      <c r="A3354" s="327" t="str">
        <f>IF(B3354&lt;&gt;"",IF(AND(B3354='IN-TC'!$S$4,OR(TH!N3354="1111",TH!O3354="1111")),TH!D3354,""),"")</f>
        <v/>
      </c>
      <c r="B3354" s="62" t="str">
        <f t="shared" si="394"/>
        <v/>
      </c>
      <c r="C3354" s="63"/>
      <c r="D3354" s="63"/>
      <c r="E3354" s="63"/>
      <c r="F3354" s="71"/>
      <c r="G3354" s="66"/>
      <c r="H3354" s="71"/>
      <c r="I3354" s="405"/>
      <c r="J3354" s="405"/>
      <c r="K3354" s="398"/>
      <c r="L3354" s="405"/>
      <c r="M3354" s="64"/>
      <c r="N3354" s="65"/>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ht="15.75" customHeight="1">
      <c r="A3355" s="327" t="str">
        <f>IF(B3355&lt;&gt;"",IF(AND(B3355='IN-TC'!$S$4,OR(TH!N3355="1111",TH!O3355="1111")),TH!D3355,""),"")</f>
        <v/>
      </c>
      <c r="B3355" s="62" t="str">
        <f t="shared" si="394"/>
        <v/>
      </c>
      <c r="C3355" s="63"/>
      <c r="D3355" s="63"/>
      <c r="E3355" s="63"/>
      <c r="F3355" s="71"/>
      <c r="G3355" s="66"/>
      <c r="H3355" s="71"/>
      <c r="I3355" s="405"/>
      <c r="J3355" s="405"/>
      <c r="K3355" s="398"/>
      <c r="L3355" s="405"/>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ht="15.75" customHeight="1">
      <c r="A3356" s="327" t="str">
        <f>IF(B3356&lt;&gt;"",IF(AND(B3356='IN-TC'!$S$4,OR(TH!N3356="1111",TH!O3356="1111")),TH!D3356,""),"")</f>
        <v/>
      </c>
      <c r="B3356" s="62" t="str">
        <f t="shared" si="394"/>
        <v/>
      </c>
      <c r="C3356" s="63"/>
      <c r="D3356" s="63"/>
      <c r="E3356" s="63"/>
      <c r="F3356" s="71"/>
      <c r="G3356" s="66"/>
      <c r="H3356" s="71"/>
      <c r="I3356" s="405"/>
      <c r="J3356" s="405"/>
      <c r="K3356" s="398"/>
      <c r="L3356" s="405"/>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ht="15.75" customHeight="1">
      <c r="A3357" s="327" t="str">
        <f>IF(B3357&lt;&gt;"",IF(AND(B3357='IN-TC'!$S$4,OR(TH!N3357="1111",TH!O3357="1111")),TH!D3357,""),"")</f>
        <v/>
      </c>
      <c r="B3357" s="62" t="str">
        <f t="shared" si="394"/>
        <v/>
      </c>
      <c r="C3357" s="63"/>
      <c r="D3357" s="63"/>
      <c r="E3357" s="63"/>
      <c r="F3357" s="71"/>
      <c r="G3357" s="66"/>
      <c r="H3357" s="71"/>
      <c r="I3357" s="405"/>
      <c r="J3357" s="405"/>
      <c r="K3357" s="398"/>
      <c r="L3357" s="405"/>
      <c r="M3357" s="64"/>
      <c r="N3357" s="65"/>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ht="15.75" customHeight="1">
      <c r="A3358" s="327" t="str">
        <f>IF(B3358&lt;&gt;"",IF(AND(B3358='IN-TC'!$S$4,OR(TH!N3358="1111",TH!O3358="1111")),TH!D3358,""),"")</f>
        <v/>
      </c>
      <c r="B3358" s="62" t="str">
        <f t="shared" si="394"/>
        <v/>
      </c>
      <c r="C3358" s="63"/>
      <c r="D3358" s="63"/>
      <c r="E3358" s="63"/>
      <c r="F3358" s="71"/>
      <c r="G3358" s="66"/>
      <c r="H3358" s="71"/>
      <c r="I3358" s="405"/>
      <c r="J3358" s="405"/>
      <c r="K3358" s="398"/>
      <c r="L3358" s="405"/>
      <c r="M3358" s="64"/>
      <c r="N3358" s="65"/>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ht="15.75" customHeight="1">
      <c r="A3359" s="327" t="str">
        <f>IF(B3359&lt;&gt;"",IF(AND(B3359='IN-TC'!$S$4,OR(TH!N3359="1111",TH!O3359="1111")),TH!D3359,""),"")</f>
        <v/>
      </c>
      <c r="B3359" s="62" t="str">
        <f t="shared" si="394"/>
        <v/>
      </c>
      <c r="C3359" s="63"/>
      <c r="D3359" s="63"/>
      <c r="E3359" s="63"/>
      <c r="F3359" s="71"/>
      <c r="G3359" s="66"/>
      <c r="H3359" s="330"/>
      <c r="I3359" s="405"/>
      <c r="J3359" s="405"/>
      <c r="K3359" s="398"/>
      <c r="L3359" s="405"/>
      <c r="M3359" s="64"/>
      <c r="N3359" s="65"/>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ht="15.75" customHeight="1">
      <c r="A3360" s="327" t="str">
        <f>IF(B3360&lt;&gt;"",IF(AND(B3360='IN-TC'!$S$4,OR(TH!N3360="1111",TH!O3360="1111")),TH!D3360,""),"")</f>
        <v/>
      </c>
      <c r="B3360" s="62" t="str">
        <f t="shared" si="394"/>
        <v/>
      </c>
      <c r="C3360" s="63"/>
      <c r="D3360" s="63"/>
      <c r="E3360" s="63"/>
      <c r="F3360" s="71"/>
      <c r="G3360" s="66"/>
      <c r="H3360" s="330"/>
      <c r="I3360" s="405"/>
      <c r="J3360" s="405"/>
      <c r="K3360" s="398"/>
      <c r="L3360" s="405"/>
      <c r="M3360" s="64"/>
      <c r="N3360" s="65"/>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ht="15.75" customHeight="1">
      <c r="A3361" s="327" t="str">
        <f>IF(B3361&lt;&gt;"",IF(AND(B3361='IN-TC'!$S$4,OR(TH!N3361="1111",TH!O3361="1111")),TH!D3361,""),"")</f>
        <v/>
      </c>
      <c r="B3361" s="62" t="str">
        <f t="shared" si="394"/>
        <v/>
      </c>
      <c r="C3361" s="63"/>
      <c r="D3361" s="63"/>
      <c r="E3361" s="63"/>
      <c r="F3361" s="71"/>
      <c r="G3361" s="66"/>
      <c r="H3361" s="330"/>
      <c r="I3361" s="405"/>
      <c r="J3361" s="405"/>
      <c r="K3361" s="398"/>
      <c r="L3361" s="405"/>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ht="15.75" customHeight="1">
      <c r="A3362" s="327" t="str">
        <f>IF(B3362&lt;&gt;"",IF(AND(B3362='IN-TC'!$S$4,OR(TH!N3362="1111",TH!O3362="1111")),TH!D3362,""),"")</f>
        <v/>
      </c>
      <c r="B3362" s="62" t="str">
        <f t="shared" si="394"/>
        <v/>
      </c>
      <c r="C3362" s="63"/>
      <c r="D3362" s="63"/>
      <c r="E3362" s="63"/>
      <c r="F3362" s="71"/>
      <c r="G3362" s="66"/>
      <c r="H3362" s="330"/>
      <c r="I3362" s="405"/>
      <c r="J3362" s="405"/>
      <c r="K3362" s="398"/>
      <c r="L3362" s="405"/>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ht="15.75" customHeight="1">
      <c r="A3363" s="327" t="str">
        <f>IF(B3363&lt;&gt;"",IF(AND(B3363='IN-TC'!$S$4,OR(TH!N3363="1111",TH!O3363="1111")),TH!D3363,""),"")</f>
        <v/>
      </c>
      <c r="B3363" s="62" t="str">
        <f t="shared" si="394"/>
        <v/>
      </c>
      <c r="C3363" s="63"/>
      <c r="D3363" s="63"/>
      <c r="E3363" s="63"/>
      <c r="F3363" s="71"/>
      <c r="G3363" s="66"/>
      <c r="H3363" s="71"/>
      <c r="I3363" s="405"/>
      <c r="J3363" s="405"/>
      <c r="K3363" s="398"/>
      <c r="L3363" s="405"/>
      <c r="M3363" s="64"/>
      <c r="N3363" s="65"/>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ht="15.75" customHeight="1">
      <c r="A3364" s="327" t="str">
        <f>IF(B3364&lt;&gt;"",IF(AND(B3364='IN-TC'!$S$4,OR(TH!N3364="1111",TH!O3364="1111")),TH!D3364,""),"")</f>
        <v/>
      </c>
      <c r="B3364" s="62" t="str">
        <f t="shared" si="394"/>
        <v/>
      </c>
      <c r="C3364" s="63"/>
      <c r="D3364" s="63"/>
      <c r="E3364" s="63"/>
      <c r="F3364" s="71"/>
      <c r="G3364" s="66"/>
      <c r="H3364" s="71"/>
      <c r="I3364" s="405"/>
      <c r="J3364" s="405"/>
      <c r="K3364" s="398"/>
      <c r="L3364" s="405"/>
      <c r="M3364" s="64"/>
      <c r="N3364" s="65"/>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ht="15.75" customHeight="1">
      <c r="A3365" s="327" t="str">
        <f>IF(B3365&lt;&gt;"",IF(AND(B3365='IN-TC'!$S$4,OR(TH!N3365="1111",TH!O3365="1111")),TH!D3365,""),"")</f>
        <v/>
      </c>
      <c r="B3365" s="62" t="str">
        <f t="shared" si="394"/>
        <v/>
      </c>
      <c r="C3365" s="63"/>
      <c r="D3365" s="63"/>
      <c r="E3365" s="63"/>
      <c r="F3365" s="71"/>
      <c r="G3365" s="66"/>
      <c r="H3365" s="71"/>
      <c r="I3365" s="405"/>
      <c r="J3365" s="405"/>
      <c r="K3365" s="398"/>
      <c r="L3365" s="405"/>
      <c r="M3365" s="64"/>
      <c r="N3365" s="65"/>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ht="15.75" customHeight="1">
      <c r="A3366" s="327" t="str">
        <f>IF(B3366&lt;&gt;"",IF(AND(B3366='IN-TC'!$S$4,OR(TH!N3366="1111",TH!O3366="1111")),TH!D3366,""),"")</f>
        <v/>
      </c>
      <c r="B3366" s="62" t="str">
        <f t="shared" si="394"/>
        <v/>
      </c>
      <c r="C3366" s="63"/>
      <c r="D3366" s="63"/>
      <c r="E3366" s="63"/>
      <c r="F3366" s="477"/>
      <c r="G3366" s="66"/>
      <c r="H3366" s="71"/>
      <c r="I3366" s="405"/>
      <c r="J3366" s="405"/>
      <c r="K3366" s="398"/>
      <c r="L3366" s="405"/>
      <c r="M3366" s="64"/>
      <c r="N3366" s="65"/>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ht="15.75" customHeight="1">
      <c r="A3367" s="327" t="str">
        <f>IF(B3367&lt;&gt;"",IF(AND(B3367='IN-TC'!$S$4,OR(TH!N3367="1111",TH!O3367="1111")),TH!D3367,""),"")</f>
        <v/>
      </c>
      <c r="B3367" s="62" t="str">
        <f t="shared" si="394"/>
        <v/>
      </c>
      <c r="C3367" s="63"/>
      <c r="D3367" s="63"/>
      <c r="E3367" s="63"/>
      <c r="F3367" s="477"/>
      <c r="G3367" s="66"/>
      <c r="H3367" s="71"/>
      <c r="I3367" s="405"/>
      <c r="J3367" s="405"/>
      <c r="K3367" s="398"/>
      <c r="L3367" s="405"/>
      <c r="M3367" s="64"/>
      <c r="N3367" s="65"/>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ht="15.75" customHeight="1">
      <c r="A3368" s="327" t="str">
        <f>IF(B3368&lt;&gt;"",IF(AND(B3368='IN-TC'!$S$4,OR(TH!N3368="1111",TH!O3368="1111")),TH!D3368,""),"")</f>
        <v/>
      </c>
      <c r="B3368" s="62" t="str">
        <f t="shared" si="394"/>
        <v/>
      </c>
      <c r="C3368" s="63"/>
      <c r="D3368" s="63"/>
      <c r="E3368" s="63"/>
      <c r="F3368" s="71"/>
      <c r="G3368" s="66"/>
      <c r="H3368" s="71"/>
      <c r="I3368" s="405"/>
      <c r="J3368" s="405"/>
      <c r="K3368" s="398"/>
      <c r="L3368" s="405"/>
      <c r="M3368" s="64"/>
      <c r="N3368" s="65"/>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ht="15.75" customHeight="1">
      <c r="A3369" s="327" t="str">
        <f>IF(B3369&lt;&gt;"",IF(AND(B3369='IN-TC'!$S$4,OR(TH!N3369="1111",TH!O3369="1111")),TH!D3369,""),"")</f>
        <v/>
      </c>
      <c r="B3369" s="62" t="str">
        <f t="shared" si="394"/>
        <v/>
      </c>
      <c r="C3369" s="63"/>
      <c r="D3369" s="63"/>
      <c r="E3369" s="63"/>
      <c r="F3369" s="71"/>
      <c r="G3369" s="66"/>
      <c r="H3369" s="71"/>
      <c r="I3369" s="405"/>
      <c r="J3369" s="405"/>
      <c r="K3369" s="398"/>
      <c r="L3369" s="405"/>
      <c r="M3369" s="64"/>
      <c r="N3369" s="65"/>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ht="15.75" customHeight="1">
      <c r="A3370" s="327" t="str">
        <f>IF(B3370&lt;&gt;"",IF(AND(B3370='IN-TC'!$S$4,OR(TH!N3370="1111",TH!O3370="1111")),TH!D3370,""),"")</f>
        <v/>
      </c>
      <c r="B3370" s="62" t="str">
        <f t="shared" si="394"/>
        <v/>
      </c>
      <c r="C3370" s="63"/>
      <c r="D3370" s="63"/>
      <c r="E3370" s="63"/>
      <c r="F3370" s="71"/>
      <c r="G3370" s="66"/>
      <c r="H3370" s="71"/>
      <c r="I3370" s="405"/>
      <c r="J3370" s="405"/>
      <c r="K3370" s="398"/>
      <c r="L3370" s="405"/>
      <c r="M3370" s="64"/>
      <c r="N3370" s="65"/>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ht="15.75" customHeight="1">
      <c r="A3371" s="327" t="str">
        <f>IF(B3371&lt;&gt;"",IF(AND(B3371='IN-TC'!$S$4,OR(TH!N3371="1111",TH!O3371="1111")),TH!D3371,""),"")</f>
        <v/>
      </c>
      <c r="B3371" s="62" t="str">
        <f t="shared" si="394"/>
        <v/>
      </c>
      <c r="C3371" s="63"/>
      <c r="D3371" s="63"/>
      <c r="E3371" s="63"/>
      <c r="F3371" s="71"/>
      <c r="G3371" s="66"/>
      <c r="H3371" s="71"/>
      <c r="I3371" s="405"/>
      <c r="J3371" s="405"/>
      <c r="K3371" s="398"/>
      <c r="L3371" s="405"/>
      <c r="M3371" s="64"/>
      <c r="N3371" s="65"/>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ht="15.75" customHeight="1">
      <c r="A3372" s="327" t="str">
        <f>IF(B3372&lt;&gt;"",IF(AND(B3372='IN-TC'!$S$4,OR(TH!N3372="1111",TH!O3372="1111")),TH!D3372,""),"")</f>
        <v/>
      </c>
      <c r="B3372" s="62" t="str">
        <f t="shared" si="394"/>
        <v/>
      </c>
      <c r="C3372" s="63"/>
      <c r="D3372" s="63"/>
      <c r="E3372" s="63"/>
      <c r="F3372" s="71"/>
      <c r="G3372" s="66"/>
      <c r="H3372" s="71"/>
      <c r="I3372" s="405"/>
      <c r="J3372" s="405"/>
      <c r="K3372" s="398"/>
      <c r="L3372" s="405"/>
      <c r="M3372" s="64"/>
      <c r="N3372" s="65"/>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ht="15.75" customHeight="1">
      <c r="A3373" s="327" t="str">
        <f>IF(B3373&lt;&gt;"",IF(AND(B3373='IN-TC'!$S$4,OR(TH!N3373="1111",TH!O3373="1111")),TH!D3373,""),"")</f>
        <v/>
      </c>
      <c r="B3373" s="62" t="str">
        <f t="shared" si="394"/>
        <v/>
      </c>
      <c r="C3373" s="63"/>
      <c r="D3373" s="63"/>
      <c r="E3373" s="63"/>
      <c r="F3373" s="71"/>
      <c r="G3373" s="816"/>
      <c r="H3373" s="71"/>
      <c r="I3373" s="405"/>
      <c r="J3373" s="405"/>
      <c r="K3373" s="398"/>
      <c r="L3373" s="405"/>
      <c r="M3373" s="64"/>
      <c r="N3373" s="65"/>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ht="15.75" customHeight="1">
      <c r="A3374" s="327" t="str">
        <f>IF(B3374&lt;&gt;"",IF(AND(B3374='IN-TC'!$S$4,OR(TH!N3374="1111",TH!O3374="1111")),TH!D3374,""),"")</f>
        <v/>
      </c>
      <c r="B3374" s="62" t="str">
        <f t="shared" si="394"/>
        <v/>
      </c>
      <c r="C3374" s="63"/>
      <c r="D3374" s="63"/>
      <c r="E3374" s="63"/>
      <c r="F3374" s="71"/>
      <c r="G3374" s="816"/>
      <c r="H3374" s="71"/>
      <c r="I3374" s="405"/>
      <c r="J3374" s="405"/>
      <c r="K3374" s="398"/>
      <c r="L3374" s="405"/>
      <c r="M3374" s="64"/>
      <c r="N3374" s="65"/>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ht="15.75" customHeight="1">
      <c r="A3375" s="327" t="str">
        <f>IF(B3375&lt;&gt;"",IF(AND(B3375='IN-TC'!$S$4,OR(TH!N3375="1111",TH!O3375="1111")),TH!D3375,""),"")</f>
        <v/>
      </c>
      <c r="B3375" s="62" t="str">
        <f t="shared" si="394"/>
        <v/>
      </c>
      <c r="C3375" s="63"/>
      <c r="D3375" s="63"/>
      <c r="E3375" s="63"/>
      <c r="F3375" s="71"/>
      <c r="G3375" s="66"/>
      <c r="H3375" s="71"/>
      <c r="I3375" s="405"/>
      <c r="J3375" s="405"/>
      <c r="K3375" s="398"/>
      <c r="L3375" s="405"/>
      <c r="M3375" s="64"/>
      <c r="N3375" s="65"/>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ht="15.75" customHeight="1">
      <c r="A3376" s="327" t="str">
        <f>IF(B3376&lt;&gt;"",IF(AND(B3376='IN-TC'!$S$4,OR(TH!N3376="1111",TH!O3376="1111")),TH!D3376,""),"")</f>
        <v/>
      </c>
      <c r="B3376" s="62" t="str">
        <f t="shared" si="394"/>
        <v/>
      </c>
      <c r="C3376" s="63"/>
      <c r="D3376" s="63"/>
      <c r="E3376" s="63"/>
      <c r="F3376" s="71"/>
      <c r="G3376" s="66"/>
      <c r="H3376" s="71"/>
      <c r="I3376" s="405"/>
      <c r="J3376" s="405"/>
      <c r="K3376" s="398"/>
      <c r="L3376" s="405"/>
      <c r="M3376" s="64"/>
      <c r="N3376" s="65"/>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ht="15.75" customHeight="1">
      <c r="A3377" s="327" t="str">
        <f>IF(B3377&lt;&gt;"",IF(AND(B3377='IN-TC'!$S$4,OR(TH!N3377="1111",TH!O3377="1111")),TH!D3377,""),"")</f>
        <v/>
      </c>
      <c r="B3377" s="62" t="str">
        <f t="shared" si="394"/>
        <v/>
      </c>
      <c r="C3377" s="63"/>
      <c r="D3377" s="63"/>
      <c r="E3377" s="63"/>
      <c r="F3377" s="71"/>
      <c r="G3377" s="66"/>
      <c r="H3377" s="71"/>
      <c r="I3377" s="405"/>
      <c r="J3377" s="405"/>
      <c r="K3377" s="398"/>
      <c r="L3377" s="405"/>
      <c r="M3377" s="64"/>
      <c r="N3377" s="65"/>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ht="15.75" customHeight="1">
      <c r="A3378" s="327" t="str">
        <f>IF(B3378&lt;&gt;"",IF(AND(B3378='IN-TC'!$S$4,OR(TH!N3378="1111",TH!O3378="1111")),TH!D3378,""),"")</f>
        <v/>
      </c>
      <c r="B3378" s="62" t="str">
        <f t="shared" si="394"/>
        <v/>
      </c>
      <c r="C3378" s="63"/>
      <c r="D3378" s="63"/>
      <c r="E3378" s="63"/>
      <c r="F3378" s="71"/>
      <c r="G3378" s="66"/>
      <c r="H3378" s="330"/>
      <c r="I3378" s="405"/>
      <c r="J3378" s="405"/>
      <c r="K3378" s="398"/>
      <c r="L3378" s="405"/>
      <c r="M3378" s="64"/>
      <c r="N3378" s="65"/>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ht="15.75" customHeight="1">
      <c r="A3379" s="327" t="str">
        <f>IF(B3379&lt;&gt;"",IF(AND(B3379='IN-TC'!$S$4,OR(TH!N3379="1111",TH!O3379="1111")),TH!D3379,""),"")</f>
        <v/>
      </c>
      <c r="B3379" s="62" t="str">
        <f t="shared" si="394"/>
        <v/>
      </c>
      <c r="C3379" s="63"/>
      <c r="D3379" s="63"/>
      <c r="E3379" s="63"/>
      <c r="F3379" s="71"/>
      <c r="G3379" s="66"/>
      <c r="H3379" s="330"/>
      <c r="I3379" s="405"/>
      <c r="J3379" s="405"/>
      <c r="K3379" s="398"/>
      <c r="L3379" s="405"/>
      <c r="M3379" s="64"/>
      <c r="N3379" s="65"/>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ht="15.75" customHeight="1">
      <c r="A3380" s="327" t="str">
        <f>IF(B3380&lt;&gt;"",IF(AND(B3380='IN-TC'!$S$4,OR(TH!N3380="1111",TH!O3380="1111")),TH!D3380,""),"")</f>
        <v/>
      </c>
      <c r="B3380" s="62" t="str">
        <f t="shared" si="394"/>
        <v/>
      </c>
      <c r="C3380" s="63"/>
      <c r="D3380" s="63"/>
      <c r="E3380" s="63"/>
      <c r="F3380" s="71"/>
      <c r="G3380" s="816"/>
      <c r="H3380" s="71"/>
      <c r="I3380" s="405"/>
      <c r="J3380" s="405"/>
      <c r="K3380" s="398"/>
      <c r="L3380" s="405"/>
      <c r="M3380" s="64"/>
      <c r="N3380" s="65"/>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ht="15.75" customHeight="1">
      <c r="A3381" s="327" t="str">
        <f>IF(B3381&lt;&gt;"",IF(AND(B3381='IN-TC'!$S$4,OR(TH!N3381="1111",TH!O3381="1111")),TH!D3381,""),"")</f>
        <v/>
      </c>
      <c r="B3381" s="62" t="str">
        <f t="shared" si="394"/>
        <v/>
      </c>
      <c r="C3381" s="63"/>
      <c r="D3381" s="63"/>
      <c r="E3381" s="63"/>
      <c r="F3381" s="71"/>
      <c r="G3381" s="66"/>
      <c r="H3381" s="71"/>
      <c r="I3381" s="405"/>
      <c r="J3381" s="405"/>
      <c r="K3381" s="398"/>
      <c r="L3381" s="405"/>
      <c r="M3381" s="64"/>
      <c r="N3381" s="65"/>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ht="15.75" customHeight="1">
      <c r="A3382" s="327" t="str">
        <f>IF(B3382&lt;&gt;"",IF(AND(B3382='IN-TC'!$S$4,OR(TH!N3382="1111",TH!O3382="1111")),TH!D3382,""),"")</f>
        <v/>
      </c>
      <c r="B3382" s="62" t="str">
        <f t="shared" si="394"/>
        <v/>
      </c>
      <c r="C3382" s="63"/>
      <c r="D3382" s="63"/>
      <c r="E3382" s="63"/>
      <c r="F3382" s="71"/>
      <c r="G3382" s="66"/>
      <c r="H3382" s="71"/>
      <c r="I3382" s="405"/>
      <c r="J3382" s="405"/>
      <c r="K3382" s="398"/>
      <c r="L3382" s="405"/>
      <c r="M3382" s="64"/>
      <c r="N3382" s="65"/>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ht="15.75" customHeight="1">
      <c r="A3383" s="327" t="str">
        <f>IF(B3383&lt;&gt;"",IF(AND(B3383='IN-TC'!$S$4,OR(TH!N3383="1111",TH!O3383="1111")),TH!D3383,""),"")</f>
        <v/>
      </c>
      <c r="B3383" s="62" t="str">
        <f t="shared" si="394"/>
        <v/>
      </c>
      <c r="C3383" s="63"/>
      <c r="D3383" s="63"/>
      <c r="E3383" s="63"/>
      <c r="F3383" s="71"/>
      <c r="G3383" s="66"/>
      <c r="H3383" s="71"/>
      <c r="I3383" s="405"/>
      <c r="J3383" s="405"/>
      <c r="K3383" s="398"/>
      <c r="L3383" s="405"/>
      <c r="M3383" s="64"/>
      <c r="N3383" s="65"/>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ht="15.75" customHeight="1">
      <c r="A3384" s="327" t="str">
        <f>IF(B3384&lt;&gt;"",IF(AND(B3384='IN-TC'!$S$4,OR(TH!N3384="1111",TH!O3384="1111")),TH!D3384,""),"")</f>
        <v/>
      </c>
      <c r="B3384" s="62" t="str">
        <f t="shared" si="394"/>
        <v/>
      </c>
      <c r="C3384" s="63"/>
      <c r="D3384" s="63"/>
      <c r="E3384" s="63"/>
      <c r="F3384" s="71"/>
      <c r="G3384" s="816"/>
      <c r="H3384" s="71"/>
      <c r="I3384" s="405"/>
      <c r="J3384" s="405"/>
      <c r="K3384" s="398"/>
      <c r="L3384" s="405"/>
      <c r="M3384" s="64"/>
      <c r="N3384" s="65"/>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ht="15.75" customHeight="1">
      <c r="A3385" s="327" t="str">
        <f>IF(B3385&lt;&gt;"",IF(AND(B3385='IN-TC'!$S$4,OR(TH!N3385="1111",TH!O3385="1111")),TH!D3385,""),"")</f>
        <v/>
      </c>
      <c r="B3385" s="62" t="str">
        <f t="shared" si="394"/>
        <v/>
      </c>
      <c r="C3385" s="63"/>
      <c r="D3385" s="63"/>
      <c r="E3385" s="63"/>
      <c r="F3385" s="71"/>
      <c r="G3385" s="816"/>
      <c r="H3385" s="71"/>
      <c r="I3385" s="405"/>
      <c r="J3385" s="405"/>
      <c r="K3385" s="398"/>
      <c r="L3385" s="405"/>
      <c r="M3385" s="64"/>
      <c r="N3385" s="65"/>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ht="15.75" customHeight="1">
      <c r="A3386" s="327" t="str">
        <f>IF(B3386&lt;&gt;"",IF(AND(B3386='IN-TC'!$S$4,OR(TH!N3386="1111",TH!O3386="1111")),TH!D3386,""),"")</f>
        <v/>
      </c>
      <c r="B3386" s="62" t="str">
        <f t="shared" si="394"/>
        <v/>
      </c>
      <c r="C3386" s="63"/>
      <c r="D3386" s="63"/>
      <c r="E3386" s="63"/>
      <c r="F3386" s="477"/>
      <c r="G3386" s="66"/>
      <c r="H3386" s="71"/>
      <c r="I3386" s="405"/>
      <c r="J3386" s="405"/>
      <c r="K3386" s="398"/>
      <c r="L3386" s="405"/>
      <c r="M3386" s="64"/>
      <c r="N3386" s="65"/>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ht="15.75" customHeight="1">
      <c r="A3387" s="327" t="str">
        <f>IF(B3387&lt;&gt;"",IF(AND(B3387='IN-TC'!$S$4,OR(TH!N3387="1111",TH!O3387="1111")),TH!D3387,""),"")</f>
        <v/>
      </c>
      <c r="B3387" s="62" t="str">
        <f t="shared" si="394"/>
        <v/>
      </c>
      <c r="C3387" s="63"/>
      <c r="D3387" s="63"/>
      <c r="E3387" s="63"/>
      <c r="F3387" s="477"/>
      <c r="G3387" s="66"/>
      <c r="H3387" s="71"/>
      <c r="I3387" s="405"/>
      <c r="J3387" s="405"/>
      <c r="K3387" s="398"/>
      <c r="L3387" s="405"/>
      <c r="M3387" s="64"/>
      <c r="N3387" s="65"/>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ht="15.75" customHeight="1">
      <c r="A3388" s="327" t="str">
        <f>IF(B3388&lt;&gt;"",IF(AND(B3388='IN-TC'!$S$4,OR(TH!N3388="1111",TH!O3388="1111")),TH!D3388,""),"")</f>
        <v/>
      </c>
      <c r="B3388" s="62" t="str">
        <f t="shared" si="394"/>
        <v/>
      </c>
      <c r="C3388" s="63"/>
      <c r="D3388" s="63"/>
      <c r="E3388" s="63"/>
      <c r="F3388" s="71"/>
      <c r="G3388" s="66"/>
      <c r="H3388" s="71"/>
      <c r="I3388" s="405"/>
      <c r="J3388" s="405"/>
      <c r="K3388" s="398"/>
      <c r="L3388" s="405"/>
      <c r="M3388" s="64"/>
      <c r="N3388" s="65"/>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ht="15.75" customHeight="1">
      <c r="A3389" s="327" t="str">
        <f>IF(B3389&lt;&gt;"",IF(AND(B3389='IN-TC'!$S$4,OR(TH!N3389="1111",TH!O3389="1111")),TH!D3389,""),"")</f>
        <v/>
      </c>
      <c r="B3389" s="62" t="str">
        <f t="shared" si="394"/>
        <v/>
      </c>
      <c r="C3389" s="63"/>
      <c r="D3389" s="63"/>
      <c r="E3389" s="63"/>
      <c r="F3389" s="71"/>
      <c r="G3389" s="66"/>
      <c r="H3389" s="71"/>
      <c r="I3389" s="405"/>
      <c r="J3389" s="405"/>
      <c r="K3389" s="398"/>
      <c r="L3389" s="405"/>
      <c r="M3389" s="64"/>
      <c r="N3389" s="65"/>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ht="15.75" customHeight="1">
      <c r="A3390" s="327" t="str">
        <f>IF(B3390&lt;&gt;"",IF(AND(B3390='IN-TC'!$S$4,OR(TH!N3390="1111",TH!O3390="1111")),TH!D3390,""),"")</f>
        <v/>
      </c>
      <c r="B3390" s="62" t="str">
        <f t="shared" si="394"/>
        <v/>
      </c>
      <c r="C3390" s="63"/>
      <c r="D3390" s="63"/>
      <c r="E3390" s="63"/>
      <c r="F3390" s="71"/>
      <c r="G3390" s="66"/>
      <c r="H3390" s="330"/>
      <c r="I3390" s="405"/>
      <c r="J3390" s="405"/>
      <c r="K3390" s="398"/>
      <c r="L3390" s="405"/>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ht="15.75" customHeight="1">
      <c r="A3391" s="327" t="str">
        <f>IF(B3391&lt;&gt;"",IF(AND(B3391='IN-TC'!$S$4,OR(TH!N3391="1111",TH!O3391="1111")),TH!D3391,""),"")</f>
        <v/>
      </c>
      <c r="B3391" s="62" t="str">
        <f t="shared" si="394"/>
        <v/>
      </c>
      <c r="C3391" s="63"/>
      <c r="D3391" s="63"/>
      <c r="E3391" s="63"/>
      <c r="F3391" s="71"/>
      <c r="G3391" s="66"/>
      <c r="H3391" s="330"/>
      <c r="I3391" s="405"/>
      <c r="J3391" s="405"/>
      <c r="K3391" s="398"/>
      <c r="L3391" s="405"/>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ht="15.75" customHeight="1">
      <c r="A3392" s="327" t="str">
        <f>IF(B3392&lt;&gt;"",IF(AND(B3392='IN-TC'!$S$4,OR(TH!N3392="1111",TH!O3392="1111")),TH!D3392,""),"")</f>
        <v/>
      </c>
      <c r="B3392" s="62" t="str">
        <f t="shared" si="394"/>
        <v/>
      </c>
      <c r="C3392" s="63"/>
      <c r="D3392" s="63"/>
      <c r="E3392" s="63"/>
      <c r="F3392" s="71"/>
      <c r="G3392" s="66"/>
      <c r="H3392" s="330"/>
      <c r="I3392" s="405"/>
      <c r="J3392" s="405"/>
      <c r="K3392" s="398"/>
      <c r="L3392" s="405"/>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ht="15.75" customHeight="1">
      <c r="A3393" s="327" t="str">
        <f>IF(B3393&lt;&gt;"",IF(AND(B3393='IN-TC'!$S$4,OR(TH!N3393="1111",TH!O3393="1111")),TH!D3393,""),"")</f>
        <v/>
      </c>
      <c r="B3393" s="62" t="str">
        <f t="shared" si="394"/>
        <v/>
      </c>
      <c r="C3393" s="63"/>
      <c r="D3393" s="63"/>
      <c r="E3393" s="63"/>
      <c r="F3393" s="71"/>
      <c r="G3393" s="66"/>
      <c r="H3393" s="330"/>
      <c r="I3393" s="405"/>
      <c r="J3393" s="405"/>
      <c r="K3393" s="398"/>
      <c r="L3393" s="405"/>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ht="15.75" customHeight="1">
      <c r="A3394" s="327" t="str">
        <f>IF(B3394&lt;&gt;"",IF(AND(B3394='IN-TC'!$S$4,OR(TH!N3394="1111",TH!O3394="1111")),TH!D3394,""),"")</f>
        <v/>
      </c>
      <c r="B3394" s="62" t="str">
        <f t="shared" si="394"/>
        <v/>
      </c>
      <c r="C3394" s="63"/>
      <c r="D3394" s="63"/>
      <c r="E3394" s="63"/>
      <c r="F3394" s="71"/>
      <c r="G3394" s="66"/>
      <c r="H3394" s="330"/>
      <c r="I3394" s="405"/>
      <c r="J3394" s="405"/>
      <c r="K3394" s="398"/>
      <c r="L3394" s="405"/>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ht="15.75" customHeight="1">
      <c r="A3395" s="327" t="str">
        <f>IF(B3395&lt;&gt;"",IF(AND(B3395='IN-TC'!$S$4,OR(TH!N3395="1111",TH!O3395="1111")),TH!D3395,""),"")</f>
        <v/>
      </c>
      <c r="B3395" s="62" t="str">
        <f t="shared" si="394"/>
        <v/>
      </c>
      <c r="C3395" s="63"/>
      <c r="D3395" s="63"/>
      <c r="E3395" s="63"/>
      <c r="F3395" s="71"/>
      <c r="G3395" s="66"/>
      <c r="H3395" s="330"/>
      <c r="I3395" s="405"/>
      <c r="J3395" s="405"/>
      <c r="K3395" s="398"/>
      <c r="L3395" s="405"/>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ht="15.75" customHeight="1">
      <c r="A3396" s="327" t="str">
        <f>IF(B3396&lt;&gt;"",IF(AND(B3396='IN-TC'!$S$4,OR(TH!N3396="1111",TH!O3396="1111")),TH!D3396,""),"")</f>
        <v/>
      </c>
      <c r="B3396" s="62" t="str">
        <f t="shared" si="394"/>
        <v/>
      </c>
      <c r="C3396" s="63"/>
      <c r="D3396" s="63"/>
      <c r="E3396" s="63"/>
      <c r="F3396" s="71"/>
      <c r="G3396" s="66"/>
      <c r="H3396" s="71"/>
      <c r="I3396" s="405"/>
      <c r="J3396" s="405"/>
      <c r="K3396" s="398"/>
      <c r="L3396" s="405"/>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ht="15.75" customHeight="1">
      <c r="A3397" s="327" t="str">
        <f>IF(B3397&lt;&gt;"",IF(AND(B3397='IN-TC'!$S$4,OR(TH!N3397="1111",TH!O3397="1111")),TH!D3397,""),"")</f>
        <v/>
      </c>
      <c r="B3397" s="62" t="str">
        <f t="shared" si="394"/>
        <v/>
      </c>
      <c r="C3397" s="63"/>
      <c r="D3397" s="63"/>
      <c r="E3397" s="63"/>
      <c r="F3397" s="71"/>
      <c r="G3397" s="66"/>
      <c r="H3397" s="71"/>
      <c r="I3397" s="405"/>
      <c r="J3397" s="405"/>
      <c r="K3397" s="398"/>
      <c r="L3397" s="405"/>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ht="15.75" customHeight="1">
      <c r="A3398" s="327" t="str">
        <f>IF(B3398&lt;&gt;"",IF(AND(B3398='IN-TC'!$S$4,OR(TH!N3398="1111",TH!O3398="1111")),TH!D3398,""),"")</f>
        <v/>
      </c>
      <c r="B3398" s="62" t="str">
        <f t="shared" si="394"/>
        <v/>
      </c>
      <c r="C3398" s="63"/>
      <c r="D3398" s="63"/>
      <c r="E3398" s="63"/>
      <c r="F3398" s="71"/>
      <c r="G3398" s="66"/>
      <c r="H3398" s="71"/>
      <c r="I3398" s="405"/>
      <c r="J3398" s="405"/>
      <c r="K3398" s="398"/>
      <c r="L3398" s="405"/>
      <c r="M3398" s="971"/>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ht="15.75" customHeight="1">
      <c r="A3399" s="327" t="str">
        <f>IF(B3399&lt;&gt;"",IF(AND(B3399='IN-TC'!$S$4,OR(TH!N3399="1111",TH!O3399="1111")),TH!D3399,""),"")</f>
        <v/>
      </c>
      <c r="B3399" s="62" t="str">
        <f t="shared" si="394"/>
        <v/>
      </c>
      <c r="C3399" s="63"/>
      <c r="D3399" s="63"/>
      <c r="E3399" s="63"/>
      <c r="F3399" s="71"/>
      <c r="G3399" s="66"/>
      <c r="H3399" s="71"/>
      <c r="I3399" s="405"/>
      <c r="J3399" s="405"/>
      <c r="K3399" s="398"/>
      <c r="L3399" s="405"/>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ht="15.75" customHeight="1">
      <c r="A3400" s="327" t="str">
        <f>IF(B3400&lt;&gt;"",IF(AND(B3400='IN-TC'!$S$4,OR(TH!N3400="1111",TH!O3400="1111")),TH!D3400,""),"")</f>
        <v/>
      </c>
      <c r="B3400" s="62" t="str">
        <f t="shared" si="394"/>
        <v/>
      </c>
      <c r="C3400" s="63"/>
      <c r="D3400" s="63"/>
      <c r="E3400" s="63"/>
      <c r="F3400" s="71"/>
      <c r="G3400" s="66"/>
      <c r="H3400" s="71"/>
      <c r="I3400" s="405"/>
      <c r="J3400" s="405"/>
      <c r="K3400" s="398"/>
      <c r="L3400" s="405"/>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ht="15.75" customHeight="1">
      <c r="A3401" s="327" t="str">
        <f>IF(B3401&lt;&gt;"",IF(AND(B3401='IN-TC'!$S$4,OR(TH!N3401="1111",TH!O3401="1111")),TH!D3401,""),"")</f>
        <v/>
      </c>
      <c r="B3401" s="62" t="str">
        <f t="shared" si="394"/>
        <v/>
      </c>
      <c r="C3401" s="63"/>
      <c r="D3401" s="63"/>
      <c r="E3401" s="63"/>
      <c r="F3401" s="71"/>
      <c r="G3401" s="66"/>
      <c r="H3401" s="311"/>
      <c r="I3401" s="405"/>
      <c r="J3401" s="405"/>
      <c r="K3401" s="398"/>
      <c r="L3401" s="405"/>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ht="15.75" customHeight="1">
      <c r="A3402" s="327" t="str">
        <f>IF(B3402&lt;&gt;"",IF(AND(B3402='IN-TC'!$S$4,OR(TH!N3402="1111",TH!O3402="1111")),TH!D3402,""),"")</f>
        <v/>
      </c>
      <c r="B3402" s="62" t="str">
        <f t="shared" si="394"/>
        <v/>
      </c>
      <c r="C3402" s="63"/>
      <c r="D3402" s="63"/>
      <c r="E3402" s="63"/>
      <c r="F3402" s="71"/>
      <c r="G3402" s="66"/>
      <c r="H3402" s="71"/>
      <c r="I3402" s="405"/>
      <c r="J3402" s="405"/>
      <c r="K3402" s="398"/>
      <c r="L3402" s="405"/>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ht="15.75" customHeight="1">
      <c r="A3403" s="327" t="str">
        <f>IF(B3403&lt;&gt;"",IF(AND(B3403='IN-TC'!$S$4,OR(TH!N3403="1111",TH!O3403="1111")),TH!D3403,""),"")</f>
        <v/>
      </c>
      <c r="B3403" s="62" t="str">
        <f t="shared" si="394"/>
        <v/>
      </c>
      <c r="C3403" s="63"/>
      <c r="D3403" s="63"/>
      <c r="E3403" s="63"/>
      <c r="F3403" s="71"/>
      <c r="G3403" s="66"/>
      <c r="H3403" s="71"/>
      <c r="I3403" s="405"/>
      <c r="J3403" s="405"/>
      <c r="K3403" s="398"/>
      <c r="L3403" s="405"/>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ht="15.75" customHeight="1">
      <c r="A3404" s="327" t="str">
        <f>IF(B3404&lt;&gt;"",IF(AND(B3404='IN-TC'!$S$4,OR(TH!N3404="1111",TH!O3404="1111")),TH!D3404,""),"")</f>
        <v/>
      </c>
      <c r="B3404" s="62" t="str">
        <f t="shared" si="394"/>
        <v/>
      </c>
      <c r="C3404" s="63"/>
      <c r="D3404" s="63"/>
      <c r="E3404" s="63"/>
      <c r="F3404" s="71"/>
      <c r="G3404" s="66"/>
      <c r="H3404" s="330"/>
      <c r="I3404" s="405"/>
      <c r="J3404" s="405"/>
      <c r="K3404" s="398"/>
      <c r="L3404" s="405"/>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ht="15.75" customHeight="1">
      <c r="A3405" s="327" t="str">
        <f>IF(B3405&lt;&gt;"",IF(AND(B3405='IN-TC'!$S$4,OR(TH!N3405="1111",TH!O3405="1111")),TH!D3405,""),"")</f>
        <v/>
      </c>
      <c r="B3405" s="62" t="str">
        <f t="shared" si="394"/>
        <v/>
      </c>
      <c r="C3405" s="63"/>
      <c r="D3405" s="63"/>
      <c r="E3405" s="63"/>
      <c r="F3405" s="71"/>
      <c r="G3405" s="66"/>
      <c r="H3405" s="71"/>
      <c r="I3405" s="405"/>
      <c r="J3405" s="405"/>
      <c r="K3405" s="398"/>
      <c r="L3405" s="405"/>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ht="15.75" customHeight="1">
      <c r="A3406" s="327" t="str">
        <f>IF(B3406&lt;&gt;"",IF(AND(B3406='IN-TC'!$S$4,OR(TH!N3406="1111",TH!O3406="1111")),TH!D3406,""),"")</f>
        <v/>
      </c>
      <c r="B3406" s="62" t="str">
        <f t="shared" si="394"/>
        <v/>
      </c>
      <c r="C3406" s="63"/>
      <c r="D3406" s="63"/>
      <c r="E3406" s="63"/>
      <c r="F3406" s="71"/>
      <c r="G3406" s="66"/>
      <c r="H3406" s="71"/>
      <c r="I3406" s="405"/>
      <c r="J3406" s="405"/>
      <c r="K3406" s="398"/>
      <c r="L3406" s="405"/>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ht="15.75" customHeight="1">
      <c r="A3407" s="327" t="str">
        <f>IF(B3407&lt;&gt;"",IF(AND(B3407='IN-TC'!$S$4,OR(TH!N3407="1111",TH!O3407="1111")),TH!D3407,""),"")</f>
        <v/>
      </c>
      <c r="B3407" s="62" t="str">
        <f t="shared" si="394"/>
        <v/>
      </c>
      <c r="C3407" s="63"/>
      <c r="D3407" s="63"/>
      <c r="E3407" s="63"/>
      <c r="F3407" s="71"/>
      <c r="G3407" s="66"/>
      <c r="H3407" s="330"/>
      <c r="I3407" s="405"/>
      <c r="J3407" s="405"/>
      <c r="K3407" s="398"/>
      <c r="L3407" s="405"/>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ht="15.75" customHeight="1">
      <c r="A3408" s="327" t="str">
        <f>IF(B3408&lt;&gt;"",IF(AND(B3408='IN-TC'!$S$4,OR(TH!N3408="1111",TH!O3408="1111")),TH!D3408,""),"")</f>
        <v/>
      </c>
      <c r="B3408" s="62" t="str">
        <f t="shared" si="394"/>
        <v/>
      </c>
      <c r="C3408" s="63"/>
      <c r="D3408" s="63"/>
      <c r="E3408" s="63"/>
      <c r="F3408" s="71"/>
      <c r="G3408" s="66"/>
      <c r="H3408" s="71"/>
      <c r="I3408" s="405"/>
      <c r="J3408" s="405"/>
      <c r="K3408" s="398"/>
      <c r="L3408" s="405"/>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ht="15.75" customHeight="1">
      <c r="A3409" s="327" t="str">
        <f>IF(B3409&lt;&gt;"",IF(AND(B3409='IN-TC'!$S$4,OR(TH!N3409="1111",TH!O3409="1111")),TH!D3409,""),"")</f>
        <v/>
      </c>
      <c r="B3409" s="62" t="str">
        <f t="shared" si="394"/>
        <v/>
      </c>
      <c r="C3409" s="63"/>
      <c r="D3409" s="63"/>
      <c r="E3409" s="63"/>
      <c r="F3409" s="71"/>
      <c r="G3409" s="66"/>
      <c r="H3409" s="71"/>
      <c r="I3409" s="405"/>
      <c r="J3409" s="405"/>
      <c r="K3409" s="398"/>
      <c r="L3409" s="405"/>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ht="15.75" customHeight="1">
      <c r="A3410" s="327" t="str">
        <f>IF(B3410&lt;&gt;"",IF(AND(B3410='IN-TC'!$S$4,OR(TH!N3410="1111",TH!O3410="1111")),TH!D3410,""),"")</f>
        <v/>
      </c>
      <c r="B3410" s="62" t="str">
        <f t="shared" si="394"/>
        <v/>
      </c>
      <c r="C3410" s="63"/>
      <c r="D3410" s="63"/>
      <c r="E3410" s="63"/>
      <c r="F3410" s="71"/>
      <c r="G3410" s="66"/>
      <c r="H3410" s="330"/>
      <c r="I3410" s="405"/>
      <c r="J3410" s="405"/>
      <c r="K3410" s="398"/>
      <c r="L3410" s="405"/>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ht="15.75" customHeight="1">
      <c r="A3411" s="327" t="str">
        <f>IF(B3411&lt;&gt;"",IF(AND(B3411='IN-TC'!$S$4,OR(TH!N3411="1111",TH!O3411="1111")),TH!D3411,""),"")</f>
        <v/>
      </c>
      <c r="B3411" s="62" t="str">
        <f t="shared" si="394"/>
        <v/>
      </c>
      <c r="C3411" s="63"/>
      <c r="D3411" s="63"/>
      <c r="E3411" s="63"/>
      <c r="F3411" s="71"/>
      <c r="G3411" s="66"/>
      <c r="H3411" s="71"/>
      <c r="I3411" s="405"/>
      <c r="J3411" s="405"/>
      <c r="K3411" s="398"/>
      <c r="L3411" s="405"/>
      <c r="M3411" s="971"/>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ht="15.75" customHeight="1">
      <c r="A3412" s="327" t="str">
        <f>IF(B3412&lt;&gt;"",IF(AND(B3412='IN-TC'!$S$4,OR(TH!N3412="1111",TH!O3412="1111")),TH!D3412,""),"")</f>
        <v/>
      </c>
      <c r="B3412" s="62" t="str">
        <f t="shared" si="394"/>
        <v/>
      </c>
      <c r="C3412" s="63"/>
      <c r="D3412" s="63"/>
      <c r="E3412" s="63"/>
      <c r="F3412" s="71"/>
      <c r="G3412" s="66"/>
      <c r="H3412" s="71"/>
      <c r="I3412" s="405"/>
      <c r="J3412" s="405"/>
      <c r="K3412" s="398"/>
      <c r="L3412" s="405"/>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ht="15.75" customHeight="1">
      <c r="A3413" s="327" t="str">
        <f>IF(B3413&lt;&gt;"",IF(AND(B3413='IN-TC'!$S$4,OR(TH!N3413="1111",TH!O3413="1111")),TH!D3413,""),"")</f>
        <v/>
      </c>
      <c r="B3413" s="62" t="str">
        <f t="shared" si="394"/>
        <v/>
      </c>
      <c r="C3413" s="63"/>
      <c r="D3413" s="63"/>
      <c r="E3413" s="63"/>
      <c r="F3413" s="71"/>
      <c r="G3413" s="66"/>
      <c r="H3413" s="71"/>
      <c r="I3413" s="405"/>
      <c r="J3413" s="405"/>
      <c r="K3413" s="398"/>
      <c r="L3413" s="405"/>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ht="15.75" customHeight="1">
      <c r="A3414" s="327" t="str">
        <f>IF(B3414&lt;&gt;"",IF(AND(B3414='IN-TC'!$S$4,OR(TH!N3414="1111",TH!O3414="1111")),TH!D3414,""),"")</f>
        <v/>
      </c>
      <c r="B3414" s="62" t="str">
        <f t="shared" ref="B3414:B3477" si="395">IF(C3414&lt;&gt;"",MONTH(C3414),"")</f>
        <v/>
      </c>
      <c r="C3414" s="63"/>
      <c r="D3414" s="63"/>
      <c r="E3414" s="63"/>
      <c r="F3414" s="71"/>
      <c r="G3414" s="66"/>
      <c r="H3414" s="71"/>
      <c r="I3414" s="405"/>
      <c r="J3414" s="405"/>
      <c r="K3414" s="398"/>
      <c r="L3414" s="405"/>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ht="15.75" customHeight="1">
      <c r="A3415" s="327" t="str">
        <f>IF(B3415&lt;&gt;"",IF(AND(B3415='IN-TC'!$S$4,OR(TH!N3415="1111",TH!O3415="1111")),TH!D3415,""),"")</f>
        <v/>
      </c>
      <c r="B3415" s="62" t="str">
        <f t="shared" si="395"/>
        <v/>
      </c>
      <c r="C3415" s="63"/>
      <c r="D3415" s="63"/>
      <c r="E3415" s="63"/>
      <c r="F3415" s="71"/>
      <c r="G3415" s="66"/>
      <c r="H3415" s="71"/>
      <c r="I3415" s="405"/>
      <c r="J3415" s="405"/>
      <c r="K3415" s="398"/>
      <c r="L3415" s="405"/>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ht="15.75" customHeight="1">
      <c r="A3416" s="327" t="str">
        <f>IF(B3416&lt;&gt;"",IF(AND(B3416='IN-TC'!$S$4,OR(TH!N3416="1111",TH!O3416="1111")),TH!D3416,""),"")</f>
        <v/>
      </c>
      <c r="B3416" s="62" t="str">
        <f t="shared" si="395"/>
        <v/>
      </c>
      <c r="C3416" s="63"/>
      <c r="D3416" s="63"/>
      <c r="E3416" s="63"/>
      <c r="F3416" s="71"/>
      <c r="G3416" s="66"/>
      <c r="H3416" s="330"/>
      <c r="I3416" s="405"/>
      <c r="J3416" s="405"/>
      <c r="K3416" s="398"/>
      <c r="L3416" s="405"/>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ht="15.75" customHeight="1">
      <c r="A3417" s="327" t="str">
        <f>IF(B3417&lt;&gt;"",IF(AND(B3417='IN-TC'!$S$4,OR(TH!N3417="1111",TH!O3417="1111")),TH!D3417,""),"")</f>
        <v/>
      </c>
      <c r="B3417" s="62" t="str">
        <f t="shared" si="395"/>
        <v/>
      </c>
      <c r="C3417" s="63"/>
      <c r="D3417" s="63"/>
      <c r="E3417" s="63"/>
      <c r="F3417" s="71"/>
      <c r="G3417" s="66"/>
      <c r="H3417" s="71"/>
      <c r="I3417" s="405"/>
      <c r="J3417" s="405"/>
      <c r="K3417" s="398"/>
      <c r="L3417" s="405"/>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ht="15.75" customHeight="1">
      <c r="A3418" s="327" t="str">
        <f>IF(B3418&lt;&gt;"",IF(AND(B3418='IN-TC'!$S$4,OR(TH!N3418="1111",TH!O3418="1111")),TH!D3418,""),"")</f>
        <v/>
      </c>
      <c r="B3418" s="62" t="str">
        <f t="shared" si="395"/>
        <v/>
      </c>
      <c r="C3418" s="63"/>
      <c r="D3418" s="63"/>
      <c r="E3418" s="63"/>
      <c r="F3418" s="71"/>
      <c r="G3418" s="66"/>
      <c r="H3418" s="71"/>
      <c r="I3418" s="405"/>
      <c r="J3418" s="405"/>
      <c r="K3418" s="398"/>
      <c r="L3418" s="405"/>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ht="15.75" customHeight="1">
      <c r="A3419" s="327" t="str">
        <f>IF(B3419&lt;&gt;"",IF(AND(B3419='IN-TC'!$S$4,OR(TH!N3419="1111",TH!O3419="1111")),TH!D3419,""),"")</f>
        <v/>
      </c>
      <c r="B3419" s="62" t="str">
        <f t="shared" si="395"/>
        <v/>
      </c>
      <c r="C3419" s="63"/>
      <c r="D3419" s="63"/>
      <c r="E3419" s="63"/>
      <c r="F3419" s="71"/>
      <c r="G3419" s="816"/>
      <c r="H3419" s="71"/>
      <c r="I3419" s="405"/>
      <c r="J3419" s="405"/>
      <c r="K3419" s="398"/>
      <c r="L3419" s="405"/>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ht="15.75" customHeight="1">
      <c r="A3420" s="327" t="str">
        <f>IF(B3420&lt;&gt;"",IF(AND(B3420='IN-TC'!$S$4,OR(TH!N3420="1111",TH!O3420="1111")),TH!D3420,""),"")</f>
        <v/>
      </c>
      <c r="B3420" s="62" t="str">
        <f t="shared" si="395"/>
        <v/>
      </c>
      <c r="C3420" s="63"/>
      <c r="D3420" s="63"/>
      <c r="E3420" s="63"/>
      <c r="F3420" s="71"/>
      <c r="G3420" s="816"/>
      <c r="H3420" s="71"/>
      <c r="I3420" s="405"/>
      <c r="J3420" s="405"/>
      <c r="K3420" s="398"/>
      <c r="L3420" s="405"/>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ht="15.75" customHeight="1">
      <c r="A3421" s="327" t="str">
        <f>IF(B3421&lt;&gt;"",IF(AND(B3421='IN-TC'!$S$4,OR(TH!N3421="1111",TH!O3421="1111")),TH!D3421,""),"")</f>
        <v/>
      </c>
      <c r="B3421" s="62" t="str">
        <f t="shared" si="395"/>
        <v/>
      </c>
      <c r="C3421" s="63"/>
      <c r="D3421" s="63"/>
      <c r="E3421" s="63"/>
      <c r="F3421" s="71"/>
      <c r="G3421" s="66"/>
      <c r="H3421" s="71"/>
      <c r="I3421" s="405"/>
      <c r="J3421" s="405"/>
      <c r="K3421" s="398"/>
      <c r="L3421" s="405"/>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ht="15.75" customHeight="1">
      <c r="A3422" s="327" t="str">
        <f>IF(B3422&lt;&gt;"",IF(AND(B3422='IN-TC'!$S$4,OR(TH!N3422="1111",TH!O3422="1111")),TH!D3422,""),"")</f>
        <v/>
      </c>
      <c r="B3422" s="62" t="str">
        <f t="shared" si="395"/>
        <v/>
      </c>
      <c r="C3422" s="63"/>
      <c r="D3422" s="63"/>
      <c r="E3422" s="63"/>
      <c r="F3422" s="71"/>
      <c r="G3422" s="66"/>
      <c r="H3422" s="977"/>
      <c r="I3422" s="405"/>
      <c r="J3422" s="405"/>
      <c r="K3422" s="398"/>
      <c r="L3422" s="405"/>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ht="15.75" customHeight="1">
      <c r="A3423" s="327" t="str">
        <f>IF(B3423&lt;&gt;"",IF(AND(B3423='IN-TC'!$S$4,OR(TH!N3423="1111",TH!O3423="1111")),TH!D3423,""),"")</f>
        <v/>
      </c>
      <c r="B3423" s="62" t="str">
        <f t="shared" si="395"/>
        <v/>
      </c>
      <c r="C3423" s="63"/>
      <c r="D3423" s="63"/>
      <c r="E3423" s="63"/>
      <c r="F3423" s="71"/>
      <c r="G3423" s="66"/>
      <c r="H3423" s="71"/>
      <c r="I3423" s="405"/>
      <c r="J3423" s="405"/>
      <c r="K3423" s="398"/>
      <c r="L3423" s="405"/>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ht="15.75" customHeight="1">
      <c r="A3424" s="327" t="str">
        <f>IF(B3424&lt;&gt;"",IF(AND(B3424='IN-TC'!$S$4,OR(TH!N3424="1111",TH!O3424="1111")),TH!D3424,""),"")</f>
        <v/>
      </c>
      <c r="B3424" s="62" t="str">
        <f t="shared" si="395"/>
        <v/>
      </c>
      <c r="C3424" s="63"/>
      <c r="D3424" s="63"/>
      <c r="E3424" s="63"/>
      <c r="F3424" s="71"/>
      <c r="G3424" s="66"/>
      <c r="H3424" s="330"/>
      <c r="I3424" s="405"/>
      <c r="J3424" s="405"/>
      <c r="K3424" s="398"/>
      <c r="L3424" s="405"/>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ht="15.75" customHeight="1">
      <c r="A3425" s="327" t="str">
        <f>IF(B3425&lt;&gt;"",IF(AND(B3425='IN-TC'!$S$4,OR(TH!N3425="1111",TH!O3425="1111")),TH!D3425,""),"")</f>
        <v/>
      </c>
      <c r="B3425" s="62" t="str">
        <f t="shared" si="395"/>
        <v/>
      </c>
      <c r="C3425" s="63"/>
      <c r="D3425" s="63"/>
      <c r="E3425" s="63"/>
      <c r="F3425" s="71"/>
      <c r="G3425" s="66"/>
      <c r="H3425" s="330"/>
      <c r="I3425" s="405"/>
      <c r="J3425" s="405"/>
      <c r="K3425" s="398"/>
      <c r="L3425" s="405"/>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ht="15.75" customHeight="1">
      <c r="A3426" s="327" t="str">
        <f>IF(B3426&lt;&gt;"",IF(AND(B3426='IN-TC'!$S$4,OR(TH!N3426="1111",TH!O3426="1111")),TH!D3426,""),"")</f>
        <v/>
      </c>
      <c r="B3426" s="62" t="str">
        <f t="shared" si="395"/>
        <v/>
      </c>
      <c r="C3426" s="63"/>
      <c r="D3426" s="63"/>
      <c r="E3426" s="63"/>
      <c r="F3426" s="71"/>
      <c r="G3426" s="66"/>
      <c r="H3426" s="330"/>
      <c r="I3426" s="405"/>
      <c r="J3426" s="405"/>
      <c r="K3426" s="398"/>
      <c r="L3426" s="405"/>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ht="15.75" customHeight="1">
      <c r="A3427" s="327" t="str">
        <f>IF(B3427&lt;&gt;"",IF(AND(B3427='IN-TC'!$S$4,OR(TH!N3427="1111",TH!O3427="1111")),TH!D3427,""),"")</f>
        <v/>
      </c>
      <c r="B3427" s="62" t="str">
        <f t="shared" si="395"/>
        <v/>
      </c>
      <c r="C3427" s="63"/>
      <c r="D3427" s="63"/>
      <c r="E3427" s="63"/>
      <c r="F3427" s="71"/>
      <c r="G3427" s="66"/>
      <c r="H3427" s="330"/>
      <c r="I3427" s="405"/>
      <c r="J3427" s="405"/>
      <c r="K3427" s="398"/>
      <c r="L3427" s="405"/>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ht="15.75" customHeight="1">
      <c r="A3428" s="327" t="str">
        <f>IF(B3428&lt;&gt;"",IF(AND(B3428='IN-TC'!$S$4,OR(TH!N3428="1111",TH!O3428="1111")),TH!D3428,""),"")</f>
        <v/>
      </c>
      <c r="B3428" s="62" t="str">
        <f t="shared" si="395"/>
        <v/>
      </c>
      <c r="C3428" s="63"/>
      <c r="D3428" s="63"/>
      <c r="E3428" s="63"/>
      <c r="F3428" s="71"/>
      <c r="G3428" s="66"/>
      <c r="H3428" s="330"/>
      <c r="I3428" s="405"/>
      <c r="J3428" s="405"/>
      <c r="K3428" s="398"/>
      <c r="L3428" s="405"/>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ht="15.75" customHeight="1">
      <c r="A3429" s="327" t="str">
        <f>IF(B3429&lt;&gt;"",IF(AND(B3429='IN-TC'!$S$4,OR(TH!N3429="1111",TH!O3429="1111")),TH!D3429,""),"")</f>
        <v/>
      </c>
      <c r="B3429" s="62" t="str">
        <f t="shared" si="395"/>
        <v/>
      </c>
      <c r="C3429" s="63"/>
      <c r="D3429" s="63"/>
      <c r="E3429" s="63"/>
      <c r="F3429" s="71"/>
      <c r="G3429" s="66"/>
      <c r="H3429" s="71"/>
      <c r="I3429" s="405"/>
      <c r="J3429" s="405"/>
      <c r="K3429" s="398"/>
      <c r="L3429" s="405"/>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ht="15.75" customHeight="1">
      <c r="A3430" s="327" t="str">
        <f>IF(B3430&lt;&gt;"",IF(AND(B3430='IN-TC'!$S$4,OR(TH!N3430="1111",TH!O3430="1111")),TH!D3430,""),"")</f>
        <v/>
      </c>
      <c r="B3430" s="62" t="str">
        <f t="shared" si="395"/>
        <v/>
      </c>
      <c r="C3430" s="63"/>
      <c r="D3430" s="63"/>
      <c r="E3430" s="63"/>
      <c r="F3430" s="71"/>
      <c r="G3430" s="66"/>
      <c r="H3430" s="71"/>
      <c r="I3430" s="405"/>
      <c r="J3430" s="405"/>
      <c r="K3430" s="398"/>
      <c r="L3430" s="405"/>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ht="15.75" customHeight="1">
      <c r="A3431" s="327" t="str">
        <f>IF(B3431&lt;&gt;"",IF(AND(B3431='IN-TC'!$S$4,OR(TH!N3431="1111",TH!O3431="1111")),TH!D3431,""),"")</f>
        <v/>
      </c>
      <c r="B3431" s="62" t="str">
        <f t="shared" si="395"/>
        <v/>
      </c>
      <c r="C3431" s="63"/>
      <c r="D3431" s="63"/>
      <c r="E3431" s="63"/>
      <c r="F3431" s="71"/>
      <c r="G3431" s="66"/>
      <c r="H3431" s="71"/>
      <c r="I3431" s="405"/>
      <c r="J3431" s="405"/>
      <c r="K3431" s="398"/>
      <c r="L3431" s="405"/>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ht="15.75" customHeight="1">
      <c r="A3432" s="327" t="str">
        <f>IF(B3432&lt;&gt;"",IF(AND(B3432='IN-TC'!$S$4,OR(TH!N3432="1111",TH!O3432="1111")),TH!D3432,""),"")</f>
        <v/>
      </c>
      <c r="B3432" s="62" t="str">
        <f t="shared" si="395"/>
        <v/>
      </c>
      <c r="C3432" s="63"/>
      <c r="D3432" s="63"/>
      <c r="E3432" s="63"/>
      <c r="F3432" s="71"/>
      <c r="G3432" s="66"/>
      <c r="H3432" s="71"/>
      <c r="I3432" s="405"/>
      <c r="J3432" s="405"/>
      <c r="K3432" s="398"/>
      <c r="L3432" s="405"/>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ht="15.75" customHeight="1">
      <c r="A3433" s="327" t="str">
        <f>IF(B3433&lt;&gt;"",IF(AND(B3433='IN-TC'!$S$4,OR(TH!N3433="1111",TH!O3433="1111")),TH!D3433,""),"")</f>
        <v/>
      </c>
      <c r="B3433" s="62" t="str">
        <f t="shared" si="395"/>
        <v/>
      </c>
      <c r="C3433" s="63"/>
      <c r="D3433" s="63"/>
      <c r="E3433" s="63"/>
      <c r="F3433" s="71"/>
      <c r="G3433" s="66"/>
      <c r="H3433" s="71"/>
      <c r="I3433" s="405"/>
      <c r="J3433" s="405"/>
      <c r="K3433" s="398"/>
      <c r="L3433" s="405"/>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ht="15.75" customHeight="1">
      <c r="A3434" s="327" t="str">
        <f>IF(B3434&lt;&gt;"",IF(AND(B3434='IN-TC'!$S$4,OR(TH!N3434="1111",TH!O3434="1111")),TH!D3434,""),"")</f>
        <v/>
      </c>
      <c r="B3434" s="62" t="str">
        <f t="shared" si="395"/>
        <v/>
      </c>
      <c r="C3434" s="63"/>
      <c r="D3434" s="63"/>
      <c r="E3434" s="63"/>
      <c r="F3434" s="71"/>
      <c r="G3434" s="66"/>
      <c r="H3434" s="330"/>
      <c r="I3434" s="405"/>
      <c r="J3434" s="405"/>
      <c r="K3434" s="398"/>
      <c r="L3434" s="405"/>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ht="15.75" customHeight="1">
      <c r="A3435" s="327" t="str">
        <f>IF(B3435&lt;&gt;"",IF(AND(B3435='IN-TC'!$S$4,OR(TH!N3435="1111",TH!O3435="1111")),TH!D3435,""),"")</f>
        <v/>
      </c>
      <c r="B3435" s="62" t="str">
        <f t="shared" si="395"/>
        <v/>
      </c>
      <c r="C3435" s="63"/>
      <c r="D3435" s="63"/>
      <c r="E3435" s="63"/>
      <c r="F3435" s="71"/>
      <c r="G3435" s="66"/>
      <c r="H3435" s="330"/>
      <c r="I3435" s="405"/>
      <c r="J3435" s="405"/>
      <c r="K3435" s="398"/>
      <c r="L3435" s="405"/>
      <c r="M3435" s="64"/>
      <c r="N3435" s="65"/>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ht="15.75" customHeight="1">
      <c r="A3436" s="327" t="str">
        <f>IF(B3436&lt;&gt;"",IF(AND(B3436='IN-TC'!$S$4,OR(TH!N3436="1111",TH!O3436="1111")),TH!D3436,""),"")</f>
        <v/>
      </c>
      <c r="B3436" s="62" t="str">
        <f t="shared" si="395"/>
        <v/>
      </c>
      <c r="C3436" s="63"/>
      <c r="D3436" s="63"/>
      <c r="E3436" s="63"/>
      <c r="F3436" s="71"/>
      <c r="G3436" s="66"/>
      <c r="H3436" s="330"/>
      <c r="I3436" s="405"/>
      <c r="J3436" s="405"/>
      <c r="K3436" s="398"/>
      <c r="L3436" s="405"/>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ht="15.75" customHeight="1">
      <c r="A3437" s="327" t="str">
        <f>IF(B3437&lt;&gt;"",IF(AND(B3437='IN-TC'!$S$4,OR(TH!N3437="1111",TH!O3437="1111")),TH!D3437,""),"")</f>
        <v/>
      </c>
      <c r="B3437" s="62" t="str">
        <f t="shared" si="395"/>
        <v/>
      </c>
      <c r="C3437" s="63"/>
      <c r="D3437" s="63"/>
      <c r="E3437" s="63"/>
      <c r="F3437" s="71"/>
      <c r="G3437" s="66"/>
      <c r="H3437" s="330"/>
      <c r="I3437" s="405"/>
      <c r="J3437" s="405"/>
      <c r="K3437" s="398"/>
      <c r="L3437" s="405"/>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ht="15.75" customHeight="1">
      <c r="A3438" s="327" t="str">
        <f>IF(B3438&lt;&gt;"",IF(AND(B3438='IN-TC'!$S$4,OR(TH!N3438="1111",TH!O3438="1111")),TH!D3438,""),"")</f>
        <v/>
      </c>
      <c r="B3438" s="62" t="str">
        <f t="shared" si="395"/>
        <v/>
      </c>
      <c r="C3438" s="63"/>
      <c r="D3438" s="63"/>
      <c r="E3438" s="63"/>
      <c r="F3438" s="71"/>
      <c r="G3438" s="66"/>
      <c r="H3438" s="330"/>
      <c r="I3438" s="405"/>
      <c r="J3438" s="405"/>
      <c r="K3438" s="398"/>
      <c r="L3438" s="405"/>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ht="15.75" customHeight="1">
      <c r="A3439" s="327" t="str">
        <f>IF(B3439&lt;&gt;"",IF(AND(B3439='IN-TC'!$S$4,OR(TH!N3439="1111",TH!O3439="1111")),TH!D3439,""),"")</f>
        <v/>
      </c>
      <c r="B3439" s="62" t="str">
        <f t="shared" si="395"/>
        <v/>
      </c>
      <c r="C3439" s="63"/>
      <c r="D3439" s="63"/>
      <c r="E3439" s="63"/>
      <c r="F3439" s="71"/>
      <c r="G3439" s="66"/>
      <c r="H3439" s="330"/>
      <c r="I3439" s="405"/>
      <c r="J3439" s="405"/>
      <c r="K3439" s="398"/>
      <c r="L3439" s="405"/>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ht="15.75" customHeight="1">
      <c r="A3440" s="327" t="str">
        <f>IF(B3440&lt;&gt;"",IF(AND(B3440='IN-TC'!$S$4,OR(TH!N3440="1111",TH!O3440="1111")),TH!D3440,""),"")</f>
        <v/>
      </c>
      <c r="B3440" s="62" t="str">
        <f t="shared" si="395"/>
        <v/>
      </c>
      <c r="C3440" s="63"/>
      <c r="D3440" s="63"/>
      <c r="E3440" s="63"/>
      <c r="F3440" s="71"/>
      <c r="G3440" s="66"/>
      <c r="H3440" s="330"/>
      <c r="I3440" s="405"/>
      <c r="J3440" s="405"/>
      <c r="K3440" s="398"/>
      <c r="L3440" s="405"/>
      <c r="M3440" s="64"/>
      <c r="N3440" s="65"/>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ht="15.75" customHeight="1">
      <c r="A3441" s="327" t="str">
        <f>IF(B3441&lt;&gt;"",IF(AND(B3441='IN-TC'!$S$4,OR(TH!N3441="1111",TH!O3441="1111")),TH!D3441,""),"")</f>
        <v/>
      </c>
      <c r="B3441" s="62" t="str">
        <f t="shared" si="395"/>
        <v/>
      </c>
      <c r="C3441" s="63"/>
      <c r="D3441" s="63"/>
      <c r="E3441" s="63"/>
      <c r="F3441" s="71"/>
      <c r="G3441" s="66"/>
      <c r="H3441" s="330"/>
      <c r="I3441" s="405"/>
      <c r="J3441" s="405"/>
      <c r="K3441" s="398"/>
      <c r="L3441" s="405"/>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ht="15.75" customHeight="1">
      <c r="A3442" s="327" t="str">
        <f>IF(B3442&lt;&gt;"",IF(AND(B3442='IN-TC'!$S$4,OR(TH!N3442="1111",TH!O3442="1111")),TH!D3442,""),"")</f>
        <v/>
      </c>
      <c r="B3442" s="62" t="str">
        <f t="shared" si="395"/>
        <v/>
      </c>
      <c r="C3442" s="63"/>
      <c r="D3442" s="63"/>
      <c r="E3442" s="63"/>
      <c r="F3442" s="71"/>
      <c r="G3442" s="66"/>
      <c r="H3442" s="330"/>
      <c r="I3442" s="405"/>
      <c r="J3442" s="405"/>
      <c r="K3442" s="398"/>
      <c r="L3442" s="405"/>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ht="15.75" customHeight="1">
      <c r="A3443" s="327" t="str">
        <f>IF(B3443&lt;&gt;"",IF(AND(B3443='IN-TC'!$S$4,OR(TH!N3443="1111",TH!O3443="1111")),TH!D3443,""),"")</f>
        <v/>
      </c>
      <c r="B3443" s="62" t="str">
        <f t="shared" si="395"/>
        <v/>
      </c>
      <c r="C3443" s="63"/>
      <c r="D3443" s="63"/>
      <c r="E3443" s="63"/>
      <c r="F3443" s="71"/>
      <c r="G3443" s="66"/>
      <c r="H3443" s="330"/>
      <c r="I3443" s="405"/>
      <c r="J3443" s="405"/>
      <c r="K3443" s="398"/>
      <c r="L3443" s="405"/>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ht="15.75" customHeight="1">
      <c r="A3444" s="327" t="str">
        <f>IF(B3444&lt;&gt;"",IF(AND(B3444='IN-TC'!$S$4,OR(TH!N3444="1111",TH!O3444="1111")),TH!D3444,""),"")</f>
        <v/>
      </c>
      <c r="B3444" s="62" t="str">
        <f t="shared" si="395"/>
        <v/>
      </c>
      <c r="C3444" s="63"/>
      <c r="D3444" s="63"/>
      <c r="E3444" s="63"/>
      <c r="F3444" s="71"/>
      <c r="G3444" s="66"/>
      <c r="H3444" s="71"/>
      <c r="I3444" s="405"/>
      <c r="J3444" s="405"/>
      <c r="K3444" s="398"/>
      <c r="L3444" s="405"/>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ht="15.75" customHeight="1">
      <c r="A3445" s="327" t="str">
        <f>IF(B3445&lt;&gt;"",IF(AND(B3445='IN-TC'!$S$4,OR(TH!N3445="1111",TH!O3445="1111")),TH!D3445,""),"")</f>
        <v/>
      </c>
      <c r="B3445" s="62" t="str">
        <f t="shared" si="395"/>
        <v/>
      </c>
      <c r="C3445" s="63"/>
      <c r="D3445" s="63"/>
      <c r="E3445" s="63"/>
      <c r="F3445" s="71"/>
      <c r="G3445" s="66"/>
      <c r="H3445" s="71"/>
      <c r="I3445" s="405"/>
      <c r="J3445" s="405"/>
      <c r="K3445" s="398"/>
      <c r="L3445" s="405"/>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ht="15.75" customHeight="1">
      <c r="A3446" s="327" t="str">
        <f>IF(B3446&lt;&gt;"",IF(AND(B3446='IN-TC'!$S$4,OR(TH!N3446="1111",TH!O3446="1111")),TH!D3446,""),"")</f>
        <v/>
      </c>
      <c r="B3446" s="62" t="str">
        <f t="shared" si="395"/>
        <v/>
      </c>
      <c r="C3446" s="63"/>
      <c r="D3446" s="63"/>
      <c r="E3446" s="63"/>
      <c r="F3446" s="71"/>
      <c r="G3446" s="66"/>
      <c r="H3446" s="71"/>
      <c r="I3446" s="405"/>
      <c r="J3446" s="405"/>
      <c r="K3446" s="398"/>
      <c r="L3446" s="405"/>
      <c r="M3446" s="64"/>
      <c r="N3446" s="65"/>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ht="15.75" customHeight="1">
      <c r="A3447" s="327" t="str">
        <f>IF(B3447&lt;&gt;"",IF(AND(B3447='IN-TC'!$S$4,OR(TH!N3447="1111",TH!O3447="1111")),TH!D3447,""),"")</f>
        <v/>
      </c>
      <c r="B3447" s="62" t="str">
        <f t="shared" si="395"/>
        <v/>
      </c>
      <c r="C3447" s="63"/>
      <c r="D3447" s="63"/>
      <c r="E3447" s="63"/>
      <c r="F3447" s="71"/>
      <c r="G3447" s="66"/>
      <c r="H3447" s="71"/>
      <c r="I3447" s="405"/>
      <c r="J3447" s="405"/>
      <c r="K3447" s="398"/>
      <c r="L3447" s="405"/>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ht="15.75" customHeight="1">
      <c r="A3448" s="327" t="str">
        <f>IF(B3448&lt;&gt;"",IF(AND(B3448='IN-TC'!$S$4,OR(TH!N3448="1111",TH!O3448="1111")),TH!D3448,""),"")</f>
        <v/>
      </c>
      <c r="B3448" s="62" t="str">
        <f t="shared" si="395"/>
        <v/>
      </c>
      <c r="C3448" s="63"/>
      <c r="D3448" s="63"/>
      <c r="E3448" s="63"/>
      <c r="F3448" s="71"/>
      <c r="G3448" s="66"/>
      <c r="H3448" s="71"/>
      <c r="I3448" s="405"/>
      <c r="J3448" s="405"/>
      <c r="K3448" s="398"/>
      <c r="L3448" s="405"/>
      <c r="M3448" s="64"/>
      <c r="N3448" s="65"/>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ht="15.75" customHeight="1">
      <c r="A3449" s="327" t="str">
        <f>IF(B3449&lt;&gt;"",IF(AND(B3449='IN-TC'!$S$4,OR(TH!N3449="1111",TH!O3449="1111")),TH!D3449,""),"")</f>
        <v/>
      </c>
      <c r="B3449" s="62" t="str">
        <f t="shared" si="395"/>
        <v/>
      </c>
      <c r="C3449" s="63"/>
      <c r="D3449" s="63"/>
      <c r="E3449" s="63"/>
      <c r="F3449" s="71"/>
      <c r="G3449" s="66"/>
      <c r="H3449" s="71"/>
      <c r="I3449" s="405"/>
      <c r="J3449" s="405"/>
      <c r="K3449" s="398"/>
      <c r="L3449" s="405"/>
      <c r="M3449" s="64"/>
      <c r="N3449" s="65"/>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ht="15.75" customHeight="1">
      <c r="A3450" s="327" t="str">
        <f>IF(B3450&lt;&gt;"",IF(AND(B3450='IN-TC'!$S$4,OR(TH!N3450="1111",TH!O3450="1111")),TH!D3450,""),"")</f>
        <v/>
      </c>
      <c r="B3450" s="62" t="str">
        <f t="shared" si="395"/>
        <v/>
      </c>
      <c r="C3450" s="63"/>
      <c r="D3450" s="63"/>
      <c r="E3450" s="63"/>
      <c r="F3450" s="71"/>
      <c r="G3450" s="66"/>
      <c r="H3450" s="330"/>
      <c r="I3450" s="405"/>
      <c r="J3450" s="405"/>
      <c r="K3450" s="398"/>
      <c r="L3450" s="405"/>
      <c r="M3450" s="64"/>
      <c r="N3450" s="65"/>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ht="15.75" customHeight="1">
      <c r="A3451" s="327" t="str">
        <f>IF(B3451&lt;&gt;"",IF(AND(B3451='IN-TC'!$S$4,OR(TH!N3451="1111",TH!O3451="1111")),TH!D3451,""),"")</f>
        <v/>
      </c>
      <c r="B3451" s="62" t="str">
        <f t="shared" si="395"/>
        <v/>
      </c>
      <c r="C3451" s="63"/>
      <c r="D3451" s="63"/>
      <c r="E3451" s="63"/>
      <c r="F3451" s="71"/>
      <c r="G3451" s="66"/>
      <c r="H3451" s="330"/>
      <c r="I3451" s="405"/>
      <c r="J3451" s="405"/>
      <c r="K3451" s="398"/>
      <c r="L3451" s="405"/>
      <c r="M3451" s="64"/>
      <c r="N3451" s="65"/>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ht="15.75" customHeight="1">
      <c r="A3452" s="327" t="str">
        <f>IF(B3452&lt;&gt;"",IF(AND(B3452='IN-TC'!$S$4,OR(TH!N3452="1111",TH!O3452="1111")),TH!D3452,""),"")</f>
        <v/>
      </c>
      <c r="B3452" s="62" t="str">
        <f t="shared" si="395"/>
        <v/>
      </c>
      <c r="C3452" s="63"/>
      <c r="D3452" s="63"/>
      <c r="E3452" s="63"/>
      <c r="F3452" s="71"/>
      <c r="G3452" s="66"/>
      <c r="H3452" s="330"/>
      <c r="I3452" s="405"/>
      <c r="J3452" s="405"/>
      <c r="K3452" s="398"/>
      <c r="L3452" s="405"/>
      <c r="M3452" s="64"/>
      <c r="N3452" s="65"/>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ht="15.75" customHeight="1">
      <c r="A3453" s="327" t="str">
        <f>IF(B3453&lt;&gt;"",IF(AND(B3453='IN-TC'!$S$4,OR(TH!N3453="1111",TH!O3453="1111")),TH!D3453,""),"")</f>
        <v/>
      </c>
      <c r="B3453" s="62" t="str">
        <f t="shared" si="395"/>
        <v/>
      </c>
      <c r="C3453" s="63"/>
      <c r="D3453" s="63"/>
      <c r="E3453" s="63"/>
      <c r="F3453" s="71"/>
      <c r="G3453" s="66"/>
      <c r="H3453" s="330"/>
      <c r="I3453" s="405"/>
      <c r="J3453" s="405"/>
      <c r="K3453" s="398"/>
      <c r="L3453" s="405"/>
      <c r="M3453" s="64"/>
      <c r="N3453" s="65"/>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ht="15.75" customHeight="1">
      <c r="A3454" s="327" t="str">
        <f>IF(B3454&lt;&gt;"",IF(AND(B3454='IN-TC'!$S$4,OR(TH!N3454="1111",TH!O3454="1111")),TH!D3454,""),"")</f>
        <v/>
      </c>
      <c r="B3454" s="62" t="str">
        <f t="shared" si="395"/>
        <v/>
      </c>
      <c r="C3454" s="63"/>
      <c r="D3454" s="63"/>
      <c r="E3454" s="63"/>
      <c r="F3454" s="71"/>
      <c r="G3454" s="66"/>
      <c r="H3454" s="330"/>
      <c r="I3454" s="405"/>
      <c r="J3454" s="405"/>
      <c r="K3454" s="398"/>
      <c r="L3454" s="405"/>
      <c r="M3454" s="64"/>
      <c r="N3454" s="65"/>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ht="15.75" customHeight="1">
      <c r="A3455" s="327" t="str">
        <f>IF(B3455&lt;&gt;"",IF(AND(B3455='IN-TC'!$S$4,OR(TH!N3455="1111",TH!O3455="1111")),TH!D3455,""),"")</f>
        <v/>
      </c>
      <c r="B3455" s="62" t="str">
        <f t="shared" si="395"/>
        <v/>
      </c>
      <c r="C3455" s="63"/>
      <c r="D3455" s="63"/>
      <c r="E3455" s="63"/>
      <c r="F3455" s="71"/>
      <c r="G3455" s="66"/>
      <c r="H3455" s="71"/>
      <c r="I3455" s="405"/>
      <c r="J3455" s="405"/>
      <c r="K3455" s="398"/>
      <c r="L3455" s="405"/>
      <c r="M3455" s="64"/>
      <c r="N3455" s="65"/>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ht="15.75" customHeight="1">
      <c r="A3456" s="327" t="str">
        <f>IF(B3456&lt;&gt;"",IF(AND(B3456='IN-TC'!$S$4,OR(TH!N3456="1111",TH!O3456="1111")),TH!D3456,""),"")</f>
        <v/>
      </c>
      <c r="B3456" s="62" t="str">
        <f t="shared" si="395"/>
        <v/>
      </c>
      <c r="C3456" s="63"/>
      <c r="D3456" s="63"/>
      <c r="E3456" s="63"/>
      <c r="F3456" s="71"/>
      <c r="G3456" s="66"/>
      <c r="H3456" s="71"/>
      <c r="I3456" s="405"/>
      <c r="J3456" s="405"/>
      <c r="K3456" s="398"/>
      <c r="L3456" s="405"/>
      <c r="M3456" s="64"/>
      <c r="N3456" s="65"/>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ht="15.75" customHeight="1">
      <c r="A3457" s="327" t="str">
        <f>IF(B3457&lt;&gt;"",IF(AND(B3457='IN-TC'!$S$4,OR(TH!N3457="1111",TH!O3457="1111")),TH!D3457,""),"")</f>
        <v/>
      </c>
      <c r="B3457" s="62" t="str">
        <f t="shared" si="395"/>
        <v/>
      </c>
      <c r="C3457" s="63"/>
      <c r="D3457" s="63"/>
      <c r="E3457" s="63"/>
      <c r="F3457" s="71"/>
      <c r="G3457" s="816"/>
      <c r="H3457" s="71"/>
      <c r="I3457" s="405"/>
      <c r="J3457" s="405"/>
      <c r="K3457" s="398"/>
      <c r="L3457" s="405"/>
      <c r="M3457" s="64"/>
      <c r="N3457" s="65"/>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ht="15.75" customHeight="1">
      <c r="A3458" s="327" t="str">
        <f>IF(B3458&lt;&gt;"",IF(AND(B3458='IN-TC'!$S$4,OR(TH!N3458="1111",TH!O3458="1111")),TH!D3458,""),"")</f>
        <v/>
      </c>
      <c r="B3458" s="62" t="str">
        <f t="shared" si="395"/>
        <v/>
      </c>
      <c r="C3458" s="63"/>
      <c r="D3458" s="63"/>
      <c r="E3458" s="63"/>
      <c r="F3458" s="71"/>
      <c r="G3458" s="816"/>
      <c r="H3458" s="71"/>
      <c r="I3458" s="405"/>
      <c r="J3458" s="405"/>
      <c r="K3458" s="398"/>
      <c r="L3458" s="405"/>
      <c r="M3458" s="64"/>
      <c r="N3458" s="65"/>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ht="15.75" customHeight="1">
      <c r="A3459" s="327" t="str">
        <f>IF(B3459&lt;&gt;"",IF(AND(B3459='IN-TC'!$S$4,OR(TH!N3459="1111",TH!O3459="1111")),TH!D3459,""),"")</f>
        <v/>
      </c>
      <c r="B3459" s="62" t="str">
        <f t="shared" si="395"/>
        <v/>
      </c>
      <c r="C3459" s="63"/>
      <c r="D3459" s="63"/>
      <c r="E3459" s="63"/>
      <c r="F3459" s="71"/>
      <c r="G3459" s="816"/>
      <c r="H3459" s="71"/>
      <c r="I3459" s="405"/>
      <c r="J3459" s="405"/>
      <c r="K3459" s="398"/>
      <c r="L3459" s="405"/>
      <c r="M3459" s="64"/>
      <c r="N3459" s="65"/>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ht="15.75" customHeight="1">
      <c r="A3460" s="327" t="str">
        <f>IF(B3460&lt;&gt;"",IF(AND(B3460='IN-TC'!$S$4,OR(TH!N3460="1111",TH!O3460="1111")),TH!D3460,""),"")</f>
        <v/>
      </c>
      <c r="B3460" s="62" t="str">
        <f t="shared" si="395"/>
        <v/>
      </c>
      <c r="C3460" s="63"/>
      <c r="D3460" s="63"/>
      <c r="E3460" s="63"/>
      <c r="F3460" s="71"/>
      <c r="G3460" s="66"/>
      <c r="H3460" s="71"/>
      <c r="I3460" s="405"/>
      <c r="J3460" s="405"/>
      <c r="K3460" s="398"/>
      <c r="L3460" s="405"/>
      <c r="M3460" s="64"/>
      <c r="N3460" s="65"/>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ht="15.75" customHeight="1">
      <c r="A3461" s="327" t="str">
        <f>IF(B3461&lt;&gt;"",IF(AND(B3461='IN-TC'!$S$4,OR(TH!N3461="1111",TH!O3461="1111")),TH!D3461,""),"")</f>
        <v/>
      </c>
      <c r="B3461" s="62" t="str">
        <f t="shared" si="395"/>
        <v/>
      </c>
      <c r="C3461" s="63"/>
      <c r="D3461" s="63"/>
      <c r="E3461" s="63"/>
      <c r="F3461" s="71"/>
      <c r="G3461" s="66"/>
      <c r="H3461" s="71"/>
      <c r="I3461" s="405"/>
      <c r="J3461" s="405"/>
      <c r="K3461" s="398"/>
      <c r="L3461" s="405"/>
      <c r="M3461" s="64"/>
      <c r="N3461" s="65"/>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ht="15.75" customHeight="1">
      <c r="A3462" s="327" t="str">
        <f>IF(B3462&lt;&gt;"",IF(AND(B3462='IN-TC'!$S$4,OR(TH!N3462="1111",TH!O3462="1111")),TH!D3462,""),"")</f>
        <v/>
      </c>
      <c r="B3462" s="62" t="str">
        <f t="shared" si="395"/>
        <v/>
      </c>
      <c r="C3462" s="63"/>
      <c r="D3462" s="63"/>
      <c r="E3462" s="63"/>
      <c r="F3462" s="71"/>
      <c r="G3462" s="816"/>
      <c r="H3462" s="71"/>
      <c r="I3462" s="405"/>
      <c r="J3462" s="405"/>
      <c r="K3462" s="398"/>
      <c r="L3462" s="405"/>
      <c r="M3462" s="64"/>
      <c r="N3462" s="65"/>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ht="15.75" customHeight="1">
      <c r="A3463" s="327" t="str">
        <f>IF(B3463&lt;&gt;"",IF(AND(B3463='IN-TC'!$S$4,OR(TH!N3463="1111",TH!O3463="1111")),TH!D3463,""),"")</f>
        <v/>
      </c>
      <c r="B3463" s="62" t="str">
        <f t="shared" si="395"/>
        <v/>
      </c>
      <c r="C3463" s="63"/>
      <c r="D3463" s="63"/>
      <c r="E3463" s="63"/>
      <c r="F3463" s="71"/>
      <c r="G3463" s="816"/>
      <c r="H3463" s="71"/>
      <c r="I3463" s="405"/>
      <c r="J3463" s="405"/>
      <c r="K3463" s="398"/>
      <c r="L3463" s="405"/>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ht="15.75" customHeight="1">
      <c r="A3464" s="327" t="str">
        <f>IF(B3464&lt;&gt;"",IF(AND(B3464='IN-TC'!$S$4,OR(TH!N3464="1111",TH!O3464="1111")),TH!D3464,""),"")</f>
        <v/>
      </c>
      <c r="B3464" s="62" t="str">
        <f t="shared" si="395"/>
        <v/>
      </c>
      <c r="C3464" s="63"/>
      <c r="D3464" s="63"/>
      <c r="E3464" s="63"/>
      <c r="F3464" s="71"/>
      <c r="G3464" s="66"/>
      <c r="H3464" s="71"/>
      <c r="I3464" s="405"/>
      <c r="J3464" s="405"/>
      <c r="K3464" s="398"/>
      <c r="L3464" s="405"/>
      <c r="M3464" s="64"/>
      <c r="N3464" s="65"/>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ht="15.75" customHeight="1">
      <c r="A3465" s="327" t="str">
        <f>IF(B3465&lt;&gt;"",IF(AND(B3465='IN-TC'!$S$4,OR(TH!N3465="1111",TH!O3465="1111")),TH!D3465,""),"")</f>
        <v/>
      </c>
      <c r="B3465" s="62" t="str">
        <f t="shared" si="395"/>
        <v/>
      </c>
      <c r="C3465" s="63"/>
      <c r="D3465" s="63"/>
      <c r="E3465" s="63"/>
      <c r="F3465" s="71"/>
      <c r="G3465" s="66"/>
      <c r="H3465" s="71"/>
      <c r="I3465" s="405"/>
      <c r="J3465" s="405"/>
      <c r="K3465" s="398"/>
      <c r="L3465" s="405"/>
      <c r="M3465" s="64"/>
      <c r="N3465" s="65"/>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ht="15.75" customHeight="1">
      <c r="A3466" s="327" t="str">
        <f>IF(B3466&lt;&gt;"",IF(AND(B3466='IN-TC'!$S$4,OR(TH!N3466="1111",TH!O3466="1111")),TH!D3466,""),"")</f>
        <v/>
      </c>
      <c r="B3466" s="62" t="str">
        <f t="shared" si="395"/>
        <v/>
      </c>
      <c r="C3466" s="63"/>
      <c r="D3466" s="63"/>
      <c r="E3466" s="63"/>
      <c r="F3466" s="71"/>
      <c r="G3466" s="66"/>
      <c r="H3466" s="71"/>
      <c r="I3466" s="405"/>
      <c r="J3466" s="405"/>
      <c r="K3466" s="398"/>
      <c r="L3466" s="405"/>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ht="15.75" customHeight="1">
      <c r="A3467" s="327" t="str">
        <f>IF(B3467&lt;&gt;"",IF(AND(B3467='IN-TC'!$S$4,OR(TH!N3467="1111",TH!O3467="1111")),TH!D3467,""),"")</f>
        <v/>
      </c>
      <c r="B3467" s="62" t="str">
        <f t="shared" si="395"/>
        <v/>
      </c>
      <c r="C3467" s="63"/>
      <c r="D3467" s="63"/>
      <c r="E3467" s="63"/>
      <c r="F3467" s="71"/>
      <c r="G3467" s="66"/>
      <c r="H3467" s="71"/>
      <c r="I3467" s="405"/>
      <c r="J3467" s="405"/>
      <c r="K3467" s="398"/>
      <c r="L3467" s="405"/>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ht="15.75" customHeight="1">
      <c r="A3468" s="327" t="str">
        <f>IF(B3468&lt;&gt;"",IF(AND(B3468='IN-TC'!$S$4,OR(TH!N3468="1111",TH!O3468="1111")),TH!D3468,""),"")</f>
        <v/>
      </c>
      <c r="B3468" s="62" t="str">
        <f t="shared" si="395"/>
        <v/>
      </c>
      <c r="C3468" s="63"/>
      <c r="D3468" s="63"/>
      <c r="E3468" s="63"/>
      <c r="F3468" s="71"/>
      <c r="G3468" s="66"/>
      <c r="H3468" s="71"/>
      <c r="I3468" s="405"/>
      <c r="J3468" s="405"/>
      <c r="K3468" s="398"/>
      <c r="L3468" s="405"/>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ht="15.75" customHeight="1">
      <c r="A3469" s="327" t="str">
        <f>IF(B3469&lt;&gt;"",IF(AND(B3469='IN-TC'!$S$4,OR(TH!N3469="1111",TH!O3469="1111")),TH!D3469,""),"")</f>
        <v/>
      </c>
      <c r="B3469" s="62" t="str">
        <f t="shared" si="395"/>
        <v/>
      </c>
      <c r="C3469" s="63"/>
      <c r="D3469" s="63"/>
      <c r="E3469" s="63"/>
      <c r="F3469" s="71"/>
      <c r="G3469" s="66"/>
      <c r="H3469" s="71"/>
      <c r="I3469" s="405"/>
      <c r="J3469" s="405"/>
      <c r="K3469" s="398"/>
      <c r="L3469" s="405"/>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ht="15.75" customHeight="1">
      <c r="A3470" s="327" t="str">
        <f>IF(B3470&lt;&gt;"",IF(AND(B3470='IN-TC'!$S$4,OR(TH!N3470="1111",TH!O3470="1111")),TH!D3470,""),"")</f>
        <v/>
      </c>
      <c r="B3470" s="62" t="str">
        <f t="shared" si="395"/>
        <v/>
      </c>
      <c r="C3470" s="63"/>
      <c r="D3470" s="63"/>
      <c r="E3470" s="63"/>
      <c r="F3470" s="71"/>
      <c r="G3470" s="66"/>
      <c r="H3470" s="330"/>
      <c r="I3470" s="405"/>
      <c r="J3470" s="405"/>
      <c r="K3470" s="398"/>
      <c r="L3470" s="405"/>
      <c r="M3470" s="64"/>
      <c r="N3470" s="65"/>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ht="15.75" customHeight="1">
      <c r="A3471" s="327" t="str">
        <f>IF(B3471&lt;&gt;"",IF(AND(B3471='IN-TC'!$S$4,OR(TH!N3471="1111",TH!O3471="1111")),TH!D3471,""),"")</f>
        <v/>
      </c>
      <c r="B3471" s="62" t="str">
        <f t="shared" si="395"/>
        <v/>
      </c>
      <c r="C3471" s="63"/>
      <c r="D3471" s="63"/>
      <c r="E3471" s="63"/>
      <c r="F3471" s="71"/>
      <c r="G3471" s="66"/>
      <c r="H3471" s="71"/>
      <c r="I3471" s="405"/>
      <c r="J3471" s="405"/>
      <c r="K3471" s="398"/>
      <c r="L3471" s="405"/>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ht="15.75" customHeight="1">
      <c r="A3472" s="327" t="str">
        <f>IF(B3472&lt;&gt;"",IF(AND(B3472='IN-TC'!$S$4,OR(TH!N3472="1111",TH!O3472="1111")),TH!D3472,""),"")</f>
        <v/>
      </c>
      <c r="B3472" s="62" t="str">
        <f t="shared" si="395"/>
        <v/>
      </c>
      <c r="C3472" s="63"/>
      <c r="D3472" s="309"/>
      <c r="E3472" s="309"/>
      <c r="F3472" s="71"/>
      <c r="G3472" s="816"/>
      <c r="H3472" s="71"/>
      <c r="I3472" s="405"/>
      <c r="J3472" s="405"/>
      <c r="K3472" s="398"/>
      <c r="L3472" s="405"/>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ht="15.75" customHeight="1">
      <c r="A3473" s="327" t="str">
        <f>IF(B3473&lt;&gt;"",IF(AND(B3473='IN-TC'!$S$4,OR(TH!N3473="1111",TH!O3473="1111")),TH!D3473,""),"")</f>
        <v/>
      </c>
      <c r="B3473" s="62" t="str">
        <f t="shared" si="395"/>
        <v/>
      </c>
      <c r="C3473" s="63"/>
      <c r="D3473" s="63"/>
      <c r="E3473" s="63"/>
      <c r="F3473" s="66"/>
      <c r="G3473" s="66"/>
      <c r="H3473" s="71"/>
      <c r="I3473" s="405"/>
      <c r="J3473" s="405"/>
      <c r="K3473" s="398"/>
      <c r="L3473" s="405"/>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ht="15.75" customHeight="1">
      <c r="A3474" s="327" t="str">
        <f>IF(B3474&lt;&gt;"",IF(AND(B3474='IN-TC'!$S$4,OR(TH!N3474="1111",TH!O3474="1111")),TH!D3474,""),"")</f>
        <v/>
      </c>
      <c r="B3474" s="62" t="str">
        <f t="shared" si="395"/>
        <v/>
      </c>
      <c r="C3474" s="63"/>
      <c r="D3474" s="309"/>
      <c r="E3474" s="309"/>
      <c r="F3474" s="71"/>
      <c r="G3474" s="816"/>
      <c r="H3474" s="71"/>
      <c r="I3474" s="405"/>
      <c r="J3474" s="405"/>
      <c r="K3474" s="398"/>
      <c r="L3474" s="405"/>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ht="15.75" customHeight="1">
      <c r="A3475" s="327" t="str">
        <f>IF(B3475&lt;&gt;"",IF(AND(B3475='IN-TC'!$S$4,OR(TH!N3475="1111",TH!O3475="1111")),TH!D3475,""),"")</f>
        <v/>
      </c>
      <c r="B3475" s="62" t="str">
        <f t="shared" si="395"/>
        <v/>
      </c>
      <c r="C3475" s="63"/>
      <c r="D3475" s="63"/>
      <c r="E3475" s="63"/>
      <c r="F3475" s="71"/>
      <c r="G3475" s="66"/>
      <c r="H3475" s="71"/>
      <c r="I3475" s="405"/>
      <c r="J3475" s="405"/>
      <c r="K3475" s="398"/>
      <c r="L3475" s="405"/>
      <c r="M3475" s="64"/>
      <c r="N3475" s="65"/>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ht="15.75" customHeight="1">
      <c r="A3476" s="327" t="str">
        <f>IF(B3476&lt;&gt;"",IF(AND(B3476='IN-TC'!$S$4,OR(TH!N3476="1111",TH!O3476="1111")),TH!D3476,""),"")</f>
        <v/>
      </c>
      <c r="B3476" s="62" t="str">
        <f t="shared" si="395"/>
        <v/>
      </c>
      <c r="C3476" s="63"/>
      <c r="D3476" s="63"/>
      <c r="E3476" s="63"/>
      <c r="F3476" s="71"/>
      <c r="G3476" s="66"/>
      <c r="H3476" s="71"/>
      <c r="I3476" s="405"/>
      <c r="J3476" s="405"/>
      <c r="K3476" s="398"/>
      <c r="L3476" s="405"/>
      <c r="M3476" s="64"/>
      <c r="N3476" s="65"/>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ht="15.75" customHeight="1">
      <c r="A3477" s="327" t="str">
        <f>IF(B3477&lt;&gt;"",IF(AND(B3477='IN-TC'!$S$4,OR(TH!N3477="1111",TH!O3477="1111")),TH!D3477,""),"")</f>
        <v/>
      </c>
      <c r="B3477" s="62" t="str">
        <f t="shared" si="395"/>
        <v/>
      </c>
      <c r="C3477" s="63"/>
      <c r="D3477" s="63"/>
      <c r="E3477" s="63"/>
      <c r="F3477" s="71"/>
      <c r="G3477" s="66"/>
      <c r="H3477" s="71"/>
      <c r="I3477" s="405"/>
      <c r="J3477" s="405"/>
      <c r="K3477" s="398"/>
      <c r="L3477" s="405"/>
      <c r="M3477" s="64"/>
      <c r="N3477" s="65"/>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ht="15.75" customHeight="1">
      <c r="A3478" s="327" t="str">
        <f>IF(B3478&lt;&gt;"",IF(AND(B3478='IN-TC'!$S$4,OR(TH!N3478="1111",TH!O3478="1111")),TH!D3478,""),"")</f>
        <v/>
      </c>
      <c r="B3478" s="62" t="str">
        <f t="shared" ref="B3478:B3541" si="396">IF(C3478&lt;&gt;"",MONTH(C3478),"")</f>
        <v/>
      </c>
      <c r="C3478" s="63"/>
      <c r="D3478" s="63"/>
      <c r="E3478" s="63"/>
      <c r="F3478" s="71"/>
      <c r="G3478" s="66"/>
      <c r="H3478" s="71"/>
      <c r="I3478" s="405"/>
      <c r="J3478" s="405"/>
      <c r="K3478" s="398"/>
      <c r="L3478" s="405"/>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ht="15.75" customHeight="1">
      <c r="A3479" s="327" t="str">
        <f>IF(B3479&lt;&gt;"",IF(AND(B3479='IN-TC'!$S$4,OR(TH!N3479="1111",TH!O3479="1111")),TH!D3479,""),"")</f>
        <v/>
      </c>
      <c r="B3479" s="62" t="str">
        <f t="shared" si="396"/>
        <v/>
      </c>
      <c r="C3479" s="63"/>
      <c r="D3479" s="63"/>
      <c r="E3479" s="63"/>
      <c r="F3479" s="71"/>
      <c r="G3479" s="66"/>
      <c r="H3479" s="71"/>
      <c r="I3479" s="405"/>
      <c r="J3479" s="405"/>
      <c r="K3479" s="398"/>
      <c r="L3479" s="405"/>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ht="15.75" customHeight="1">
      <c r="A3480" s="327" t="str">
        <f>IF(B3480&lt;&gt;"",IF(AND(B3480='IN-TC'!$S$4,OR(TH!N3480="1111",TH!O3480="1111")),TH!D3480,""),"")</f>
        <v/>
      </c>
      <c r="B3480" s="62" t="str">
        <f t="shared" si="396"/>
        <v/>
      </c>
      <c r="C3480" s="63"/>
      <c r="D3480" s="63"/>
      <c r="E3480" s="63"/>
      <c r="F3480" s="71"/>
      <c r="G3480" s="66"/>
      <c r="H3480" s="71"/>
      <c r="I3480" s="405"/>
      <c r="J3480" s="405"/>
      <c r="K3480" s="398"/>
      <c r="L3480" s="405"/>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ht="15.75" customHeight="1">
      <c r="A3481" s="327" t="str">
        <f>IF(B3481&lt;&gt;"",IF(AND(B3481='IN-TC'!$S$4,OR(TH!N3481="1111",TH!O3481="1111")),TH!D3481,""),"")</f>
        <v/>
      </c>
      <c r="B3481" s="62" t="str">
        <f t="shared" si="396"/>
        <v/>
      </c>
      <c r="C3481" s="63"/>
      <c r="D3481" s="63"/>
      <c r="E3481" s="63"/>
      <c r="F3481" s="71"/>
      <c r="G3481" s="66"/>
      <c r="H3481" s="71"/>
      <c r="I3481" s="405"/>
      <c r="J3481" s="405"/>
      <c r="K3481" s="398"/>
      <c r="L3481" s="405"/>
      <c r="M3481" s="64"/>
      <c r="N3481" s="65"/>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ht="15.75" customHeight="1">
      <c r="A3482" s="327" t="str">
        <f>IF(B3482&lt;&gt;"",IF(AND(B3482='IN-TC'!$S$4,OR(TH!N3482="1111",TH!O3482="1111")),TH!D3482,""),"")</f>
        <v/>
      </c>
      <c r="B3482" s="62" t="str">
        <f t="shared" si="396"/>
        <v/>
      </c>
      <c r="C3482" s="63"/>
      <c r="D3482" s="63"/>
      <c r="E3482" s="63"/>
      <c r="F3482" s="66"/>
      <c r="G3482" s="66"/>
      <c r="H3482" s="71"/>
      <c r="I3482" s="405"/>
      <c r="J3482" s="405"/>
      <c r="K3482" s="398"/>
      <c r="L3482" s="405"/>
      <c r="M3482" s="64"/>
      <c r="N3482" s="65"/>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ht="15.75" customHeight="1">
      <c r="A3483" s="327" t="str">
        <f>IF(B3483&lt;&gt;"",IF(AND(B3483='IN-TC'!$S$4,OR(TH!N3483="1111",TH!O3483="1111")),TH!D3483,""),"")</f>
        <v/>
      </c>
      <c r="B3483" s="62" t="str">
        <f t="shared" si="396"/>
        <v/>
      </c>
      <c r="C3483" s="63"/>
      <c r="D3483" s="63"/>
      <c r="E3483" s="63"/>
      <c r="F3483" s="66"/>
      <c r="G3483" s="66"/>
      <c r="H3483" s="71"/>
      <c r="I3483" s="405"/>
      <c r="J3483" s="405"/>
      <c r="K3483" s="398"/>
      <c r="L3483" s="405"/>
      <c r="M3483" s="64"/>
      <c r="N3483" s="65"/>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ht="15.75" customHeight="1">
      <c r="A3484" s="327" t="str">
        <f>IF(B3484&lt;&gt;"",IF(AND(B3484='IN-TC'!$S$4,OR(TH!N3484="1111",TH!O3484="1111")),TH!D3484,""),"")</f>
        <v/>
      </c>
      <c r="B3484" s="62" t="str">
        <f t="shared" si="396"/>
        <v/>
      </c>
      <c r="C3484" s="63"/>
      <c r="D3484" s="63"/>
      <c r="E3484" s="63"/>
      <c r="F3484" s="71"/>
      <c r="G3484" s="66"/>
      <c r="H3484" s="71"/>
      <c r="I3484" s="405"/>
      <c r="J3484" s="405"/>
      <c r="K3484" s="398"/>
      <c r="L3484" s="405"/>
      <c r="M3484" s="64"/>
      <c r="N3484" s="65"/>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ht="15.75" customHeight="1">
      <c r="A3485" s="327" t="str">
        <f>IF(B3485&lt;&gt;"",IF(AND(B3485='IN-TC'!$S$4,OR(TH!N3485="1111",TH!O3485="1111")),TH!D3485,""),"")</f>
        <v/>
      </c>
      <c r="B3485" s="62" t="str">
        <f t="shared" si="396"/>
        <v/>
      </c>
      <c r="C3485" s="63"/>
      <c r="D3485" s="63"/>
      <c r="E3485" s="63"/>
      <c r="F3485" s="66"/>
      <c r="G3485" s="66"/>
      <c r="H3485" s="71"/>
      <c r="I3485" s="405"/>
      <c r="J3485" s="405"/>
      <c r="K3485" s="398"/>
      <c r="L3485" s="405"/>
      <c r="M3485" s="64"/>
      <c r="N3485" s="65"/>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ht="15.75" customHeight="1">
      <c r="A3486" s="327" t="str">
        <f>IF(B3486&lt;&gt;"",IF(AND(B3486='IN-TC'!$S$4,OR(TH!N3486="1111",TH!O3486="1111")),TH!D3486,""),"")</f>
        <v/>
      </c>
      <c r="B3486" s="62" t="str">
        <f t="shared" si="396"/>
        <v/>
      </c>
      <c r="C3486" s="63"/>
      <c r="D3486" s="63"/>
      <c r="E3486" s="63"/>
      <c r="F3486" s="66"/>
      <c r="G3486" s="66"/>
      <c r="H3486" s="71"/>
      <c r="I3486" s="405"/>
      <c r="J3486" s="405"/>
      <c r="K3486" s="398"/>
      <c r="L3486" s="405"/>
      <c r="M3486" s="64"/>
      <c r="N3486" s="65"/>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ht="15.75" customHeight="1">
      <c r="A3487" s="327" t="str">
        <f>IF(B3487&lt;&gt;"",IF(AND(B3487='IN-TC'!$S$4,OR(TH!N3487="1111",TH!O3487="1111")),TH!D3487,""),"")</f>
        <v/>
      </c>
      <c r="B3487" s="62" t="str">
        <f t="shared" si="396"/>
        <v/>
      </c>
      <c r="C3487" s="63"/>
      <c r="D3487" s="63"/>
      <c r="E3487" s="63"/>
      <c r="F3487" s="71"/>
      <c r="G3487" s="66"/>
      <c r="H3487" s="71"/>
      <c r="I3487" s="405"/>
      <c r="J3487" s="405"/>
      <c r="K3487" s="398"/>
      <c r="L3487" s="405"/>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ht="15.75" customHeight="1">
      <c r="A3488" s="327" t="str">
        <f>IF(B3488&lt;&gt;"",IF(AND(B3488='IN-TC'!$S$4,OR(TH!N3488="1111",TH!O3488="1111")),TH!D3488,""),"")</f>
        <v/>
      </c>
      <c r="B3488" s="62" t="str">
        <f t="shared" si="396"/>
        <v/>
      </c>
      <c r="C3488" s="63"/>
      <c r="D3488" s="63"/>
      <c r="E3488" s="63"/>
      <c r="F3488" s="66"/>
      <c r="G3488" s="66"/>
      <c r="H3488" s="71"/>
      <c r="I3488" s="405"/>
      <c r="J3488" s="405"/>
      <c r="K3488" s="398"/>
      <c r="L3488" s="405"/>
      <c r="M3488" s="64"/>
      <c r="N3488" s="65"/>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ht="15.75" customHeight="1">
      <c r="A3489" s="327" t="str">
        <f>IF(B3489&lt;&gt;"",IF(AND(B3489='IN-TC'!$S$4,OR(TH!N3489="1111",TH!O3489="1111")),TH!D3489,""),"")</f>
        <v/>
      </c>
      <c r="B3489" s="62" t="str">
        <f t="shared" si="396"/>
        <v/>
      </c>
      <c r="C3489" s="63"/>
      <c r="D3489" s="63"/>
      <c r="E3489" s="63"/>
      <c r="F3489" s="66"/>
      <c r="G3489" s="66"/>
      <c r="H3489" s="71"/>
      <c r="I3489" s="405"/>
      <c r="J3489" s="405"/>
      <c r="K3489" s="398"/>
      <c r="L3489" s="405"/>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ht="15.75" customHeight="1">
      <c r="A3490" s="327" t="str">
        <f>IF(B3490&lt;&gt;"",IF(AND(B3490='IN-TC'!$S$4,OR(TH!N3490="1111",TH!O3490="1111")),TH!D3490,""),"")</f>
        <v/>
      </c>
      <c r="B3490" s="62" t="str">
        <f t="shared" si="396"/>
        <v/>
      </c>
      <c r="C3490" s="63"/>
      <c r="D3490" s="63"/>
      <c r="E3490" s="63"/>
      <c r="F3490" s="71"/>
      <c r="G3490" s="66"/>
      <c r="H3490" s="71"/>
      <c r="I3490" s="405"/>
      <c r="J3490" s="405"/>
      <c r="K3490" s="398"/>
      <c r="L3490" s="405"/>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ht="15.75" customHeight="1">
      <c r="A3491" s="327" t="str">
        <f>IF(B3491&lt;&gt;"",IF(AND(B3491='IN-TC'!$S$4,OR(TH!N3491="1111",TH!O3491="1111")),TH!D3491,""),"")</f>
        <v/>
      </c>
      <c r="B3491" s="62" t="str">
        <f t="shared" si="396"/>
        <v/>
      </c>
      <c r="C3491" s="63"/>
      <c r="D3491" s="63"/>
      <c r="E3491" s="63"/>
      <c r="F3491" s="66"/>
      <c r="G3491" s="66"/>
      <c r="H3491" s="71"/>
      <c r="I3491" s="405"/>
      <c r="J3491" s="405"/>
      <c r="K3491" s="398"/>
      <c r="L3491" s="405"/>
      <c r="M3491" s="64"/>
      <c r="N3491" s="65"/>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ht="15.75" customHeight="1">
      <c r="A3492" s="327" t="str">
        <f>IF(B3492&lt;&gt;"",IF(AND(B3492='IN-TC'!$S$4,OR(TH!N3492="1111",TH!O3492="1111")),TH!D3492,""),"")</f>
        <v/>
      </c>
      <c r="B3492" s="62" t="str">
        <f t="shared" si="396"/>
        <v/>
      </c>
      <c r="C3492" s="63"/>
      <c r="D3492" s="63"/>
      <c r="E3492" s="63"/>
      <c r="F3492" s="66"/>
      <c r="G3492" s="66"/>
      <c r="H3492" s="71"/>
      <c r="I3492" s="405"/>
      <c r="J3492" s="405"/>
      <c r="K3492" s="398"/>
      <c r="L3492" s="405"/>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ht="15.75" customHeight="1">
      <c r="A3493" s="327" t="str">
        <f>IF(B3493&lt;&gt;"",IF(AND(B3493='IN-TC'!$S$4,OR(TH!N3493="1111",TH!O3493="1111")),TH!D3493,""),"")</f>
        <v/>
      </c>
      <c r="B3493" s="62" t="str">
        <f t="shared" si="396"/>
        <v/>
      </c>
      <c r="C3493" s="63"/>
      <c r="D3493" s="63"/>
      <c r="E3493" s="63"/>
      <c r="F3493" s="71"/>
      <c r="G3493" s="66"/>
      <c r="H3493" s="71"/>
      <c r="I3493" s="405"/>
      <c r="J3493" s="405"/>
      <c r="K3493" s="398"/>
      <c r="L3493" s="405"/>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ht="15.75" customHeight="1">
      <c r="A3494" s="327" t="str">
        <f>IF(B3494&lt;&gt;"",IF(AND(B3494='IN-TC'!$S$4,OR(TH!N3494="1111",TH!O3494="1111")),TH!D3494,""),"")</f>
        <v/>
      </c>
      <c r="B3494" s="62" t="str">
        <f t="shared" si="396"/>
        <v/>
      </c>
      <c r="C3494" s="63"/>
      <c r="D3494" s="63"/>
      <c r="E3494" s="63"/>
      <c r="F3494" s="71"/>
      <c r="G3494" s="66"/>
      <c r="H3494" s="330"/>
      <c r="I3494" s="405"/>
      <c r="J3494" s="405"/>
      <c r="K3494" s="398"/>
      <c r="L3494" s="405"/>
      <c r="M3494" s="64"/>
      <c r="N3494" s="65"/>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ht="15.75" customHeight="1">
      <c r="A3495" s="327" t="str">
        <f>IF(B3495&lt;&gt;"",IF(AND(B3495='IN-TC'!$S$4,OR(TH!N3495="1111",TH!O3495="1111")),TH!D3495,""),"")</f>
        <v/>
      </c>
      <c r="B3495" s="62" t="str">
        <f t="shared" si="396"/>
        <v/>
      </c>
      <c r="C3495" s="63"/>
      <c r="D3495" s="63"/>
      <c r="E3495" s="63"/>
      <c r="F3495" s="66"/>
      <c r="G3495" s="66"/>
      <c r="H3495" s="71"/>
      <c r="I3495" s="405"/>
      <c r="J3495" s="405"/>
      <c r="K3495" s="398"/>
      <c r="L3495" s="405"/>
      <c r="M3495" s="64"/>
      <c r="N3495" s="65"/>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ht="15.75" customHeight="1">
      <c r="A3496" s="327" t="str">
        <f>IF(B3496&lt;&gt;"",IF(AND(B3496='IN-TC'!$S$4,OR(TH!N3496="1111",TH!O3496="1111")),TH!D3496,""),"")</f>
        <v/>
      </c>
      <c r="B3496" s="62" t="str">
        <f t="shared" si="396"/>
        <v/>
      </c>
      <c r="C3496" s="63"/>
      <c r="D3496" s="63"/>
      <c r="E3496" s="63"/>
      <c r="F3496" s="66"/>
      <c r="G3496" s="66"/>
      <c r="H3496" s="71"/>
      <c r="I3496" s="405"/>
      <c r="J3496" s="405"/>
      <c r="K3496" s="398"/>
      <c r="L3496" s="405"/>
      <c r="M3496" s="64"/>
      <c r="N3496" s="65"/>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ht="15.75" customHeight="1">
      <c r="A3497" s="327" t="str">
        <f>IF(B3497&lt;&gt;"",IF(AND(B3497='IN-TC'!$S$4,OR(TH!N3497="1111",TH!O3497="1111")),TH!D3497,""),"")</f>
        <v/>
      </c>
      <c r="B3497" s="62" t="str">
        <f t="shared" si="396"/>
        <v/>
      </c>
      <c r="C3497" s="63"/>
      <c r="D3497" s="63"/>
      <c r="E3497" s="63"/>
      <c r="F3497" s="71"/>
      <c r="G3497" s="66"/>
      <c r="H3497" s="330"/>
      <c r="I3497" s="405"/>
      <c r="J3497" s="405"/>
      <c r="K3497" s="398"/>
      <c r="L3497" s="405"/>
      <c r="M3497" s="64"/>
      <c r="N3497" s="65"/>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ht="15.75" customHeight="1">
      <c r="A3498" s="327" t="str">
        <f>IF(B3498&lt;&gt;"",IF(AND(B3498='IN-TC'!$S$4,OR(TH!N3498="1111",TH!O3498="1111")),TH!D3498,""),"")</f>
        <v/>
      </c>
      <c r="B3498" s="62" t="str">
        <f t="shared" si="396"/>
        <v/>
      </c>
      <c r="C3498" s="63"/>
      <c r="D3498" s="63"/>
      <c r="E3498" s="63"/>
      <c r="F3498" s="66"/>
      <c r="G3498" s="66"/>
      <c r="H3498" s="71"/>
      <c r="I3498" s="405"/>
      <c r="J3498" s="405"/>
      <c r="K3498" s="398"/>
      <c r="L3498" s="405"/>
      <c r="M3498" s="64"/>
      <c r="N3498" s="65"/>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ht="15.75" customHeight="1">
      <c r="A3499" s="327" t="str">
        <f>IF(B3499&lt;&gt;"",IF(AND(B3499='IN-TC'!$S$4,OR(TH!N3499="1111",TH!O3499="1111")),TH!D3499,""),"")</f>
        <v/>
      </c>
      <c r="B3499" s="62" t="str">
        <f t="shared" si="396"/>
        <v/>
      </c>
      <c r="C3499" s="63"/>
      <c r="D3499" s="63"/>
      <c r="E3499" s="63"/>
      <c r="F3499" s="66"/>
      <c r="G3499" s="66"/>
      <c r="H3499" s="71"/>
      <c r="I3499" s="405"/>
      <c r="J3499" s="405"/>
      <c r="K3499" s="398"/>
      <c r="L3499" s="405"/>
      <c r="M3499" s="64"/>
      <c r="N3499" s="65"/>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ht="15.75" customHeight="1">
      <c r="A3500" s="327" t="str">
        <f>IF(B3500&lt;&gt;"",IF(AND(B3500='IN-TC'!$S$4,OR(TH!N3500="1111",TH!O3500="1111")),TH!D3500,""),"")</f>
        <v/>
      </c>
      <c r="B3500" s="62" t="str">
        <f t="shared" si="396"/>
        <v/>
      </c>
      <c r="C3500" s="63"/>
      <c r="D3500" s="63"/>
      <c r="E3500" s="63"/>
      <c r="F3500" s="71"/>
      <c r="G3500" s="66"/>
      <c r="H3500" s="330"/>
      <c r="I3500" s="405"/>
      <c r="J3500" s="405"/>
      <c r="K3500" s="398"/>
      <c r="L3500" s="405"/>
      <c r="M3500" s="64"/>
      <c r="N3500" s="65"/>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ht="15.75" customHeight="1">
      <c r="A3501" s="327" t="str">
        <f>IF(B3501&lt;&gt;"",IF(AND(B3501='IN-TC'!$S$4,OR(TH!N3501="1111",TH!O3501="1111")),TH!D3501,""),"")</f>
        <v/>
      </c>
      <c r="B3501" s="62" t="str">
        <f t="shared" si="396"/>
        <v/>
      </c>
      <c r="C3501" s="63"/>
      <c r="D3501" s="63"/>
      <c r="E3501" s="63"/>
      <c r="F3501" s="66"/>
      <c r="G3501" s="66"/>
      <c r="H3501" s="71"/>
      <c r="I3501" s="405"/>
      <c r="J3501" s="405"/>
      <c r="K3501" s="398"/>
      <c r="L3501" s="405"/>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ht="15.75" customHeight="1">
      <c r="A3502" s="327" t="str">
        <f>IF(B3502&lt;&gt;"",IF(AND(B3502='IN-TC'!$S$4,OR(TH!N3502="1111",TH!O3502="1111")),TH!D3502,""),"")</f>
        <v/>
      </c>
      <c r="B3502" s="62" t="str">
        <f t="shared" si="396"/>
        <v/>
      </c>
      <c r="C3502" s="63"/>
      <c r="D3502" s="63"/>
      <c r="E3502" s="63"/>
      <c r="F3502" s="66"/>
      <c r="G3502" s="66"/>
      <c r="H3502" s="71"/>
      <c r="I3502" s="405"/>
      <c r="J3502" s="405"/>
      <c r="K3502" s="398"/>
      <c r="L3502" s="405"/>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ht="15.75" customHeight="1">
      <c r="A3503" s="327" t="str">
        <f>IF(B3503&lt;&gt;"",IF(AND(B3503='IN-TC'!$S$4,OR(TH!N3503="1111",TH!O3503="1111")),TH!D3503,""),"")</f>
        <v/>
      </c>
      <c r="B3503" s="62" t="str">
        <f t="shared" si="396"/>
        <v/>
      </c>
      <c r="C3503" s="63"/>
      <c r="D3503" s="63"/>
      <c r="E3503" s="63"/>
      <c r="F3503" s="71"/>
      <c r="G3503" s="66"/>
      <c r="H3503" s="330"/>
      <c r="I3503" s="405"/>
      <c r="J3503" s="405"/>
      <c r="K3503" s="398"/>
      <c r="L3503" s="405"/>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ht="15.75" customHeight="1">
      <c r="A3504" s="327" t="str">
        <f>IF(B3504&lt;&gt;"",IF(AND(B3504='IN-TC'!$S$4,OR(TH!N3504="1111",TH!O3504="1111")),TH!D3504,""),"")</f>
        <v/>
      </c>
      <c r="B3504" s="62" t="str">
        <f t="shared" si="396"/>
        <v/>
      </c>
      <c r="C3504" s="63"/>
      <c r="D3504" s="63"/>
      <c r="E3504" s="63"/>
      <c r="F3504" s="66"/>
      <c r="G3504" s="66"/>
      <c r="H3504" s="71"/>
      <c r="I3504" s="405"/>
      <c r="J3504" s="405"/>
      <c r="K3504" s="398"/>
      <c r="L3504" s="405"/>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ht="15.75" customHeight="1">
      <c r="A3505" s="327" t="str">
        <f>IF(B3505&lt;&gt;"",IF(AND(B3505='IN-TC'!$S$4,OR(TH!N3505="1111",TH!O3505="1111")),TH!D3505,""),"")</f>
        <v/>
      </c>
      <c r="B3505" s="62" t="str">
        <f t="shared" si="396"/>
        <v/>
      </c>
      <c r="C3505" s="63"/>
      <c r="D3505" s="63"/>
      <c r="E3505" s="63"/>
      <c r="F3505" s="66"/>
      <c r="G3505" s="66"/>
      <c r="H3505" s="71"/>
      <c r="I3505" s="405"/>
      <c r="J3505" s="405"/>
      <c r="K3505" s="398"/>
      <c r="L3505" s="405"/>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ht="15.75" customHeight="1">
      <c r="A3506" s="327" t="str">
        <f>IF(B3506&lt;&gt;"",IF(AND(B3506='IN-TC'!$S$4,OR(TH!N3506="1111",TH!O3506="1111")),TH!D3506,""),"")</f>
        <v/>
      </c>
      <c r="B3506" s="62" t="str">
        <f t="shared" si="396"/>
        <v/>
      </c>
      <c r="C3506" s="63"/>
      <c r="D3506" s="63"/>
      <c r="E3506" s="63"/>
      <c r="F3506" s="71"/>
      <c r="G3506" s="66"/>
      <c r="H3506" s="330"/>
      <c r="I3506" s="405"/>
      <c r="J3506" s="405"/>
      <c r="K3506" s="398"/>
      <c r="L3506" s="405"/>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ht="15.75" customHeight="1">
      <c r="A3507" s="327" t="str">
        <f>IF(B3507&lt;&gt;"",IF(AND(B3507='IN-TC'!$S$4,OR(TH!N3507="1111",TH!O3507="1111")),TH!D3507,""),"")</f>
        <v/>
      </c>
      <c r="B3507" s="62" t="str">
        <f t="shared" si="396"/>
        <v/>
      </c>
      <c r="C3507" s="63"/>
      <c r="D3507" s="63"/>
      <c r="E3507" s="63"/>
      <c r="F3507" s="66"/>
      <c r="G3507" s="66"/>
      <c r="H3507" s="71"/>
      <c r="I3507" s="405"/>
      <c r="J3507" s="405"/>
      <c r="K3507" s="398"/>
      <c r="L3507" s="405"/>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ht="15.75" customHeight="1">
      <c r="A3508" s="327" t="str">
        <f>IF(B3508&lt;&gt;"",IF(AND(B3508='IN-TC'!$S$4,OR(TH!N3508="1111",TH!O3508="1111")),TH!D3508,""),"")</f>
        <v/>
      </c>
      <c r="B3508" s="62" t="str">
        <f t="shared" si="396"/>
        <v/>
      </c>
      <c r="C3508" s="63"/>
      <c r="D3508" s="63"/>
      <c r="E3508" s="63"/>
      <c r="F3508" s="66"/>
      <c r="G3508" s="66"/>
      <c r="H3508" s="71"/>
      <c r="I3508" s="405"/>
      <c r="J3508" s="405"/>
      <c r="K3508" s="398"/>
      <c r="L3508" s="405"/>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ht="15.75" customHeight="1">
      <c r="A3509" s="327" t="str">
        <f>IF(B3509&lt;&gt;"",IF(AND(B3509='IN-TC'!$S$4,OR(TH!N3509="1111",TH!O3509="1111")),TH!D3509,""),"")</f>
        <v/>
      </c>
      <c r="B3509" s="62" t="str">
        <f t="shared" si="396"/>
        <v/>
      </c>
      <c r="C3509" s="63"/>
      <c r="D3509" s="63"/>
      <c r="E3509" s="63"/>
      <c r="F3509" s="71"/>
      <c r="G3509" s="66"/>
      <c r="H3509" s="330"/>
      <c r="I3509" s="405"/>
      <c r="J3509" s="405"/>
      <c r="K3509" s="398"/>
      <c r="L3509" s="405"/>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ht="15.75" customHeight="1">
      <c r="A3510" s="327" t="str">
        <f>IF(B3510&lt;&gt;"",IF(AND(B3510='IN-TC'!$S$4,OR(TH!N3510="1111",TH!O3510="1111")),TH!D3510,""),"")</f>
        <v/>
      </c>
      <c r="B3510" s="62" t="str">
        <f t="shared" si="396"/>
        <v/>
      </c>
      <c r="C3510" s="63"/>
      <c r="D3510" s="63"/>
      <c r="E3510" s="63"/>
      <c r="F3510" s="66"/>
      <c r="G3510" s="66"/>
      <c r="H3510" s="71"/>
      <c r="I3510" s="405"/>
      <c r="J3510" s="405"/>
      <c r="K3510" s="398"/>
      <c r="L3510" s="405"/>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ht="15.75" customHeight="1">
      <c r="A3511" s="327" t="str">
        <f>IF(B3511&lt;&gt;"",IF(AND(B3511='IN-TC'!$S$4,OR(TH!N3511="1111",TH!O3511="1111")),TH!D3511,""),"")</f>
        <v/>
      </c>
      <c r="B3511" s="62" t="str">
        <f t="shared" si="396"/>
        <v/>
      </c>
      <c r="C3511" s="63"/>
      <c r="D3511" s="63"/>
      <c r="E3511" s="63"/>
      <c r="F3511" s="66"/>
      <c r="G3511" s="66"/>
      <c r="H3511" s="71"/>
      <c r="I3511" s="405"/>
      <c r="J3511" s="405"/>
      <c r="K3511" s="398"/>
      <c r="L3511" s="405"/>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ht="15.75" customHeight="1">
      <c r="A3512" s="327" t="str">
        <f>IF(B3512&lt;&gt;"",IF(AND(B3512='IN-TC'!$S$4,OR(TH!N3512="1111",TH!O3512="1111")),TH!D3512,""),"")</f>
        <v/>
      </c>
      <c r="B3512" s="62" t="str">
        <f t="shared" si="396"/>
        <v/>
      </c>
      <c r="C3512" s="63"/>
      <c r="D3512" s="63"/>
      <c r="E3512" s="63"/>
      <c r="F3512" s="71"/>
      <c r="G3512" s="66"/>
      <c r="H3512" s="330"/>
      <c r="I3512" s="405"/>
      <c r="J3512" s="405"/>
      <c r="K3512" s="398"/>
      <c r="L3512" s="405"/>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ht="15.75" customHeight="1">
      <c r="A3513" s="327" t="str">
        <f>IF(B3513&lt;&gt;"",IF(AND(B3513='IN-TC'!$S$4,OR(TH!N3513="1111",TH!O3513="1111")),TH!D3513,""),"")</f>
        <v/>
      </c>
      <c r="B3513" s="62" t="str">
        <f t="shared" si="396"/>
        <v/>
      </c>
      <c r="C3513" s="63"/>
      <c r="D3513" s="63"/>
      <c r="E3513" s="63"/>
      <c r="F3513" s="66"/>
      <c r="G3513" s="66"/>
      <c r="H3513" s="71"/>
      <c r="I3513" s="405"/>
      <c r="J3513" s="405"/>
      <c r="K3513" s="398"/>
      <c r="L3513" s="405"/>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ht="15.75" customHeight="1">
      <c r="A3514" s="327" t="str">
        <f>IF(B3514&lt;&gt;"",IF(AND(B3514='IN-TC'!$S$4,OR(TH!N3514="1111",TH!O3514="1111")),TH!D3514,""),"")</f>
        <v/>
      </c>
      <c r="B3514" s="62" t="str">
        <f t="shared" si="396"/>
        <v/>
      </c>
      <c r="C3514" s="63"/>
      <c r="D3514" s="63"/>
      <c r="E3514" s="63"/>
      <c r="F3514" s="66"/>
      <c r="G3514" s="66"/>
      <c r="H3514" s="71"/>
      <c r="I3514" s="405"/>
      <c r="J3514" s="405"/>
      <c r="K3514" s="398"/>
      <c r="L3514" s="405"/>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ht="15.75" customHeight="1">
      <c r="A3515" s="327" t="str">
        <f>IF(B3515&lt;&gt;"",IF(AND(B3515='IN-TC'!$S$4,OR(TH!N3515="1111",TH!O3515="1111")),TH!D3515,""),"")</f>
        <v/>
      </c>
      <c r="B3515" s="62" t="str">
        <f t="shared" si="396"/>
        <v/>
      </c>
      <c r="C3515" s="63"/>
      <c r="D3515" s="63"/>
      <c r="E3515" s="63"/>
      <c r="F3515" s="71"/>
      <c r="G3515" s="66"/>
      <c r="H3515" s="330"/>
      <c r="I3515" s="405"/>
      <c r="J3515" s="405"/>
      <c r="K3515" s="398"/>
      <c r="L3515" s="405"/>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ht="15.75" customHeight="1">
      <c r="A3516" s="327" t="str">
        <f>IF(B3516&lt;&gt;"",IF(AND(B3516='IN-TC'!$S$4,OR(TH!N3516="1111",TH!O3516="1111")),TH!D3516,""),"")</f>
        <v/>
      </c>
      <c r="B3516" s="62" t="str">
        <f t="shared" si="396"/>
        <v/>
      </c>
      <c r="C3516" s="63"/>
      <c r="D3516" s="63"/>
      <c r="E3516" s="63"/>
      <c r="F3516" s="66"/>
      <c r="G3516" s="66"/>
      <c r="H3516" s="71"/>
      <c r="I3516" s="405"/>
      <c r="J3516" s="405"/>
      <c r="K3516" s="398"/>
      <c r="L3516" s="405"/>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ht="15.75" customHeight="1">
      <c r="A3517" s="327" t="str">
        <f>IF(B3517&lt;&gt;"",IF(AND(B3517='IN-TC'!$S$4,OR(TH!N3517="1111",TH!O3517="1111")),TH!D3517,""),"")</f>
        <v/>
      </c>
      <c r="B3517" s="62" t="str">
        <f t="shared" si="396"/>
        <v/>
      </c>
      <c r="C3517" s="63"/>
      <c r="D3517" s="63"/>
      <c r="E3517" s="63"/>
      <c r="F3517" s="66"/>
      <c r="G3517" s="66"/>
      <c r="H3517" s="71"/>
      <c r="I3517" s="405"/>
      <c r="J3517" s="405"/>
      <c r="K3517" s="398"/>
      <c r="L3517" s="405"/>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ht="15.75" customHeight="1">
      <c r="A3518" s="327" t="str">
        <f>IF(B3518&lt;&gt;"",IF(AND(B3518='IN-TC'!$S$4,OR(TH!N3518="1111",TH!O3518="1111")),TH!D3518,""),"")</f>
        <v/>
      </c>
      <c r="B3518" s="62" t="str">
        <f t="shared" si="396"/>
        <v/>
      </c>
      <c r="C3518" s="63"/>
      <c r="D3518" s="63"/>
      <c r="E3518" s="63"/>
      <c r="F3518" s="477"/>
      <c r="G3518" s="66"/>
      <c r="H3518" s="71"/>
      <c r="I3518" s="405"/>
      <c r="J3518" s="405"/>
      <c r="K3518" s="398"/>
      <c r="L3518" s="405"/>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ht="15.75" customHeight="1">
      <c r="A3519" s="327" t="str">
        <f>IF(B3519&lt;&gt;"",IF(AND(B3519='IN-TC'!$S$4,OR(TH!N3519="1111",TH!O3519="1111")),TH!D3519,""),"")</f>
        <v/>
      </c>
      <c r="B3519" s="62" t="str">
        <f t="shared" si="396"/>
        <v/>
      </c>
      <c r="C3519" s="63"/>
      <c r="D3519" s="63"/>
      <c r="E3519" s="63"/>
      <c r="F3519" s="477"/>
      <c r="G3519" s="66"/>
      <c r="H3519" s="71"/>
      <c r="I3519" s="405"/>
      <c r="J3519" s="405"/>
      <c r="K3519" s="398"/>
      <c r="L3519" s="405"/>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ht="15.75" customHeight="1">
      <c r="A3520" s="327" t="str">
        <f>IF(B3520&lt;&gt;"",IF(AND(B3520='IN-TC'!$S$4,OR(TH!N3520="1111",TH!O3520="1111")),TH!D3520,""),"")</f>
        <v/>
      </c>
      <c r="B3520" s="62" t="str">
        <f t="shared" si="396"/>
        <v/>
      </c>
      <c r="C3520" s="63"/>
      <c r="D3520" s="63"/>
      <c r="E3520" s="63"/>
      <c r="F3520" s="71"/>
      <c r="G3520" s="816"/>
      <c r="H3520" s="71"/>
      <c r="I3520" s="405"/>
      <c r="J3520" s="405"/>
      <c r="K3520" s="398"/>
      <c r="L3520" s="405"/>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ht="15.75" customHeight="1">
      <c r="A3521" s="327" t="str">
        <f>IF(B3521&lt;&gt;"",IF(AND(B3521='IN-TC'!$S$4,OR(TH!N3521="1111",TH!O3521="1111")),TH!D3521,""),"")</f>
        <v/>
      </c>
      <c r="B3521" s="62" t="str">
        <f t="shared" si="396"/>
        <v/>
      </c>
      <c r="C3521" s="63"/>
      <c r="D3521" s="63"/>
      <c r="E3521" s="63"/>
      <c r="F3521" s="71"/>
      <c r="G3521" s="816"/>
      <c r="H3521" s="71"/>
      <c r="I3521" s="405"/>
      <c r="J3521" s="405"/>
      <c r="K3521" s="398"/>
      <c r="L3521" s="405"/>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ht="15.75" customHeight="1">
      <c r="A3522" s="327" t="str">
        <f>IF(B3522&lt;&gt;"",IF(AND(B3522='IN-TC'!$S$4,OR(TH!N3522="1111",TH!O3522="1111")),TH!D3522,""),"")</f>
        <v/>
      </c>
      <c r="B3522" s="62" t="str">
        <f t="shared" si="396"/>
        <v/>
      </c>
      <c r="C3522" s="63"/>
      <c r="D3522" s="63"/>
      <c r="E3522" s="63"/>
      <c r="F3522" s="71"/>
      <c r="G3522" s="816"/>
      <c r="H3522" s="71"/>
      <c r="I3522" s="405"/>
      <c r="J3522" s="405"/>
      <c r="K3522" s="398"/>
      <c r="L3522" s="405"/>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ht="15.75" customHeight="1">
      <c r="A3523" s="327" t="str">
        <f>IF(B3523&lt;&gt;"",IF(AND(B3523='IN-TC'!$S$4,OR(TH!N3523="1111",TH!O3523="1111")),TH!D3523,""),"")</f>
        <v/>
      </c>
      <c r="B3523" s="62" t="str">
        <f t="shared" si="396"/>
        <v/>
      </c>
      <c r="C3523" s="63"/>
      <c r="D3523" s="63"/>
      <c r="E3523" s="63"/>
      <c r="F3523" s="71"/>
      <c r="G3523" s="816"/>
      <c r="H3523" s="71"/>
      <c r="I3523" s="405"/>
      <c r="J3523" s="405"/>
      <c r="K3523" s="398"/>
      <c r="L3523" s="405"/>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ht="15.75" customHeight="1">
      <c r="A3524" s="327" t="str">
        <f>IF(B3524&lt;&gt;"",IF(AND(B3524='IN-TC'!$S$4,OR(TH!N3524="1111",TH!O3524="1111")),TH!D3524,""),"")</f>
        <v/>
      </c>
      <c r="B3524" s="62" t="str">
        <f t="shared" si="396"/>
        <v/>
      </c>
      <c r="C3524" s="63"/>
      <c r="D3524" s="63"/>
      <c r="E3524" s="63"/>
      <c r="F3524" s="477"/>
      <c r="G3524" s="66"/>
      <c r="H3524" s="71"/>
      <c r="I3524" s="405"/>
      <c r="J3524" s="405"/>
      <c r="K3524" s="398"/>
      <c r="L3524" s="405"/>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ht="15.75" customHeight="1">
      <c r="A3525" s="327" t="str">
        <f>IF(B3525&lt;&gt;"",IF(AND(B3525='IN-TC'!$S$4,OR(TH!N3525="1111",TH!O3525="1111")),TH!D3525,""),"")</f>
        <v/>
      </c>
      <c r="B3525" s="62" t="str">
        <f t="shared" si="396"/>
        <v/>
      </c>
      <c r="C3525" s="63"/>
      <c r="D3525" s="63"/>
      <c r="E3525" s="63"/>
      <c r="F3525" s="71"/>
      <c r="G3525" s="66"/>
      <c r="H3525" s="71"/>
      <c r="I3525" s="405"/>
      <c r="J3525" s="405"/>
      <c r="K3525" s="398"/>
      <c r="L3525" s="405"/>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ht="15.75" customHeight="1">
      <c r="A3526" s="327" t="str">
        <f>IF(B3526&lt;&gt;"",IF(AND(B3526='IN-TC'!$S$4,OR(TH!N3526="1111",TH!O3526="1111")),TH!D3526,""),"")</f>
        <v/>
      </c>
      <c r="B3526" s="62" t="str">
        <f t="shared" si="396"/>
        <v/>
      </c>
      <c r="C3526" s="63"/>
      <c r="D3526" s="63"/>
      <c r="E3526" s="63"/>
      <c r="F3526" s="71"/>
      <c r="G3526" s="66"/>
      <c r="H3526" s="71"/>
      <c r="I3526" s="405"/>
      <c r="J3526" s="405"/>
      <c r="K3526" s="398"/>
      <c r="L3526" s="405"/>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ht="15.75" customHeight="1">
      <c r="A3527" s="327" t="str">
        <f>IF(B3527&lt;&gt;"",IF(AND(B3527='IN-TC'!$S$4,OR(TH!N3527="1111",TH!O3527="1111")),TH!D3527,""),"")</f>
        <v/>
      </c>
      <c r="B3527" s="62" t="str">
        <f t="shared" si="396"/>
        <v/>
      </c>
      <c r="C3527" s="63"/>
      <c r="D3527" s="63"/>
      <c r="E3527" s="63"/>
      <c r="F3527" s="66"/>
      <c r="G3527" s="66"/>
      <c r="H3527" s="71"/>
      <c r="I3527" s="405"/>
      <c r="J3527" s="405"/>
      <c r="K3527" s="398"/>
      <c r="L3527" s="405"/>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ht="15.75" customHeight="1">
      <c r="A3528" s="327" t="str">
        <f>IF(B3528&lt;&gt;"",IF(AND(B3528='IN-TC'!$S$4,OR(TH!N3528="1111",TH!O3528="1111")),TH!D3528,""),"")</f>
        <v/>
      </c>
      <c r="B3528" s="62" t="str">
        <f t="shared" si="396"/>
        <v/>
      </c>
      <c r="C3528" s="63"/>
      <c r="D3528" s="63"/>
      <c r="E3528" s="63"/>
      <c r="F3528" s="66"/>
      <c r="G3528" s="66"/>
      <c r="H3528" s="71"/>
      <c r="I3528" s="405"/>
      <c r="J3528" s="405"/>
      <c r="K3528" s="398"/>
      <c r="L3528" s="405"/>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ht="15.75" customHeight="1">
      <c r="A3529" s="327" t="str">
        <f>IF(B3529&lt;&gt;"",IF(AND(B3529='IN-TC'!$S$4,OR(TH!N3529="1111",TH!O3529="1111")),TH!D3529,""),"")</f>
        <v/>
      </c>
      <c r="B3529" s="62" t="str">
        <f t="shared" si="396"/>
        <v/>
      </c>
      <c r="C3529" s="63"/>
      <c r="D3529" s="63"/>
      <c r="E3529" s="63"/>
      <c r="F3529" s="71"/>
      <c r="G3529" s="66"/>
      <c r="H3529" s="330"/>
      <c r="I3529" s="405"/>
      <c r="J3529" s="405"/>
      <c r="K3529" s="398"/>
      <c r="L3529" s="405"/>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ht="15.75" customHeight="1">
      <c r="A3530" s="327" t="str">
        <f>IF(B3530&lt;&gt;"",IF(AND(B3530='IN-TC'!$S$4,OR(TH!N3530="1111",TH!O3530="1111")),TH!D3530,""),"")</f>
        <v/>
      </c>
      <c r="B3530" s="62" t="str">
        <f t="shared" si="396"/>
        <v/>
      </c>
      <c r="C3530" s="63"/>
      <c r="D3530" s="63"/>
      <c r="E3530" s="63"/>
      <c r="F3530" s="71"/>
      <c r="G3530" s="66"/>
      <c r="H3530" s="71"/>
      <c r="I3530" s="405"/>
      <c r="J3530" s="405"/>
      <c r="K3530" s="398"/>
      <c r="L3530" s="405"/>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ht="15.75" customHeight="1">
      <c r="A3531" s="327" t="str">
        <f>IF(B3531&lt;&gt;"",IF(AND(B3531='IN-TC'!$S$4,OR(TH!N3531="1111",TH!O3531="1111")),TH!D3531,""),"")</f>
        <v/>
      </c>
      <c r="B3531" s="62" t="str">
        <f t="shared" si="396"/>
        <v/>
      </c>
      <c r="C3531" s="63"/>
      <c r="D3531" s="63"/>
      <c r="E3531" s="63"/>
      <c r="F3531" s="66"/>
      <c r="G3531" s="66"/>
      <c r="H3531" s="71"/>
      <c r="I3531" s="405"/>
      <c r="J3531" s="405"/>
      <c r="K3531" s="398"/>
      <c r="L3531" s="405"/>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ht="15.75" customHeight="1">
      <c r="A3532" s="327" t="str">
        <f>IF(B3532&lt;&gt;"",IF(AND(B3532='IN-TC'!$S$4,OR(TH!N3532="1111",TH!O3532="1111")),TH!D3532,""),"")</f>
        <v/>
      </c>
      <c r="B3532" s="62" t="str">
        <f t="shared" si="396"/>
        <v/>
      </c>
      <c r="C3532" s="63"/>
      <c r="D3532" s="63"/>
      <c r="E3532" s="63"/>
      <c r="F3532" s="71"/>
      <c r="G3532" s="66"/>
      <c r="H3532" s="330"/>
      <c r="I3532" s="405"/>
      <c r="J3532" s="405"/>
      <c r="K3532" s="398"/>
      <c r="L3532" s="405"/>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ht="15.75" customHeight="1">
      <c r="A3533" s="327" t="str">
        <f>IF(B3533&lt;&gt;"",IF(AND(B3533='IN-TC'!$S$4,OR(TH!N3533="1111",TH!O3533="1111")),TH!D3533,""),"")</f>
        <v/>
      </c>
      <c r="B3533" s="62" t="str">
        <f t="shared" si="396"/>
        <v/>
      </c>
      <c r="C3533" s="63"/>
      <c r="D3533" s="63"/>
      <c r="E3533" s="63"/>
      <c r="F3533" s="71"/>
      <c r="G3533" s="66"/>
      <c r="H3533" s="330"/>
      <c r="I3533" s="405"/>
      <c r="J3533" s="405"/>
      <c r="K3533" s="398"/>
      <c r="L3533" s="405"/>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ht="15.75" customHeight="1">
      <c r="A3534" s="327" t="str">
        <f>IF(B3534&lt;&gt;"",IF(AND(B3534='IN-TC'!$S$4,OR(TH!N3534="1111",TH!O3534="1111")),TH!D3534,""),"")</f>
        <v/>
      </c>
      <c r="B3534" s="62" t="str">
        <f t="shared" si="396"/>
        <v/>
      </c>
      <c r="C3534" s="63"/>
      <c r="D3534" s="63"/>
      <c r="E3534" s="63"/>
      <c r="F3534" s="71"/>
      <c r="G3534" s="66"/>
      <c r="H3534" s="330"/>
      <c r="I3534" s="405"/>
      <c r="J3534" s="405"/>
      <c r="K3534" s="398"/>
      <c r="L3534" s="405"/>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ht="15.75" customHeight="1">
      <c r="A3535" s="327" t="str">
        <f>IF(B3535&lt;&gt;"",IF(AND(B3535='IN-TC'!$S$4,OR(TH!N3535="1111",TH!O3535="1111")),TH!D3535,""),"")</f>
        <v/>
      </c>
      <c r="B3535" s="62" t="str">
        <f t="shared" si="396"/>
        <v/>
      </c>
      <c r="C3535" s="63"/>
      <c r="D3535" s="63"/>
      <c r="E3535" s="63"/>
      <c r="F3535" s="71"/>
      <c r="G3535" s="66"/>
      <c r="H3535" s="330"/>
      <c r="I3535" s="405"/>
      <c r="J3535" s="405"/>
      <c r="K3535" s="398"/>
      <c r="L3535" s="405"/>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ht="15.75" customHeight="1">
      <c r="A3536" s="327" t="str">
        <f>IF(B3536&lt;&gt;"",IF(AND(B3536='IN-TC'!$S$4,OR(TH!N3536="1111",TH!O3536="1111")),TH!D3536,""),"")</f>
        <v/>
      </c>
      <c r="B3536" s="62" t="str">
        <f t="shared" si="396"/>
        <v/>
      </c>
      <c r="C3536" s="63"/>
      <c r="D3536" s="63"/>
      <c r="E3536" s="63"/>
      <c r="F3536" s="71"/>
      <c r="G3536" s="66"/>
      <c r="H3536" s="330"/>
      <c r="I3536" s="405"/>
      <c r="J3536" s="405"/>
      <c r="K3536" s="398"/>
      <c r="L3536" s="405"/>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ht="15.75" customHeight="1">
      <c r="A3537" s="327" t="str">
        <f>IF(B3537&lt;&gt;"",IF(AND(B3537='IN-TC'!$S$4,OR(TH!N3537="1111",TH!O3537="1111")),TH!D3537,""),"")</f>
        <v/>
      </c>
      <c r="B3537" s="62" t="str">
        <f t="shared" si="396"/>
        <v/>
      </c>
      <c r="C3537" s="63"/>
      <c r="D3537" s="63"/>
      <c r="E3537" s="63"/>
      <c r="F3537" s="71"/>
      <c r="G3537" s="66"/>
      <c r="H3537" s="330"/>
      <c r="I3537" s="405"/>
      <c r="J3537" s="405"/>
      <c r="K3537" s="398"/>
      <c r="L3537" s="405"/>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ht="15.75" customHeight="1">
      <c r="A3538" s="327" t="str">
        <f>IF(B3538&lt;&gt;"",IF(AND(B3538='IN-TC'!$S$4,OR(TH!N3538="1111",TH!O3538="1111")),TH!D3538,""),"")</f>
        <v/>
      </c>
      <c r="B3538" s="62" t="str">
        <f t="shared" si="396"/>
        <v/>
      </c>
      <c r="C3538" s="63"/>
      <c r="D3538" s="63"/>
      <c r="E3538" s="63"/>
      <c r="F3538" s="71"/>
      <c r="G3538" s="66"/>
      <c r="H3538" s="330"/>
      <c r="I3538" s="405"/>
      <c r="J3538" s="405"/>
      <c r="K3538" s="398"/>
      <c r="L3538" s="405"/>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ht="15.75" customHeight="1">
      <c r="A3539" s="327" t="str">
        <f>IF(B3539&lt;&gt;"",IF(AND(B3539='IN-TC'!$S$4,OR(TH!N3539="1111",TH!O3539="1111")),TH!D3539,""),"")</f>
        <v/>
      </c>
      <c r="B3539" s="62" t="str">
        <f t="shared" si="396"/>
        <v/>
      </c>
      <c r="C3539" s="63"/>
      <c r="D3539" s="63"/>
      <c r="E3539" s="63"/>
      <c r="F3539" s="71"/>
      <c r="G3539" s="66"/>
      <c r="H3539" s="330"/>
      <c r="I3539" s="405"/>
      <c r="J3539" s="405"/>
      <c r="K3539" s="398"/>
      <c r="L3539" s="405"/>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ht="15.75" customHeight="1">
      <c r="A3540" s="327" t="str">
        <f>IF(B3540&lt;&gt;"",IF(AND(B3540='IN-TC'!$S$4,OR(TH!N3540="1111",TH!O3540="1111")),TH!D3540,""),"")</f>
        <v/>
      </c>
      <c r="B3540" s="62" t="str">
        <f t="shared" si="396"/>
        <v/>
      </c>
      <c r="C3540" s="63"/>
      <c r="D3540" s="63"/>
      <c r="E3540" s="63"/>
      <c r="F3540" s="71"/>
      <c r="G3540" s="816"/>
      <c r="H3540" s="71"/>
      <c r="I3540" s="405"/>
      <c r="J3540" s="405"/>
      <c r="K3540" s="398"/>
      <c r="L3540" s="405"/>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ht="15.75" customHeight="1">
      <c r="A3541" s="327" t="str">
        <f>IF(B3541&lt;&gt;"",IF(AND(B3541='IN-TC'!$S$4,OR(TH!N3541="1111",TH!O3541="1111")),TH!D3541,""),"")</f>
        <v/>
      </c>
      <c r="B3541" s="62" t="str">
        <f t="shared" si="396"/>
        <v/>
      </c>
      <c r="C3541" s="63"/>
      <c r="D3541" s="63"/>
      <c r="E3541" s="63"/>
      <c r="F3541" s="71"/>
      <c r="G3541" s="816"/>
      <c r="H3541" s="71"/>
      <c r="I3541" s="405"/>
      <c r="J3541" s="405"/>
      <c r="K3541" s="398"/>
      <c r="L3541" s="405"/>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ht="15.75" customHeight="1">
      <c r="A3542" s="327" t="str">
        <f>IF(B3542&lt;&gt;"",IF(AND(B3542='IN-TC'!$S$4,OR(TH!N3542="1111",TH!O3542="1111")),TH!D3542,""),"")</f>
        <v/>
      </c>
      <c r="B3542" s="62" t="str">
        <f t="shared" ref="B3542:B3605" si="397">IF(C3542&lt;&gt;"",MONTH(C3542),"")</f>
        <v/>
      </c>
      <c r="C3542" s="63"/>
      <c r="D3542" s="63"/>
      <c r="E3542" s="63"/>
      <c r="F3542" s="71"/>
      <c r="G3542" s="816"/>
      <c r="H3542" s="71"/>
      <c r="I3542" s="405"/>
      <c r="J3542" s="405"/>
      <c r="K3542" s="398"/>
      <c r="L3542" s="405"/>
      <c r="M3542" s="971"/>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ht="15.75" customHeight="1">
      <c r="A3543" s="327" t="str">
        <f>IF(B3543&lt;&gt;"",IF(AND(B3543='IN-TC'!$S$4,OR(TH!N3543="1111",TH!O3543="1111")),TH!D3543,""),"")</f>
        <v/>
      </c>
      <c r="B3543" s="62" t="str">
        <f t="shared" si="397"/>
        <v/>
      </c>
      <c r="C3543" s="63"/>
      <c r="D3543" s="63"/>
      <c r="E3543" s="63"/>
      <c r="F3543" s="71"/>
      <c r="G3543" s="816"/>
      <c r="H3543" s="71"/>
      <c r="I3543" s="405"/>
      <c r="J3543" s="405"/>
      <c r="K3543" s="398"/>
      <c r="L3543" s="405"/>
      <c r="M3543" s="971"/>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ht="15.75" customHeight="1">
      <c r="A3544" s="327" t="str">
        <f>IF(B3544&lt;&gt;"",IF(AND(B3544='IN-TC'!$S$4,OR(TH!N3544="1111",TH!O3544="1111")),TH!D3544,""),"")</f>
        <v/>
      </c>
      <c r="B3544" s="62" t="str">
        <f t="shared" si="397"/>
        <v/>
      </c>
      <c r="C3544" s="63"/>
      <c r="D3544" s="63"/>
      <c r="E3544" s="63"/>
      <c r="F3544" s="71"/>
      <c r="G3544" s="816"/>
      <c r="H3544" s="71"/>
      <c r="I3544" s="405"/>
      <c r="J3544" s="405"/>
      <c r="K3544" s="398"/>
      <c r="L3544" s="405"/>
      <c r="M3544" s="971"/>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ht="15.75" customHeight="1">
      <c r="A3545" s="327" t="str">
        <f>IF(B3545&lt;&gt;"",IF(AND(B3545='IN-TC'!$S$4,OR(TH!N3545="1111",TH!O3545="1111")),TH!D3545,""),"")</f>
        <v/>
      </c>
      <c r="B3545" s="62" t="str">
        <f t="shared" si="397"/>
        <v/>
      </c>
      <c r="C3545" s="63"/>
      <c r="D3545" s="63"/>
      <c r="E3545" s="63"/>
      <c r="F3545" s="71"/>
      <c r="G3545" s="816"/>
      <c r="H3545" s="71"/>
      <c r="I3545" s="405"/>
      <c r="J3545" s="405"/>
      <c r="K3545" s="398"/>
      <c r="L3545" s="405"/>
      <c r="M3545" s="971"/>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ht="15.75" customHeight="1">
      <c r="A3546" s="327" t="str">
        <f>IF(B3546&lt;&gt;"",IF(AND(B3546='IN-TC'!$S$4,OR(TH!N3546="1111",TH!O3546="1111")),TH!D3546,""),"")</f>
        <v/>
      </c>
      <c r="B3546" s="62" t="str">
        <f t="shared" si="397"/>
        <v/>
      </c>
      <c r="C3546" s="63"/>
      <c r="D3546" s="63"/>
      <c r="E3546" s="63"/>
      <c r="F3546" s="71"/>
      <c r="G3546" s="816"/>
      <c r="H3546" s="71"/>
      <c r="I3546" s="405"/>
      <c r="J3546" s="405"/>
      <c r="K3546" s="398"/>
      <c r="L3546" s="405"/>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ht="15.75" customHeight="1">
      <c r="A3547" s="327" t="str">
        <f>IF(B3547&lt;&gt;"",IF(AND(B3547='IN-TC'!$S$4,OR(TH!N3547="1111",TH!O3547="1111")),TH!D3547,""),"")</f>
        <v/>
      </c>
      <c r="B3547" s="62" t="str">
        <f t="shared" si="397"/>
        <v/>
      </c>
      <c r="C3547" s="63"/>
      <c r="D3547" s="63"/>
      <c r="E3547" s="63"/>
      <c r="F3547" s="71"/>
      <c r="G3547" s="816"/>
      <c r="H3547" s="71"/>
      <c r="I3547" s="405"/>
      <c r="J3547" s="405"/>
      <c r="K3547" s="398"/>
      <c r="L3547" s="405"/>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ht="15.75" customHeight="1">
      <c r="A3548" s="327" t="str">
        <f>IF(B3548&lt;&gt;"",IF(AND(B3548='IN-TC'!$S$4,OR(TH!N3548="1111",TH!O3548="1111")),TH!D3548,""),"")</f>
        <v/>
      </c>
      <c r="B3548" s="62" t="str">
        <f t="shared" si="397"/>
        <v/>
      </c>
      <c r="C3548" s="63"/>
      <c r="D3548" s="63"/>
      <c r="E3548" s="63"/>
      <c r="F3548" s="477"/>
      <c r="G3548" s="66"/>
      <c r="H3548" s="71"/>
      <c r="I3548" s="405"/>
      <c r="J3548" s="405"/>
      <c r="K3548" s="398"/>
      <c r="L3548" s="405"/>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ht="15.75" customHeight="1">
      <c r="A3549" s="327" t="str">
        <f>IF(B3549&lt;&gt;"",IF(AND(B3549='IN-TC'!$S$4,OR(TH!N3549="1111",TH!O3549="1111")),TH!D3549,""),"")</f>
        <v/>
      </c>
      <c r="B3549" s="62" t="str">
        <f t="shared" si="397"/>
        <v/>
      </c>
      <c r="C3549" s="63"/>
      <c r="D3549" s="63"/>
      <c r="E3549" s="63"/>
      <c r="F3549" s="71"/>
      <c r="G3549" s="66"/>
      <c r="H3549" s="330"/>
      <c r="I3549" s="405"/>
      <c r="J3549" s="405"/>
      <c r="K3549" s="398"/>
      <c r="L3549" s="405"/>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ht="15.75" customHeight="1">
      <c r="A3550" s="327" t="str">
        <f>IF(B3550&lt;&gt;"",IF(AND(B3550='IN-TC'!$S$4,OR(TH!N3550="1111",TH!O3550="1111")),TH!D3550,""),"")</f>
        <v/>
      </c>
      <c r="B3550" s="62" t="str">
        <f t="shared" si="397"/>
        <v/>
      </c>
      <c r="C3550" s="63"/>
      <c r="D3550" s="63"/>
      <c r="E3550" s="63"/>
      <c r="F3550" s="71"/>
      <c r="G3550" s="66"/>
      <c r="H3550" s="330"/>
      <c r="I3550" s="405"/>
      <c r="J3550" s="405"/>
      <c r="K3550" s="398"/>
      <c r="L3550" s="405"/>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ht="15.75" customHeight="1">
      <c r="A3551" s="327" t="str">
        <f>IF(B3551&lt;&gt;"",IF(AND(B3551='IN-TC'!$S$4,OR(TH!N3551="1111",TH!O3551="1111")),TH!D3551,""),"")</f>
        <v/>
      </c>
      <c r="B3551" s="62" t="str">
        <f t="shared" si="397"/>
        <v/>
      </c>
      <c r="C3551" s="63"/>
      <c r="D3551" s="63"/>
      <c r="E3551" s="63"/>
      <c r="F3551" s="71"/>
      <c r="G3551" s="66"/>
      <c r="H3551" s="330"/>
      <c r="I3551" s="405"/>
      <c r="J3551" s="405"/>
      <c r="K3551" s="398"/>
      <c r="L3551" s="405"/>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ht="15.75" customHeight="1">
      <c r="A3552" s="327" t="str">
        <f>IF(B3552&lt;&gt;"",IF(AND(B3552='IN-TC'!$S$4,OR(TH!N3552="1111",TH!O3552="1111")),TH!D3552,""),"")</f>
        <v/>
      </c>
      <c r="B3552" s="62" t="str">
        <f t="shared" si="397"/>
        <v/>
      </c>
      <c r="C3552" s="63"/>
      <c r="D3552" s="63"/>
      <c r="E3552" s="63"/>
      <c r="F3552" s="71"/>
      <c r="G3552" s="66"/>
      <c r="H3552" s="330"/>
      <c r="I3552" s="405"/>
      <c r="J3552" s="405"/>
      <c r="K3552" s="398"/>
      <c r="L3552" s="405"/>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ht="15.75" customHeight="1">
      <c r="A3553" s="327" t="str">
        <f>IF(B3553&lt;&gt;"",IF(AND(B3553='IN-TC'!$S$4,OR(TH!N3553="1111",TH!O3553="1111")),TH!D3553,""),"")</f>
        <v/>
      </c>
      <c r="B3553" s="62" t="str">
        <f t="shared" si="397"/>
        <v/>
      </c>
      <c r="C3553" s="63"/>
      <c r="D3553" s="63"/>
      <c r="E3553" s="63"/>
      <c r="F3553" s="71"/>
      <c r="G3553" s="66"/>
      <c r="H3553" s="330"/>
      <c r="I3553" s="405"/>
      <c r="J3553" s="405"/>
      <c r="K3553" s="398"/>
      <c r="L3553" s="405"/>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ht="15.75" customHeight="1">
      <c r="A3554" s="327" t="str">
        <f>IF(B3554&lt;&gt;"",IF(AND(B3554='IN-TC'!$S$4,OR(TH!N3554="1111",TH!O3554="1111")),TH!D3554,""),"")</f>
        <v/>
      </c>
      <c r="B3554" s="62" t="str">
        <f t="shared" si="397"/>
        <v/>
      </c>
      <c r="C3554" s="63"/>
      <c r="D3554" s="63"/>
      <c r="E3554" s="63"/>
      <c r="F3554" s="71"/>
      <c r="G3554" s="66"/>
      <c r="H3554" s="330"/>
      <c r="I3554" s="405"/>
      <c r="J3554" s="405"/>
      <c r="K3554" s="398"/>
      <c r="L3554" s="405"/>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ht="15.75" customHeight="1">
      <c r="A3555" s="327" t="str">
        <f>IF(B3555&lt;&gt;"",IF(AND(B3555='IN-TC'!$S$4,OR(TH!N3555="1111",TH!O3555="1111")),TH!D3555,""),"")</f>
        <v/>
      </c>
      <c r="B3555" s="62" t="str">
        <f t="shared" si="397"/>
        <v/>
      </c>
      <c r="C3555" s="63"/>
      <c r="D3555" s="63"/>
      <c r="E3555" s="63"/>
      <c r="F3555" s="71"/>
      <c r="G3555" s="66"/>
      <c r="H3555" s="330"/>
      <c r="I3555" s="405"/>
      <c r="J3555" s="405"/>
      <c r="K3555" s="398"/>
      <c r="L3555" s="405"/>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ht="15.75" customHeight="1">
      <c r="A3556" s="327" t="str">
        <f>IF(B3556&lt;&gt;"",IF(AND(B3556='IN-TC'!$S$4,OR(TH!N3556="1111",TH!O3556="1111")),TH!D3556,""),"")</f>
        <v/>
      </c>
      <c r="B3556" s="62" t="str">
        <f t="shared" si="397"/>
        <v/>
      </c>
      <c r="C3556" s="63"/>
      <c r="D3556" s="63"/>
      <c r="E3556" s="63"/>
      <c r="F3556" s="71"/>
      <c r="G3556" s="66"/>
      <c r="H3556" s="330"/>
      <c r="I3556" s="405"/>
      <c r="J3556" s="405"/>
      <c r="K3556" s="398"/>
      <c r="L3556" s="405"/>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ht="15.75" customHeight="1">
      <c r="A3557" s="327" t="str">
        <f>IF(B3557&lt;&gt;"",IF(AND(B3557='IN-TC'!$S$4,OR(TH!N3557="1111",TH!O3557="1111")),TH!D3557,""),"")</f>
        <v/>
      </c>
      <c r="B3557" s="62" t="str">
        <f t="shared" si="397"/>
        <v/>
      </c>
      <c r="C3557" s="63"/>
      <c r="D3557" s="63"/>
      <c r="E3557" s="63"/>
      <c r="F3557" s="71"/>
      <c r="G3557" s="66"/>
      <c r="H3557" s="330"/>
      <c r="I3557" s="405"/>
      <c r="J3557" s="405"/>
      <c r="K3557" s="398"/>
      <c r="L3557" s="405"/>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ht="15.75" customHeight="1">
      <c r="A3558" s="327" t="str">
        <f>IF(B3558&lt;&gt;"",IF(AND(B3558='IN-TC'!$S$4,OR(TH!N3558="1111",TH!O3558="1111")),TH!D3558,""),"")</f>
        <v/>
      </c>
      <c r="B3558" s="62" t="str">
        <f t="shared" si="397"/>
        <v/>
      </c>
      <c r="C3558" s="63"/>
      <c r="D3558" s="63"/>
      <c r="E3558" s="63"/>
      <c r="F3558" s="71"/>
      <c r="G3558" s="66"/>
      <c r="H3558" s="71"/>
      <c r="I3558" s="405"/>
      <c r="J3558" s="405"/>
      <c r="K3558" s="398"/>
      <c r="L3558" s="405"/>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ht="15.75" customHeight="1">
      <c r="A3559" s="327" t="str">
        <f>IF(B3559&lt;&gt;"",IF(AND(B3559='IN-TC'!$S$4,OR(TH!N3559="1111",TH!O3559="1111")),TH!D3559,""),"")</f>
        <v/>
      </c>
      <c r="B3559" s="62" t="str">
        <f t="shared" si="397"/>
        <v/>
      </c>
      <c r="C3559" s="63"/>
      <c r="D3559" s="63"/>
      <c r="E3559" s="63"/>
      <c r="F3559" s="71"/>
      <c r="G3559" s="66"/>
      <c r="H3559" s="71"/>
      <c r="I3559" s="405"/>
      <c r="J3559" s="405"/>
      <c r="K3559" s="398"/>
      <c r="L3559" s="405"/>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ht="15.75" customHeight="1">
      <c r="A3560" s="327" t="str">
        <f>IF(B3560&lt;&gt;"",IF(AND(B3560='IN-TC'!$S$4,OR(TH!N3560="1111",TH!O3560="1111")),TH!D3560,""),"")</f>
        <v/>
      </c>
      <c r="B3560" s="62" t="str">
        <f t="shared" si="397"/>
        <v/>
      </c>
      <c r="C3560" s="63"/>
      <c r="D3560" s="63"/>
      <c r="E3560" s="63"/>
      <c r="F3560" s="71"/>
      <c r="G3560" s="66"/>
      <c r="H3560" s="71"/>
      <c r="I3560" s="405"/>
      <c r="J3560" s="405"/>
      <c r="K3560" s="398"/>
      <c r="L3560" s="405"/>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ht="15.75" customHeight="1">
      <c r="A3561" s="327" t="str">
        <f>IF(B3561&lt;&gt;"",IF(AND(B3561='IN-TC'!$S$4,OR(TH!N3561="1111",TH!O3561="1111")),TH!D3561,""),"")</f>
        <v/>
      </c>
      <c r="B3561" s="62" t="str">
        <f t="shared" si="397"/>
        <v/>
      </c>
      <c r="C3561" s="63"/>
      <c r="D3561" s="63"/>
      <c r="E3561" s="63"/>
      <c r="F3561" s="71"/>
      <c r="G3561" s="66"/>
      <c r="H3561" s="71"/>
      <c r="I3561" s="405"/>
      <c r="J3561" s="405"/>
      <c r="K3561" s="398"/>
      <c r="L3561" s="405"/>
      <c r="M3561" s="64"/>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ht="15.75" customHeight="1">
      <c r="A3562" s="327" t="str">
        <f>IF(B3562&lt;&gt;"",IF(AND(B3562='IN-TC'!$S$4,OR(TH!N3562="1111",TH!O3562="1111")),TH!D3562,""),"")</f>
        <v/>
      </c>
      <c r="B3562" s="62" t="str">
        <f t="shared" si="397"/>
        <v/>
      </c>
      <c r="C3562" s="63"/>
      <c r="D3562" s="63"/>
      <c r="E3562" s="63"/>
      <c r="F3562" s="71"/>
      <c r="G3562" s="66"/>
      <c r="H3562" s="330"/>
      <c r="I3562" s="405"/>
      <c r="J3562" s="405"/>
      <c r="K3562" s="398"/>
      <c r="L3562" s="405"/>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ht="15.75" customHeight="1">
      <c r="A3563" s="327" t="str">
        <f>IF(B3563&lt;&gt;"",IF(AND(B3563='IN-TC'!$S$4,OR(TH!N3563="1111",TH!O3563="1111")),TH!D3563,""),"")</f>
        <v/>
      </c>
      <c r="B3563" s="62" t="str">
        <f t="shared" si="397"/>
        <v/>
      </c>
      <c r="C3563" s="63"/>
      <c r="D3563" s="63"/>
      <c r="E3563" s="63"/>
      <c r="F3563" s="71"/>
      <c r="G3563" s="66"/>
      <c r="H3563" s="71"/>
      <c r="I3563" s="405"/>
      <c r="J3563" s="405"/>
      <c r="K3563" s="398"/>
      <c r="L3563" s="405"/>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ht="15.75" customHeight="1">
      <c r="A3564" s="327" t="str">
        <f>IF(B3564&lt;&gt;"",IF(AND(B3564='IN-TC'!$S$4,OR(TH!N3564="1111",TH!O3564="1111")),TH!D3564,""),"")</f>
        <v/>
      </c>
      <c r="B3564" s="62" t="str">
        <f t="shared" si="397"/>
        <v/>
      </c>
      <c r="C3564" s="63"/>
      <c r="D3564" s="63"/>
      <c r="E3564" s="63"/>
      <c r="F3564" s="477"/>
      <c r="G3564" s="66"/>
      <c r="H3564" s="71"/>
      <c r="I3564" s="405"/>
      <c r="J3564" s="405"/>
      <c r="K3564" s="398"/>
      <c r="L3564" s="405"/>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ht="15.75" customHeight="1">
      <c r="A3565" s="327" t="str">
        <f>IF(B3565&lt;&gt;"",IF(AND(B3565='IN-TC'!$S$4,OR(TH!N3565="1111",TH!O3565="1111")),TH!D3565,""),"")</f>
        <v/>
      </c>
      <c r="B3565" s="62" t="str">
        <f t="shared" si="397"/>
        <v/>
      </c>
      <c r="C3565" s="63"/>
      <c r="D3565" s="63"/>
      <c r="E3565" s="63"/>
      <c r="F3565" s="71"/>
      <c r="G3565" s="66"/>
      <c r="H3565" s="330"/>
      <c r="I3565" s="405"/>
      <c r="J3565" s="405"/>
      <c r="K3565" s="398"/>
      <c r="L3565" s="405"/>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ht="15.75" customHeight="1">
      <c r="A3566" s="327" t="str">
        <f>IF(B3566&lt;&gt;"",IF(AND(B3566='IN-TC'!$S$4,OR(TH!N3566="1111",TH!O3566="1111")),TH!D3566,""),"")</f>
        <v/>
      </c>
      <c r="B3566" s="62" t="str">
        <f t="shared" si="397"/>
        <v/>
      </c>
      <c r="C3566" s="63"/>
      <c r="D3566" s="63"/>
      <c r="E3566" s="63"/>
      <c r="F3566" s="71"/>
      <c r="G3566" s="66"/>
      <c r="H3566" s="330"/>
      <c r="I3566" s="405"/>
      <c r="J3566" s="405"/>
      <c r="K3566" s="398"/>
      <c r="L3566" s="405"/>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ht="15.75" customHeight="1">
      <c r="A3567" s="327" t="str">
        <f>IF(B3567&lt;&gt;"",IF(AND(B3567='IN-TC'!$S$4,OR(TH!N3567="1111",TH!O3567="1111")),TH!D3567,""),"")</f>
        <v/>
      </c>
      <c r="B3567" s="62" t="str">
        <f t="shared" si="397"/>
        <v/>
      </c>
      <c r="C3567" s="63"/>
      <c r="D3567" s="63"/>
      <c r="E3567" s="63"/>
      <c r="F3567" s="71"/>
      <c r="G3567" s="66"/>
      <c r="H3567" s="330"/>
      <c r="I3567" s="405"/>
      <c r="J3567" s="405"/>
      <c r="K3567" s="398"/>
      <c r="L3567" s="405"/>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ht="15.75" customHeight="1">
      <c r="A3568" s="327" t="str">
        <f>IF(B3568&lt;&gt;"",IF(AND(B3568='IN-TC'!$S$4,OR(TH!N3568="1111",TH!O3568="1111")),TH!D3568,""),"")</f>
        <v/>
      </c>
      <c r="B3568" s="62" t="str">
        <f t="shared" si="397"/>
        <v/>
      </c>
      <c r="C3568" s="63"/>
      <c r="D3568" s="63"/>
      <c r="E3568" s="63"/>
      <c r="F3568" s="71"/>
      <c r="G3568" s="66"/>
      <c r="H3568" s="330"/>
      <c r="I3568" s="405"/>
      <c r="J3568" s="405"/>
      <c r="K3568" s="398"/>
      <c r="L3568" s="405"/>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ht="15.75" customHeight="1">
      <c r="A3569" s="327" t="str">
        <f>IF(B3569&lt;&gt;"",IF(AND(B3569='IN-TC'!$S$4,OR(TH!N3569="1111",TH!O3569="1111")),TH!D3569,""),"")</f>
        <v/>
      </c>
      <c r="B3569" s="62" t="str">
        <f t="shared" si="397"/>
        <v/>
      </c>
      <c r="C3569" s="63"/>
      <c r="D3569" s="63"/>
      <c r="E3569" s="63"/>
      <c r="F3569" s="71"/>
      <c r="G3569" s="66"/>
      <c r="H3569" s="330"/>
      <c r="I3569" s="405"/>
      <c r="J3569" s="405"/>
      <c r="K3569" s="398"/>
      <c r="L3569" s="405"/>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ht="15.75" customHeight="1">
      <c r="A3570" s="327" t="str">
        <f>IF(B3570&lt;&gt;"",IF(AND(B3570='IN-TC'!$S$4,OR(TH!N3570="1111",TH!O3570="1111")),TH!D3570,""),"")</f>
        <v/>
      </c>
      <c r="B3570" s="62" t="str">
        <f t="shared" si="397"/>
        <v/>
      </c>
      <c r="C3570" s="63"/>
      <c r="D3570" s="63"/>
      <c r="E3570" s="63"/>
      <c r="F3570" s="71"/>
      <c r="G3570" s="66"/>
      <c r="H3570" s="330"/>
      <c r="I3570" s="405"/>
      <c r="J3570" s="405"/>
      <c r="K3570" s="398"/>
      <c r="L3570" s="405"/>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ht="15.75" customHeight="1">
      <c r="A3571" s="327" t="str">
        <f>IF(B3571&lt;&gt;"",IF(AND(B3571='IN-TC'!$S$4,OR(TH!N3571="1111",TH!O3571="1111")),TH!D3571,""),"")</f>
        <v/>
      </c>
      <c r="B3571" s="62" t="str">
        <f t="shared" si="397"/>
        <v/>
      </c>
      <c r="C3571" s="63"/>
      <c r="D3571" s="63"/>
      <c r="E3571" s="63"/>
      <c r="F3571" s="71"/>
      <c r="G3571" s="66"/>
      <c r="H3571" s="71"/>
      <c r="I3571" s="405"/>
      <c r="J3571" s="405"/>
      <c r="K3571" s="398"/>
      <c r="L3571" s="405"/>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ht="15.75" customHeight="1">
      <c r="A3572" s="327" t="str">
        <f>IF(B3572&lt;&gt;"",IF(AND(B3572='IN-TC'!$S$4,OR(TH!N3572="1111",TH!O3572="1111")),TH!D3572,""),"")</f>
        <v/>
      </c>
      <c r="B3572" s="62" t="str">
        <f t="shared" si="397"/>
        <v/>
      </c>
      <c r="C3572" s="63"/>
      <c r="D3572" s="63"/>
      <c r="E3572" s="63"/>
      <c r="F3572" s="71"/>
      <c r="G3572" s="66"/>
      <c r="H3572" s="71"/>
      <c r="I3572" s="405"/>
      <c r="J3572" s="405"/>
      <c r="K3572" s="398"/>
      <c r="L3572" s="405"/>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ht="15.75" customHeight="1">
      <c r="A3573" s="327" t="str">
        <f>IF(B3573&lt;&gt;"",IF(AND(B3573='IN-TC'!$S$4,OR(TH!N3573="1111",TH!O3573="1111")),TH!D3573,""),"")</f>
        <v/>
      </c>
      <c r="B3573" s="62" t="str">
        <f t="shared" si="397"/>
        <v/>
      </c>
      <c r="C3573" s="63"/>
      <c r="D3573" s="63"/>
      <c r="E3573" s="63"/>
      <c r="F3573" s="71"/>
      <c r="G3573" s="66"/>
      <c r="H3573" s="71"/>
      <c r="I3573" s="405"/>
      <c r="J3573" s="405"/>
      <c r="K3573" s="398"/>
      <c r="L3573" s="405"/>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ht="15.75" customHeight="1">
      <c r="A3574" s="327" t="str">
        <f>IF(B3574&lt;&gt;"",IF(AND(B3574='IN-TC'!$S$4,OR(TH!N3574="1111",TH!O3574="1111")),TH!D3574,""),"")</f>
        <v/>
      </c>
      <c r="B3574" s="62" t="str">
        <f t="shared" si="397"/>
        <v/>
      </c>
      <c r="C3574" s="63"/>
      <c r="D3574" s="63"/>
      <c r="E3574" s="63"/>
      <c r="F3574" s="71"/>
      <c r="G3574" s="66"/>
      <c r="H3574" s="71"/>
      <c r="I3574" s="405"/>
      <c r="J3574" s="405"/>
      <c r="K3574" s="398"/>
      <c r="L3574" s="405"/>
      <c r="M3574" s="64"/>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ht="15.75" customHeight="1">
      <c r="A3575" s="327" t="str">
        <f>IF(B3575&lt;&gt;"",IF(AND(B3575='IN-TC'!$S$4,OR(TH!N3575="1111",TH!O3575="1111")),TH!D3575,""),"")</f>
        <v/>
      </c>
      <c r="B3575" s="62" t="str">
        <f t="shared" si="397"/>
        <v/>
      </c>
      <c r="C3575" s="63"/>
      <c r="D3575" s="63"/>
      <c r="E3575" s="63"/>
      <c r="F3575" s="71"/>
      <c r="G3575" s="816"/>
      <c r="H3575" s="71"/>
      <c r="I3575" s="405"/>
      <c r="J3575" s="405"/>
      <c r="K3575" s="398"/>
      <c r="L3575" s="405"/>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ht="15.75" customHeight="1">
      <c r="A3576" s="327" t="str">
        <f>IF(B3576&lt;&gt;"",IF(AND(B3576='IN-TC'!$S$4,OR(TH!N3576="1111",TH!O3576="1111")),TH!D3576,""),"")</f>
        <v/>
      </c>
      <c r="B3576" s="62" t="str">
        <f t="shared" si="397"/>
        <v/>
      </c>
      <c r="C3576" s="63"/>
      <c r="D3576" s="63"/>
      <c r="E3576" s="63"/>
      <c r="F3576" s="71"/>
      <c r="G3576" s="816"/>
      <c r="H3576" s="71"/>
      <c r="I3576" s="405"/>
      <c r="J3576" s="405"/>
      <c r="K3576" s="398"/>
      <c r="L3576" s="405"/>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ht="15.75" customHeight="1">
      <c r="A3577" s="327" t="str">
        <f>IF(B3577&lt;&gt;"",IF(AND(B3577='IN-TC'!$S$4,OR(TH!N3577="1111",TH!O3577="1111")),TH!D3577,""),"")</f>
        <v/>
      </c>
      <c r="B3577" s="62" t="str">
        <f t="shared" si="397"/>
        <v/>
      </c>
      <c r="C3577" s="63"/>
      <c r="D3577" s="63"/>
      <c r="E3577" s="63"/>
      <c r="F3577" s="71"/>
      <c r="G3577" s="816"/>
      <c r="H3577" s="71"/>
      <c r="I3577" s="405"/>
      <c r="J3577" s="405"/>
      <c r="K3577" s="398"/>
      <c r="L3577" s="405"/>
      <c r="M3577" s="64"/>
      <c r="N3577" s="312"/>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ht="15.75" customHeight="1">
      <c r="A3578" s="327" t="str">
        <f>IF(B3578&lt;&gt;"",IF(AND(B3578='IN-TC'!$S$4,OR(TH!N3578="1111",TH!O3578="1111")),TH!D3578,""),"")</f>
        <v/>
      </c>
      <c r="B3578" s="62" t="str">
        <f t="shared" si="397"/>
        <v/>
      </c>
      <c r="C3578" s="63"/>
      <c r="D3578" s="63"/>
      <c r="E3578" s="63"/>
      <c r="F3578" s="71"/>
      <c r="G3578" s="816"/>
      <c r="H3578" s="71"/>
      <c r="I3578" s="405"/>
      <c r="J3578" s="405"/>
      <c r="K3578" s="398"/>
      <c r="L3578" s="405"/>
      <c r="M3578" s="64"/>
      <c r="N3578" s="312"/>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ht="15.75" customHeight="1">
      <c r="A3579" s="327" t="str">
        <f>IF(B3579&lt;&gt;"",IF(AND(B3579='IN-TC'!$S$4,OR(TH!N3579="1111",TH!O3579="1111")),TH!D3579,""),"")</f>
        <v/>
      </c>
      <c r="B3579" s="62" t="str">
        <f t="shared" si="397"/>
        <v/>
      </c>
      <c r="C3579" s="63"/>
      <c r="D3579" s="63"/>
      <c r="E3579" s="63"/>
      <c r="F3579" s="71"/>
      <c r="G3579" s="816"/>
      <c r="H3579" s="71"/>
      <c r="I3579" s="405"/>
      <c r="J3579" s="405"/>
      <c r="K3579" s="398"/>
      <c r="L3579" s="405"/>
      <c r="M3579" s="64"/>
      <c r="N3579" s="312"/>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ht="15.75" customHeight="1">
      <c r="A3580" s="327" t="str">
        <f>IF(B3580&lt;&gt;"",IF(AND(B3580='IN-TC'!$S$4,OR(TH!N3580="1111",TH!O3580="1111")),TH!D3580,""),"")</f>
        <v/>
      </c>
      <c r="B3580" s="62" t="str">
        <f t="shared" si="397"/>
        <v/>
      </c>
      <c r="C3580" s="63"/>
      <c r="D3580" s="309"/>
      <c r="E3580" s="309"/>
      <c r="F3580" s="71"/>
      <c r="G3580" s="66"/>
      <c r="H3580" s="71"/>
      <c r="I3580" s="405"/>
      <c r="J3580" s="405"/>
      <c r="K3580" s="398"/>
      <c r="L3580" s="405"/>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ht="15.75" customHeight="1">
      <c r="A3581" s="327" t="str">
        <f>IF(B3581&lt;&gt;"",IF(AND(B3581='IN-TC'!$S$4,OR(TH!N3581="1111",TH!O3581="1111")),TH!D3581,""),"")</f>
        <v/>
      </c>
      <c r="B3581" s="62" t="str">
        <f t="shared" si="397"/>
        <v/>
      </c>
      <c r="C3581" s="63"/>
      <c r="D3581" s="63"/>
      <c r="E3581" s="63"/>
      <c r="F3581" s="71"/>
      <c r="G3581" s="816"/>
      <c r="H3581" s="71"/>
      <c r="I3581" s="405"/>
      <c r="J3581" s="405"/>
      <c r="K3581" s="398"/>
      <c r="L3581" s="405"/>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ht="15.75" customHeight="1">
      <c r="A3582" s="327" t="str">
        <f>IF(B3582&lt;&gt;"",IF(AND(B3582='IN-TC'!$S$4,OR(TH!N3582="1111",TH!O3582="1111")),TH!D3582,""),"")</f>
        <v/>
      </c>
      <c r="B3582" s="62" t="str">
        <f t="shared" si="397"/>
        <v/>
      </c>
      <c r="C3582" s="63"/>
      <c r="D3582" s="63"/>
      <c r="E3582" s="63"/>
      <c r="F3582" s="71"/>
      <c r="G3582" s="66"/>
      <c r="H3582" s="71"/>
      <c r="I3582" s="405"/>
      <c r="J3582" s="405"/>
      <c r="K3582" s="398"/>
      <c r="L3582" s="405"/>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ht="15.75" customHeight="1">
      <c r="A3583" s="327" t="str">
        <f>IF(B3583&lt;&gt;"",IF(AND(B3583='IN-TC'!$S$4,OR(TH!N3583="1111",TH!O3583="1111")),TH!D3583,""),"")</f>
        <v/>
      </c>
      <c r="B3583" s="62" t="str">
        <f t="shared" si="397"/>
        <v/>
      </c>
      <c r="C3583" s="63"/>
      <c r="D3583" s="63"/>
      <c r="E3583" s="63"/>
      <c r="F3583" s="71"/>
      <c r="G3583" s="66"/>
      <c r="H3583" s="330"/>
      <c r="I3583" s="405"/>
      <c r="J3583" s="405"/>
      <c r="K3583" s="398"/>
      <c r="L3583" s="405"/>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ht="15.75" customHeight="1">
      <c r="A3584" s="327" t="str">
        <f>IF(B3584&lt;&gt;"",IF(AND(B3584='IN-TC'!$S$4,OR(TH!N3584="1111",TH!O3584="1111")),TH!D3584,""),"")</f>
        <v/>
      </c>
      <c r="B3584" s="62" t="str">
        <f t="shared" si="397"/>
        <v/>
      </c>
      <c r="C3584" s="63"/>
      <c r="D3584" s="63"/>
      <c r="E3584" s="63"/>
      <c r="F3584" s="71"/>
      <c r="G3584" s="66"/>
      <c r="H3584" s="330"/>
      <c r="I3584" s="405"/>
      <c r="J3584" s="405"/>
      <c r="K3584" s="398"/>
      <c r="L3584" s="405"/>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ht="15.75" customHeight="1">
      <c r="A3585" s="327" t="str">
        <f>IF(B3585&lt;&gt;"",IF(AND(B3585='IN-TC'!$S$4,OR(TH!N3585="1111",TH!O3585="1111")),TH!D3585,""),"")</f>
        <v/>
      </c>
      <c r="B3585" s="62" t="str">
        <f t="shared" si="397"/>
        <v/>
      </c>
      <c r="C3585" s="63"/>
      <c r="D3585" s="63"/>
      <c r="E3585" s="63"/>
      <c r="F3585" s="71"/>
      <c r="G3585" s="66"/>
      <c r="H3585" s="71"/>
      <c r="I3585" s="405"/>
      <c r="J3585" s="405"/>
      <c r="K3585" s="398"/>
      <c r="L3585" s="405"/>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ht="15.75" customHeight="1">
      <c r="A3586" s="327" t="str">
        <f>IF(B3586&lt;&gt;"",IF(AND(B3586='IN-TC'!$S$4,OR(TH!N3586="1111",TH!O3586="1111")),TH!D3586,""),"")</f>
        <v/>
      </c>
      <c r="B3586" s="62" t="str">
        <f t="shared" si="397"/>
        <v/>
      </c>
      <c r="C3586" s="63"/>
      <c r="D3586" s="63"/>
      <c r="E3586" s="63"/>
      <c r="F3586" s="71"/>
      <c r="G3586" s="66"/>
      <c r="H3586" s="71"/>
      <c r="I3586" s="405"/>
      <c r="J3586" s="405"/>
      <c r="K3586" s="398"/>
      <c r="L3586" s="405"/>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ht="15.75" customHeight="1">
      <c r="A3587" s="327" t="str">
        <f>IF(B3587&lt;&gt;"",IF(AND(B3587='IN-TC'!$S$4,OR(TH!N3587="1111",TH!O3587="1111")),TH!D3587,""),"")</f>
        <v/>
      </c>
      <c r="B3587" s="62" t="str">
        <f t="shared" si="397"/>
        <v/>
      </c>
      <c r="C3587" s="63"/>
      <c r="D3587" s="63"/>
      <c r="E3587" s="63"/>
      <c r="F3587" s="71"/>
      <c r="G3587" s="66"/>
      <c r="H3587" s="71"/>
      <c r="I3587" s="405"/>
      <c r="J3587" s="405"/>
      <c r="K3587" s="398"/>
      <c r="L3587" s="405"/>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ht="15.75" customHeight="1">
      <c r="A3588" s="327" t="str">
        <f>IF(B3588&lt;&gt;"",IF(AND(B3588='IN-TC'!$S$4,OR(TH!N3588="1111",TH!O3588="1111")),TH!D3588,""),"")</f>
        <v/>
      </c>
      <c r="B3588" s="62" t="str">
        <f t="shared" si="397"/>
        <v/>
      </c>
      <c r="C3588" s="63"/>
      <c r="D3588" s="63"/>
      <c r="E3588" s="63"/>
      <c r="F3588" s="477"/>
      <c r="G3588" s="66"/>
      <c r="H3588" s="71"/>
      <c r="I3588" s="405"/>
      <c r="J3588" s="405"/>
      <c r="K3588" s="398"/>
      <c r="L3588" s="405"/>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ht="15.75" customHeight="1">
      <c r="A3589" s="327" t="str">
        <f>IF(B3589&lt;&gt;"",IF(AND(B3589='IN-TC'!$S$4,OR(TH!N3589="1111",TH!O3589="1111")),TH!D3589,""),"")</f>
        <v/>
      </c>
      <c r="B3589" s="62" t="str">
        <f t="shared" si="397"/>
        <v/>
      </c>
      <c r="C3589" s="63"/>
      <c r="D3589" s="63"/>
      <c r="E3589" s="63"/>
      <c r="F3589" s="71"/>
      <c r="G3589" s="66"/>
      <c r="H3589" s="71"/>
      <c r="I3589" s="405"/>
      <c r="J3589" s="405"/>
      <c r="K3589" s="398"/>
      <c r="L3589" s="405"/>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ht="15.75" customHeight="1">
      <c r="A3590" s="327" t="str">
        <f>IF(B3590&lt;&gt;"",IF(AND(B3590='IN-TC'!$S$4,OR(TH!N3590="1111",TH!O3590="1111")),TH!D3590,""),"")</f>
        <v/>
      </c>
      <c r="B3590" s="62" t="str">
        <f t="shared" si="397"/>
        <v/>
      </c>
      <c r="C3590" s="63"/>
      <c r="D3590" s="63"/>
      <c r="E3590" s="63"/>
      <c r="F3590" s="71"/>
      <c r="G3590" s="66"/>
      <c r="H3590" s="71"/>
      <c r="I3590" s="405"/>
      <c r="J3590" s="405"/>
      <c r="K3590" s="398"/>
      <c r="L3590" s="405"/>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ht="15.75" customHeight="1">
      <c r="A3591" s="327" t="str">
        <f>IF(B3591&lt;&gt;"",IF(AND(B3591='IN-TC'!$S$4,OR(TH!N3591="1111",TH!O3591="1111")),TH!D3591,""),"")</f>
        <v/>
      </c>
      <c r="B3591" s="62" t="str">
        <f t="shared" si="397"/>
        <v/>
      </c>
      <c r="C3591" s="63"/>
      <c r="D3591" s="63"/>
      <c r="E3591" s="63"/>
      <c r="F3591" s="71"/>
      <c r="G3591" s="66"/>
      <c r="H3591" s="71"/>
      <c r="I3591" s="405"/>
      <c r="J3591" s="405"/>
      <c r="K3591" s="398"/>
      <c r="L3591" s="405"/>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ht="15.75" customHeight="1">
      <c r="A3592" s="327" t="str">
        <f>IF(B3592&lt;&gt;"",IF(AND(B3592='IN-TC'!$S$4,OR(TH!N3592="1111",TH!O3592="1111")),TH!D3592,""),"")</f>
        <v/>
      </c>
      <c r="B3592" s="62" t="str">
        <f t="shared" si="397"/>
        <v/>
      </c>
      <c r="C3592" s="63"/>
      <c r="D3592" s="63"/>
      <c r="E3592" s="63"/>
      <c r="F3592" s="71"/>
      <c r="G3592" s="66"/>
      <c r="H3592" s="71"/>
      <c r="I3592" s="405"/>
      <c r="J3592" s="405"/>
      <c r="K3592" s="398"/>
      <c r="L3592" s="405"/>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ht="15.75" customHeight="1">
      <c r="A3593" s="327" t="str">
        <f>IF(B3593&lt;&gt;"",IF(AND(B3593='IN-TC'!$S$4,OR(TH!N3593="1111",TH!O3593="1111")),TH!D3593,""),"")</f>
        <v/>
      </c>
      <c r="B3593" s="62" t="str">
        <f t="shared" si="397"/>
        <v/>
      </c>
      <c r="C3593" s="63"/>
      <c r="D3593" s="63"/>
      <c r="E3593" s="63"/>
      <c r="F3593" s="71"/>
      <c r="G3593" s="66"/>
      <c r="H3593" s="71"/>
      <c r="I3593" s="405"/>
      <c r="J3593" s="405"/>
      <c r="K3593" s="398"/>
      <c r="L3593" s="405"/>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ht="15.75" customHeight="1">
      <c r="A3594" s="327" t="str">
        <f>IF(B3594&lt;&gt;"",IF(AND(B3594='IN-TC'!$S$4,OR(TH!N3594="1111",TH!O3594="1111")),TH!D3594,""),"")</f>
        <v/>
      </c>
      <c r="B3594" s="62" t="str">
        <f t="shared" si="397"/>
        <v/>
      </c>
      <c r="C3594" s="63"/>
      <c r="D3594" s="63"/>
      <c r="E3594" s="63"/>
      <c r="F3594" s="71"/>
      <c r="G3594" s="66"/>
      <c r="H3594" s="71"/>
      <c r="I3594" s="405"/>
      <c r="J3594" s="405"/>
      <c r="K3594" s="398"/>
      <c r="L3594" s="405"/>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ht="15.75" customHeight="1">
      <c r="A3595" s="327" t="str">
        <f>IF(B3595&lt;&gt;"",IF(AND(B3595='IN-TC'!$S$4,OR(TH!N3595="1111",TH!O3595="1111")),TH!D3595,""),"")</f>
        <v/>
      </c>
      <c r="B3595" s="62" t="str">
        <f t="shared" si="397"/>
        <v/>
      </c>
      <c r="C3595" s="63"/>
      <c r="D3595" s="63"/>
      <c r="E3595" s="63"/>
      <c r="F3595" s="71"/>
      <c r="G3595" s="66"/>
      <c r="H3595" s="71"/>
      <c r="I3595" s="405"/>
      <c r="J3595" s="405"/>
      <c r="K3595" s="398"/>
      <c r="L3595" s="405"/>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ht="15.75" customHeight="1">
      <c r="A3596" s="327" t="str">
        <f>IF(B3596&lt;&gt;"",IF(AND(B3596='IN-TC'!$S$4,OR(TH!N3596="1111",TH!O3596="1111")),TH!D3596,""),"")</f>
        <v/>
      </c>
      <c r="B3596" s="62" t="str">
        <f t="shared" si="397"/>
        <v/>
      </c>
      <c r="C3596" s="63"/>
      <c r="D3596" s="63"/>
      <c r="E3596" s="63"/>
      <c r="F3596" s="71"/>
      <c r="G3596" s="66"/>
      <c r="H3596" s="71"/>
      <c r="I3596" s="405"/>
      <c r="J3596" s="405"/>
      <c r="K3596" s="398"/>
      <c r="L3596" s="405"/>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ht="15.75" customHeight="1">
      <c r="A3597" s="327" t="str">
        <f>IF(B3597&lt;&gt;"",IF(AND(B3597='IN-TC'!$S$4,OR(TH!N3597="1111",TH!O3597="1111")),TH!D3597,""),"")</f>
        <v/>
      </c>
      <c r="B3597" s="62" t="str">
        <f t="shared" si="397"/>
        <v/>
      </c>
      <c r="C3597" s="63"/>
      <c r="D3597" s="63"/>
      <c r="E3597" s="63"/>
      <c r="F3597" s="71"/>
      <c r="G3597" s="66"/>
      <c r="H3597" s="71"/>
      <c r="I3597" s="405"/>
      <c r="J3597" s="405"/>
      <c r="K3597" s="398"/>
      <c r="L3597" s="405"/>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ht="15.75" customHeight="1">
      <c r="A3598" s="327" t="str">
        <f>IF(B3598&lt;&gt;"",IF(AND(B3598='IN-TC'!$S$4,OR(TH!N3598="1111",TH!O3598="1111")),TH!D3598,""),"")</f>
        <v/>
      </c>
      <c r="B3598" s="62" t="str">
        <f t="shared" si="397"/>
        <v/>
      </c>
      <c r="C3598" s="63"/>
      <c r="D3598" s="63"/>
      <c r="E3598" s="63"/>
      <c r="F3598" s="71"/>
      <c r="G3598" s="66"/>
      <c r="H3598" s="71"/>
      <c r="I3598" s="405"/>
      <c r="J3598" s="405"/>
      <c r="K3598" s="398"/>
      <c r="L3598" s="405"/>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ht="15.75" customHeight="1">
      <c r="A3599" s="327" t="str">
        <f>IF(B3599&lt;&gt;"",IF(AND(B3599='IN-TC'!$S$4,OR(TH!N3599="1111",TH!O3599="1111")),TH!D3599,""),"")</f>
        <v/>
      </c>
      <c r="B3599" s="62" t="str">
        <f t="shared" si="397"/>
        <v/>
      </c>
      <c r="C3599" s="63"/>
      <c r="D3599" s="63"/>
      <c r="E3599" s="63"/>
      <c r="F3599" s="71"/>
      <c r="G3599" s="66"/>
      <c r="H3599" s="71"/>
      <c r="I3599" s="405"/>
      <c r="J3599" s="405"/>
      <c r="K3599" s="398"/>
      <c r="L3599" s="405"/>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ht="15.75" customHeight="1">
      <c r="A3600" s="327" t="str">
        <f>IF(B3600&lt;&gt;"",IF(AND(B3600='IN-TC'!$S$4,OR(TH!N3600="1111",TH!O3600="1111")),TH!D3600,""),"")</f>
        <v/>
      </c>
      <c r="B3600" s="62" t="str">
        <f t="shared" si="397"/>
        <v/>
      </c>
      <c r="C3600" s="63"/>
      <c r="D3600" s="63"/>
      <c r="E3600" s="63"/>
      <c r="F3600" s="71"/>
      <c r="G3600" s="66"/>
      <c r="H3600" s="71"/>
      <c r="I3600" s="405"/>
      <c r="J3600" s="405"/>
      <c r="K3600" s="398"/>
      <c r="L3600" s="405"/>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ht="15.75" customHeight="1">
      <c r="A3601" s="327" t="str">
        <f>IF(B3601&lt;&gt;"",IF(AND(B3601='IN-TC'!$S$4,OR(TH!N3601="1111",TH!O3601="1111")),TH!D3601,""),"")</f>
        <v/>
      </c>
      <c r="B3601" s="62" t="str">
        <f t="shared" si="397"/>
        <v/>
      </c>
      <c r="C3601" s="63"/>
      <c r="D3601" s="63"/>
      <c r="E3601" s="63"/>
      <c r="F3601" s="71"/>
      <c r="G3601" s="66"/>
      <c r="H3601" s="71"/>
      <c r="I3601" s="405"/>
      <c r="J3601" s="405"/>
      <c r="K3601" s="398"/>
      <c r="L3601" s="405"/>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ht="15.75" customHeight="1">
      <c r="A3602" s="327" t="str">
        <f>IF(B3602&lt;&gt;"",IF(AND(B3602='IN-TC'!$S$4,OR(TH!N3602="1111",TH!O3602="1111")),TH!D3602,""),"")</f>
        <v/>
      </c>
      <c r="B3602" s="62" t="str">
        <f t="shared" si="397"/>
        <v/>
      </c>
      <c r="C3602" s="63"/>
      <c r="D3602" s="63"/>
      <c r="E3602" s="63"/>
      <c r="F3602" s="71"/>
      <c r="G3602" s="66"/>
      <c r="H3602" s="71"/>
      <c r="I3602" s="405"/>
      <c r="J3602" s="405"/>
      <c r="K3602" s="398"/>
      <c r="L3602" s="405"/>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ht="15.75" customHeight="1">
      <c r="A3603" s="327" t="str">
        <f>IF(B3603&lt;&gt;"",IF(AND(B3603='IN-TC'!$S$4,OR(TH!N3603="1111",TH!O3603="1111")),TH!D3603,""),"")</f>
        <v/>
      </c>
      <c r="B3603" s="62" t="str">
        <f t="shared" si="397"/>
        <v/>
      </c>
      <c r="C3603" s="63"/>
      <c r="D3603" s="63"/>
      <c r="E3603" s="63"/>
      <c r="F3603" s="477"/>
      <c r="G3603" s="66"/>
      <c r="H3603" s="71"/>
      <c r="I3603" s="405"/>
      <c r="J3603" s="405"/>
      <c r="K3603" s="398"/>
      <c r="L3603" s="405"/>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ht="15" customHeight="1">
      <c r="A3604" s="327" t="str">
        <f>IF(B3604&lt;&gt;"",IF(AND(B3604='IN-TC'!$S$4,OR(TH!N3604="1111",TH!O3604="1111")),TH!D3604,""),"")</f>
        <v/>
      </c>
      <c r="B3604" s="62" t="str">
        <f t="shared" si="397"/>
        <v/>
      </c>
      <c r="C3604" s="63"/>
      <c r="D3604" s="63"/>
      <c r="E3604" s="63"/>
      <c r="F3604" s="71"/>
      <c r="G3604" s="816"/>
      <c r="H3604" s="71"/>
      <c r="I3604" s="405"/>
      <c r="J3604" s="405"/>
      <c r="K3604" s="398"/>
      <c r="L3604" s="405"/>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ht="15.75" customHeight="1">
      <c r="A3605" s="327" t="str">
        <f>IF(B3605&lt;&gt;"",IF(AND(B3605='IN-TC'!$S$4,OR(TH!N3605="1111",TH!O3605="1111")),TH!D3605,""),"")</f>
        <v/>
      </c>
      <c r="B3605" s="62" t="str">
        <f t="shared" si="397"/>
        <v/>
      </c>
      <c r="C3605" s="63"/>
      <c r="D3605" s="63"/>
      <c r="E3605" s="63"/>
      <c r="F3605" s="71"/>
      <c r="G3605" s="816"/>
      <c r="H3605" s="71"/>
      <c r="I3605" s="405"/>
      <c r="J3605" s="405"/>
      <c r="K3605" s="398"/>
      <c r="L3605" s="405"/>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ht="15.75" customHeight="1">
      <c r="A3606" s="327" t="str">
        <f>IF(B3606&lt;&gt;"",IF(AND(B3606='IN-TC'!$S$4,OR(TH!N3606="1111",TH!O3606="1111")),TH!D3606,""),"")</f>
        <v/>
      </c>
      <c r="B3606" s="62" t="str">
        <f t="shared" ref="B3606:B3669" si="398">IF(C3606&lt;&gt;"",MONTH(C3606),"")</f>
        <v/>
      </c>
      <c r="C3606" s="63"/>
      <c r="D3606" s="63"/>
      <c r="E3606" s="63"/>
      <c r="F3606" s="71"/>
      <c r="G3606" s="66"/>
      <c r="H3606" s="71"/>
      <c r="I3606" s="405"/>
      <c r="J3606" s="405"/>
      <c r="K3606" s="398"/>
      <c r="L3606" s="405"/>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ht="15.75" customHeight="1">
      <c r="A3607" s="327" t="str">
        <f>IF(B3607&lt;&gt;"",IF(AND(B3607='IN-TC'!$S$4,OR(TH!N3607="1111",TH!O3607="1111")),TH!D3607,""),"")</f>
        <v/>
      </c>
      <c r="B3607" s="62" t="str">
        <f t="shared" si="398"/>
        <v/>
      </c>
      <c r="C3607" s="63"/>
      <c r="D3607" s="63"/>
      <c r="E3607" s="63"/>
      <c r="F3607" s="71"/>
      <c r="G3607" s="66"/>
      <c r="H3607" s="71"/>
      <c r="I3607" s="405"/>
      <c r="J3607" s="405"/>
      <c r="K3607" s="398"/>
      <c r="L3607" s="405"/>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ht="15.75" customHeight="1">
      <c r="A3608" s="327" t="str">
        <f>IF(B3608&lt;&gt;"",IF(AND(B3608='IN-TC'!$S$4,OR(TH!N3608="1111",TH!O3608="1111")),TH!D3608,""),"")</f>
        <v/>
      </c>
      <c r="B3608" s="62" t="str">
        <f t="shared" si="398"/>
        <v/>
      </c>
      <c r="C3608" s="63"/>
      <c r="D3608" s="63"/>
      <c r="E3608" s="63"/>
      <c r="F3608" s="71"/>
      <c r="G3608" s="816"/>
      <c r="H3608" s="71"/>
      <c r="I3608" s="405"/>
      <c r="J3608" s="405"/>
      <c r="K3608" s="398"/>
      <c r="L3608" s="405"/>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ht="15.75" customHeight="1">
      <c r="A3609" s="327" t="str">
        <f>IF(B3609&lt;&gt;"",IF(AND(B3609='IN-TC'!$S$4,OR(TH!N3609="1111",TH!O3609="1111")),TH!D3609,""),"")</f>
        <v/>
      </c>
      <c r="B3609" s="62" t="str">
        <f t="shared" si="398"/>
        <v/>
      </c>
      <c r="C3609" s="63"/>
      <c r="D3609" s="63"/>
      <c r="E3609" s="63"/>
      <c r="F3609" s="71"/>
      <c r="G3609" s="816"/>
      <c r="H3609" s="71"/>
      <c r="I3609" s="405"/>
      <c r="J3609" s="405"/>
      <c r="K3609" s="398"/>
      <c r="L3609" s="405"/>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ht="15.75" customHeight="1">
      <c r="A3610" s="327" t="str">
        <f>IF(B3610&lt;&gt;"",IF(AND(B3610='IN-TC'!$S$4,OR(TH!N3610="1111",TH!O3610="1111")),TH!D3610,""),"")</f>
        <v/>
      </c>
      <c r="B3610" s="62" t="str">
        <f t="shared" si="398"/>
        <v/>
      </c>
      <c r="C3610" s="63"/>
      <c r="D3610" s="63"/>
      <c r="E3610" s="63"/>
      <c r="F3610" s="71"/>
      <c r="G3610" s="66"/>
      <c r="H3610" s="71"/>
      <c r="I3610" s="405"/>
      <c r="J3610" s="405"/>
      <c r="K3610" s="398"/>
      <c r="L3610" s="405"/>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ht="15.75" customHeight="1">
      <c r="A3611" s="327" t="str">
        <f>IF(B3611&lt;&gt;"",IF(AND(B3611='IN-TC'!$S$4,OR(TH!N3611="1111",TH!O3611="1111")),TH!D3611,""),"")</f>
        <v/>
      </c>
      <c r="B3611" s="62" t="str">
        <f t="shared" si="398"/>
        <v/>
      </c>
      <c r="C3611" s="63"/>
      <c r="D3611" s="63"/>
      <c r="E3611" s="63"/>
      <c r="F3611" s="71"/>
      <c r="G3611" s="816"/>
      <c r="H3611" s="71"/>
      <c r="I3611" s="405"/>
      <c r="J3611" s="405"/>
      <c r="K3611" s="398"/>
      <c r="L3611" s="405"/>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ht="15.75" customHeight="1">
      <c r="A3612" s="327" t="str">
        <f>IF(B3612&lt;&gt;"",IF(AND(B3612='IN-TC'!$S$4,OR(TH!N3612="1111",TH!O3612="1111")),TH!D3612,""),"")</f>
        <v/>
      </c>
      <c r="B3612" s="62" t="str">
        <f t="shared" si="398"/>
        <v/>
      </c>
      <c r="C3612" s="63"/>
      <c r="D3612" s="63"/>
      <c r="E3612" s="63"/>
      <c r="F3612" s="71"/>
      <c r="G3612" s="816"/>
      <c r="H3612" s="71"/>
      <c r="I3612" s="405"/>
      <c r="J3612" s="405"/>
      <c r="K3612" s="398"/>
      <c r="L3612" s="405"/>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ht="15.75" customHeight="1">
      <c r="A3613" s="327" t="str">
        <f>IF(B3613&lt;&gt;"",IF(AND(B3613='IN-TC'!$S$4,OR(TH!N3613="1111",TH!O3613="1111")),TH!D3613,""),"")</f>
        <v/>
      </c>
      <c r="B3613" s="62" t="str">
        <f t="shared" si="398"/>
        <v/>
      </c>
      <c r="C3613" s="63"/>
      <c r="D3613" s="63"/>
      <c r="E3613" s="63"/>
      <c r="F3613" s="71"/>
      <c r="G3613" s="66"/>
      <c r="H3613" s="71"/>
      <c r="I3613" s="405"/>
      <c r="J3613" s="405"/>
      <c r="K3613" s="398"/>
      <c r="L3613" s="405"/>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ht="15.75" customHeight="1">
      <c r="A3614" s="327" t="str">
        <f>IF(B3614&lt;&gt;"",IF(AND(B3614='IN-TC'!$S$4,OR(TH!N3614="1111",TH!O3614="1111")),TH!D3614,""),"")</f>
        <v/>
      </c>
      <c r="B3614" s="62" t="str">
        <f t="shared" si="398"/>
        <v/>
      </c>
      <c r="C3614" s="63"/>
      <c r="D3614" s="63"/>
      <c r="E3614" s="63"/>
      <c r="F3614" s="71"/>
      <c r="G3614" s="66"/>
      <c r="H3614" s="71"/>
      <c r="I3614" s="405"/>
      <c r="J3614" s="405"/>
      <c r="K3614" s="398"/>
      <c r="L3614" s="405"/>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ht="15.75" customHeight="1">
      <c r="A3615" s="327" t="str">
        <f>IF(B3615&lt;&gt;"",IF(AND(B3615='IN-TC'!$S$4,OR(TH!N3615="1111",TH!O3615="1111")),TH!D3615,""),"")</f>
        <v/>
      </c>
      <c r="B3615" s="62" t="str">
        <f t="shared" si="398"/>
        <v/>
      </c>
      <c r="C3615" s="63"/>
      <c r="D3615" s="63"/>
      <c r="E3615" s="63"/>
      <c r="F3615" s="71"/>
      <c r="G3615" s="66"/>
      <c r="H3615" s="71"/>
      <c r="I3615" s="405"/>
      <c r="J3615" s="405"/>
      <c r="K3615" s="398"/>
      <c r="L3615" s="405"/>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ht="15.75" customHeight="1">
      <c r="A3616" s="327" t="str">
        <f>IF(B3616&lt;&gt;"",IF(AND(B3616='IN-TC'!$S$4,OR(TH!N3616="1111",TH!O3616="1111")),TH!D3616,""),"")</f>
        <v/>
      </c>
      <c r="B3616" s="62" t="str">
        <f t="shared" si="398"/>
        <v/>
      </c>
      <c r="C3616" s="63"/>
      <c r="D3616" s="63"/>
      <c r="E3616" s="63"/>
      <c r="F3616" s="71"/>
      <c r="G3616" s="66"/>
      <c r="H3616" s="71"/>
      <c r="I3616" s="405"/>
      <c r="J3616" s="405"/>
      <c r="K3616" s="398"/>
      <c r="L3616" s="405"/>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ht="15.75" customHeight="1">
      <c r="A3617" s="327" t="str">
        <f>IF(B3617&lt;&gt;"",IF(AND(B3617='IN-TC'!$S$4,OR(TH!N3617="1111",TH!O3617="1111")),TH!D3617,""),"")</f>
        <v/>
      </c>
      <c r="B3617" s="62" t="str">
        <f t="shared" si="398"/>
        <v/>
      </c>
      <c r="C3617" s="63"/>
      <c r="D3617" s="63"/>
      <c r="E3617" s="63"/>
      <c r="F3617" s="71"/>
      <c r="G3617" s="66"/>
      <c r="H3617" s="71"/>
      <c r="I3617" s="405"/>
      <c r="J3617" s="405"/>
      <c r="K3617" s="398"/>
      <c r="L3617" s="405"/>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ht="15.75" customHeight="1">
      <c r="A3618" s="327" t="str">
        <f>IF(B3618&lt;&gt;"",IF(AND(B3618='IN-TC'!$S$4,OR(TH!N3618="1111",TH!O3618="1111")),TH!D3618,""),"")</f>
        <v/>
      </c>
      <c r="B3618" s="62" t="str">
        <f t="shared" si="398"/>
        <v/>
      </c>
      <c r="C3618" s="63"/>
      <c r="D3618" s="63"/>
      <c r="E3618" s="63"/>
      <c r="F3618" s="71"/>
      <c r="G3618" s="66"/>
      <c r="H3618" s="71"/>
      <c r="I3618" s="405"/>
      <c r="J3618" s="405"/>
      <c r="K3618" s="398"/>
      <c r="L3618" s="405"/>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ht="15.75" customHeight="1">
      <c r="A3619" s="327" t="str">
        <f>IF(B3619&lt;&gt;"",IF(AND(B3619='IN-TC'!$S$4,OR(TH!N3619="1111",TH!O3619="1111")),TH!D3619,""),"")</f>
        <v/>
      </c>
      <c r="B3619" s="62" t="str">
        <f t="shared" si="398"/>
        <v/>
      </c>
      <c r="C3619" s="63"/>
      <c r="D3619" s="63"/>
      <c r="E3619" s="63"/>
      <c r="F3619" s="71"/>
      <c r="G3619" s="66"/>
      <c r="H3619" s="71"/>
      <c r="I3619" s="405"/>
      <c r="J3619" s="405"/>
      <c r="K3619" s="398"/>
      <c r="L3619" s="405"/>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ht="15.75" customHeight="1">
      <c r="A3620" s="327" t="str">
        <f>IF(B3620&lt;&gt;"",IF(AND(B3620='IN-TC'!$S$4,OR(TH!N3620="1111",TH!O3620="1111")),TH!D3620,""),"")</f>
        <v/>
      </c>
      <c r="B3620" s="62" t="str">
        <f t="shared" si="398"/>
        <v/>
      </c>
      <c r="C3620" s="63"/>
      <c r="D3620" s="63"/>
      <c r="E3620" s="63"/>
      <c r="F3620" s="71"/>
      <c r="G3620" s="66"/>
      <c r="H3620" s="71"/>
      <c r="I3620" s="405"/>
      <c r="J3620" s="405"/>
      <c r="K3620" s="398"/>
      <c r="L3620" s="405"/>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ht="15.75" customHeight="1">
      <c r="A3621" s="327" t="str">
        <f>IF(B3621&lt;&gt;"",IF(AND(B3621='IN-TC'!$S$4,OR(TH!N3621="1111",TH!O3621="1111")),TH!D3621,""),"")</f>
        <v/>
      </c>
      <c r="B3621" s="62" t="str">
        <f t="shared" si="398"/>
        <v/>
      </c>
      <c r="C3621" s="63"/>
      <c r="D3621" s="63"/>
      <c r="E3621" s="63"/>
      <c r="F3621" s="71"/>
      <c r="G3621" s="66"/>
      <c r="H3621" s="71"/>
      <c r="I3621" s="405"/>
      <c r="J3621" s="405"/>
      <c r="K3621" s="398"/>
      <c r="L3621" s="405"/>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ht="15.75" customHeight="1">
      <c r="A3622" s="327" t="str">
        <f>IF(B3622&lt;&gt;"",IF(AND(B3622='IN-TC'!$S$4,OR(TH!N3622="1111",TH!O3622="1111")),TH!D3622,""),"")</f>
        <v/>
      </c>
      <c r="B3622" s="62" t="str">
        <f t="shared" si="398"/>
        <v/>
      </c>
      <c r="C3622" s="63"/>
      <c r="D3622" s="63"/>
      <c r="E3622" s="63"/>
      <c r="F3622" s="71"/>
      <c r="G3622" s="66"/>
      <c r="H3622" s="71"/>
      <c r="I3622" s="405"/>
      <c r="J3622" s="405"/>
      <c r="K3622" s="398"/>
      <c r="L3622" s="405"/>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ht="15.75" customHeight="1">
      <c r="A3623" s="327" t="str">
        <f>IF(B3623&lt;&gt;"",IF(AND(B3623='IN-TC'!$S$4,OR(TH!N3623="1111",TH!O3623="1111")),TH!D3623,""),"")</f>
        <v/>
      </c>
      <c r="B3623" s="62" t="str">
        <f t="shared" si="398"/>
        <v/>
      </c>
      <c r="C3623" s="63"/>
      <c r="D3623" s="63"/>
      <c r="E3623" s="63"/>
      <c r="F3623" s="71"/>
      <c r="G3623" s="66"/>
      <c r="H3623" s="71"/>
      <c r="I3623" s="405"/>
      <c r="J3623" s="405"/>
      <c r="K3623" s="398"/>
      <c r="L3623" s="405"/>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ht="15.75" customHeight="1">
      <c r="A3624" s="327" t="str">
        <f>IF(B3624&lt;&gt;"",IF(AND(B3624='IN-TC'!$S$4,OR(TH!N3624="1111",TH!O3624="1111")),TH!D3624,""),"")</f>
        <v/>
      </c>
      <c r="B3624" s="62" t="str">
        <f t="shared" si="398"/>
        <v/>
      </c>
      <c r="C3624" s="63"/>
      <c r="D3624" s="63"/>
      <c r="E3624" s="63"/>
      <c r="F3624" s="71"/>
      <c r="G3624" s="66"/>
      <c r="H3624" s="71"/>
      <c r="I3624" s="405"/>
      <c r="J3624" s="405"/>
      <c r="K3624" s="398"/>
      <c r="L3624" s="405"/>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ht="15.75" customHeight="1">
      <c r="A3625" s="327" t="str">
        <f>IF(B3625&lt;&gt;"",IF(AND(B3625='IN-TC'!$S$4,OR(TH!N3625="1111",TH!O3625="1111")),TH!D3625,""),"")</f>
        <v/>
      </c>
      <c r="B3625" s="62" t="str">
        <f t="shared" si="398"/>
        <v/>
      </c>
      <c r="C3625" s="63"/>
      <c r="D3625" s="63"/>
      <c r="E3625" s="63"/>
      <c r="F3625" s="71"/>
      <c r="G3625" s="66"/>
      <c r="H3625" s="71"/>
      <c r="I3625" s="405"/>
      <c r="J3625" s="405"/>
      <c r="K3625" s="398"/>
      <c r="L3625" s="405"/>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ht="15.75" customHeight="1">
      <c r="A3626" s="327" t="str">
        <f>IF(B3626&lt;&gt;"",IF(AND(B3626='IN-TC'!$S$4,OR(TH!N3626="1111",TH!O3626="1111")),TH!D3626,""),"")</f>
        <v/>
      </c>
      <c r="B3626" s="62" t="str">
        <f t="shared" si="398"/>
        <v/>
      </c>
      <c r="C3626" s="63"/>
      <c r="D3626" s="63"/>
      <c r="E3626" s="63"/>
      <c r="F3626" s="71"/>
      <c r="G3626" s="66"/>
      <c r="H3626" s="71"/>
      <c r="I3626" s="405"/>
      <c r="J3626" s="405"/>
      <c r="K3626" s="398"/>
      <c r="L3626" s="405"/>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ht="15.75" customHeight="1">
      <c r="A3627" s="327" t="str">
        <f>IF(B3627&lt;&gt;"",IF(AND(B3627='IN-TC'!$S$4,OR(TH!N3627="1111",TH!O3627="1111")),TH!D3627,""),"")</f>
        <v/>
      </c>
      <c r="B3627" s="62" t="str">
        <f t="shared" si="398"/>
        <v/>
      </c>
      <c r="C3627" s="63"/>
      <c r="D3627" s="63"/>
      <c r="E3627" s="63"/>
      <c r="F3627" s="71"/>
      <c r="G3627" s="66"/>
      <c r="H3627" s="71"/>
      <c r="I3627" s="405"/>
      <c r="J3627" s="405"/>
      <c r="K3627" s="398"/>
      <c r="L3627" s="405"/>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ht="15.75" customHeight="1">
      <c r="A3628" s="327" t="str">
        <f>IF(B3628&lt;&gt;"",IF(AND(B3628='IN-TC'!$S$4,OR(TH!N3628="1111",TH!O3628="1111")),TH!D3628,""),"")</f>
        <v/>
      </c>
      <c r="B3628" s="62" t="str">
        <f t="shared" si="398"/>
        <v/>
      </c>
      <c r="C3628" s="63"/>
      <c r="D3628" s="63"/>
      <c r="E3628" s="63"/>
      <c r="F3628" s="71"/>
      <c r="G3628" s="66"/>
      <c r="H3628" s="71"/>
      <c r="I3628" s="405"/>
      <c r="J3628" s="405"/>
      <c r="K3628" s="398"/>
      <c r="L3628" s="405"/>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ht="15.75" customHeight="1">
      <c r="A3629" s="327" t="str">
        <f>IF(B3629&lt;&gt;"",IF(AND(B3629='IN-TC'!$S$4,OR(TH!N3629="1111",TH!O3629="1111")),TH!D3629,""),"")</f>
        <v/>
      </c>
      <c r="B3629" s="62" t="str">
        <f t="shared" si="398"/>
        <v/>
      </c>
      <c r="C3629" s="63"/>
      <c r="D3629" s="63"/>
      <c r="E3629" s="63"/>
      <c r="F3629" s="71"/>
      <c r="G3629" s="66"/>
      <c r="H3629" s="71"/>
      <c r="I3629" s="405"/>
      <c r="J3629" s="405"/>
      <c r="K3629" s="398"/>
      <c r="L3629" s="405"/>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ht="15.75" customHeight="1">
      <c r="A3630" s="327" t="str">
        <f>IF(B3630&lt;&gt;"",IF(AND(B3630='IN-TC'!$S$4,OR(TH!N3630="1111",TH!O3630="1111")),TH!D3630,""),"")</f>
        <v/>
      </c>
      <c r="B3630" s="62" t="str">
        <f t="shared" si="398"/>
        <v/>
      </c>
      <c r="C3630" s="63"/>
      <c r="D3630" s="63"/>
      <c r="E3630" s="63"/>
      <c r="F3630" s="71"/>
      <c r="G3630" s="66"/>
      <c r="H3630" s="71"/>
      <c r="I3630" s="405"/>
      <c r="J3630" s="405"/>
      <c r="K3630" s="398"/>
      <c r="L3630" s="405"/>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ht="15.75" customHeight="1">
      <c r="A3631" s="327" t="str">
        <f>IF(B3631&lt;&gt;"",IF(AND(B3631='IN-TC'!$S$4,OR(TH!N3631="1111",TH!O3631="1111")),TH!D3631,""),"")</f>
        <v/>
      </c>
      <c r="B3631" s="62" t="str">
        <f t="shared" si="398"/>
        <v/>
      </c>
      <c r="C3631" s="63"/>
      <c r="D3631" s="63"/>
      <c r="E3631" s="63"/>
      <c r="F3631" s="71"/>
      <c r="G3631" s="66"/>
      <c r="H3631" s="71"/>
      <c r="I3631" s="405"/>
      <c r="J3631" s="405"/>
      <c r="K3631" s="398"/>
      <c r="L3631" s="405"/>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ht="15.75" customHeight="1">
      <c r="A3632" s="327" t="str">
        <f>IF(B3632&lt;&gt;"",IF(AND(B3632='IN-TC'!$S$4,OR(TH!N3632="1111",TH!O3632="1111")),TH!D3632,""),"")</f>
        <v/>
      </c>
      <c r="B3632" s="62" t="str">
        <f t="shared" si="398"/>
        <v/>
      </c>
      <c r="C3632" s="63"/>
      <c r="D3632" s="63"/>
      <c r="E3632" s="63"/>
      <c r="F3632" s="71"/>
      <c r="G3632" s="66"/>
      <c r="H3632" s="71"/>
      <c r="I3632" s="405"/>
      <c r="J3632" s="405"/>
      <c r="K3632" s="398"/>
      <c r="L3632" s="405"/>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ht="15.75" customHeight="1">
      <c r="A3633" s="327" t="str">
        <f>IF(B3633&lt;&gt;"",IF(AND(B3633='IN-TC'!$S$4,OR(TH!N3633="1111",TH!O3633="1111")),TH!D3633,""),"")</f>
        <v/>
      </c>
      <c r="B3633" s="62" t="str">
        <f t="shared" si="398"/>
        <v/>
      </c>
      <c r="C3633" s="63"/>
      <c r="D3633" s="63"/>
      <c r="E3633" s="63"/>
      <c r="F3633" s="71"/>
      <c r="G3633" s="66"/>
      <c r="H3633" s="71"/>
      <c r="I3633" s="405"/>
      <c r="J3633" s="405"/>
      <c r="K3633" s="398"/>
      <c r="L3633" s="405"/>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ht="15.75" customHeight="1">
      <c r="A3634" s="327" t="str">
        <f>IF(B3634&lt;&gt;"",IF(AND(B3634='IN-TC'!$S$4,OR(TH!N3634="1111",TH!O3634="1111")),TH!D3634,""),"")</f>
        <v/>
      </c>
      <c r="B3634" s="62" t="str">
        <f t="shared" si="398"/>
        <v/>
      </c>
      <c r="C3634" s="63"/>
      <c r="D3634" s="63"/>
      <c r="E3634" s="63"/>
      <c r="F3634" s="71"/>
      <c r="G3634" s="66"/>
      <c r="H3634" s="71"/>
      <c r="I3634" s="405"/>
      <c r="J3634" s="405"/>
      <c r="K3634" s="398"/>
      <c r="L3634" s="405"/>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ht="15.75" customHeight="1">
      <c r="A3635" s="327" t="str">
        <f>IF(B3635&lt;&gt;"",IF(AND(B3635='IN-TC'!$S$4,OR(TH!N3635="1111",TH!O3635="1111")),TH!D3635,""),"")</f>
        <v/>
      </c>
      <c r="B3635" s="62" t="str">
        <f t="shared" si="398"/>
        <v/>
      </c>
      <c r="C3635" s="63"/>
      <c r="D3635" s="63"/>
      <c r="E3635" s="63"/>
      <c r="F3635" s="71"/>
      <c r="G3635" s="816"/>
      <c r="H3635" s="71"/>
      <c r="I3635" s="405"/>
      <c r="J3635" s="405"/>
      <c r="K3635" s="398"/>
      <c r="L3635" s="405"/>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ht="15.75" customHeight="1">
      <c r="A3636" s="327" t="str">
        <f>IF(B3636&lt;&gt;"",IF(AND(B3636='IN-TC'!$S$4,OR(TH!N3636="1111",TH!O3636="1111")),TH!D3636,""),"")</f>
        <v/>
      </c>
      <c r="B3636" s="62" t="str">
        <f t="shared" si="398"/>
        <v/>
      </c>
      <c r="C3636" s="63"/>
      <c r="D3636" s="63"/>
      <c r="E3636" s="63"/>
      <c r="F3636" s="71"/>
      <c r="G3636" s="816"/>
      <c r="H3636" s="71"/>
      <c r="I3636" s="405"/>
      <c r="J3636" s="405"/>
      <c r="K3636" s="398"/>
      <c r="L3636" s="405"/>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ht="15.75" customHeight="1">
      <c r="A3637" s="327" t="str">
        <f>IF(B3637&lt;&gt;"",IF(AND(B3637='IN-TC'!$S$4,OR(TH!N3637="1111",TH!O3637="1111")),TH!D3637,""),"")</f>
        <v/>
      </c>
      <c r="B3637" s="62" t="str">
        <f t="shared" si="398"/>
        <v/>
      </c>
      <c r="C3637" s="63"/>
      <c r="D3637" s="63"/>
      <c r="E3637" s="63"/>
      <c r="F3637" s="71"/>
      <c r="G3637" s="816"/>
      <c r="H3637" s="71"/>
      <c r="I3637" s="405"/>
      <c r="J3637" s="405"/>
      <c r="K3637" s="398"/>
      <c r="L3637" s="405"/>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ht="15.75" customHeight="1">
      <c r="A3638" s="327" t="str">
        <f>IF(B3638&lt;&gt;"",IF(AND(B3638='IN-TC'!$S$4,OR(TH!N3638="1111",TH!O3638="1111")),TH!D3638,""),"")</f>
        <v/>
      </c>
      <c r="B3638" s="62" t="str">
        <f t="shared" si="398"/>
        <v/>
      </c>
      <c r="C3638" s="63"/>
      <c r="D3638" s="63"/>
      <c r="E3638" s="63"/>
      <c r="F3638" s="71"/>
      <c r="G3638" s="816"/>
      <c r="H3638" s="71"/>
      <c r="I3638" s="405"/>
      <c r="J3638" s="405"/>
      <c r="K3638" s="398"/>
      <c r="L3638" s="405"/>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ht="15.75" customHeight="1">
      <c r="A3639" s="327" t="str">
        <f>IF(B3639&lt;&gt;"",IF(AND(B3639='IN-TC'!$S$4,OR(TH!N3639="1111",TH!O3639="1111")),TH!D3639,""),"")</f>
        <v/>
      </c>
      <c r="B3639" s="62" t="str">
        <f t="shared" si="398"/>
        <v/>
      </c>
      <c r="C3639" s="63"/>
      <c r="D3639" s="63"/>
      <c r="E3639" s="63"/>
      <c r="F3639" s="71"/>
      <c r="G3639" s="66"/>
      <c r="H3639" s="71"/>
      <c r="I3639" s="405"/>
      <c r="J3639" s="405"/>
      <c r="K3639" s="398"/>
      <c r="L3639" s="405"/>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ht="15.75" customHeight="1">
      <c r="A3640" s="327" t="str">
        <f>IF(B3640&lt;&gt;"",IF(AND(B3640='IN-TC'!$S$4,OR(TH!N3640="1111",TH!O3640="1111")),TH!D3640,""),"")</f>
        <v/>
      </c>
      <c r="B3640" s="62" t="str">
        <f t="shared" si="398"/>
        <v/>
      </c>
      <c r="C3640" s="63"/>
      <c r="D3640" s="63"/>
      <c r="E3640" s="63"/>
      <c r="F3640" s="71"/>
      <c r="G3640" s="66"/>
      <c r="H3640" s="71"/>
      <c r="I3640" s="405"/>
      <c r="J3640" s="405"/>
      <c r="K3640" s="398"/>
      <c r="L3640" s="405"/>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ht="15.75" customHeight="1">
      <c r="A3641" s="327" t="str">
        <f>IF(B3641&lt;&gt;"",IF(AND(B3641='IN-TC'!$S$4,OR(TH!N3641="1111",TH!O3641="1111")),TH!D3641,""),"")</f>
        <v/>
      </c>
      <c r="B3641" s="62" t="str">
        <f t="shared" si="398"/>
        <v/>
      </c>
      <c r="C3641" s="63"/>
      <c r="D3641" s="63"/>
      <c r="E3641" s="63"/>
      <c r="F3641" s="71"/>
      <c r="G3641" s="66"/>
      <c r="H3641" s="71"/>
      <c r="I3641" s="405"/>
      <c r="J3641" s="405"/>
      <c r="K3641" s="398"/>
      <c r="L3641" s="405"/>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ht="15.75" customHeight="1">
      <c r="A3642" s="327" t="str">
        <f>IF(B3642&lt;&gt;"",IF(AND(B3642='IN-TC'!$S$4,OR(TH!N3642="1111",TH!O3642="1111")),TH!D3642,""),"")</f>
        <v/>
      </c>
      <c r="B3642" s="62" t="str">
        <f t="shared" si="398"/>
        <v/>
      </c>
      <c r="C3642" s="63"/>
      <c r="D3642" s="63"/>
      <c r="E3642" s="63"/>
      <c r="F3642" s="477"/>
      <c r="G3642" s="66"/>
      <c r="H3642" s="71"/>
      <c r="I3642" s="405"/>
      <c r="J3642" s="405"/>
      <c r="K3642" s="398"/>
      <c r="L3642" s="405"/>
      <c r="M3642" s="64"/>
      <c r="N3642" s="65"/>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ht="15.75" customHeight="1">
      <c r="A3643" s="327" t="str">
        <f>IF(B3643&lt;&gt;"",IF(AND(B3643='IN-TC'!$S$4,OR(TH!N3643="1111",TH!O3643="1111")),TH!D3643,""),"")</f>
        <v/>
      </c>
      <c r="B3643" s="62" t="str">
        <f t="shared" si="398"/>
        <v/>
      </c>
      <c r="C3643" s="63"/>
      <c r="D3643" s="63"/>
      <c r="E3643" s="63"/>
      <c r="F3643" s="477"/>
      <c r="G3643" s="66"/>
      <c r="H3643" s="71"/>
      <c r="I3643" s="405"/>
      <c r="J3643" s="405"/>
      <c r="K3643" s="398"/>
      <c r="L3643" s="405"/>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ht="15.75" customHeight="1">
      <c r="A3644" s="327" t="str">
        <f>IF(B3644&lt;&gt;"",IF(AND(B3644='IN-TC'!$S$4,OR(TH!N3644="1111",TH!O3644="1111")),TH!D3644,""),"")</f>
        <v/>
      </c>
      <c r="B3644" s="62" t="str">
        <f t="shared" si="398"/>
        <v/>
      </c>
      <c r="C3644" s="63"/>
      <c r="D3644" s="63"/>
      <c r="E3644" s="63"/>
      <c r="F3644" s="71"/>
      <c r="G3644" s="816"/>
      <c r="H3644" s="71"/>
      <c r="I3644" s="405"/>
      <c r="J3644" s="405"/>
      <c r="K3644" s="398"/>
      <c r="L3644" s="405"/>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ht="15.75" customHeight="1">
      <c r="A3645" s="327" t="str">
        <f>IF(B3645&lt;&gt;"",IF(AND(B3645='IN-TC'!$S$4,OR(TH!N3645="1111",TH!O3645="1111")),TH!D3645,""),"")</f>
        <v/>
      </c>
      <c r="B3645" s="62" t="str">
        <f t="shared" si="398"/>
        <v/>
      </c>
      <c r="C3645" s="63"/>
      <c r="D3645" s="63"/>
      <c r="E3645" s="63"/>
      <c r="F3645" s="71"/>
      <c r="G3645" s="816"/>
      <c r="H3645" s="71"/>
      <c r="I3645" s="405"/>
      <c r="J3645" s="405"/>
      <c r="K3645" s="398"/>
      <c r="L3645" s="405"/>
      <c r="M3645" s="64"/>
      <c r="N3645" s="65"/>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ht="15.75" customHeight="1">
      <c r="A3646" s="327" t="str">
        <f>IF(B3646&lt;&gt;"",IF(AND(B3646='IN-TC'!$S$4,OR(TH!N3646="1111",TH!O3646="1111")),TH!D3646,""),"")</f>
        <v/>
      </c>
      <c r="B3646" s="62" t="str">
        <f t="shared" si="398"/>
        <v/>
      </c>
      <c r="C3646" s="63"/>
      <c r="D3646" s="63"/>
      <c r="E3646" s="63"/>
      <c r="F3646" s="71"/>
      <c r="G3646" s="66"/>
      <c r="H3646" s="71"/>
      <c r="I3646" s="405"/>
      <c r="J3646" s="405"/>
      <c r="K3646" s="398"/>
      <c r="L3646" s="405"/>
      <c r="M3646" s="64"/>
      <c r="N3646" s="65"/>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ht="15.75" customHeight="1">
      <c r="A3647" s="327" t="str">
        <f>IF(B3647&lt;&gt;"",IF(AND(B3647='IN-TC'!$S$4,OR(TH!N3647="1111",TH!O3647="1111")),TH!D3647,""),"")</f>
        <v/>
      </c>
      <c r="B3647" s="62" t="str">
        <f t="shared" si="398"/>
        <v/>
      </c>
      <c r="C3647" s="63"/>
      <c r="D3647" s="63"/>
      <c r="E3647" s="63"/>
      <c r="F3647" s="71"/>
      <c r="G3647" s="816"/>
      <c r="H3647" s="71"/>
      <c r="I3647" s="405"/>
      <c r="J3647" s="405"/>
      <c r="K3647" s="398"/>
      <c r="L3647" s="405"/>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ht="15.75" customHeight="1">
      <c r="A3648" s="327" t="str">
        <f>IF(B3648&lt;&gt;"",IF(AND(B3648='IN-TC'!$S$4,OR(TH!N3648="1111",TH!O3648="1111")),TH!D3648,""),"")</f>
        <v/>
      </c>
      <c r="B3648" s="62" t="str">
        <f t="shared" si="398"/>
        <v/>
      </c>
      <c r="C3648" s="63"/>
      <c r="D3648" s="63"/>
      <c r="E3648" s="63"/>
      <c r="F3648" s="71"/>
      <c r="G3648" s="816"/>
      <c r="H3648" s="71"/>
      <c r="I3648" s="405"/>
      <c r="J3648" s="405"/>
      <c r="K3648" s="398"/>
      <c r="L3648" s="405"/>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ht="15.75" customHeight="1">
      <c r="A3649" s="327" t="str">
        <f>IF(B3649&lt;&gt;"",IF(AND(B3649='IN-TC'!$S$4,OR(TH!N3649="1111",TH!O3649="1111")),TH!D3649,""),"")</f>
        <v/>
      </c>
      <c r="B3649" s="62" t="str">
        <f t="shared" si="398"/>
        <v/>
      </c>
      <c r="C3649" s="63"/>
      <c r="D3649" s="63"/>
      <c r="E3649" s="63"/>
      <c r="F3649" s="71"/>
      <c r="G3649" s="816"/>
      <c r="H3649" s="71"/>
      <c r="I3649" s="405"/>
      <c r="J3649" s="405"/>
      <c r="K3649" s="398"/>
      <c r="L3649" s="405"/>
      <c r="M3649" s="971"/>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ht="15.75" customHeight="1">
      <c r="A3650" s="327" t="str">
        <f>IF(B3650&lt;&gt;"",IF(AND(B3650='IN-TC'!$S$4,OR(TH!N3650="1111",TH!O3650="1111")),TH!D3650,""),"")</f>
        <v/>
      </c>
      <c r="B3650" s="62" t="str">
        <f t="shared" si="398"/>
        <v/>
      </c>
      <c r="C3650" s="63"/>
      <c r="D3650" s="63"/>
      <c r="E3650" s="63"/>
      <c r="F3650" s="71"/>
      <c r="G3650" s="816"/>
      <c r="H3650" s="71"/>
      <c r="I3650" s="405"/>
      <c r="J3650" s="405"/>
      <c r="K3650" s="398"/>
      <c r="L3650" s="405"/>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ht="15.75" customHeight="1">
      <c r="A3651" s="327" t="str">
        <f>IF(B3651&lt;&gt;"",IF(AND(B3651='IN-TC'!$S$4,OR(TH!N3651="1111",TH!O3651="1111")),TH!D3651,""),"")</f>
        <v/>
      </c>
      <c r="B3651" s="62" t="str">
        <f t="shared" si="398"/>
        <v/>
      </c>
      <c r="C3651" s="63"/>
      <c r="D3651" s="63"/>
      <c r="E3651" s="63"/>
      <c r="F3651" s="71"/>
      <c r="G3651" s="816"/>
      <c r="H3651" s="71"/>
      <c r="I3651" s="405"/>
      <c r="J3651" s="405"/>
      <c r="K3651" s="398"/>
      <c r="L3651" s="405"/>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ht="15.75" customHeight="1">
      <c r="A3652" s="327" t="str">
        <f>IF(B3652&lt;&gt;"",IF(AND(B3652='IN-TC'!$S$4,OR(TH!N3652="1111",TH!O3652="1111")),TH!D3652,""),"")</f>
        <v/>
      </c>
      <c r="B3652" s="62" t="str">
        <f t="shared" si="398"/>
        <v/>
      </c>
      <c r="C3652" s="63"/>
      <c r="D3652" s="63"/>
      <c r="E3652" s="63"/>
      <c r="F3652" s="71"/>
      <c r="G3652" s="816"/>
      <c r="H3652" s="71"/>
      <c r="I3652" s="405"/>
      <c r="J3652" s="405"/>
      <c r="K3652" s="398"/>
      <c r="L3652" s="405"/>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ht="15.75" customHeight="1">
      <c r="A3653" s="327" t="str">
        <f>IF(B3653&lt;&gt;"",IF(AND(B3653='IN-TC'!$S$4,OR(TH!N3653="1111",TH!O3653="1111")),TH!D3653,""),"")</f>
        <v/>
      </c>
      <c r="B3653" s="62" t="str">
        <f t="shared" si="398"/>
        <v/>
      </c>
      <c r="C3653" s="63"/>
      <c r="D3653" s="63"/>
      <c r="E3653" s="63"/>
      <c r="F3653" s="71"/>
      <c r="G3653" s="816"/>
      <c r="H3653" s="71"/>
      <c r="I3653" s="405"/>
      <c r="J3653" s="405"/>
      <c r="K3653" s="398"/>
      <c r="L3653" s="405"/>
      <c r="M3653" s="971"/>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ht="15.75" customHeight="1">
      <c r="A3654" s="327" t="str">
        <f>IF(B3654&lt;&gt;"",IF(AND(B3654='IN-TC'!$S$4,OR(TH!N3654="1111",TH!O3654="1111")),TH!D3654,""),"")</f>
        <v/>
      </c>
      <c r="B3654" s="62" t="str">
        <f t="shared" si="398"/>
        <v/>
      </c>
      <c r="C3654" s="63"/>
      <c r="D3654" s="63"/>
      <c r="E3654" s="63"/>
      <c r="F3654" s="71"/>
      <c r="G3654" s="816"/>
      <c r="H3654" s="71"/>
      <c r="I3654" s="405"/>
      <c r="J3654" s="405"/>
      <c r="K3654" s="398"/>
      <c r="L3654" s="405"/>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ht="15.75" customHeight="1">
      <c r="A3655" s="327" t="str">
        <f>IF(B3655&lt;&gt;"",IF(AND(B3655='IN-TC'!$S$4,OR(TH!N3655="1111",TH!O3655="1111")),TH!D3655,""),"")</f>
        <v/>
      </c>
      <c r="B3655" s="62" t="str">
        <f t="shared" si="398"/>
        <v/>
      </c>
      <c r="C3655" s="63"/>
      <c r="D3655" s="63"/>
      <c r="E3655" s="63"/>
      <c r="F3655" s="71"/>
      <c r="G3655" s="816"/>
      <c r="H3655" s="71"/>
      <c r="I3655" s="405"/>
      <c r="J3655" s="405"/>
      <c r="K3655" s="398"/>
      <c r="L3655" s="405"/>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ht="15.75" customHeight="1">
      <c r="A3656" s="327" t="str">
        <f>IF(B3656&lt;&gt;"",IF(AND(B3656='IN-TC'!$S$4,OR(TH!N3656="1111",TH!O3656="1111")),TH!D3656,""),"")</f>
        <v/>
      </c>
      <c r="B3656" s="62" t="str">
        <f t="shared" si="398"/>
        <v/>
      </c>
      <c r="C3656" s="63"/>
      <c r="D3656" s="63"/>
      <c r="E3656" s="63"/>
      <c r="F3656" s="71"/>
      <c r="G3656" s="66"/>
      <c r="H3656" s="71"/>
      <c r="I3656" s="405"/>
      <c r="J3656" s="405"/>
      <c r="K3656" s="398"/>
      <c r="L3656" s="405"/>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ht="15.75" customHeight="1">
      <c r="A3657" s="327" t="str">
        <f>IF(B3657&lt;&gt;"",IF(AND(B3657='IN-TC'!$S$4,OR(TH!N3657="1111",TH!O3657="1111")),TH!D3657,""),"")</f>
        <v/>
      </c>
      <c r="B3657" s="62" t="str">
        <f t="shared" si="398"/>
        <v/>
      </c>
      <c r="C3657" s="63"/>
      <c r="D3657" s="63"/>
      <c r="E3657" s="63"/>
      <c r="F3657" s="71"/>
      <c r="G3657" s="66"/>
      <c r="H3657" s="71"/>
      <c r="I3657" s="405"/>
      <c r="J3657" s="405"/>
      <c r="K3657" s="398"/>
      <c r="L3657" s="405"/>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ht="15.75" customHeight="1">
      <c r="A3658" s="327" t="str">
        <f>IF(B3658&lt;&gt;"",IF(AND(B3658='IN-TC'!$S$4,OR(TH!N3658="1111",TH!O3658="1111")),TH!D3658,""),"")</f>
        <v/>
      </c>
      <c r="B3658" s="62" t="str">
        <f t="shared" si="398"/>
        <v/>
      </c>
      <c r="C3658" s="63"/>
      <c r="D3658" s="63"/>
      <c r="E3658" s="63"/>
      <c r="F3658" s="71"/>
      <c r="G3658" s="816"/>
      <c r="H3658" s="71"/>
      <c r="I3658" s="405"/>
      <c r="J3658" s="405"/>
      <c r="K3658" s="398"/>
      <c r="L3658" s="405"/>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ht="15.75" customHeight="1">
      <c r="A3659" s="327" t="str">
        <f>IF(B3659&lt;&gt;"",IF(AND(B3659='IN-TC'!$S$4,OR(TH!N3659="1111",TH!O3659="1111")),TH!D3659,""),"")</f>
        <v/>
      </c>
      <c r="B3659" s="62" t="str">
        <f t="shared" si="398"/>
        <v/>
      </c>
      <c r="C3659" s="63"/>
      <c r="D3659" s="63"/>
      <c r="E3659" s="63"/>
      <c r="F3659" s="71"/>
      <c r="G3659" s="66"/>
      <c r="H3659" s="71"/>
      <c r="I3659" s="405"/>
      <c r="J3659" s="405"/>
      <c r="K3659" s="398"/>
      <c r="L3659" s="405"/>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ht="15.75" customHeight="1">
      <c r="A3660" s="327" t="str">
        <f>IF(B3660&lt;&gt;"",IF(AND(B3660='IN-TC'!$S$4,OR(TH!N3660="1111",TH!O3660="1111")),TH!D3660,""),"")</f>
        <v/>
      </c>
      <c r="B3660" s="62" t="str">
        <f t="shared" si="398"/>
        <v/>
      </c>
      <c r="C3660" s="63"/>
      <c r="D3660" s="63"/>
      <c r="E3660" s="63"/>
      <c r="F3660" s="71"/>
      <c r="G3660" s="66"/>
      <c r="H3660" s="71"/>
      <c r="I3660" s="405"/>
      <c r="J3660" s="405"/>
      <c r="K3660" s="398"/>
      <c r="L3660" s="405"/>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ht="15.75" customHeight="1">
      <c r="A3661" s="327" t="str">
        <f>IF(B3661&lt;&gt;"",IF(AND(B3661='IN-TC'!$S$4,OR(TH!N3661="1111",TH!O3661="1111")),TH!D3661,""),"")</f>
        <v/>
      </c>
      <c r="B3661" s="62" t="str">
        <f t="shared" si="398"/>
        <v/>
      </c>
      <c r="C3661" s="63"/>
      <c r="D3661" s="63"/>
      <c r="E3661" s="63"/>
      <c r="F3661" s="477"/>
      <c r="G3661" s="66"/>
      <c r="H3661" s="71"/>
      <c r="I3661" s="405"/>
      <c r="J3661" s="405"/>
      <c r="K3661" s="398"/>
      <c r="L3661" s="405"/>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ht="15.75" customHeight="1">
      <c r="A3662" s="327" t="str">
        <f>IF(B3662&lt;&gt;"",IF(AND(B3662='IN-TC'!$S$4,OR(TH!N3662="1111",TH!O3662="1111")),TH!D3662,""),"")</f>
        <v/>
      </c>
      <c r="B3662" s="62" t="str">
        <f t="shared" si="398"/>
        <v/>
      </c>
      <c r="C3662" s="63"/>
      <c r="D3662" s="63"/>
      <c r="E3662" s="63"/>
      <c r="F3662" s="71"/>
      <c r="G3662" s="66"/>
      <c r="H3662" s="71"/>
      <c r="I3662" s="405"/>
      <c r="J3662" s="405"/>
      <c r="K3662" s="398"/>
      <c r="L3662" s="405"/>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ht="15.75" customHeight="1">
      <c r="A3663" s="327" t="str">
        <f>IF(B3663&lt;&gt;"",IF(AND(B3663='IN-TC'!$S$4,OR(TH!N3663="1111",TH!O3663="1111")),TH!D3663,""),"")</f>
        <v/>
      </c>
      <c r="B3663" s="62" t="str">
        <f t="shared" si="398"/>
        <v/>
      </c>
      <c r="C3663" s="63"/>
      <c r="D3663" s="63"/>
      <c r="E3663" s="63"/>
      <c r="F3663" s="71"/>
      <c r="G3663" s="66"/>
      <c r="H3663" s="71"/>
      <c r="I3663" s="405"/>
      <c r="J3663" s="405"/>
      <c r="K3663" s="398"/>
      <c r="L3663" s="405"/>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ht="15.75" customHeight="1">
      <c r="A3664" s="327" t="str">
        <f>IF(B3664&lt;&gt;"",IF(AND(B3664='IN-TC'!$S$4,OR(TH!N3664="1111",TH!O3664="1111")),TH!D3664,""),"")</f>
        <v/>
      </c>
      <c r="B3664" s="62" t="str">
        <f t="shared" si="398"/>
        <v/>
      </c>
      <c r="C3664" s="63"/>
      <c r="D3664" s="63"/>
      <c r="E3664" s="63"/>
      <c r="F3664" s="71"/>
      <c r="G3664" s="66"/>
      <c r="H3664" s="71"/>
      <c r="I3664" s="405"/>
      <c r="J3664" s="405"/>
      <c r="K3664" s="398"/>
      <c r="L3664" s="405"/>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ht="15.75" customHeight="1">
      <c r="A3665" s="327" t="str">
        <f>IF(B3665&lt;&gt;"",IF(AND(B3665='IN-TC'!$S$4,OR(TH!N3665="1111",TH!O3665="1111")),TH!D3665,""),"")</f>
        <v/>
      </c>
      <c r="B3665" s="62" t="str">
        <f t="shared" si="398"/>
        <v/>
      </c>
      <c r="C3665" s="63"/>
      <c r="D3665" s="63"/>
      <c r="E3665" s="63"/>
      <c r="F3665" s="71"/>
      <c r="G3665" s="66"/>
      <c r="H3665" s="71"/>
      <c r="I3665" s="405"/>
      <c r="J3665" s="405"/>
      <c r="K3665" s="398"/>
      <c r="L3665" s="405"/>
      <c r="M3665" s="64"/>
      <c r="N3665" s="65"/>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ht="15.75" customHeight="1">
      <c r="A3666" s="327" t="str">
        <f>IF(B3666&lt;&gt;"",IF(AND(B3666='IN-TC'!$S$4,OR(TH!N3666="1111",TH!O3666="1111")),TH!D3666,""),"")</f>
        <v/>
      </c>
      <c r="B3666" s="62" t="str">
        <f t="shared" si="398"/>
        <v/>
      </c>
      <c r="C3666" s="63"/>
      <c r="D3666" s="63"/>
      <c r="E3666" s="63"/>
      <c r="F3666" s="71"/>
      <c r="G3666" s="66"/>
      <c r="H3666" s="71"/>
      <c r="I3666" s="405"/>
      <c r="J3666" s="405"/>
      <c r="K3666" s="398"/>
      <c r="L3666" s="405"/>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ht="15.75" customHeight="1">
      <c r="A3667" s="327" t="str">
        <f>IF(B3667&lt;&gt;"",IF(AND(B3667='IN-TC'!$S$4,OR(TH!N3667="1111",TH!O3667="1111")),TH!D3667,""),"")</f>
        <v/>
      </c>
      <c r="B3667" s="62" t="str">
        <f t="shared" si="398"/>
        <v/>
      </c>
      <c r="C3667" s="63"/>
      <c r="D3667" s="63"/>
      <c r="E3667" s="63"/>
      <c r="F3667" s="71"/>
      <c r="G3667" s="66"/>
      <c r="H3667" s="71"/>
      <c r="I3667" s="405"/>
      <c r="J3667" s="405"/>
      <c r="K3667" s="398"/>
      <c r="L3667" s="405"/>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ht="15.75" customHeight="1">
      <c r="A3668" s="327" t="str">
        <f>IF(B3668&lt;&gt;"",IF(AND(B3668='IN-TC'!$S$4,OR(TH!N3668="1111",TH!O3668="1111")),TH!D3668,""),"")</f>
        <v/>
      </c>
      <c r="B3668" s="62" t="str">
        <f t="shared" si="398"/>
        <v/>
      </c>
      <c r="C3668" s="63"/>
      <c r="D3668" s="63"/>
      <c r="E3668" s="63"/>
      <c r="F3668" s="71"/>
      <c r="G3668" s="66"/>
      <c r="H3668" s="71"/>
      <c r="I3668" s="405"/>
      <c r="J3668" s="405"/>
      <c r="K3668" s="398"/>
      <c r="L3668" s="405"/>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ht="15.75" customHeight="1">
      <c r="A3669" s="327" t="str">
        <f>IF(B3669&lt;&gt;"",IF(AND(B3669='IN-TC'!$S$4,OR(TH!N3669="1111",TH!O3669="1111")),TH!D3669,""),"")</f>
        <v/>
      </c>
      <c r="B3669" s="62" t="str">
        <f t="shared" si="398"/>
        <v/>
      </c>
      <c r="C3669" s="63"/>
      <c r="D3669" s="63"/>
      <c r="E3669" s="63"/>
      <c r="F3669" s="71"/>
      <c r="G3669" s="66"/>
      <c r="H3669" s="71"/>
      <c r="I3669" s="405"/>
      <c r="J3669" s="405"/>
      <c r="K3669" s="398"/>
      <c r="L3669" s="405"/>
      <c r="M3669" s="64"/>
      <c r="N3669" s="65"/>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ht="15.75" customHeight="1">
      <c r="A3670" s="327" t="str">
        <f>IF(B3670&lt;&gt;"",IF(AND(B3670='IN-TC'!$S$4,OR(TH!N3670="1111",TH!O3670="1111")),TH!D3670,""),"")</f>
        <v/>
      </c>
      <c r="B3670" s="62" t="str">
        <f t="shared" ref="B3670:B3733" si="399">IF(C3670&lt;&gt;"",MONTH(C3670),"")</f>
        <v/>
      </c>
      <c r="C3670" s="63"/>
      <c r="D3670" s="63"/>
      <c r="E3670" s="63"/>
      <c r="F3670" s="71"/>
      <c r="G3670" s="66"/>
      <c r="H3670" s="71"/>
      <c r="I3670" s="405"/>
      <c r="J3670" s="405"/>
      <c r="K3670" s="398"/>
      <c r="L3670" s="405"/>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ht="15.75" customHeight="1">
      <c r="A3671" s="327" t="str">
        <f>IF(B3671&lt;&gt;"",IF(AND(B3671='IN-TC'!$S$4,OR(TH!N3671="1111",TH!O3671="1111")),TH!D3671,""),"")</f>
        <v/>
      </c>
      <c r="B3671" s="62" t="str">
        <f t="shared" si="399"/>
        <v/>
      </c>
      <c r="C3671" s="63"/>
      <c r="D3671" s="63"/>
      <c r="E3671" s="63"/>
      <c r="F3671" s="71"/>
      <c r="G3671" s="66"/>
      <c r="H3671" s="71"/>
      <c r="I3671" s="405"/>
      <c r="J3671" s="405"/>
      <c r="K3671" s="398"/>
      <c r="L3671" s="405"/>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ht="15.75" customHeight="1">
      <c r="A3672" s="327" t="str">
        <f>IF(B3672&lt;&gt;"",IF(AND(B3672='IN-TC'!$S$4,OR(TH!N3672="1111",TH!O3672="1111")),TH!D3672,""),"")</f>
        <v/>
      </c>
      <c r="B3672" s="62" t="str">
        <f t="shared" si="399"/>
        <v/>
      </c>
      <c r="C3672" s="63"/>
      <c r="D3672" s="63"/>
      <c r="E3672" s="63"/>
      <c r="F3672" s="71"/>
      <c r="G3672" s="66"/>
      <c r="H3672" s="71"/>
      <c r="I3672" s="405"/>
      <c r="J3672" s="405"/>
      <c r="K3672" s="398"/>
      <c r="L3672" s="405"/>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ht="15.75" customHeight="1">
      <c r="A3673" s="327" t="str">
        <f>IF(B3673&lt;&gt;"",IF(AND(B3673='IN-TC'!$S$4,OR(TH!N3673="1111",TH!O3673="1111")),TH!D3673,""),"")</f>
        <v/>
      </c>
      <c r="B3673" s="62" t="str">
        <f t="shared" si="399"/>
        <v/>
      </c>
      <c r="C3673" s="63"/>
      <c r="D3673" s="63"/>
      <c r="E3673" s="63"/>
      <c r="F3673" s="71"/>
      <c r="G3673" s="66"/>
      <c r="H3673" s="71"/>
      <c r="I3673" s="405"/>
      <c r="J3673" s="405"/>
      <c r="K3673" s="398"/>
      <c r="L3673" s="405"/>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ht="15.75" customHeight="1">
      <c r="A3674" s="327" t="str">
        <f>IF(B3674&lt;&gt;"",IF(AND(B3674='IN-TC'!$S$4,OR(TH!N3674="1111",TH!O3674="1111")),TH!D3674,""),"")</f>
        <v/>
      </c>
      <c r="B3674" s="62" t="str">
        <f t="shared" si="399"/>
        <v/>
      </c>
      <c r="C3674" s="63"/>
      <c r="D3674" s="63"/>
      <c r="E3674" s="63"/>
      <c r="F3674" s="71"/>
      <c r="G3674" s="66"/>
      <c r="H3674" s="71"/>
      <c r="I3674" s="405"/>
      <c r="J3674" s="405"/>
      <c r="K3674" s="398"/>
      <c r="L3674" s="405"/>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ht="15.75" customHeight="1">
      <c r="A3675" s="327" t="str">
        <f>IF(B3675&lt;&gt;"",IF(AND(B3675='IN-TC'!$S$4,OR(TH!N3675="1111",TH!O3675="1111")),TH!D3675,""),"")</f>
        <v/>
      </c>
      <c r="B3675" s="62" t="str">
        <f t="shared" si="399"/>
        <v/>
      </c>
      <c r="C3675" s="63"/>
      <c r="D3675" s="63"/>
      <c r="E3675" s="63"/>
      <c r="F3675" s="71"/>
      <c r="G3675" s="66"/>
      <c r="H3675" s="71"/>
      <c r="I3675" s="405"/>
      <c r="J3675" s="405"/>
      <c r="K3675" s="398"/>
      <c r="L3675" s="405"/>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ht="15.75" customHeight="1">
      <c r="A3676" s="327" t="str">
        <f>IF(B3676&lt;&gt;"",IF(AND(B3676='IN-TC'!$S$4,OR(TH!N3676="1111",TH!O3676="1111")),TH!D3676,""),"")</f>
        <v/>
      </c>
      <c r="B3676" s="62" t="str">
        <f t="shared" si="399"/>
        <v/>
      </c>
      <c r="C3676" s="63"/>
      <c r="D3676" s="63"/>
      <c r="E3676" s="63"/>
      <c r="F3676" s="71"/>
      <c r="G3676" s="66"/>
      <c r="H3676" s="71"/>
      <c r="I3676" s="405"/>
      <c r="J3676" s="405"/>
      <c r="K3676" s="398"/>
      <c r="L3676" s="405"/>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ht="15.75" customHeight="1">
      <c r="A3677" s="327" t="str">
        <f>IF(B3677&lt;&gt;"",IF(AND(B3677='IN-TC'!$S$4,OR(TH!N3677="1111",TH!O3677="1111")),TH!D3677,""),"")</f>
        <v/>
      </c>
      <c r="B3677" s="62" t="str">
        <f t="shared" si="399"/>
        <v/>
      </c>
      <c r="C3677" s="63"/>
      <c r="D3677" s="63"/>
      <c r="E3677" s="63"/>
      <c r="F3677" s="71"/>
      <c r="G3677" s="66"/>
      <c r="H3677" s="71"/>
      <c r="I3677" s="405"/>
      <c r="J3677" s="405"/>
      <c r="K3677" s="398"/>
      <c r="L3677" s="405"/>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ht="15.75" customHeight="1">
      <c r="A3678" s="327" t="str">
        <f>IF(B3678&lt;&gt;"",IF(AND(B3678='IN-TC'!$S$4,OR(TH!N3678="1111",TH!O3678="1111")),TH!D3678,""),"")</f>
        <v/>
      </c>
      <c r="B3678" s="62" t="str">
        <f t="shared" si="399"/>
        <v/>
      </c>
      <c r="C3678" s="63"/>
      <c r="D3678" s="63"/>
      <c r="E3678" s="63"/>
      <c r="F3678" s="71"/>
      <c r="G3678" s="66"/>
      <c r="H3678" s="71"/>
      <c r="I3678" s="405"/>
      <c r="J3678" s="405"/>
      <c r="K3678" s="398"/>
      <c r="L3678" s="405"/>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ht="15.75" customHeight="1">
      <c r="A3679" s="327" t="str">
        <f>IF(B3679&lt;&gt;"",IF(AND(B3679='IN-TC'!$S$4,OR(TH!N3679="1111",TH!O3679="1111")),TH!D3679,""),"")</f>
        <v/>
      </c>
      <c r="B3679" s="62" t="str">
        <f t="shared" si="399"/>
        <v/>
      </c>
      <c r="C3679" s="63"/>
      <c r="D3679" s="63"/>
      <c r="E3679" s="63"/>
      <c r="F3679" s="477"/>
      <c r="G3679" s="66"/>
      <c r="H3679" s="71"/>
      <c r="I3679" s="405"/>
      <c r="J3679" s="405"/>
      <c r="K3679" s="398"/>
      <c r="L3679" s="405"/>
      <c r="M3679" s="64"/>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ht="15.75" customHeight="1">
      <c r="A3680" s="327" t="str">
        <f>IF(B3680&lt;&gt;"",IF(AND(B3680='IN-TC'!$S$4,OR(TH!N3680="1111",TH!O3680="1111")),TH!D3680,""),"")</f>
        <v/>
      </c>
      <c r="B3680" s="62" t="str">
        <f t="shared" si="399"/>
        <v/>
      </c>
      <c r="C3680" s="63"/>
      <c r="D3680" s="63"/>
      <c r="E3680" s="63"/>
      <c r="F3680" s="71"/>
      <c r="G3680" s="816"/>
      <c r="H3680" s="71"/>
      <c r="I3680" s="405"/>
      <c r="J3680" s="405"/>
      <c r="K3680" s="398"/>
      <c r="L3680" s="405"/>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ht="15.75" customHeight="1">
      <c r="A3681" s="327" t="str">
        <f>IF(B3681&lt;&gt;"",IF(AND(B3681='IN-TC'!$S$4,OR(TH!N3681="1111",TH!O3681="1111")),TH!D3681,""),"")</f>
        <v/>
      </c>
      <c r="B3681" s="62" t="str">
        <f t="shared" si="399"/>
        <v/>
      </c>
      <c r="C3681" s="63"/>
      <c r="D3681" s="63"/>
      <c r="E3681" s="63"/>
      <c r="F3681" s="71"/>
      <c r="G3681" s="816"/>
      <c r="H3681" s="71"/>
      <c r="I3681" s="405"/>
      <c r="J3681" s="405"/>
      <c r="K3681" s="398"/>
      <c r="L3681" s="405"/>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ht="15.75" customHeight="1">
      <c r="A3682" s="327" t="str">
        <f>IF(B3682&lt;&gt;"",IF(AND(B3682='IN-TC'!$S$4,OR(TH!N3682="1111",TH!O3682="1111")),TH!D3682,""),"")</f>
        <v/>
      </c>
      <c r="B3682" s="62" t="str">
        <f t="shared" si="399"/>
        <v/>
      </c>
      <c r="C3682" s="63"/>
      <c r="D3682" s="63"/>
      <c r="E3682" s="63"/>
      <c r="F3682" s="71"/>
      <c r="G3682" s="816"/>
      <c r="H3682" s="71"/>
      <c r="I3682" s="405"/>
      <c r="J3682" s="405"/>
      <c r="K3682" s="398"/>
      <c r="L3682" s="405"/>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ht="15.75" customHeight="1">
      <c r="A3683" s="327" t="str">
        <f>IF(B3683&lt;&gt;"",IF(AND(B3683='IN-TC'!$S$4,OR(TH!N3683="1111",TH!O3683="1111")),TH!D3683,""),"")</f>
        <v/>
      </c>
      <c r="B3683" s="62" t="str">
        <f t="shared" si="399"/>
        <v/>
      </c>
      <c r="C3683" s="63"/>
      <c r="D3683" s="63"/>
      <c r="E3683" s="63"/>
      <c r="F3683" s="71"/>
      <c r="G3683" s="816"/>
      <c r="H3683" s="71"/>
      <c r="I3683" s="405"/>
      <c r="J3683" s="405"/>
      <c r="K3683" s="398"/>
      <c r="L3683" s="405"/>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ht="15.75" customHeight="1">
      <c r="A3684" s="327" t="str">
        <f>IF(B3684&lt;&gt;"",IF(AND(B3684='IN-TC'!$S$4,OR(TH!N3684="1111",TH!O3684="1111")),TH!D3684,""),"")</f>
        <v/>
      </c>
      <c r="B3684" s="62" t="str">
        <f t="shared" si="399"/>
        <v/>
      </c>
      <c r="C3684" s="63"/>
      <c r="D3684" s="63"/>
      <c r="E3684" s="63"/>
      <c r="F3684" s="71"/>
      <c r="G3684" s="816"/>
      <c r="H3684" s="71"/>
      <c r="I3684" s="405"/>
      <c r="J3684" s="405"/>
      <c r="K3684" s="398"/>
      <c r="L3684" s="405"/>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ht="15.75" customHeight="1">
      <c r="A3685" s="327" t="str">
        <f>IF(B3685&lt;&gt;"",IF(AND(B3685='IN-TC'!$S$4,OR(TH!N3685="1111",TH!O3685="1111")),TH!D3685,""),"")</f>
        <v/>
      </c>
      <c r="B3685" s="62" t="str">
        <f t="shared" si="399"/>
        <v/>
      </c>
      <c r="C3685" s="63"/>
      <c r="D3685" s="63"/>
      <c r="E3685" s="63"/>
      <c r="F3685" s="71"/>
      <c r="G3685" s="816"/>
      <c r="H3685" s="71"/>
      <c r="I3685" s="405"/>
      <c r="J3685" s="405"/>
      <c r="K3685" s="398"/>
      <c r="L3685" s="405"/>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ht="15.75" customHeight="1">
      <c r="A3686" s="327" t="str">
        <f>IF(B3686&lt;&gt;"",IF(AND(B3686='IN-TC'!$S$4,OR(TH!N3686="1111",TH!O3686="1111")),TH!D3686,""),"")</f>
        <v/>
      </c>
      <c r="B3686" s="62" t="str">
        <f t="shared" si="399"/>
        <v/>
      </c>
      <c r="C3686" s="63"/>
      <c r="D3686" s="63"/>
      <c r="E3686" s="63"/>
      <c r="F3686" s="71"/>
      <c r="G3686" s="66"/>
      <c r="H3686" s="71"/>
      <c r="I3686" s="405"/>
      <c r="J3686" s="405"/>
      <c r="K3686" s="398"/>
      <c r="L3686" s="405"/>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ht="15.75" customHeight="1">
      <c r="A3687" s="327" t="str">
        <f>IF(B3687&lt;&gt;"",IF(AND(B3687='IN-TC'!$S$4,OR(TH!N3687="1111",TH!O3687="1111")),TH!D3687,""),"")</f>
        <v/>
      </c>
      <c r="B3687" s="62" t="str">
        <f t="shared" si="399"/>
        <v/>
      </c>
      <c r="C3687" s="63"/>
      <c r="D3687" s="63"/>
      <c r="E3687" s="63"/>
      <c r="F3687" s="71"/>
      <c r="G3687" s="66"/>
      <c r="H3687" s="71"/>
      <c r="I3687" s="405"/>
      <c r="J3687" s="405"/>
      <c r="K3687" s="398"/>
      <c r="L3687" s="405"/>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ht="15.75" customHeight="1">
      <c r="A3688" s="327" t="str">
        <f>IF(B3688&lt;&gt;"",IF(AND(B3688='IN-TC'!$S$4,OR(TH!N3688="1111",TH!O3688="1111")),TH!D3688,""),"")</f>
        <v/>
      </c>
      <c r="B3688" s="62" t="str">
        <f t="shared" si="399"/>
        <v/>
      </c>
      <c r="C3688" s="63"/>
      <c r="D3688" s="63"/>
      <c r="E3688" s="63"/>
      <c r="F3688" s="71"/>
      <c r="G3688" s="66"/>
      <c r="H3688" s="71"/>
      <c r="I3688" s="405"/>
      <c r="J3688" s="405"/>
      <c r="K3688" s="398"/>
      <c r="L3688" s="405"/>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ht="15.75" customHeight="1">
      <c r="A3689" s="327" t="str">
        <f>IF(B3689&lt;&gt;"",IF(AND(B3689='IN-TC'!$S$4,OR(TH!N3689="1111",TH!O3689="1111")),TH!D3689,""),"")</f>
        <v/>
      </c>
      <c r="B3689" s="62" t="str">
        <f t="shared" si="399"/>
        <v/>
      </c>
      <c r="C3689" s="63"/>
      <c r="D3689" s="63"/>
      <c r="E3689" s="63"/>
      <c r="F3689" s="71"/>
      <c r="G3689" s="66"/>
      <c r="H3689" s="71"/>
      <c r="I3689" s="405"/>
      <c r="J3689" s="405"/>
      <c r="K3689" s="398"/>
      <c r="L3689" s="405"/>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ht="15.75" customHeight="1">
      <c r="A3690" s="327" t="str">
        <f>IF(B3690&lt;&gt;"",IF(AND(B3690='IN-TC'!$S$4,OR(TH!N3690="1111",TH!O3690="1111")),TH!D3690,""),"")</f>
        <v/>
      </c>
      <c r="B3690" s="62" t="str">
        <f t="shared" si="399"/>
        <v/>
      </c>
      <c r="C3690" s="63"/>
      <c r="D3690" s="63"/>
      <c r="E3690" s="63"/>
      <c r="F3690" s="71"/>
      <c r="G3690" s="66"/>
      <c r="H3690" s="71"/>
      <c r="I3690" s="405"/>
      <c r="J3690" s="405"/>
      <c r="K3690" s="398"/>
      <c r="L3690" s="405"/>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ht="15.75" customHeight="1">
      <c r="A3691" s="327" t="str">
        <f>IF(B3691&lt;&gt;"",IF(AND(B3691='IN-TC'!$S$4,OR(TH!N3691="1111",TH!O3691="1111")),TH!D3691,""),"")</f>
        <v/>
      </c>
      <c r="B3691" s="62" t="str">
        <f t="shared" si="399"/>
        <v/>
      </c>
      <c r="C3691" s="63"/>
      <c r="D3691" s="63"/>
      <c r="E3691" s="63"/>
      <c r="F3691" s="71"/>
      <c r="G3691" s="66"/>
      <c r="H3691" s="71"/>
      <c r="I3691" s="405"/>
      <c r="J3691" s="405"/>
      <c r="K3691" s="398"/>
      <c r="L3691" s="405"/>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ht="15.75" customHeight="1">
      <c r="A3692" s="327" t="str">
        <f>IF(B3692&lt;&gt;"",IF(AND(B3692='IN-TC'!$S$4,OR(TH!N3692="1111",TH!O3692="1111")),TH!D3692,""),"")</f>
        <v/>
      </c>
      <c r="B3692" s="62" t="str">
        <f t="shared" si="399"/>
        <v/>
      </c>
      <c r="C3692" s="63"/>
      <c r="D3692" s="63"/>
      <c r="E3692" s="63"/>
      <c r="F3692" s="71"/>
      <c r="G3692" s="66"/>
      <c r="H3692" s="71"/>
      <c r="I3692" s="405"/>
      <c r="J3692" s="405"/>
      <c r="K3692" s="398"/>
      <c r="L3692" s="405"/>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ht="15.75" customHeight="1">
      <c r="A3693" s="327" t="str">
        <f>IF(B3693&lt;&gt;"",IF(AND(B3693='IN-TC'!$S$4,OR(TH!N3693="1111",TH!O3693="1111")),TH!D3693,""),"")</f>
        <v/>
      </c>
      <c r="B3693" s="62" t="str">
        <f t="shared" si="399"/>
        <v/>
      </c>
      <c r="C3693" s="63"/>
      <c r="D3693" s="63"/>
      <c r="E3693" s="63"/>
      <c r="F3693" s="71"/>
      <c r="G3693" s="66"/>
      <c r="H3693" s="71"/>
      <c r="I3693" s="405"/>
      <c r="J3693" s="405"/>
      <c r="K3693" s="398"/>
      <c r="L3693" s="405"/>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ht="15.75" customHeight="1">
      <c r="A3694" s="327" t="str">
        <f>IF(B3694&lt;&gt;"",IF(AND(B3694='IN-TC'!$S$4,OR(TH!N3694="1111",TH!O3694="1111")),TH!D3694,""),"")</f>
        <v/>
      </c>
      <c r="B3694" s="62" t="str">
        <f t="shared" si="399"/>
        <v/>
      </c>
      <c r="C3694" s="63"/>
      <c r="D3694" s="63"/>
      <c r="E3694" s="63"/>
      <c r="F3694" s="71"/>
      <c r="G3694" s="66"/>
      <c r="H3694" s="71"/>
      <c r="I3694" s="405"/>
      <c r="J3694" s="405"/>
      <c r="K3694" s="398"/>
      <c r="L3694" s="405"/>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ht="15.75" customHeight="1">
      <c r="A3695" s="327" t="str">
        <f>IF(B3695&lt;&gt;"",IF(AND(B3695='IN-TC'!$S$4,OR(TH!N3695="1111",TH!O3695="1111")),TH!D3695,""),"")</f>
        <v/>
      </c>
      <c r="B3695" s="62" t="str">
        <f t="shared" si="399"/>
        <v/>
      </c>
      <c r="C3695" s="63"/>
      <c r="D3695" s="63"/>
      <c r="E3695" s="63"/>
      <c r="F3695" s="71"/>
      <c r="G3695" s="66"/>
      <c r="H3695" s="71"/>
      <c r="I3695" s="405"/>
      <c r="J3695" s="405"/>
      <c r="K3695" s="398"/>
      <c r="L3695" s="405"/>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ht="15.75" customHeight="1">
      <c r="A3696" s="327" t="str">
        <f>IF(B3696&lt;&gt;"",IF(AND(B3696='IN-TC'!$S$4,OR(TH!N3696="1111",TH!O3696="1111")),TH!D3696,""),"")</f>
        <v/>
      </c>
      <c r="B3696" s="62" t="str">
        <f t="shared" si="399"/>
        <v/>
      </c>
      <c r="C3696" s="63"/>
      <c r="D3696" s="63"/>
      <c r="E3696" s="63"/>
      <c r="F3696" s="71"/>
      <c r="G3696" s="66"/>
      <c r="H3696" s="71"/>
      <c r="I3696" s="405"/>
      <c r="J3696" s="405"/>
      <c r="K3696" s="398"/>
      <c r="L3696" s="405"/>
      <c r="M3696" s="64"/>
      <c r="N3696" s="65"/>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ht="15.75" customHeight="1">
      <c r="A3697" s="327" t="str">
        <f>IF(B3697&lt;&gt;"",IF(AND(B3697='IN-TC'!$S$4,OR(TH!N3697="1111",TH!O3697="1111")),TH!D3697,""),"")</f>
        <v/>
      </c>
      <c r="B3697" s="62" t="str">
        <f t="shared" si="399"/>
        <v/>
      </c>
      <c r="C3697" s="63"/>
      <c r="D3697" s="63"/>
      <c r="E3697" s="63"/>
      <c r="F3697" s="71"/>
      <c r="G3697" s="66"/>
      <c r="H3697" s="71"/>
      <c r="I3697" s="405"/>
      <c r="J3697" s="405"/>
      <c r="K3697" s="398"/>
      <c r="L3697" s="405"/>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ht="15.75" customHeight="1">
      <c r="A3698" s="327" t="str">
        <f>IF(B3698&lt;&gt;"",IF(AND(B3698='IN-TC'!$S$4,OR(TH!N3698="1111",TH!O3698="1111")),TH!D3698,""),"")</f>
        <v/>
      </c>
      <c r="B3698" s="62" t="str">
        <f t="shared" si="399"/>
        <v/>
      </c>
      <c r="C3698" s="63"/>
      <c r="D3698" s="63"/>
      <c r="E3698" s="63"/>
      <c r="F3698" s="71"/>
      <c r="G3698" s="66"/>
      <c r="H3698" s="71"/>
      <c r="I3698" s="405"/>
      <c r="J3698" s="405"/>
      <c r="K3698" s="398"/>
      <c r="L3698" s="405"/>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ht="15.75" customHeight="1">
      <c r="A3699" s="327" t="str">
        <f>IF(B3699&lt;&gt;"",IF(AND(B3699='IN-TC'!$S$4,OR(TH!N3699="1111",TH!O3699="1111")),TH!D3699,""),"")</f>
        <v/>
      </c>
      <c r="B3699" s="62" t="str">
        <f t="shared" si="399"/>
        <v/>
      </c>
      <c r="C3699" s="63"/>
      <c r="D3699" s="63"/>
      <c r="E3699" s="63"/>
      <c r="F3699" s="71"/>
      <c r="G3699" s="66"/>
      <c r="H3699" s="71"/>
      <c r="I3699" s="405"/>
      <c r="J3699" s="405"/>
      <c r="K3699" s="398"/>
      <c r="L3699" s="405"/>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ht="15.75" customHeight="1">
      <c r="A3700" s="327" t="str">
        <f>IF(B3700&lt;&gt;"",IF(AND(B3700='IN-TC'!$S$4,OR(TH!N3700="1111",TH!O3700="1111")),TH!D3700,""),"")</f>
        <v/>
      </c>
      <c r="B3700" s="62" t="str">
        <f t="shared" si="399"/>
        <v/>
      </c>
      <c r="C3700" s="63"/>
      <c r="D3700" s="63"/>
      <c r="E3700" s="63"/>
      <c r="F3700" s="71"/>
      <c r="G3700" s="66"/>
      <c r="H3700" s="330"/>
      <c r="I3700" s="405"/>
      <c r="J3700" s="405"/>
      <c r="K3700" s="398"/>
      <c r="L3700" s="405"/>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ht="15.75" customHeight="1">
      <c r="A3701" s="327" t="str">
        <f>IF(B3701&lt;&gt;"",IF(AND(B3701='IN-TC'!$S$4,OR(TH!N3701="1111",TH!O3701="1111")),TH!D3701,""),"")</f>
        <v/>
      </c>
      <c r="B3701" s="62" t="str">
        <f t="shared" si="399"/>
        <v/>
      </c>
      <c r="C3701" s="63"/>
      <c r="D3701" s="63"/>
      <c r="E3701" s="63"/>
      <c r="F3701" s="71"/>
      <c r="G3701" s="66"/>
      <c r="H3701" s="71"/>
      <c r="I3701" s="405"/>
      <c r="J3701" s="405"/>
      <c r="K3701" s="398"/>
      <c r="L3701" s="405"/>
      <c r="M3701" s="64"/>
      <c r="N3701" s="65"/>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ht="15.75" customHeight="1">
      <c r="A3702" s="327" t="str">
        <f>IF(B3702&lt;&gt;"",IF(AND(B3702='IN-TC'!$S$4,OR(TH!N3702="1111",TH!O3702="1111")),TH!D3702,""),"")</f>
        <v/>
      </c>
      <c r="B3702" s="62" t="str">
        <f t="shared" si="399"/>
        <v/>
      </c>
      <c r="C3702" s="63"/>
      <c r="D3702" s="63"/>
      <c r="E3702" s="63"/>
      <c r="F3702" s="71"/>
      <c r="G3702" s="66"/>
      <c r="H3702" s="71"/>
      <c r="I3702" s="405"/>
      <c r="J3702" s="405"/>
      <c r="K3702" s="398"/>
      <c r="L3702" s="405"/>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ht="15.75" customHeight="1">
      <c r="A3703" s="327" t="str">
        <f>IF(B3703&lt;&gt;"",IF(AND(B3703='IN-TC'!$S$4,OR(TH!N3703="1111",TH!O3703="1111")),TH!D3703,""),"")</f>
        <v/>
      </c>
      <c r="B3703" s="62" t="str">
        <f t="shared" si="399"/>
        <v/>
      </c>
      <c r="C3703" s="63"/>
      <c r="D3703" s="63"/>
      <c r="E3703" s="63"/>
      <c r="F3703" s="71"/>
      <c r="G3703" s="66"/>
      <c r="H3703" s="71"/>
      <c r="I3703" s="405"/>
      <c r="J3703" s="405"/>
      <c r="K3703" s="398"/>
      <c r="L3703" s="405"/>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ht="15.75" customHeight="1">
      <c r="A3704" s="327" t="str">
        <f>IF(B3704&lt;&gt;"",IF(AND(B3704='IN-TC'!$S$4,OR(TH!N3704="1111",TH!O3704="1111")),TH!D3704,""),"")</f>
        <v/>
      </c>
      <c r="B3704" s="62" t="str">
        <f t="shared" si="399"/>
        <v/>
      </c>
      <c r="C3704" s="63"/>
      <c r="D3704" s="63"/>
      <c r="E3704" s="63"/>
      <c r="F3704" s="71"/>
      <c r="G3704" s="66"/>
      <c r="H3704" s="71"/>
      <c r="I3704" s="405"/>
      <c r="J3704" s="405"/>
      <c r="K3704" s="398"/>
      <c r="L3704" s="405"/>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ht="15.75" customHeight="1">
      <c r="A3705" s="327" t="str">
        <f>IF(B3705&lt;&gt;"",IF(AND(B3705='IN-TC'!$S$4,OR(TH!N3705="1111",TH!O3705="1111")),TH!D3705,""),"")</f>
        <v/>
      </c>
      <c r="B3705" s="62" t="str">
        <f t="shared" si="399"/>
        <v/>
      </c>
      <c r="C3705" s="63"/>
      <c r="D3705" s="63"/>
      <c r="E3705" s="63"/>
      <c r="F3705" s="71"/>
      <c r="G3705" s="66"/>
      <c r="H3705" s="71"/>
      <c r="I3705" s="405"/>
      <c r="J3705" s="405"/>
      <c r="K3705" s="398"/>
      <c r="L3705" s="405"/>
      <c r="M3705" s="64"/>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ht="15.75" customHeight="1">
      <c r="A3706" s="327" t="str">
        <f>IF(B3706&lt;&gt;"",IF(AND(B3706='IN-TC'!$S$4,OR(TH!N3706="1111",TH!O3706="1111")),TH!D3706,""),"")</f>
        <v/>
      </c>
      <c r="B3706" s="62" t="str">
        <f t="shared" si="399"/>
        <v/>
      </c>
      <c r="C3706" s="63"/>
      <c r="D3706" s="63"/>
      <c r="E3706" s="63"/>
      <c r="F3706" s="71"/>
      <c r="G3706" s="66"/>
      <c r="H3706" s="71"/>
      <c r="I3706" s="405"/>
      <c r="J3706" s="405"/>
      <c r="K3706" s="398"/>
      <c r="L3706" s="405"/>
      <c r="M3706" s="64"/>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ht="15.75" customHeight="1">
      <c r="A3707" s="327" t="str">
        <f>IF(B3707&lt;&gt;"",IF(AND(B3707='IN-TC'!$S$4,OR(TH!N3707="1111",TH!O3707="1111")),TH!D3707,""),"")</f>
        <v/>
      </c>
      <c r="B3707" s="62" t="str">
        <f t="shared" si="399"/>
        <v/>
      </c>
      <c r="C3707" s="63"/>
      <c r="D3707" s="63"/>
      <c r="E3707" s="63"/>
      <c r="F3707" s="71"/>
      <c r="G3707" s="66"/>
      <c r="H3707" s="71"/>
      <c r="I3707" s="405"/>
      <c r="J3707" s="405"/>
      <c r="K3707" s="398"/>
      <c r="L3707" s="405"/>
      <c r="M3707" s="64"/>
      <c r="N3707" s="65"/>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ht="15.75" customHeight="1">
      <c r="A3708" s="327" t="str">
        <f>IF(B3708&lt;&gt;"",IF(AND(B3708='IN-TC'!$S$4,OR(TH!N3708="1111",TH!O3708="1111")),TH!D3708,""),"")</f>
        <v/>
      </c>
      <c r="B3708" s="62" t="str">
        <f t="shared" si="399"/>
        <v/>
      </c>
      <c r="C3708" s="63"/>
      <c r="D3708" s="63"/>
      <c r="E3708" s="63"/>
      <c r="F3708" s="71"/>
      <c r="G3708" s="66"/>
      <c r="H3708" s="71"/>
      <c r="I3708" s="405"/>
      <c r="J3708" s="405"/>
      <c r="K3708" s="398"/>
      <c r="L3708" s="405"/>
      <c r="M3708" s="64"/>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ht="15.75" customHeight="1">
      <c r="A3709" s="327" t="str">
        <f>IF(B3709&lt;&gt;"",IF(AND(B3709='IN-TC'!$S$4,OR(TH!N3709="1111",TH!O3709="1111")),TH!D3709,""),"")</f>
        <v/>
      </c>
      <c r="B3709" s="62" t="str">
        <f t="shared" si="399"/>
        <v/>
      </c>
      <c r="C3709" s="63"/>
      <c r="D3709" s="63"/>
      <c r="E3709" s="63"/>
      <c r="F3709" s="71"/>
      <c r="G3709" s="66"/>
      <c r="H3709" s="71"/>
      <c r="I3709" s="405"/>
      <c r="J3709" s="405"/>
      <c r="K3709" s="398"/>
      <c r="L3709" s="405"/>
      <c r="M3709" s="64"/>
      <c r="N3709" s="65"/>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ht="15.75" customHeight="1">
      <c r="A3710" s="327" t="str">
        <f>IF(B3710&lt;&gt;"",IF(AND(B3710='IN-TC'!$S$4,OR(TH!N3710="1111",TH!O3710="1111")),TH!D3710,""),"")</f>
        <v/>
      </c>
      <c r="B3710" s="62" t="str">
        <f t="shared" si="399"/>
        <v/>
      </c>
      <c r="C3710" s="63"/>
      <c r="D3710" s="63"/>
      <c r="E3710" s="63"/>
      <c r="F3710" s="71"/>
      <c r="G3710" s="66"/>
      <c r="H3710" s="71"/>
      <c r="I3710" s="405"/>
      <c r="J3710" s="405"/>
      <c r="K3710" s="398"/>
      <c r="L3710" s="405"/>
      <c r="M3710" s="64"/>
      <c r="N3710" s="65"/>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ht="15.75" customHeight="1">
      <c r="A3711" s="327" t="str">
        <f>IF(B3711&lt;&gt;"",IF(AND(B3711='IN-TC'!$S$4,OR(TH!N3711="1111",TH!O3711="1111")),TH!D3711,""),"")</f>
        <v/>
      </c>
      <c r="B3711" s="62" t="str">
        <f t="shared" si="399"/>
        <v/>
      </c>
      <c r="C3711" s="63"/>
      <c r="D3711" s="63"/>
      <c r="E3711" s="63"/>
      <c r="F3711" s="71"/>
      <c r="G3711" s="66"/>
      <c r="H3711" s="71"/>
      <c r="I3711" s="405"/>
      <c r="J3711" s="405"/>
      <c r="K3711" s="398"/>
      <c r="L3711" s="405"/>
      <c r="M3711" s="64"/>
      <c r="N3711" s="65"/>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ht="15.75" customHeight="1">
      <c r="A3712" s="327" t="str">
        <f>IF(B3712&lt;&gt;"",IF(AND(B3712='IN-TC'!$S$4,OR(TH!N3712="1111",TH!O3712="1111")),TH!D3712,""),"")</f>
        <v/>
      </c>
      <c r="B3712" s="62" t="str">
        <f t="shared" si="399"/>
        <v/>
      </c>
      <c r="C3712" s="63"/>
      <c r="D3712" s="63"/>
      <c r="E3712" s="63"/>
      <c r="F3712" s="71"/>
      <c r="G3712" s="66"/>
      <c r="H3712" s="71"/>
      <c r="I3712" s="405"/>
      <c r="J3712" s="405"/>
      <c r="K3712" s="398"/>
      <c r="L3712" s="405"/>
      <c r="M3712" s="64"/>
      <c r="N3712" s="65"/>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ht="15.75" customHeight="1">
      <c r="A3713" s="327" t="str">
        <f>IF(B3713&lt;&gt;"",IF(AND(B3713='IN-TC'!$S$4,OR(TH!N3713="1111",TH!O3713="1111")),TH!D3713,""),"")</f>
        <v/>
      </c>
      <c r="B3713" s="62" t="str">
        <f t="shared" si="399"/>
        <v/>
      </c>
      <c r="C3713" s="63"/>
      <c r="D3713" s="63"/>
      <c r="E3713" s="63"/>
      <c r="F3713" s="71"/>
      <c r="G3713" s="816"/>
      <c r="H3713" s="71"/>
      <c r="I3713" s="405"/>
      <c r="J3713" s="405"/>
      <c r="K3713" s="398"/>
      <c r="L3713" s="405"/>
      <c r="M3713" s="64"/>
      <c r="N3713" s="65"/>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ht="15.75" customHeight="1">
      <c r="A3714" s="327" t="str">
        <f>IF(B3714&lt;&gt;"",IF(AND(B3714='IN-TC'!$S$4,OR(TH!N3714="1111",TH!O3714="1111")),TH!D3714,""),"")</f>
        <v/>
      </c>
      <c r="B3714" s="62" t="str">
        <f t="shared" si="399"/>
        <v/>
      </c>
      <c r="C3714" s="63"/>
      <c r="D3714" s="63"/>
      <c r="E3714" s="63"/>
      <c r="F3714" s="71"/>
      <c r="G3714" s="816"/>
      <c r="H3714" s="71"/>
      <c r="I3714" s="405"/>
      <c r="J3714" s="405"/>
      <c r="K3714" s="398"/>
      <c r="L3714" s="405"/>
      <c r="M3714" s="64"/>
      <c r="N3714" s="65"/>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ht="15.75" customHeight="1">
      <c r="A3715" s="327" t="str">
        <f>IF(B3715&lt;&gt;"",IF(AND(B3715='IN-TC'!$S$4,OR(TH!N3715="1111",TH!O3715="1111")),TH!D3715,""),"")</f>
        <v/>
      </c>
      <c r="B3715" s="62" t="str">
        <f t="shared" si="399"/>
        <v/>
      </c>
      <c r="C3715" s="63"/>
      <c r="D3715" s="63"/>
      <c r="E3715" s="63"/>
      <c r="F3715" s="71"/>
      <c r="G3715" s="816"/>
      <c r="H3715" s="71"/>
      <c r="I3715" s="405"/>
      <c r="J3715" s="405"/>
      <c r="K3715" s="398"/>
      <c r="L3715" s="405"/>
      <c r="M3715" s="64"/>
      <c r="N3715" s="65"/>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ht="15.75" customHeight="1">
      <c r="A3716" s="327" t="str">
        <f>IF(B3716&lt;&gt;"",IF(AND(B3716='IN-TC'!$S$4,OR(TH!N3716="1111",TH!O3716="1111")),TH!D3716,""),"")</f>
        <v/>
      </c>
      <c r="B3716" s="62" t="str">
        <f t="shared" si="399"/>
        <v/>
      </c>
      <c r="C3716" s="63"/>
      <c r="D3716" s="63"/>
      <c r="E3716" s="63"/>
      <c r="F3716" s="71"/>
      <c r="G3716" s="66"/>
      <c r="H3716" s="71"/>
      <c r="I3716" s="405"/>
      <c r="J3716" s="405"/>
      <c r="K3716" s="398"/>
      <c r="L3716" s="405"/>
      <c r="M3716" s="64"/>
      <c r="N3716" s="65"/>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ht="15.75" customHeight="1">
      <c r="A3717" s="327" t="str">
        <f>IF(B3717&lt;&gt;"",IF(AND(B3717='IN-TC'!$S$4,OR(TH!N3717="1111",TH!O3717="1111")),TH!D3717,""),"")</f>
        <v/>
      </c>
      <c r="B3717" s="62" t="str">
        <f t="shared" si="399"/>
        <v/>
      </c>
      <c r="C3717" s="63"/>
      <c r="D3717" s="63"/>
      <c r="E3717" s="63"/>
      <c r="F3717" s="71"/>
      <c r="G3717" s="66"/>
      <c r="H3717" s="71"/>
      <c r="I3717" s="405"/>
      <c r="J3717" s="405"/>
      <c r="K3717" s="398"/>
      <c r="L3717" s="405"/>
      <c r="M3717" s="64"/>
      <c r="N3717" s="65"/>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ht="15.75" customHeight="1">
      <c r="A3718" s="327" t="str">
        <f>IF(B3718&lt;&gt;"",IF(AND(B3718='IN-TC'!$S$4,OR(TH!N3718="1111",TH!O3718="1111")),TH!D3718,""),"")</f>
        <v/>
      </c>
      <c r="B3718" s="62" t="str">
        <f t="shared" si="399"/>
        <v/>
      </c>
      <c r="C3718" s="63"/>
      <c r="D3718" s="63"/>
      <c r="E3718" s="63"/>
      <c r="F3718" s="71"/>
      <c r="G3718" s="816"/>
      <c r="H3718" s="71"/>
      <c r="I3718" s="405"/>
      <c r="J3718" s="405"/>
      <c r="K3718" s="398"/>
      <c r="L3718" s="405"/>
      <c r="M3718" s="64"/>
      <c r="N3718" s="65"/>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ht="15.75" customHeight="1">
      <c r="A3719" s="327" t="str">
        <f>IF(B3719&lt;&gt;"",IF(AND(B3719='IN-TC'!$S$4,OR(TH!N3719="1111",TH!O3719="1111")),TH!D3719,""),"")</f>
        <v/>
      </c>
      <c r="B3719" s="62" t="str">
        <f t="shared" si="399"/>
        <v/>
      </c>
      <c r="C3719" s="63"/>
      <c r="D3719" s="63"/>
      <c r="E3719" s="63"/>
      <c r="F3719" s="71"/>
      <c r="G3719" s="816"/>
      <c r="H3719" s="71"/>
      <c r="I3719" s="405"/>
      <c r="J3719" s="405"/>
      <c r="K3719" s="398"/>
      <c r="L3719" s="405"/>
      <c r="M3719" s="64"/>
      <c r="N3719" s="65"/>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ht="15.75" customHeight="1">
      <c r="A3720" s="327" t="str">
        <f>IF(B3720&lt;&gt;"",IF(AND(B3720='IN-TC'!$S$4,OR(TH!N3720="1111",TH!O3720="1111")),TH!D3720,""),"")</f>
        <v/>
      </c>
      <c r="B3720" s="62" t="str">
        <f t="shared" si="399"/>
        <v/>
      </c>
      <c r="C3720" s="63"/>
      <c r="D3720" s="63"/>
      <c r="E3720" s="63"/>
      <c r="F3720" s="71"/>
      <c r="G3720" s="816"/>
      <c r="H3720" s="71"/>
      <c r="I3720" s="405"/>
      <c r="J3720" s="405"/>
      <c r="K3720" s="398"/>
      <c r="L3720" s="405"/>
      <c r="M3720" s="64"/>
      <c r="N3720" s="65"/>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ht="15.75" customHeight="1">
      <c r="A3721" s="327" t="str">
        <f>IF(B3721&lt;&gt;"",IF(AND(B3721='IN-TC'!$S$4,OR(TH!N3721="1111",TH!O3721="1111")),TH!D3721,""),"")</f>
        <v/>
      </c>
      <c r="B3721" s="62" t="str">
        <f t="shared" si="399"/>
        <v/>
      </c>
      <c r="C3721" s="63"/>
      <c r="D3721" s="63"/>
      <c r="E3721" s="63"/>
      <c r="F3721" s="71"/>
      <c r="G3721" s="816"/>
      <c r="H3721" s="71"/>
      <c r="I3721" s="405"/>
      <c r="J3721" s="405"/>
      <c r="K3721" s="398"/>
      <c r="L3721" s="405"/>
      <c r="M3721" s="64"/>
      <c r="N3721" s="65"/>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ht="15.75" customHeight="1">
      <c r="A3722" s="327" t="str">
        <f>IF(B3722&lt;&gt;"",IF(AND(B3722='IN-TC'!$S$4,OR(TH!N3722="1111",TH!O3722="1111")),TH!D3722,""),"")</f>
        <v/>
      </c>
      <c r="B3722" s="62" t="str">
        <f t="shared" si="399"/>
        <v/>
      </c>
      <c r="C3722" s="63"/>
      <c r="D3722" s="63"/>
      <c r="E3722" s="63"/>
      <c r="F3722" s="71"/>
      <c r="G3722" s="816"/>
      <c r="H3722" s="71"/>
      <c r="I3722" s="405"/>
      <c r="J3722" s="405"/>
      <c r="K3722" s="398"/>
      <c r="L3722" s="405"/>
      <c r="M3722" s="64"/>
      <c r="N3722" s="65"/>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ht="15.75" customHeight="1">
      <c r="A3723" s="327" t="str">
        <f>IF(B3723&lt;&gt;"",IF(AND(B3723='IN-TC'!$S$4,OR(TH!N3723="1111",TH!O3723="1111")),TH!D3723,""),"")</f>
        <v/>
      </c>
      <c r="B3723" s="62" t="str">
        <f t="shared" si="399"/>
        <v/>
      </c>
      <c r="C3723" s="63"/>
      <c r="D3723" s="63"/>
      <c r="E3723" s="63"/>
      <c r="F3723" s="71"/>
      <c r="G3723" s="816"/>
      <c r="H3723" s="71"/>
      <c r="I3723" s="405"/>
      <c r="J3723" s="405"/>
      <c r="K3723" s="398"/>
      <c r="L3723" s="405"/>
      <c r="M3723" s="64"/>
      <c r="N3723" s="65"/>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ht="15.75" customHeight="1">
      <c r="A3724" s="327" t="str">
        <f>IF(B3724&lt;&gt;"",IF(AND(B3724='IN-TC'!$S$4,OR(TH!N3724="1111",TH!O3724="1111")),TH!D3724,""),"")</f>
        <v/>
      </c>
      <c r="B3724" s="62" t="str">
        <f t="shared" si="399"/>
        <v/>
      </c>
      <c r="C3724" s="63"/>
      <c r="D3724" s="63"/>
      <c r="E3724" s="63"/>
      <c r="F3724" s="71"/>
      <c r="G3724" s="816"/>
      <c r="H3724" s="71"/>
      <c r="I3724" s="405"/>
      <c r="J3724" s="405"/>
      <c r="K3724" s="398"/>
      <c r="L3724" s="405"/>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ht="15.75" customHeight="1">
      <c r="A3725" s="327" t="str">
        <f>IF(B3725&lt;&gt;"",IF(AND(B3725='IN-TC'!$S$4,OR(TH!N3725="1111",TH!O3725="1111")),TH!D3725,""),"")</f>
        <v/>
      </c>
      <c r="B3725" s="62" t="str">
        <f t="shared" si="399"/>
        <v/>
      </c>
      <c r="C3725" s="63"/>
      <c r="D3725" s="63"/>
      <c r="E3725" s="63"/>
      <c r="F3725" s="71"/>
      <c r="G3725" s="816"/>
      <c r="H3725" s="71"/>
      <c r="I3725" s="405"/>
      <c r="J3725" s="405"/>
      <c r="K3725" s="398"/>
      <c r="L3725" s="405"/>
      <c r="M3725" s="64"/>
      <c r="N3725" s="65"/>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ht="15.75" customHeight="1">
      <c r="A3726" s="327" t="str">
        <f>IF(B3726&lt;&gt;"",IF(AND(B3726='IN-TC'!$S$4,OR(TH!N3726="1111",TH!O3726="1111")),TH!D3726,""),"")</f>
        <v/>
      </c>
      <c r="B3726" s="62" t="str">
        <f t="shared" si="399"/>
        <v/>
      </c>
      <c r="C3726" s="63"/>
      <c r="D3726" s="63"/>
      <c r="E3726" s="63"/>
      <c r="F3726" s="71"/>
      <c r="G3726" s="816"/>
      <c r="H3726" s="71"/>
      <c r="I3726" s="405"/>
      <c r="J3726" s="405"/>
      <c r="K3726" s="398"/>
      <c r="L3726" s="405"/>
      <c r="M3726" s="64"/>
      <c r="N3726" s="65"/>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ht="15.75" customHeight="1">
      <c r="A3727" s="327" t="str">
        <f>IF(B3727&lt;&gt;"",IF(AND(B3727='IN-TC'!$S$4,OR(TH!N3727="1111",TH!O3727="1111")),TH!D3727,""),"")</f>
        <v/>
      </c>
      <c r="B3727" s="62" t="str">
        <f t="shared" si="399"/>
        <v/>
      </c>
      <c r="C3727" s="63"/>
      <c r="D3727" s="63"/>
      <c r="E3727" s="63"/>
      <c r="F3727" s="71"/>
      <c r="G3727" s="816"/>
      <c r="H3727" s="71"/>
      <c r="I3727" s="405"/>
      <c r="J3727" s="405"/>
      <c r="K3727" s="398"/>
      <c r="L3727" s="405"/>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ht="15.75" customHeight="1">
      <c r="A3728" s="327" t="str">
        <f>IF(B3728&lt;&gt;"",IF(AND(B3728='IN-TC'!$S$4,OR(TH!N3728="1111",TH!O3728="1111")),TH!D3728,""),"")</f>
        <v/>
      </c>
      <c r="B3728" s="62" t="str">
        <f t="shared" si="399"/>
        <v/>
      </c>
      <c r="C3728" s="63"/>
      <c r="D3728" s="63"/>
      <c r="E3728" s="63"/>
      <c r="F3728" s="71"/>
      <c r="G3728" s="816"/>
      <c r="H3728" s="71"/>
      <c r="I3728" s="405"/>
      <c r="J3728" s="405"/>
      <c r="K3728" s="398"/>
      <c r="L3728" s="405"/>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ht="15.75" customHeight="1">
      <c r="A3729" s="327" t="str">
        <f>IF(B3729&lt;&gt;"",IF(AND(B3729='IN-TC'!$S$4,OR(TH!N3729="1111",TH!O3729="1111")),TH!D3729,""),"")</f>
        <v/>
      </c>
      <c r="B3729" s="62" t="str">
        <f t="shared" si="399"/>
        <v/>
      </c>
      <c r="C3729" s="63"/>
      <c r="D3729" s="63"/>
      <c r="E3729" s="63"/>
      <c r="F3729" s="71"/>
      <c r="G3729" s="816"/>
      <c r="H3729" s="71"/>
      <c r="I3729" s="405"/>
      <c r="J3729" s="405"/>
      <c r="K3729" s="398"/>
      <c r="L3729" s="405"/>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ht="15.75" customHeight="1">
      <c r="A3730" s="327" t="str">
        <f>IF(B3730&lt;&gt;"",IF(AND(B3730='IN-TC'!$S$4,OR(TH!N3730="1111",TH!O3730="1111")),TH!D3730,""),"")</f>
        <v/>
      </c>
      <c r="B3730" s="62" t="str">
        <f t="shared" si="399"/>
        <v/>
      </c>
      <c r="C3730" s="63"/>
      <c r="D3730" s="63"/>
      <c r="E3730" s="63"/>
      <c r="F3730" s="71"/>
      <c r="G3730" s="816"/>
      <c r="H3730" s="71"/>
      <c r="I3730" s="405"/>
      <c r="J3730" s="405"/>
      <c r="K3730" s="398"/>
      <c r="L3730" s="405"/>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ht="15.75" customHeight="1">
      <c r="A3731" s="327" t="str">
        <f>IF(B3731&lt;&gt;"",IF(AND(B3731='IN-TC'!$S$4,OR(TH!N3731="1111",TH!O3731="1111")),TH!D3731,""),"")</f>
        <v/>
      </c>
      <c r="B3731" s="62" t="str">
        <f t="shared" si="399"/>
        <v/>
      </c>
      <c r="C3731" s="63"/>
      <c r="D3731" s="63"/>
      <c r="E3731" s="63"/>
      <c r="F3731" s="71"/>
      <c r="G3731" s="816"/>
      <c r="H3731" s="71"/>
      <c r="I3731" s="405"/>
      <c r="J3731" s="405"/>
      <c r="K3731" s="398"/>
      <c r="L3731" s="405"/>
      <c r="M3731" s="64"/>
      <c r="N3731" s="65"/>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ht="15.75" customHeight="1">
      <c r="A3732" s="327" t="str">
        <f>IF(B3732&lt;&gt;"",IF(AND(B3732='IN-TC'!$S$4,OR(TH!N3732="1111",TH!O3732="1111")),TH!D3732,""),"")</f>
        <v/>
      </c>
      <c r="B3732" s="62" t="str">
        <f t="shared" si="399"/>
        <v/>
      </c>
      <c r="C3732" s="63"/>
      <c r="D3732" s="63"/>
      <c r="E3732" s="63"/>
      <c r="F3732" s="71"/>
      <c r="G3732" s="66"/>
      <c r="H3732" s="71"/>
      <c r="I3732" s="405"/>
      <c r="J3732" s="405"/>
      <c r="K3732" s="398"/>
      <c r="L3732" s="405"/>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ht="15.75" customHeight="1">
      <c r="A3733" s="327" t="str">
        <f>IF(B3733&lt;&gt;"",IF(AND(B3733='IN-TC'!$S$4,OR(TH!N3733="1111",TH!O3733="1111")),TH!D3733,""),"")</f>
        <v/>
      </c>
      <c r="B3733" s="62" t="str">
        <f t="shared" si="399"/>
        <v/>
      </c>
      <c r="C3733" s="63"/>
      <c r="D3733" s="63"/>
      <c r="E3733" s="63"/>
      <c r="F3733" s="71"/>
      <c r="G3733" s="66"/>
      <c r="H3733" s="71"/>
      <c r="I3733" s="405"/>
      <c r="J3733" s="405"/>
      <c r="K3733" s="398"/>
      <c r="L3733" s="405"/>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ht="15.75" customHeight="1">
      <c r="A3734" s="327" t="str">
        <f>IF(B3734&lt;&gt;"",IF(AND(B3734='IN-TC'!$S$4,OR(TH!N3734="1111",TH!O3734="1111")),TH!D3734,""),"")</f>
        <v/>
      </c>
      <c r="B3734" s="62" t="str">
        <f t="shared" ref="B3734:B3797" si="400">IF(C3734&lt;&gt;"",MONTH(C3734),"")</f>
        <v/>
      </c>
      <c r="C3734" s="63"/>
      <c r="D3734" s="63"/>
      <c r="E3734" s="63"/>
      <c r="F3734" s="71"/>
      <c r="G3734" s="66"/>
      <c r="H3734" s="71"/>
      <c r="I3734" s="405"/>
      <c r="J3734" s="405"/>
      <c r="K3734" s="398"/>
      <c r="L3734" s="405"/>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ht="15.75" customHeight="1">
      <c r="A3735" s="327" t="str">
        <f>IF(B3735&lt;&gt;"",IF(AND(B3735='IN-TC'!$S$4,OR(TH!N3735="1111",TH!O3735="1111")),TH!D3735,""),"")</f>
        <v/>
      </c>
      <c r="B3735" s="62" t="str">
        <f t="shared" si="400"/>
        <v/>
      </c>
      <c r="C3735" s="63"/>
      <c r="D3735" s="63"/>
      <c r="E3735" s="63"/>
      <c r="F3735" s="71"/>
      <c r="G3735" s="66"/>
      <c r="H3735" s="71"/>
      <c r="I3735" s="405"/>
      <c r="J3735" s="405"/>
      <c r="K3735" s="398"/>
      <c r="L3735" s="405"/>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ht="15.75" customHeight="1">
      <c r="A3736" s="327" t="str">
        <f>IF(B3736&lt;&gt;"",IF(AND(B3736='IN-TC'!$S$4,OR(TH!N3736="1111",TH!O3736="1111")),TH!D3736,""),"")</f>
        <v/>
      </c>
      <c r="B3736" s="62" t="str">
        <f t="shared" si="400"/>
        <v/>
      </c>
      <c r="C3736" s="63"/>
      <c r="D3736" s="63"/>
      <c r="E3736" s="63"/>
      <c r="F3736" s="71"/>
      <c r="G3736" s="66"/>
      <c r="H3736" s="71"/>
      <c r="I3736" s="405"/>
      <c r="J3736" s="405"/>
      <c r="K3736" s="398"/>
      <c r="L3736" s="405"/>
      <c r="M3736" s="64"/>
      <c r="N3736" s="65"/>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ht="15.75" customHeight="1">
      <c r="A3737" s="327" t="str">
        <f>IF(B3737&lt;&gt;"",IF(AND(B3737='IN-TC'!$S$4,OR(TH!N3737="1111",TH!O3737="1111")),TH!D3737,""),"")</f>
        <v/>
      </c>
      <c r="B3737" s="62" t="str">
        <f t="shared" si="400"/>
        <v/>
      </c>
      <c r="C3737" s="63"/>
      <c r="D3737" s="63"/>
      <c r="E3737" s="63"/>
      <c r="F3737" s="71"/>
      <c r="G3737" s="66"/>
      <c r="H3737" s="71"/>
      <c r="I3737" s="405"/>
      <c r="J3737" s="405"/>
      <c r="K3737" s="398"/>
      <c r="L3737" s="405"/>
      <c r="M3737" s="64"/>
      <c r="N3737" s="65"/>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ht="15.75" customHeight="1">
      <c r="A3738" s="327" t="str">
        <f>IF(B3738&lt;&gt;"",IF(AND(B3738='IN-TC'!$S$4,OR(TH!N3738="1111",TH!O3738="1111")),TH!D3738,""),"")</f>
        <v/>
      </c>
      <c r="B3738" s="62" t="str">
        <f t="shared" si="400"/>
        <v/>
      </c>
      <c r="C3738" s="63"/>
      <c r="D3738" s="63"/>
      <c r="E3738" s="63"/>
      <c r="F3738" s="71"/>
      <c r="G3738" s="66"/>
      <c r="H3738" s="71"/>
      <c r="I3738" s="405"/>
      <c r="J3738" s="405"/>
      <c r="K3738" s="398"/>
      <c r="L3738" s="405"/>
      <c r="M3738" s="64"/>
      <c r="N3738" s="65"/>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ht="15.75" customHeight="1">
      <c r="A3739" s="327" t="str">
        <f>IF(B3739&lt;&gt;"",IF(AND(B3739='IN-TC'!$S$4,OR(TH!N3739="1111",TH!O3739="1111")),TH!D3739,""),"")</f>
        <v/>
      </c>
      <c r="B3739" s="62" t="str">
        <f t="shared" si="400"/>
        <v/>
      </c>
      <c r="C3739" s="63"/>
      <c r="D3739" s="63"/>
      <c r="E3739" s="63"/>
      <c r="F3739" s="71"/>
      <c r="G3739" s="816"/>
      <c r="H3739" s="71"/>
      <c r="I3739" s="405"/>
      <c r="J3739" s="405"/>
      <c r="K3739" s="398"/>
      <c r="L3739" s="405"/>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ht="15.75" customHeight="1">
      <c r="A3740" s="327" t="str">
        <f>IF(B3740&lt;&gt;"",IF(AND(B3740='IN-TC'!$S$4,OR(TH!N3740="1111",TH!O3740="1111")),TH!D3740,""),"")</f>
        <v/>
      </c>
      <c r="B3740" s="62" t="str">
        <f t="shared" si="400"/>
        <v/>
      </c>
      <c r="C3740" s="63"/>
      <c r="D3740" s="63"/>
      <c r="E3740" s="63"/>
      <c r="F3740" s="71"/>
      <c r="G3740" s="66"/>
      <c r="H3740" s="71"/>
      <c r="I3740" s="405"/>
      <c r="J3740" s="405"/>
      <c r="K3740" s="398"/>
      <c r="L3740" s="405"/>
      <c r="M3740" s="64"/>
      <c r="N3740" s="65"/>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ht="15.75" customHeight="1">
      <c r="A3741" s="327" t="str">
        <f>IF(B3741&lt;&gt;"",IF(AND(B3741='IN-TC'!$S$4,OR(TH!N3741="1111",TH!O3741="1111")),TH!D3741,""),"")</f>
        <v/>
      </c>
      <c r="B3741" s="62" t="str">
        <f t="shared" si="400"/>
        <v/>
      </c>
      <c r="C3741" s="63"/>
      <c r="D3741" s="63"/>
      <c r="E3741" s="63"/>
      <c r="F3741" s="71"/>
      <c r="G3741" s="66"/>
      <c r="H3741" s="71"/>
      <c r="I3741" s="405"/>
      <c r="J3741" s="405"/>
      <c r="K3741" s="398"/>
      <c r="L3741" s="405"/>
      <c r="M3741" s="64"/>
      <c r="N3741" s="65"/>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ht="15.75" customHeight="1">
      <c r="A3742" s="327" t="str">
        <f>IF(B3742&lt;&gt;"",IF(AND(B3742='IN-TC'!$S$4,OR(TH!N3742="1111",TH!O3742="1111")),TH!D3742,""),"")</f>
        <v/>
      </c>
      <c r="B3742" s="62" t="str">
        <f t="shared" si="400"/>
        <v/>
      </c>
      <c r="C3742" s="63"/>
      <c r="D3742" s="63"/>
      <c r="E3742" s="63"/>
      <c r="F3742" s="71"/>
      <c r="G3742" s="66"/>
      <c r="H3742" s="71"/>
      <c r="I3742" s="405"/>
      <c r="J3742" s="405"/>
      <c r="K3742" s="398"/>
      <c r="L3742" s="405"/>
      <c r="M3742" s="64"/>
      <c r="N3742" s="65"/>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ht="15.75" customHeight="1">
      <c r="A3743" s="327" t="str">
        <f>IF(B3743&lt;&gt;"",IF(AND(B3743='IN-TC'!$S$4,OR(TH!N3743="1111",TH!O3743="1111")),TH!D3743,""),"")</f>
        <v/>
      </c>
      <c r="B3743" s="62" t="str">
        <f t="shared" si="400"/>
        <v/>
      </c>
      <c r="C3743" s="63"/>
      <c r="D3743" s="63"/>
      <c r="E3743" s="63"/>
      <c r="F3743" s="71"/>
      <c r="G3743" s="66"/>
      <c r="H3743" s="71"/>
      <c r="I3743" s="405"/>
      <c r="J3743" s="405"/>
      <c r="K3743" s="398"/>
      <c r="L3743" s="405"/>
      <c r="M3743" s="64"/>
      <c r="N3743" s="65"/>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ht="15.75" customHeight="1">
      <c r="A3744" s="327" t="str">
        <f>IF(B3744&lt;&gt;"",IF(AND(B3744='IN-TC'!$S$4,OR(TH!N3744="1111",TH!O3744="1111")),TH!D3744,""),"")</f>
        <v/>
      </c>
      <c r="B3744" s="62" t="str">
        <f t="shared" si="400"/>
        <v/>
      </c>
      <c r="C3744" s="63"/>
      <c r="D3744" s="63"/>
      <c r="E3744" s="63"/>
      <c r="F3744" s="71"/>
      <c r="G3744" s="816"/>
      <c r="H3744" s="71"/>
      <c r="I3744" s="405"/>
      <c r="J3744" s="405"/>
      <c r="K3744" s="398"/>
      <c r="L3744" s="405"/>
      <c r="M3744" s="64"/>
      <c r="N3744" s="65"/>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ht="15.75" customHeight="1">
      <c r="A3745" s="327" t="str">
        <f>IF(B3745&lt;&gt;"",IF(AND(B3745='IN-TC'!$S$4,OR(TH!N3745="1111",TH!O3745="1111")),TH!D3745,""),"")</f>
        <v/>
      </c>
      <c r="B3745" s="62" t="str">
        <f t="shared" si="400"/>
        <v/>
      </c>
      <c r="C3745" s="63"/>
      <c r="D3745" s="63"/>
      <c r="E3745" s="63"/>
      <c r="F3745" s="71"/>
      <c r="G3745" s="816"/>
      <c r="H3745" s="71"/>
      <c r="I3745" s="405"/>
      <c r="J3745" s="405"/>
      <c r="K3745" s="398"/>
      <c r="L3745" s="405"/>
      <c r="M3745" s="64"/>
      <c r="N3745" s="65"/>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ht="15.75" customHeight="1">
      <c r="A3746" s="327" t="str">
        <f>IF(B3746&lt;&gt;"",IF(AND(B3746='IN-TC'!$S$4,OR(TH!N3746="1111",TH!O3746="1111")),TH!D3746,""),"")</f>
        <v/>
      </c>
      <c r="B3746" s="62" t="str">
        <f t="shared" si="400"/>
        <v/>
      </c>
      <c r="C3746" s="63"/>
      <c r="D3746" s="63"/>
      <c r="E3746" s="63"/>
      <c r="F3746" s="71"/>
      <c r="G3746" s="816"/>
      <c r="H3746" s="71"/>
      <c r="I3746" s="405"/>
      <c r="J3746" s="405"/>
      <c r="K3746" s="398"/>
      <c r="L3746" s="405"/>
      <c r="M3746" s="64"/>
      <c r="N3746" s="65"/>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ht="15.75" customHeight="1">
      <c r="A3747" s="327" t="str">
        <f>IF(B3747&lt;&gt;"",IF(AND(B3747='IN-TC'!$S$4,OR(TH!N3747="1111",TH!O3747="1111")),TH!D3747,""),"")</f>
        <v/>
      </c>
      <c r="B3747" s="62" t="str">
        <f t="shared" si="400"/>
        <v/>
      </c>
      <c r="C3747" s="63"/>
      <c r="D3747" s="63"/>
      <c r="E3747" s="63"/>
      <c r="F3747" s="71"/>
      <c r="G3747" s="66"/>
      <c r="H3747" s="71"/>
      <c r="I3747" s="405"/>
      <c r="J3747" s="405"/>
      <c r="K3747" s="398"/>
      <c r="L3747" s="405"/>
      <c r="M3747" s="64"/>
      <c r="N3747" s="65"/>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ht="15.75" customHeight="1">
      <c r="A3748" s="327" t="str">
        <f>IF(B3748&lt;&gt;"",IF(AND(B3748='IN-TC'!$S$4,OR(TH!N3748="1111",TH!O3748="1111")),TH!D3748,""),"")</f>
        <v/>
      </c>
      <c r="B3748" s="62" t="str">
        <f t="shared" si="400"/>
        <v/>
      </c>
      <c r="C3748" s="63"/>
      <c r="D3748" s="63"/>
      <c r="E3748" s="63"/>
      <c r="F3748" s="71"/>
      <c r="G3748" s="66"/>
      <c r="H3748" s="71"/>
      <c r="I3748" s="405"/>
      <c r="J3748" s="405"/>
      <c r="K3748" s="398"/>
      <c r="L3748" s="405"/>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ht="15.75" customHeight="1">
      <c r="A3749" s="327" t="str">
        <f>IF(B3749&lt;&gt;"",IF(AND(B3749='IN-TC'!$S$4,OR(TH!N3749="1111",TH!O3749="1111")),TH!D3749,""),"")</f>
        <v/>
      </c>
      <c r="B3749" s="62" t="str">
        <f t="shared" si="400"/>
        <v/>
      </c>
      <c r="C3749" s="63"/>
      <c r="D3749" s="63"/>
      <c r="E3749" s="63"/>
      <c r="F3749" s="71"/>
      <c r="G3749" s="66"/>
      <c r="H3749" s="330"/>
      <c r="I3749" s="405"/>
      <c r="J3749" s="405"/>
      <c r="K3749" s="398"/>
      <c r="L3749" s="405"/>
      <c r="M3749" s="64"/>
      <c r="N3749" s="65"/>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ht="15.75" customHeight="1">
      <c r="A3750" s="327" t="str">
        <f>IF(B3750&lt;&gt;"",IF(AND(B3750='IN-TC'!$S$4,OR(TH!N3750="1111",TH!O3750="1111")),TH!D3750,""),"")</f>
        <v/>
      </c>
      <c r="B3750" s="62" t="str">
        <f t="shared" si="400"/>
        <v/>
      </c>
      <c r="C3750" s="63"/>
      <c r="D3750" s="63"/>
      <c r="E3750" s="63"/>
      <c r="F3750" s="71"/>
      <c r="G3750" s="66"/>
      <c r="H3750" s="71"/>
      <c r="I3750" s="405"/>
      <c r="J3750" s="405"/>
      <c r="K3750" s="398"/>
      <c r="L3750" s="405"/>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ht="15.75" customHeight="1">
      <c r="A3751" s="327" t="str">
        <f>IF(B3751&lt;&gt;"",IF(AND(B3751='IN-TC'!$S$4,OR(TH!N3751="1111",TH!O3751="1111")),TH!D3751,""),"")</f>
        <v/>
      </c>
      <c r="B3751" s="62" t="str">
        <f t="shared" si="400"/>
        <v/>
      </c>
      <c r="C3751" s="63"/>
      <c r="D3751" s="63"/>
      <c r="E3751" s="63"/>
      <c r="F3751" s="71"/>
      <c r="G3751" s="66"/>
      <c r="H3751" s="330"/>
      <c r="I3751" s="405"/>
      <c r="J3751" s="405"/>
      <c r="K3751" s="400"/>
      <c r="L3751" s="405"/>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ht="15.75" customHeight="1">
      <c r="A3752" s="327" t="str">
        <f>IF(B3752&lt;&gt;"",IF(AND(B3752='IN-TC'!$S$4,OR(TH!N3752="1111",TH!O3752="1111")),TH!D3752,""),"")</f>
        <v/>
      </c>
      <c r="B3752" s="62" t="str">
        <f t="shared" si="400"/>
        <v/>
      </c>
      <c r="C3752" s="63"/>
      <c r="D3752" s="63"/>
      <c r="E3752" s="63"/>
      <c r="F3752" s="71"/>
      <c r="G3752" s="66"/>
      <c r="H3752" s="330"/>
      <c r="I3752" s="405"/>
      <c r="J3752" s="405"/>
      <c r="K3752" s="398"/>
      <c r="L3752" s="405"/>
      <c r="M3752" s="64"/>
      <c r="N3752" s="65"/>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ht="15.75" customHeight="1">
      <c r="A3753" s="327" t="str">
        <f>IF(B3753&lt;&gt;"",IF(AND(B3753='IN-TC'!$S$4,OR(TH!N3753="1111",TH!O3753="1111")),TH!D3753,""),"")</f>
        <v/>
      </c>
      <c r="B3753" s="62" t="str">
        <f t="shared" si="400"/>
        <v/>
      </c>
      <c r="C3753" s="63"/>
      <c r="D3753" s="63"/>
      <c r="E3753" s="63"/>
      <c r="F3753" s="71"/>
      <c r="G3753" s="66"/>
      <c r="H3753" s="330"/>
      <c r="I3753" s="405"/>
      <c r="J3753" s="405"/>
      <c r="K3753" s="398"/>
      <c r="L3753" s="405"/>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ht="15.75" customHeight="1">
      <c r="A3754" s="327" t="str">
        <f>IF(B3754&lt;&gt;"",IF(AND(B3754='IN-TC'!$S$4,OR(TH!N3754="1111",TH!O3754="1111")),TH!D3754,""),"")</f>
        <v/>
      </c>
      <c r="B3754" s="62" t="str">
        <f t="shared" si="400"/>
        <v/>
      </c>
      <c r="C3754" s="63"/>
      <c r="D3754" s="63"/>
      <c r="E3754" s="63"/>
      <c r="F3754" s="71"/>
      <c r="G3754" s="66"/>
      <c r="H3754" s="71"/>
      <c r="I3754" s="405"/>
      <c r="J3754" s="405"/>
      <c r="K3754" s="398"/>
      <c r="L3754" s="405"/>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ht="15.75" customHeight="1">
      <c r="A3755" s="327" t="str">
        <f>IF(B3755&lt;&gt;"",IF(AND(B3755='IN-TC'!$S$4,OR(TH!N3755="1111",TH!O3755="1111")),TH!D3755,""),"")</f>
        <v/>
      </c>
      <c r="B3755" s="62" t="str">
        <f t="shared" si="400"/>
        <v/>
      </c>
      <c r="C3755" s="63"/>
      <c r="D3755" s="63"/>
      <c r="E3755" s="63"/>
      <c r="F3755" s="71"/>
      <c r="G3755" s="66"/>
      <c r="H3755" s="71"/>
      <c r="I3755" s="405"/>
      <c r="J3755" s="405"/>
      <c r="K3755" s="398"/>
      <c r="L3755" s="405"/>
      <c r="M3755" s="64"/>
      <c r="N3755" s="65"/>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ht="15.75" customHeight="1">
      <c r="A3756" s="327" t="str">
        <f>IF(B3756&lt;&gt;"",IF(AND(B3756='IN-TC'!$S$4,OR(TH!N3756="1111",TH!O3756="1111")),TH!D3756,""),"")</f>
        <v/>
      </c>
      <c r="B3756" s="62" t="str">
        <f t="shared" si="400"/>
        <v/>
      </c>
      <c r="C3756" s="63"/>
      <c r="D3756" s="63"/>
      <c r="E3756" s="63"/>
      <c r="F3756" s="71"/>
      <c r="G3756" s="66"/>
      <c r="H3756" s="330"/>
      <c r="I3756" s="405"/>
      <c r="J3756" s="405"/>
      <c r="K3756" s="398"/>
      <c r="L3756" s="405"/>
      <c r="M3756" s="64"/>
      <c r="N3756" s="65"/>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ht="15.75" customHeight="1">
      <c r="A3757" s="327" t="str">
        <f>IF(B3757&lt;&gt;"",IF(AND(B3757='IN-TC'!$S$4,OR(TH!N3757="1111",TH!O3757="1111")),TH!D3757,""),"")</f>
        <v/>
      </c>
      <c r="B3757" s="62" t="str">
        <f t="shared" si="400"/>
        <v/>
      </c>
      <c r="C3757" s="63"/>
      <c r="D3757" s="63"/>
      <c r="E3757" s="63"/>
      <c r="F3757" s="71"/>
      <c r="G3757" s="66"/>
      <c r="H3757" s="71"/>
      <c r="I3757" s="405"/>
      <c r="J3757" s="405"/>
      <c r="K3757" s="398"/>
      <c r="L3757" s="405"/>
      <c r="M3757" s="64"/>
      <c r="N3757" s="65"/>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ht="15.75" customHeight="1">
      <c r="A3758" s="327" t="str">
        <f>IF(B3758&lt;&gt;"",IF(AND(B3758='IN-TC'!$S$4,OR(TH!N3758="1111",TH!O3758="1111")),TH!D3758,""),"")</f>
        <v/>
      </c>
      <c r="B3758" s="62" t="str">
        <f t="shared" si="400"/>
        <v/>
      </c>
      <c r="C3758" s="63"/>
      <c r="D3758" s="63"/>
      <c r="E3758" s="63"/>
      <c r="F3758" s="71"/>
      <c r="G3758" s="66"/>
      <c r="H3758" s="71"/>
      <c r="I3758" s="405"/>
      <c r="J3758" s="405"/>
      <c r="K3758" s="398"/>
      <c r="L3758" s="405"/>
      <c r="M3758" s="64"/>
      <c r="N3758" s="65"/>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ht="15.75" customHeight="1">
      <c r="A3759" s="327" t="str">
        <f>IF(B3759&lt;&gt;"",IF(AND(B3759='IN-TC'!$S$4,OR(TH!N3759="1111",TH!O3759="1111")),TH!D3759,""),"")</f>
        <v/>
      </c>
      <c r="B3759" s="62" t="str">
        <f t="shared" si="400"/>
        <v/>
      </c>
      <c r="C3759" s="63"/>
      <c r="D3759" s="63"/>
      <c r="E3759" s="63"/>
      <c r="F3759" s="71"/>
      <c r="G3759" s="66"/>
      <c r="H3759" s="311"/>
      <c r="I3759" s="405"/>
      <c r="J3759" s="405"/>
      <c r="K3759" s="398"/>
      <c r="L3759" s="405"/>
      <c r="M3759" s="64"/>
      <c r="N3759" s="65"/>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ht="15.75" customHeight="1">
      <c r="A3760" s="327" t="str">
        <f>IF(B3760&lt;&gt;"",IF(AND(B3760='IN-TC'!$S$4,OR(TH!N3760="1111",TH!O3760="1111")),TH!D3760,""),"")</f>
        <v/>
      </c>
      <c r="B3760" s="62" t="str">
        <f t="shared" si="400"/>
        <v/>
      </c>
      <c r="C3760" s="63"/>
      <c r="D3760" s="63"/>
      <c r="E3760" s="63"/>
      <c r="F3760" s="71"/>
      <c r="G3760" s="66"/>
      <c r="H3760" s="71"/>
      <c r="I3760" s="405"/>
      <c r="J3760" s="405"/>
      <c r="K3760" s="398"/>
      <c r="L3760" s="405"/>
      <c r="M3760" s="64"/>
      <c r="N3760" s="65"/>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ht="15.75" customHeight="1">
      <c r="A3761" s="327" t="str">
        <f>IF(B3761&lt;&gt;"",IF(AND(B3761='IN-TC'!$S$4,OR(TH!N3761="1111",TH!O3761="1111")),TH!D3761,""),"")</f>
        <v/>
      </c>
      <c r="B3761" s="62" t="str">
        <f t="shared" si="400"/>
        <v/>
      </c>
      <c r="C3761" s="63"/>
      <c r="D3761" s="63"/>
      <c r="E3761" s="63"/>
      <c r="F3761" s="71"/>
      <c r="G3761" s="66"/>
      <c r="H3761" s="71"/>
      <c r="I3761" s="405"/>
      <c r="J3761" s="405"/>
      <c r="K3761" s="398"/>
      <c r="L3761" s="405"/>
      <c r="M3761" s="64"/>
      <c r="N3761" s="65"/>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ht="15.75" customHeight="1">
      <c r="A3762" s="327" t="str">
        <f>IF(B3762&lt;&gt;"",IF(AND(B3762='IN-TC'!$S$4,OR(TH!N3762="1111",TH!O3762="1111")),TH!D3762,""),"")</f>
        <v/>
      </c>
      <c r="B3762" s="62" t="str">
        <f t="shared" si="400"/>
        <v/>
      </c>
      <c r="C3762" s="63"/>
      <c r="D3762" s="63"/>
      <c r="E3762" s="63"/>
      <c r="F3762" s="71"/>
      <c r="G3762" s="66"/>
      <c r="H3762" s="330"/>
      <c r="I3762" s="405"/>
      <c r="J3762" s="405"/>
      <c r="K3762" s="398"/>
      <c r="L3762" s="405"/>
      <c r="M3762" s="64"/>
      <c r="N3762" s="65"/>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ht="15.75" customHeight="1">
      <c r="A3763" s="327" t="str">
        <f>IF(B3763&lt;&gt;"",IF(AND(B3763='IN-TC'!$S$4,OR(TH!N3763="1111",TH!O3763="1111")),TH!D3763,""),"")</f>
        <v/>
      </c>
      <c r="B3763" s="62" t="str">
        <f t="shared" si="400"/>
        <v/>
      </c>
      <c r="C3763" s="63"/>
      <c r="D3763" s="63"/>
      <c r="E3763" s="63"/>
      <c r="F3763" s="71"/>
      <c r="G3763" s="66"/>
      <c r="H3763" s="71"/>
      <c r="I3763" s="405"/>
      <c r="J3763" s="405"/>
      <c r="K3763" s="398"/>
      <c r="L3763" s="405"/>
      <c r="M3763" s="64"/>
      <c r="N3763" s="65"/>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ht="15.75" customHeight="1">
      <c r="A3764" s="327" t="str">
        <f>IF(B3764&lt;&gt;"",IF(AND(B3764='IN-TC'!$S$4,OR(TH!N3764="1111",TH!O3764="1111")),TH!D3764,""),"")</f>
        <v/>
      </c>
      <c r="B3764" s="62" t="str">
        <f t="shared" si="400"/>
        <v/>
      </c>
      <c r="C3764" s="63"/>
      <c r="D3764" s="63"/>
      <c r="E3764" s="63"/>
      <c r="F3764" s="71"/>
      <c r="G3764" s="66"/>
      <c r="H3764" s="71"/>
      <c r="I3764" s="405"/>
      <c r="J3764" s="405"/>
      <c r="K3764" s="398"/>
      <c r="L3764" s="405"/>
      <c r="M3764" s="64"/>
      <c r="N3764" s="65"/>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ht="15.75" customHeight="1">
      <c r="A3765" s="327" t="str">
        <f>IF(B3765&lt;&gt;"",IF(AND(B3765='IN-TC'!$S$4,OR(TH!N3765="1111",TH!O3765="1111")),TH!D3765,""),"")</f>
        <v/>
      </c>
      <c r="B3765" s="62" t="str">
        <f t="shared" si="400"/>
        <v/>
      </c>
      <c r="C3765" s="63"/>
      <c r="D3765" s="63"/>
      <c r="E3765" s="63"/>
      <c r="F3765" s="71"/>
      <c r="G3765" s="66"/>
      <c r="H3765" s="71"/>
      <c r="I3765" s="405"/>
      <c r="J3765" s="405"/>
      <c r="K3765" s="398"/>
      <c r="L3765" s="405"/>
      <c r="M3765" s="64"/>
      <c r="N3765" s="65"/>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ht="15.75" customHeight="1">
      <c r="A3766" s="327" t="str">
        <f>IF(B3766&lt;&gt;"",IF(AND(B3766='IN-TC'!$S$4,OR(TH!N3766="1111",TH!O3766="1111")),TH!D3766,""),"")</f>
        <v/>
      </c>
      <c r="B3766" s="62" t="str">
        <f t="shared" si="400"/>
        <v/>
      </c>
      <c r="C3766" s="63"/>
      <c r="D3766" s="63"/>
      <c r="E3766" s="63"/>
      <c r="F3766" s="71"/>
      <c r="G3766" s="66"/>
      <c r="H3766" s="71"/>
      <c r="I3766" s="405"/>
      <c r="J3766" s="405"/>
      <c r="K3766" s="398"/>
      <c r="L3766" s="405"/>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ht="15.75" customHeight="1">
      <c r="A3767" s="327" t="str">
        <f>IF(B3767&lt;&gt;"",IF(AND(B3767='IN-TC'!$S$4,OR(TH!N3767="1111",TH!O3767="1111")),TH!D3767,""),"")</f>
        <v/>
      </c>
      <c r="B3767" s="62" t="str">
        <f t="shared" si="400"/>
        <v/>
      </c>
      <c r="C3767" s="63"/>
      <c r="D3767" s="63"/>
      <c r="E3767" s="63"/>
      <c r="F3767" s="71"/>
      <c r="G3767" s="66"/>
      <c r="H3767" s="71"/>
      <c r="I3767" s="405"/>
      <c r="J3767" s="405"/>
      <c r="K3767" s="398"/>
      <c r="L3767" s="405"/>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ht="15.75" customHeight="1">
      <c r="A3768" s="327" t="str">
        <f>IF(B3768&lt;&gt;"",IF(AND(B3768='IN-TC'!$S$4,OR(TH!N3768="1111",TH!O3768="1111")),TH!D3768,""),"")</f>
        <v/>
      </c>
      <c r="B3768" s="62" t="str">
        <f t="shared" si="400"/>
        <v/>
      </c>
      <c r="C3768" s="63"/>
      <c r="D3768" s="63"/>
      <c r="E3768" s="63"/>
      <c r="F3768" s="71"/>
      <c r="G3768" s="66"/>
      <c r="H3768" s="330"/>
      <c r="I3768" s="405"/>
      <c r="J3768" s="405"/>
      <c r="K3768" s="398"/>
      <c r="L3768" s="405"/>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ht="15.75" customHeight="1">
      <c r="A3769" s="327" t="str">
        <f>IF(B3769&lt;&gt;"",IF(AND(B3769='IN-TC'!$S$4,OR(TH!N3769="1111",TH!O3769="1111")),TH!D3769,""),"")</f>
        <v/>
      </c>
      <c r="B3769" s="62" t="str">
        <f t="shared" si="400"/>
        <v/>
      </c>
      <c r="C3769" s="63"/>
      <c r="D3769" s="63"/>
      <c r="E3769" s="63"/>
      <c r="F3769" s="71"/>
      <c r="G3769" s="66"/>
      <c r="H3769" s="71"/>
      <c r="I3769" s="405"/>
      <c r="J3769" s="405"/>
      <c r="K3769" s="398"/>
      <c r="L3769" s="405"/>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ht="15.75" customHeight="1">
      <c r="A3770" s="327" t="str">
        <f>IF(B3770&lt;&gt;"",IF(AND(B3770='IN-TC'!$S$4,OR(TH!N3770="1111",TH!O3770="1111")),TH!D3770,""),"")</f>
        <v/>
      </c>
      <c r="B3770" s="62" t="str">
        <f t="shared" si="400"/>
        <v/>
      </c>
      <c r="C3770" s="63"/>
      <c r="D3770" s="63"/>
      <c r="E3770" s="63"/>
      <c r="F3770" s="71"/>
      <c r="G3770" s="66"/>
      <c r="H3770" s="71"/>
      <c r="I3770" s="405"/>
      <c r="J3770" s="405"/>
      <c r="K3770" s="398"/>
      <c r="L3770" s="405"/>
      <c r="M3770" s="64"/>
      <c r="N3770" s="65"/>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ht="15.75" customHeight="1">
      <c r="A3771" s="327" t="str">
        <f>IF(B3771&lt;&gt;"",IF(AND(B3771='IN-TC'!$S$4,OR(TH!N3771="1111",TH!O3771="1111")),TH!D3771,""),"")</f>
        <v/>
      </c>
      <c r="B3771" s="62" t="str">
        <f t="shared" si="400"/>
        <v/>
      </c>
      <c r="C3771" s="63"/>
      <c r="D3771" s="63"/>
      <c r="E3771" s="63"/>
      <c r="F3771" s="71"/>
      <c r="G3771" s="816"/>
      <c r="H3771" s="71"/>
      <c r="I3771" s="405"/>
      <c r="J3771" s="405"/>
      <c r="K3771" s="398"/>
      <c r="L3771" s="405"/>
      <c r="M3771" s="64"/>
      <c r="N3771" s="65"/>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ht="15.75" customHeight="1">
      <c r="A3772" s="327" t="str">
        <f>IF(B3772&lt;&gt;"",IF(AND(B3772='IN-TC'!$S$4,OR(TH!N3772="1111",TH!O3772="1111")),TH!D3772,""),"")</f>
        <v/>
      </c>
      <c r="B3772" s="62" t="str">
        <f t="shared" si="400"/>
        <v/>
      </c>
      <c r="C3772" s="63"/>
      <c r="D3772" s="63"/>
      <c r="E3772" s="63"/>
      <c r="F3772" s="71"/>
      <c r="G3772" s="816"/>
      <c r="H3772" s="330"/>
      <c r="I3772" s="405"/>
      <c r="J3772" s="405"/>
      <c r="K3772" s="398"/>
      <c r="L3772" s="405"/>
      <c r="M3772" s="64"/>
      <c r="N3772" s="65"/>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ht="15.75" customHeight="1">
      <c r="A3773" s="327" t="str">
        <f>IF(B3773&lt;&gt;"",IF(AND(B3773='IN-TC'!$S$4,OR(TH!N3773="1111",TH!O3773="1111")),TH!D3773,""),"")</f>
        <v/>
      </c>
      <c r="B3773" s="62" t="str">
        <f t="shared" si="400"/>
        <v/>
      </c>
      <c r="C3773" s="63"/>
      <c r="D3773" s="63"/>
      <c r="E3773" s="63"/>
      <c r="F3773" s="71"/>
      <c r="G3773" s="66"/>
      <c r="H3773" s="71"/>
      <c r="I3773" s="405"/>
      <c r="J3773" s="405"/>
      <c r="K3773" s="398"/>
      <c r="L3773" s="405"/>
      <c r="M3773" s="64"/>
      <c r="N3773" s="65"/>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ht="15.75" customHeight="1">
      <c r="A3774" s="327" t="str">
        <f>IF(B3774&lt;&gt;"",IF(AND(B3774='IN-TC'!$S$4,OR(TH!N3774="1111",TH!O3774="1111")),TH!D3774,""),"")</f>
        <v/>
      </c>
      <c r="B3774" s="62" t="str">
        <f t="shared" si="400"/>
        <v/>
      </c>
      <c r="C3774" s="63"/>
      <c r="D3774" s="63"/>
      <c r="E3774" s="63"/>
      <c r="F3774" s="71"/>
      <c r="G3774" s="816"/>
      <c r="H3774" s="330"/>
      <c r="I3774" s="405"/>
      <c r="J3774" s="405"/>
      <c r="K3774" s="398"/>
      <c r="L3774" s="405"/>
      <c r="M3774" s="64"/>
      <c r="N3774" s="65"/>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ht="15.75" customHeight="1">
      <c r="A3775" s="327" t="str">
        <f>IF(B3775&lt;&gt;"",IF(AND(B3775='IN-TC'!$S$4,OR(TH!N3775="1111",TH!O3775="1111")),TH!D3775,""),"")</f>
        <v/>
      </c>
      <c r="B3775" s="62" t="str">
        <f t="shared" si="400"/>
        <v/>
      </c>
      <c r="C3775" s="63"/>
      <c r="D3775" s="63"/>
      <c r="E3775" s="63"/>
      <c r="F3775" s="71"/>
      <c r="G3775" s="816"/>
      <c r="H3775" s="71"/>
      <c r="I3775" s="405"/>
      <c r="J3775" s="405"/>
      <c r="K3775" s="398"/>
      <c r="L3775" s="405"/>
      <c r="M3775" s="64"/>
      <c r="N3775" s="65"/>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ht="15.75" customHeight="1">
      <c r="A3776" s="327" t="str">
        <f>IF(B3776&lt;&gt;"",IF(AND(B3776='IN-TC'!$S$4,OR(TH!N3776="1111",TH!O3776="1111")),TH!D3776,""),"")</f>
        <v/>
      </c>
      <c r="B3776" s="62" t="str">
        <f t="shared" si="400"/>
        <v/>
      </c>
      <c r="C3776" s="63"/>
      <c r="D3776" s="63"/>
      <c r="E3776" s="63"/>
      <c r="F3776" s="71"/>
      <c r="G3776" s="816"/>
      <c r="H3776" s="71"/>
      <c r="I3776" s="405"/>
      <c r="J3776" s="405"/>
      <c r="K3776" s="398"/>
      <c r="L3776" s="405"/>
      <c r="M3776" s="64"/>
      <c r="N3776" s="65"/>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ht="15.75" customHeight="1">
      <c r="A3777" s="327" t="str">
        <f>IF(B3777&lt;&gt;"",IF(AND(B3777='IN-TC'!$S$4,OR(TH!N3777="1111",TH!O3777="1111")),TH!D3777,""),"")</f>
        <v/>
      </c>
      <c r="B3777" s="62" t="str">
        <f t="shared" si="400"/>
        <v/>
      </c>
      <c r="C3777" s="63"/>
      <c r="D3777" s="63"/>
      <c r="E3777" s="63"/>
      <c r="F3777" s="477"/>
      <c r="G3777" s="66"/>
      <c r="H3777" s="71"/>
      <c r="I3777" s="405"/>
      <c r="J3777" s="405"/>
      <c r="K3777" s="398"/>
      <c r="L3777" s="405"/>
      <c r="M3777" s="64"/>
      <c r="N3777" s="65"/>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ht="15.75" customHeight="1">
      <c r="A3778" s="327" t="str">
        <f>IF(B3778&lt;&gt;"",IF(AND(B3778='IN-TC'!$S$4,OR(TH!N3778="1111",TH!O3778="1111")),TH!D3778,""),"")</f>
        <v/>
      </c>
      <c r="B3778" s="62" t="str">
        <f t="shared" si="400"/>
        <v/>
      </c>
      <c r="C3778" s="63"/>
      <c r="D3778" s="63"/>
      <c r="E3778" s="63"/>
      <c r="F3778" s="71"/>
      <c r="G3778" s="816"/>
      <c r="H3778" s="71"/>
      <c r="I3778" s="405"/>
      <c r="J3778" s="405"/>
      <c r="K3778" s="398"/>
      <c r="L3778" s="405"/>
      <c r="M3778" s="64"/>
      <c r="N3778" s="65"/>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ht="15.75" customHeight="1">
      <c r="A3779" s="327" t="str">
        <f>IF(B3779&lt;&gt;"",IF(AND(B3779='IN-TC'!$S$4,OR(TH!N3779="1111",TH!O3779="1111")),TH!D3779,""),"")</f>
        <v/>
      </c>
      <c r="B3779" s="62" t="str">
        <f t="shared" si="400"/>
        <v/>
      </c>
      <c r="C3779" s="63"/>
      <c r="D3779" s="63"/>
      <c r="E3779" s="63"/>
      <c r="F3779" s="71"/>
      <c r="G3779" s="816"/>
      <c r="H3779" s="71"/>
      <c r="I3779" s="405"/>
      <c r="J3779" s="405"/>
      <c r="K3779" s="398"/>
      <c r="L3779" s="405"/>
      <c r="M3779" s="64"/>
      <c r="N3779" s="65"/>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ht="15.75" customHeight="1">
      <c r="A3780" s="327" t="str">
        <f>IF(B3780&lt;&gt;"",IF(AND(B3780='IN-TC'!$S$4,OR(TH!N3780="1111",TH!O3780="1111")),TH!D3780,""),"")</f>
        <v/>
      </c>
      <c r="B3780" s="62" t="str">
        <f t="shared" si="400"/>
        <v/>
      </c>
      <c r="C3780" s="63"/>
      <c r="D3780" s="63"/>
      <c r="E3780" s="63"/>
      <c r="F3780" s="71"/>
      <c r="G3780" s="816"/>
      <c r="H3780" s="71"/>
      <c r="I3780" s="405"/>
      <c r="J3780" s="405"/>
      <c r="K3780" s="398"/>
      <c r="L3780" s="405"/>
      <c r="M3780" s="64"/>
      <c r="N3780" s="65"/>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ht="15.75" customHeight="1">
      <c r="A3781" s="327" t="str">
        <f>IF(B3781&lt;&gt;"",IF(AND(B3781='IN-TC'!$S$4,OR(TH!N3781="1111",TH!O3781="1111")),TH!D3781,""),"")</f>
        <v/>
      </c>
      <c r="B3781" s="62" t="str">
        <f t="shared" si="400"/>
        <v/>
      </c>
      <c r="C3781" s="63"/>
      <c r="D3781" s="63"/>
      <c r="E3781" s="63"/>
      <c r="F3781" s="71"/>
      <c r="G3781" s="816"/>
      <c r="H3781" s="71"/>
      <c r="I3781" s="405"/>
      <c r="J3781" s="405"/>
      <c r="K3781" s="398"/>
      <c r="L3781" s="405"/>
      <c r="M3781" s="64"/>
      <c r="N3781" s="65"/>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ht="15.75" customHeight="1">
      <c r="A3782" s="327" t="str">
        <f>IF(B3782&lt;&gt;"",IF(AND(B3782='IN-TC'!$S$4,OR(TH!N3782="1111",TH!O3782="1111")),TH!D3782,""),"")</f>
        <v/>
      </c>
      <c r="B3782" s="62" t="str">
        <f t="shared" si="400"/>
        <v/>
      </c>
      <c r="C3782" s="63"/>
      <c r="D3782" s="63"/>
      <c r="E3782" s="63"/>
      <c r="F3782" s="71"/>
      <c r="G3782" s="66"/>
      <c r="H3782" s="330"/>
      <c r="I3782" s="405"/>
      <c r="J3782" s="405"/>
      <c r="K3782" s="398"/>
      <c r="L3782" s="405"/>
      <c r="M3782" s="64"/>
      <c r="N3782" s="65"/>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ht="15.75" customHeight="1">
      <c r="A3783" s="327" t="str">
        <f>IF(B3783&lt;&gt;"",IF(AND(B3783='IN-TC'!$S$4,OR(TH!N3783="1111",TH!O3783="1111")),TH!D3783,""),"")</f>
        <v/>
      </c>
      <c r="B3783" s="62" t="str">
        <f t="shared" si="400"/>
        <v/>
      </c>
      <c r="C3783" s="63"/>
      <c r="D3783" s="63"/>
      <c r="E3783" s="63"/>
      <c r="F3783" s="71"/>
      <c r="G3783" s="66"/>
      <c r="H3783" s="330"/>
      <c r="I3783" s="405"/>
      <c r="J3783" s="405"/>
      <c r="K3783" s="398"/>
      <c r="L3783" s="405"/>
      <c r="M3783" s="64"/>
      <c r="N3783" s="65"/>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ht="15.75" customHeight="1">
      <c r="A3784" s="327" t="str">
        <f>IF(B3784&lt;&gt;"",IF(AND(B3784='IN-TC'!$S$4,OR(TH!N3784="1111",TH!O3784="1111")),TH!D3784,""),"")</f>
        <v/>
      </c>
      <c r="B3784" s="62" t="str">
        <f t="shared" si="400"/>
        <v/>
      </c>
      <c r="C3784" s="63"/>
      <c r="D3784" s="63"/>
      <c r="E3784" s="63"/>
      <c r="F3784" s="71"/>
      <c r="G3784" s="66"/>
      <c r="H3784" s="330"/>
      <c r="I3784" s="405"/>
      <c r="J3784" s="405"/>
      <c r="K3784" s="398"/>
      <c r="L3784" s="405"/>
      <c r="M3784" s="64"/>
      <c r="N3784" s="65"/>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ht="15.75" customHeight="1">
      <c r="A3785" s="327" t="str">
        <f>IF(B3785&lt;&gt;"",IF(AND(B3785='IN-TC'!$S$4,OR(TH!N3785="1111",TH!O3785="1111")),TH!D3785,""),"")</f>
        <v/>
      </c>
      <c r="B3785" s="62" t="str">
        <f t="shared" si="400"/>
        <v/>
      </c>
      <c r="C3785" s="63"/>
      <c r="D3785" s="63"/>
      <c r="E3785" s="63"/>
      <c r="F3785" s="71"/>
      <c r="G3785" s="66"/>
      <c r="H3785" s="330"/>
      <c r="I3785" s="405"/>
      <c r="J3785" s="405"/>
      <c r="K3785" s="398"/>
      <c r="L3785" s="405"/>
      <c r="M3785" s="64"/>
      <c r="N3785" s="65"/>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ht="15.75" customHeight="1">
      <c r="A3786" s="327" t="str">
        <f>IF(B3786&lt;&gt;"",IF(AND(B3786='IN-TC'!$S$4,OR(TH!N3786="1111",TH!O3786="1111")),TH!D3786,""),"")</f>
        <v/>
      </c>
      <c r="B3786" s="62" t="str">
        <f t="shared" si="400"/>
        <v/>
      </c>
      <c r="C3786" s="63"/>
      <c r="D3786" s="63"/>
      <c r="E3786" s="63"/>
      <c r="F3786" s="71"/>
      <c r="G3786" s="66"/>
      <c r="H3786" s="330"/>
      <c r="I3786" s="405"/>
      <c r="J3786" s="405"/>
      <c r="K3786" s="398"/>
      <c r="L3786" s="405"/>
      <c r="M3786" s="64"/>
      <c r="N3786" s="65"/>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ht="15.75" customHeight="1">
      <c r="A3787" s="327" t="str">
        <f>IF(B3787&lt;&gt;"",IF(AND(B3787='IN-TC'!$S$4,OR(TH!N3787="1111",TH!O3787="1111")),TH!D3787,""),"")</f>
        <v/>
      </c>
      <c r="B3787" s="62" t="str">
        <f t="shared" si="400"/>
        <v/>
      </c>
      <c r="C3787" s="63"/>
      <c r="D3787" s="63"/>
      <c r="E3787" s="63"/>
      <c r="F3787" s="71"/>
      <c r="G3787" s="66"/>
      <c r="H3787" s="330"/>
      <c r="I3787" s="405"/>
      <c r="J3787" s="405"/>
      <c r="K3787" s="398"/>
      <c r="L3787" s="405"/>
      <c r="M3787" s="64"/>
      <c r="N3787" s="65"/>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ht="15.75" customHeight="1">
      <c r="A3788" s="327" t="str">
        <f>IF(B3788&lt;&gt;"",IF(AND(B3788='IN-TC'!$S$4,OR(TH!N3788="1111",TH!O3788="1111")),TH!D3788,""),"")</f>
        <v/>
      </c>
      <c r="B3788" s="62" t="str">
        <f t="shared" si="400"/>
        <v/>
      </c>
      <c r="C3788" s="63"/>
      <c r="D3788" s="63"/>
      <c r="E3788" s="63"/>
      <c r="F3788" s="71"/>
      <c r="G3788" s="66"/>
      <c r="H3788" s="330"/>
      <c r="I3788" s="405"/>
      <c r="J3788" s="405"/>
      <c r="K3788" s="398"/>
      <c r="L3788" s="405"/>
      <c r="M3788" s="64"/>
      <c r="N3788" s="65"/>
      <c r="O3788" s="65"/>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ht="15.75" customHeight="1">
      <c r="A3789" s="327" t="str">
        <f>IF(B3789&lt;&gt;"",IF(AND(B3789='IN-TC'!$S$4,OR(TH!N3789="1111",TH!O3789="1111")),TH!D3789,""),"")</f>
        <v/>
      </c>
      <c r="B3789" s="62" t="str">
        <f t="shared" si="400"/>
        <v/>
      </c>
      <c r="C3789" s="63"/>
      <c r="D3789" s="63"/>
      <c r="E3789" s="63"/>
      <c r="F3789" s="71"/>
      <c r="G3789" s="66"/>
      <c r="H3789" s="330"/>
      <c r="I3789" s="405"/>
      <c r="J3789" s="405"/>
      <c r="K3789" s="398"/>
      <c r="L3789" s="405"/>
      <c r="M3789" s="64"/>
      <c r="N3789" s="65"/>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ht="15.75" customHeight="1">
      <c r="A3790" s="327" t="str">
        <f>IF(B3790&lt;&gt;"",IF(AND(B3790='IN-TC'!$S$4,OR(TH!N3790="1111",TH!O3790="1111")),TH!D3790,""),"")</f>
        <v/>
      </c>
      <c r="B3790" s="62" t="str">
        <f t="shared" si="400"/>
        <v/>
      </c>
      <c r="C3790" s="63"/>
      <c r="D3790" s="63"/>
      <c r="E3790" s="63"/>
      <c r="F3790" s="71"/>
      <c r="G3790" s="66"/>
      <c r="H3790" s="330"/>
      <c r="I3790" s="405"/>
      <c r="J3790" s="405"/>
      <c r="K3790" s="398"/>
      <c r="L3790" s="405"/>
      <c r="M3790" s="64"/>
      <c r="N3790" s="65"/>
      <c r="O3790" s="65"/>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ht="15.75" customHeight="1">
      <c r="A3791" s="327" t="str">
        <f>IF(B3791&lt;&gt;"",IF(AND(B3791='IN-TC'!$S$4,OR(TH!N3791="1111",TH!O3791="1111")),TH!D3791,""),"")</f>
        <v/>
      </c>
      <c r="B3791" s="62" t="str">
        <f t="shared" si="400"/>
        <v/>
      </c>
      <c r="C3791" s="63"/>
      <c r="D3791" s="63"/>
      <c r="E3791" s="63"/>
      <c r="F3791" s="71"/>
      <c r="G3791" s="66"/>
      <c r="H3791" s="330"/>
      <c r="I3791" s="405"/>
      <c r="J3791" s="405"/>
      <c r="K3791" s="398"/>
      <c r="L3791" s="405"/>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ht="15.75" customHeight="1">
      <c r="A3792" s="327" t="str">
        <f>IF(B3792&lt;&gt;"",IF(AND(B3792='IN-TC'!$S$4,OR(TH!N3792="1111",TH!O3792="1111")),TH!D3792,""),"")</f>
        <v/>
      </c>
      <c r="B3792" s="62" t="str">
        <f t="shared" si="400"/>
        <v/>
      </c>
      <c r="C3792" s="63"/>
      <c r="D3792" s="63"/>
      <c r="E3792" s="63"/>
      <c r="F3792" s="71"/>
      <c r="G3792" s="816"/>
      <c r="H3792" s="71"/>
      <c r="I3792" s="405"/>
      <c r="J3792" s="405"/>
      <c r="K3792" s="398"/>
      <c r="L3792" s="405"/>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ht="15.75" customHeight="1">
      <c r="A3793" s="327" t="str">
        <f>IF(B3793&lt;&gt;"",IF(AND(B3793='IN-TC'!$S$4,OR(TH!N3793="1111",TH!O3793="1111")),TH!D3793,""),"")</f>
        <v/>
      </c>
      <c r="B3793" s="62" t="str">
        <f t="shared" si="400"/>
        <v/>
      </c>
      <c r="C3793" s="63"/>
      <c r="D3793" s="63"/>
      <c r="E3793" s="63"/>
      <c r="F3793" s="71"/>
      <c r="G3793" s="816"/>
      <c r="H3793" s="71"/>
      <c r="I3793" s="405"/>
      <c r="J3793" s="405"/>
      <c r="K3793" s="398"/>
      <c r="L3793" s="405"/>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ht="15.75" customHeight="1">
      <c r="A3794" s="327" t="str">
        <f>IF(B3794&lt;&gt;"",IF(AND(B3794='IN-TC'!$S$4,OR(TH!N3794="1111",TH!O3794="1111")),TH!D3794,""),"")</f>
        <v/>
      </c>
      <c r="B3794" s="62" t="str">
        <f t="shared" si="400"/>
        <v/>
      </c>
      <c r="C3794" s="63"/>
      <c r="D3794" s="63"/>
      <c r="E3794" s="63"/>
      <c r="F3794" s="71"/>
      <c r="G3794" s="816"/>
      <c r="H3794" s="71"/>
      <c r="I3794" s="405"/>
      <c r="J3794" s="405"/>
      <c r="K3794" s="398"/>
      <c r="L3794" s="405"/>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ht="15.75" customHeight="1">
      <c r="A3795" s="327" t="str">
        <f>IF(B3795&lt;&gt;"",IF(AND(B3795='IN-TC'!$S$4,OR(TH!N3795="1111",TH!O3795="1111")),TH!D3795,""),"")</f>
        <v/>
      </c>
      <c r="B3795" s="62" t="str">
        <f t="shared" si="400"/>
        <v/>
      </c>
      <c r="C3795" s="63"/>
      <c r="D3795" s="63"/>
      <c r="E3795" s="63"/>
      <c r="F3795" s="71"/>
      <c r="G3795" s="66"/>
      <c r="H3795" s="71"/>
      <c r="I3795" s="405"/>
      <c r="J3795" s="405"/>
      <c r="K3795" s="398"/>
      <c r="L3795" s="405"/>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ht="15.75" customHeight="1">
      <c r="A3796" s="327" t="str">
        <f>IF(B3796&lt;&gt;"",IF(AND(B3796='IN-TC'!$S$4,OR(TH!N3796="1111",TH!O3796="1111")),TH!D3796,""),"")</f>
        <v/>
      </c>
      <c r="B3796" s="62" t="str">
        <f t="shared" si="400"/>
        <v/>
      </c>
      <c r="C3796" s="63"/>
      <c r="D3796" s="63"/>
      <c r="E3796" s="63"/>
      <c r="F3796" s="71"/>
      <c r="G3796" s="66"/>
      <c r="H3796" s="330"/>
      <c r="I3796" s="405"/>
      <c r="J3796" s="405"/>
      <c r="K3796" s="398"/>
      <c r="L3796" s="405"/>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ht="15.75" customHeight="1">
      <c r="A3797" s="327" t="str">
        <f>IF(B3797&lt;&gt;"",IF(AND(B3797='IN-TC'!$S$4,OR(TH!N3797="1111",TH!O3797="1111")),TH!D3797,""),"")</f>
        <v/>
      </c>
      <c r="B3797" s="62" t="str">
        <f t="shared" si="400"/>
        <v/>
      </c>
      <c r="C3797" s="63"/>
      <c r="D3797" s="63"/>
      <c r="E3797" s="63"/>
      <c r="F3797" s="71"/>
      <c r="G3797" s="66"/>
      <c r="H3797" s="71"/>
      <c r="I3797" s="405"/>
      <c r="J3797" s="405"/>
      <c r="K3797" s="398"/>
      <c r="L3797" s="405"/>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ht="15.75" customHeight="1">
      <c r="A3798" s="327" t="str">
        <f>IF(B3798&lt;&gt;"",IF(AND(B3798='IN-TC'!$S$4,OR(TH!N3798="1111",TH!O3798="1111")),TH!D3798,""),"")</f>
        <v/>
      </c>
      <c r="B3798" s="62" t="str">
        <f t="shared" ref="B3798:B3861" si="401">IF(C3798&lt;&gt;"",MONTH(C3798),"")</f>
        <v/>
      </c>
      <c r="C3798" s="63"/>
      <c r="D3798" s="63"/>
      <c r="E3798" s="63"/>
      <c r="F3798" s="71"/>
      <c r="G3798" s="66"/>
      <c r="H3798" s="71"/>
      <c r="I3798" s="405"/>
      <c r="J3798" s="405"/>
      <c r="K3798" s="398"/>
      <c r="L3798" s="405"/>
      <c r="M3798" s="64"/>
      <c r="N3798" s="65"/>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ht="15.75" customHeight="1">
      <c r="A3799" s="327" t="str">
        <f>IF(B3799&lt;&gt;"",IF(AND(B3799='IN-TC'!$S$4,OR(TH!N3799="1111",TH!O3799="1111")),TH!D3799,""),"")</f>
        <v/>
      </c>
      <c r="B3799" s="62" t="str">
        <f t="shared" si="401"/>
        <v/>
      </c>
      <c r="C3799" s="63"/>
      <c r="D3799" s="63"/>
      <c r="E3799" s="63"/>
      <c r="F3799" s="477"/>
      <c r="G3799" s="66"/>
      <c r="H3799" s="71"/>
      <c r="I3799" s="405"/>
      <c r="J3799" s="405"/>
      <c r="K3799" s="398"/>
      <c r="L3799" s="405"/>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ht="15.75" customHeight="1">
      <c r="A3800" s="327" t="str">
        <f>IF(B3800&lt;&gt;"",IF(AND(B3800='IN-TC'!$S$4,OR(TH!N3800="1111",TH!O3800="1111")),TH!D3800,""),"")</f>
        <v/>
      </c>
      <c r="B3800" s="62" t="str">
        <f t="shared" si="401"/>
        <v/>
      </c>
      <c r="C3800" s="63"/>
      <c r="D3800" s="63"/>
      <c r="E3800" s="63"/>
      <c r="F3800" s="71"/>
      <c r="G3800" s="816"/>
      <c r="H3800" s="71"/>
      <c r="I3800" s="405"/>
      <c r="J3800" s="405"/>
      <c r="K3800" s="398"/>
      <c r="L3800" s="405"/>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ht="15.75" customHeight="1">
      <c r="A3801" s="327" t="str">
        <f>IF(B3801&lt;&gt;"",IF(AND(B3801='IN-TC'!$S$4,OR(TH!N3801="1111",TH!O3801="1111")),TH!D3801,""),"")</f>
        <v/>
      </c>
      <c r="B3801" s="62" t="str">
        <f t="shared" si="401"/>
        <v/>
      </c>
      <c r="C3801" s="63"/>
      <c r="D3801" s="63"/>
      <c r="E3801" s="63"/>
      <c r="F3801" s="71"/>
      <c r="G3801" s="816"/>
      <c r="H3801" s="71"/>
      <c r="I3801" s="405"/>
      <c r="J3801" s="405"/>
      <c r="K3801" s="398"/>
      <c r="L3801" s="405"/>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ht="15.75" customHeight="1">
      <c r="A3802" s="327" t="str">
        <f>IF(B3802&lt;&gt;"",IF(AND(B3802='IN-TC'!$S$4,OR(TH!N3802="1111",TH!O3802="1111")),TH!D3802,""),"")</f>
        <v/>
      </c>
      <c r="B3802" s="62" t="str">
        <f t="shared" si="401"/>
        <v/>
      </c>
      <c r="C3802" s="63"/>
      <c r="D3802" s="63"/>
      <c r="E3802" s="63"/>
      <c r="F3802" s="71"/>
      <c r="G3802" s="816"/>
      <c r="H3802" s="71"/>
      <c r="I3802" s="405"/>
      <c r="J3802" s="405"/>
      <c r="K3802" s="398"/>
      <c r="L3802" s="405"/>
      <c r="M3802" s="64"/>
      <c r="N3802" s="65"/>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ht="15.75" customHeight="1">
      <c r="A3803" s="327" t="str">
        <f>IF(B3803&lt;&gt;"",IF(AND(B3803='IN-TC'!$S$4,OR(TH!N3803="1111",TH!O3803="1111")),TH!D3803,""),"")</f>
        <v/>
      </c>
      <c r="B3803" s="62" t="str">
        <f t="shared" si="401"/>
        <v/>
      </c>
      <c r="C3803" s="63"/>
      <c r="D3803" s="63"/>
      <c r="E3803" s="63"/>
      <c r="F3803" s="71"/>
      <c r="G3803" s="66"/>
      <c r="H3803" s="71"/>
      <c r="I3803" s="405"/>
      <c r="J3803" s="405"/>
      <c r="K3803" s="398"/>
      <c r="L3803" s="405"/>
      <c r="M3803" s="64"/>
      <c r="N3803" s="65"/>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ht="15.75" customHeight="1">
      <c r="A3804" s="327" t="str">
        <f>IF(B3804&lt;&gt;"",IF(AND(B3804='IN-TC'!$S$4,OR(TH!N3804="1111",TH!O3804="1111")),TH!D3804,""),"")</f>
        <v/>
      </c>
      <c r="B3804" s="62" t="str">
        <f t="shared" si="401"/>
        <v/>
      </c>
      <c r="C3804" s="63"/>
      <c r="D3804" s="63"/>
      <c r="E3804" s="63"/>
      <c r="F3804" s="71"/>
      <c r="G3804" s="66"/>
      <c r="H3804" s="71"/>
      <c r="I3804" s="405"/>
      <c r="J3804" s="405"/>
      <c r="K3804" s="398"/>
      <c r="L3804" s="405"/>
      <c r="M3804" s="64"/>
      <c r="N3804" s="65"/>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ht="15.75" customHeight="1">
      <c r="A3805" s="327" t="str">
        <f>IF(B3805&lt;&gt;"",IF(AND(B3805='IN-TC'!$S$4,OR(TH!N3805="1111",TH!O3805="1111")),TH!D3805,""),"")</f>
        <v/>
      </c>
      <c r="B3805" s="62" t="str">
        <f t="shared" si="401"/>
        <v/>
      </c>
      <c r="C3805" s="63"/>
      <c r="D3805" s="63"/>
      <c r="E3805" s="63"/>
      <c r="F3805" s="71"/>
      <c r="G3805" s="66"/>
      <c r="H3805" s="71"/>
      <c r="I3805" s="405"/>
      <c r="J3805" s="405"/>
      <c r="K3805" s="398"/>
      <c r="L3805" s="405"/>
      <c r="M3805" s="64"/>
      <c r="N3805" s="65"/>
      <c r="O3805" s="65"/>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ht="15.75" customHeight="1">
      <c r="A3806" s="327" t="str">
        <f>IF(B3806&lt;&gt;"",IF(AND(B3806='IN-TC'!$S$4,OR(TH!N3806="1111",TH!O3806="1111")),TH!D3806,""),"")</f>
        <v/>
      </c>
      <c r="B3806" s="62" t="str">
        <f t="shared" si="401"/>
        <v/>
      </c>
      <c r="C3806" s="63"/>
      <c r="D3806" s="63"/>
      <c r="E3806" s="63"/>
      <c r="F3806" s="71"/>
      <c r="G3806" s="816"/>
      <c r="H3806" s="71"/>
      <c r="I3806" s="405"/>
      <c r="J3806" s="405"/>
      <c r="K3806" s="398"/>
      <c r="L3806" s="405"/>
      <c r="M3806" s="64"/>
      <c r="N3806" s="65"/>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ht="15.75" customHeight="1">
      <c r="A3807" s="327" t="str">
        <f>IF(B3807&lt;&gt;"",IF(AND(B3807='IN-TC'!$S$4,OR(TH!N3807="1111",TH!O3807="1111")),TH!D3807,""),"")</f>
        <v/>
      </c>
      <c r="B3807" s="62" t="str">
        <f t="shared" si="401"/>
        <v/>
      </c>
      <c r="C3807" s="63"/>
      <c r="D3807" s="63"/>
      <c r="E3807" s="63"/>
      <c r="F3807" s="71"/>
      <c r="G3807" s="816"/>
      <c r="H3807" s="71"/>
      <c r="I3807" s="405"/>
      <c r="J3807" s="405"/>
      <c r="K3807" s="398"/>
      <c r="L3807" s="405"/>
      <c r="M3807" s="64"/>
      <c r="N3807" s="65"/>
      <c r="O3807" s="65"/>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ht="15.75" customHeight="1">
      <c r="A3808" s="327" t="str">
        <f>IF(B3808&lt;&gt;"",IF(AND(B3808='IN-TC'!$S$4,OR(TH!N3808="1111",TH!O3808="1111")),TH!D3808,""),"")</f>
        <v/>
      </c>
      <c r="B3808" s="62" t="str">
        <f t="shared" si="401"/>
        <v/>
      </c>
      <c r="C3808" s="63"/>
      <c r="D3808" s="63"/>
      <c r="E3808" s="63"/>
      <c r="F3808" s="71"/>
      <c r="G3808" s="66"/>
      <c r="H3808" s="71"/>
      <c r="I3808" s="405"/>
      <c r="J3808" s="405"/>
      <c r="K3808" s="398"/>
      <c r="L3808" s="405"/>
      <c r="M3808" s="64"/>
      <c r="N3808" s="65"/>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ht="15.75" customHeight="1">
      <c r="A3809" s="327" t="str">
        <f>IF(B3809&lt;&gt;"",IF(AND(B3809='IN-TC'!$S$4,OR(TH!N3809="1111",TH!O3809="1111")),TH!D3809,""),"")</f>
        <v/>
      </c>
      <c r="B3809" s="62" t="str">
        <f t="shared" si="401"/>
        <v/>
      </c>
      <c r="C3809" s="63"/>
      <c r="D3809" s="63"/>
      <c r="E3809" s="63"/>
      <c r="F3809" s="71"/>
      <c r="G3809" s="66"/>
      <c r="H3809" s="71"/>
      <c r="I3809" s="405"/>
      <c r="J3809" s="405"/>
      <c r="K3809" s="398"/>
      <c r="L3809" s="405"/>
      <c r="M3809" s="64"/>
      <c r="N3809" s="65"/>
      <c r="O3809" s="65"/>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ht="15.75" customHeight="1">
      <c r="A3810" s="327" t="str">
        <f>IF(B3810&lt;&gt;"",IF(AND(B3810='IN-TC'!$S$4,OR(TH!N3810="1111",TH!O3810="1111")),TH!D3810,""),"")</f>
        <v/>
      </c>
      <c r="B3810" s="62" t="str">
        <f t="shared" si="401"/>
        <v/>
      </c>
      <c r="C3810" s="63"/>
      <c r="D3810" s="63"/>
      <c r="E3810" s="63"/>
      <c r="F3810" s="71"/>
      <c r="G3810" s="66"/>
      <c r="H3810" s="330"/>
      <c r="I3810" s="405"/>
      <c r="J3810" s="405"/>
      <c r="K3810" s="398"/>
      <c r="L3810" s="405"/>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ht="15.75" customHeight="1">
      <c r="A3811" s="327" t="str">
        <f>IF(B3811&lt;&gt;"",IF(AND(B3811='IN-TC'!$S$4,OR(TH!N3811="1111",TH!O3811="1111")),TH!D3811,""),"")</f>
        <v/>
      </c>
      <c r="B3811" s="62" t="str">
        <f t="shared" si="401"/>
        <v/>
      </c>
      <c r="C3811" s="63"/>
      <c r="D3811" s="63"/>
      <c r="E3811" s="63"/>
      <c r="F3811" s="71"/>
      <c r="G3811" s="66"/>
      <c r="H3811" s="330"/>
      <c r="I3811" s="405"/>
      <c r="J3811" s="405"/>
      <c r="K3811" s="398"/>
      <c r="L3811" s="405"/>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ht="15.75" customHeight="1">
      <c r="A3812" s="327" t="str">
        <f>IF(B3812&lt;&gt;"",IF(AND(B3812='IN-TC'!$S$4,OR(TH!N3812="1111",TH!O3812="1111")),TH!D3812,""),"")</f>
        <v/>
      </c>
      <c r="B3812" s="62" t="str">
        <f t="shared" si="401"/>
        <v/>
      </c>
      <c r="C3812" s="63"/>
      <c r="D3812" s="63"/>
      <c r="E3812" s="63"/>
      <c r="F3812" s="71"/>
      <c r="G3812" s="66"/>
      <c r="H3812" s="330"/>
      <c r="I3812" s="405"/>
      <c r="J3812" s="405"/>
      <c r="K3812" s="398"/>
      <c r="L3812" s="405"/>
      <c r="M3812" s="64"/>
      <c r="N3812" s="65"/>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ht="15.75" customHeight="1">
      <c r="A3813" s="327" t="str">
        <f>IF(B3813&lt;&gt;"",IF(AND(B3813='IN-TC'!$S$4,OR(TH!N3813="1111",TH!O3813="1111")),TH!D3813,""),"")</f>
        <v/>
      </c>
      <c r="B3813" s="62" t="str">
        <f t="shared" si="401"/>
        <v/>
      </c>
      <c r="C3813" s="63"/>
      <c r="D3813" s="63"/>
      <c r="E3813" s="63"/>
      <c r="F3813" s="71"/>
      <c r="G3813" s="66"/>
      <c r="H3813" s="330"/>
      <c r="I3813" s="405"/>
      <c r="J3813" s="405"/>
      <c r="K3813" s="398"/>
      <c r="L3813" s="405"/>
      <c r="M3813" s="64"/>
      <c r="N3813" s="65"/>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ht="15.75" customHeight="1">
      <c r="A3814" s="327" t="str">
        <f>IF(B3814&lt;&gt;"",IF(AND(B3814='IN-TC'!$S$4,OR(TH!N3814="1111",TH!O3814="1111")),TH!D3814,""),"")</f>
        <v/>
      </c>
      <c r="B3814" s="62" t="str">
        <f t="shared" si="401"/>
        <v/>
      </c>
      <c r="C3814" s="63"/>
      <c r="D3814" s="63"/>
      <c r="E3814" s="63"/>
      <c r="F3814" s="71"/>
      <c r="G3814" s="816"/>
      <c r="H3814" s="71"/>
      <c r="I3814" s="405"/>
      <c r="J3814" s="405"/>
      <c r="K3814" s="398"/>
      <c r="L3814" s="405"/>
      <c r="M3814" s="64"/>
      <c r="N3814" s="65"/>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ht="15.75" customHeight="1">
      <c r="A3815" s="327" t="str">
        <f>IF(B3815&lt;&gt;"",IF(AND(B3815='IN-TC'!$S$4,OR(TH!N3815="1111",TH!O3815="1111")),TH!D3815,""),"")</f>
        <v/>
      </c>
      <c r="B3815" s="62" t="str">
        <f t="shared" si="401"/>
        <v/>
      </c>
      <c r="C3815" s="63"/>
      <c r="D3815" s="63"/>
      <c r="E3815" s="63"/>
      <c r="F3815" s="71"/>
      <c r="G3815" s="816"/>
      <c r="H3815" s="71"/>
      <c r="I3815" s="405"/>
      <c r="J3815" s="405"/>
      <c r="K3815" s="398"/>
      <c r="L3815" s="405"/>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ht="15.75" customHeight="1">
      <c r="A3816" s="327" t="str">
        <f>IF(B3816&lt;&gt;"",IF(AND(B3816='IN-TC'!$S$4,OR(TH!N3816="1111",TH!O3816="1111")),TH!D3816,""),"")</f>
        <v/>
      </c>
      <c r="B3816" s="62" t="str">
        <f t="shared" si="401"/>
        <v/>
      </c>
      <c r="C3816" s="63"/>
      <c r="D3816" s="63"/>
      <c r="E3816" s="63"/>
      <c r="F3816" s="71"/>
      <c r="G3816" s="816"/>
      <c r="H3816" s="71"/>
      <c r="I3816" s="405"/>
      <c r="J3816" s="405"/>
      <c r="K3816" s="398"/>
      <c r="L3816" s="405"/>
      <c r="M3816" s="64"/>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ht="15.75" customHeight="1">
      <c r="A3817" s="327" t="str">
        <f>IF(B3817&lt;&gt;"",IF(AND(B3817='IN-TC'!$S$4,OR(TH!N3817="1111",TH!O3817="1111")),TH!D3817,""),"")</f>
        <v/>
      </c>
      <c r="B3817" s="62" t="str">
        <f t="shared" si="401"/>
        <v/>
      </c>
      <c r="C3817" s="63"/>
      <c r="D3817" s="63"/>
      <c r="E3817" s="63"/>
      <c r="F3817" s="477"/>
      <c r="G3817" s="66"/>
      <c r="H3817" s="71"/>
      <c r="I3817" s="405"/>
      <c r="J3817" s="405"/>
      <c r="K3817" s="398"/>
      <c r="L3817" s="985"/>
      <c r="M3817" s="64"/>
      <c r="N3817" s="65"/>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ht="15.75" customHeight="1">
      <c r="A3818" s="327" t="str">
        <f>IF(B3818&lt;&gt;"",IF(AND(B3818='IN-TC'!$S$4,OR(TH!N3818="1111",TH!O3818="1111")),TH!D3818,""),"")</f>
        <v/>
      </c>
      <c r="B3818" s="62" t="str">
        <f t="shared" si="401"/>
        <v/>
      </c>
      <c r="C3818" s="63"/>
      <c r="D3818" s="63"/>
      <c r="E3818" s="63"/>
      <c r="F3818" s="71"/>
      <c r="G3818" s="66"/>
      <c r="H3818" s="71"/>
      <c r="I3818" s="405"/>
      <c r="J3818" s="405"/>
      <c r="K3818" s="398"/>
      <c r="L3818" s="405"/>
      <c r="M3818" s="64"/>
      <c r="N3818" s="65"/>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ht="15.75" customHeight="1">
      <c r="A3819" s="327" t="str">
        <f>IF(B3819&lt;&gt;"",IF(AND(B3819='IN-TC'!$S$4,OR(TH!N3819="1111",TH!O3819="1111")),TH!D3819,""),"")</f>
        <v/>
      </c>
      <c r="B3819" s="62" t="str">
        <f t="shared" si="401"/>
        <v/>
      </c>
      <c r="C3819" s="63"/>
      <c r="D3819" s="63"/>
      <c r="E3819" s="63"/>
      <c r="F3819" s="71"/>
      <c r="G3819" s="66"/>
      <c r="H3819" s="71"/>
      <c r="I3819" s="405"/>
      <c r="J3819" s="405"/>
      <c r="K3819" s="398"/>
      <c r="L3819" s="405"/>
      <c r="M3819" s="64"/>
      <c r="N3819" s="65"/>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ht="15.75" customHeight="1">
      <c r="A3820" s="327" t="str">
        <f>IF(B3820&lt;&gt;"",IF(AND(B3820='IN-TC'!$S$4,OR(TH!N3820="1111",TH!O3820="1111")),TH!D3820,""),"")</f>
        <v/>
      </c>
      <c r="B3820" s="62" t="str">
        <f t="shared" si="401"/>
        <v/>
      </c>
      <c r="C3820" s="63"/>
      <c r="D3820" s="63"/>
      <c r="E3820" s="63"/>
      <c r="F3820" s="71"/>
      <c r="G3820" s="66"/>
      <c r="H3820" s="71"/>
      <c r="I3820" s="405"/>
      <c r="J3820" s="405"/>
      <c r="K3820" s="398"/>
      <c r="L3820" s="405"/>
      <c r="M3820" s="64"/>
      <c r="N3820" s="65"/>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ht="15.75" customHeight="1">
      <c r="A3821" s="327" t="str">
        <f>IF(B3821&lt;&gt;"",IF(AND(B3821='IN-TC'!$S$4,OR(TH!N3821="1111",TH!O3821="1111")),TH!D3821,""),"")</f>
        <v/>
      </c>
      <c r="B3821" s="62" t="str">
        <f t="shared" si="401"/>
        <v/>
      </c>
      <c r="C3821" s="63"/>
      <c r="D3821" s="63"/>
      <c r="E3821" s="63"/>
      <c r="F3821" s="71"/>
      <c r="G3821" s="66"/>
      <c r="H3821" s="71"/>
      <c r="I3821" s="405"/>
      <c r="J3821" s="405"/>
      <c r="K3821" s="398"/>
      <c r="L3821" s="405"/>
      <c r="M3821" s="64"/>
      <c r="N3821" s="65"/>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ht="15.75" customHeight="1">
      <c r="A3822" s="327" t="str">
        <f>IF(B3822&lt;&gt;"",IF(AND(B3822='IN-TC'!$S$4,OR(TH!N3822="1111",TH!O3822="1111")),TH!D3822,""),"")</f>
        <v/>
      </c>
      <c r="B3822" s="62" t="str">
        <f t="shared" si="401"/>
        <v/>
      </c>
      <c r="C3822" s="63"/>
      <c r="D3822" s="63"/>
      <c r="E3822" s="63"/>
      <c r="F3822" s="71"/>
      <c r="G3822" s="66"/>
      <c r="H3822" s="71"/>
      <c r="I3822" s="405"/>
      <c r="J3822" s="405"/>
      <c r="K3822" s="398"/>
      <c r="L3822" s="405"/>
      <c r="M3822" s="64"/>
      <c r="N3822" s="65"/>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ht="15.75" customHeight="1">
      <c r="A3823" s="327" t="str">
        <f>IF(B3823&lt;&gt;"",IF(AND(B3823='IN-TC'!$S$4,OR(TH!N3823="1111",TH!O3823="1111")),TH!D3823,""),"")</f>
        <v/>
      </c>
      <c r="B3823" s="62" t="str">
        <f t="shared" si="401"/>
        <v/>
      </c>
      <c r="C3823" s="63"/>
      <c r="D3823" s="63"/>
      <c r="E3823" s="63"/>
      <c r="F3823" s="71"/>
      <c r="G3823" s="66"/>
      <c r="H3823" s="71"/>
      <c r="I3823" s="405"/>
      <c r="J3823" s="405"/>
      <c r="K3823" s="398"/>
      <c r="L3823" s="405"/>
      <c r="M3823" s="64"/>
      <c r="N3823" s="65"/>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ht="15.75" customHeight="1">
      <c r="A3824" s="327" t="str">
        <f>IF(B3824&lt;&gt;"",IF(AND(B3824='IN-TC'!$S$4,OR(TH!N3824="1111",TH!O3824="1111")),TH!D3824,""),"")</f>
        <v/>
      </c>
      <c r="B3824" s="62" t="str">
        <f t="shared" si="401"/>
        <v/>
      </c>
      <c r="C3824" s="63"/>
      <c r="D3824" s="63"/>
      <c r="E3824" s="63"/>
      <c r="F3824" s="71"/>
      <c r="G3824" s="66"/>
      <c r="H3824" s="71"/>
      <c r="I3824" s="405"/>
      <c r="J3824" s="405"/>
      <c r="K3824" s="398"/>
      <c r="L3824" s="405"/>
      <c r="M3824" s="64"/>
      <c r="N3824" s="65"/>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ht="15.75" customHeight="1">
      <c r="A3825" s="327" t="str">
        <f>IF(B3825&lt;&gt;"",IF(AND(B3825='IN-TC'!$S$4,OR(TH!N3825="1111",TH!O3825="1111")),TH!D3825,""),"")</f>
        <v/>
      </c>
      <c r="B3825" s="62" t="str">
        <f t="shared" si="401"/>
        <v/>
      </c>
      <c r="C3825" s="63"/>
      <c r="D3825" s="63"/>
      <c r="E3825" s="63"/>
      <c r="F3825" s="71"/>
      <c r="G3825" s="66"/>
      <c r="H3825" s="71"/>
      <c r="I3825" s="405"/>
      <c r="J3825" s="405"/>
      <c r="K3825" s="398"/>
      <c r="L3825" s="405"/>
      <c r="M3825" s="64"/>
      <c r="N3825" s="65"/>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ht="15.75" customHeight="1">
      <c r="A3826" s="327" t="str">
        <f>IF(B3826&lt;&gt;"",IF(AND(B3826='IN-TC'!$S$4,OR(TH!N3826="1111",TH!O3826="1111")),TH!D3826,""),"")</f>
        <v/>
      </c>
      <c r="B3826" s="62" t="str">
        <f t="shared" si="401"/>
        <v/>
      </c>
      <c r="C3826" s="63"/>
      <c r="D3826" s="63"/>
      <c r="E3826" s="63"/>
      <c r="F3826" s="71"/>
      <c r="G3826" s="66"/>
      <c r="H3826" s="71"/>
      <c r="I3826" s="405"/>
      <c r="J3826" s="405"/>
      <c r="K3826" s="398"/>
      <c r="L3826" s="405"/>
      <c r="M3826" s="64"/>
      <c r="N3826" s="65"/>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ht="15.75" customHeight="1">
      <c r="A3827" s="327" t="str">
        <f>IF(B3827&lt;&gt;"",IF(AND(B3827='IN-TC'!$S$4,OR(TH!N3827="1111",TH!O3827="1111")),TH!D3827,""),"")</f>
        <v/>
      </c>
      <c r="B3827" s="62" t="str">
        <f t="shared" si="401"/>
        <v/>
      </c>
      <c r="C3827" s="63"/>
      <c r="D3827" s="63"/>
      <c r="E3827" s="63"/>
      <c r="F3827" s="71"/>
      <c r="G3827" s="66"/>
      <c r="H3827" s="71"/>
      <c r="I3827" s="405"/>
      <c r="J3827" s="405"/>
      <c r="K3827" s="398"/>
      <c r="L3827" s="405"/>
      <c r="M3827" s="64"/>
      <c r="N3827" s="65"/>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ht="15.75" customHeight="1">
      <c r="A3828" s="327" t="str">
        <f>IF(B3828&lt;&gt;"",IF(AND(B3828='IN-TC'!$S$4,OR(TH!N3828="1111",TH!O3828="1111")),TH!D3828,""),"")</f>
        <v/>
      </c>
      <c r="B3828" s="62" t="str">
        <f t="shared" si="401"/>
        <v/>
      </c>
      <c r="C3828" s="63"/>
      <c r="D3828" s="63"/>
      <c r="E3828" s="63"/>
      <c r="F3828" s="71"/>
      <c r="G3828" s="66"/>
      <c r="H3828" s="71"/>
      <c r="I3828" s="405"/>
      <c r="J3828" s="405"/>
      <c r="K3828" s="398"/>
      <c r="L3828" s="405"/>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ht="15.75" customHeight="1">
      <c r="A3829" s="327" t="str">
        <f>IF(B3829&lt;&gt;"",IF(AND(B3829='IN-TC'!$S$4,OR(TH!N3829="1111",TH!O3829="1111")),TH!D3829,""),"")</f>
        <v/>
      </c>
      <c r="B3829" s="62" t="str">
        <f t="shared" si="401"/>
        <v/>
      </c>
      <c r="C3829" s="63"/>
      <c r="D3829" s="63"/>
      <c r="E3829" s="63"/>
      <c r="F3829" s="71"/>
      <c r="G3829" s="66"/>
      <c r="H3829" s="71"/>
      <c r="I3829" s="405"/>
      <c r="J3829" s="405"/>
      <c r="K3829" s="398"/>
      <c r="L3829" s="405"/>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ht="15.75" customHeight="1">
      <c r="A3830" s="327" t="str">
        <f>IF(B3830&lt;&gt;"",IF(AND(B3830='IN-TC'!$S$4,OR(TH!N3830="1111",TH!O3830="1111")),TH!D3830,""),"")</f>
        <v/>
      </c>
      <c r="B3830" s="62" t="str">
        <f t="shared" si="401"/>
        <v/>
      </c>
      <c r="C3830" s="63"/>
      <c r="D3830" s="63"/>
      <c r="E3830" s="63"/>
      <c r="F3830" s="71"/>
      <c r="G3830" s="66"/>
      <c r="H3830" s="71"/>
      <c r="I3830" s="405"/>
      <c r="J3830" s="405"/>
      <c r="K3830" s="398"/>
      <c r="L3830" s="405"/>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ht="15.75" customHeight="1">
      <c r="A3831" s="327" t="str">
        <f>IF(B3831&lt;&gt;"",IF(AND(B3831='IN-TC'!$S$4,OR(TH!N3831="1111",TH!O3831="1111")),TH!D3831,""),"")</f>
        <v/>
      </c>
      <c r="B3831" s="62" t="str">
        <f t="shared" si="401"/>
        <v/>
      </c>
      <c r="C3831" s="63"/>
      <c r="D3831" s="63"/>
      <c r="E3831" s="63"/>
      <c r="F3831" s="71"/>
      <c r="G3831" s="66"/>
      <c r="H3831" s="71"/>
      <c r="I3831" s="405"/>
      <c r="J3831" s="405"/>
      <c r="K3831" s="398"/>
      <c r="L3831" s="405"/>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ht="15.75" customHeight="1">
      <c r="A3832" s="327" t="str">
        <f>IF(B3832&lt;&gt;"",IF(AND(B3832='IN-TC'!$S$4,OR(TH!N3832="1111",TH!O3832="1111")),TH!D3832,""),"")</f>
        <v/>
      </c>
      <c r="B3832" s="62" t="str">
        <f t="shared" si="401"/>
        <v/>
      </c>
      <c r="C3832" s="63"/>
      <c r="D3832" s="63"/>
      <c r="E3832" s="63"/>
      <c r="F3832" s="71"/>
      <c r="G3832" s="66"/>
      <c r="H3832" s="71"/>
      <c r="I3832" s="405"/>
      <c r="J3832" s="405"/>
      <c r="K3832" s="398"/>
      <c r="L3832" s="405"/>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ht="15.75" customHeight="1">
      <c r="A3833" s="327" t="str">
        <f>IF(B3833&lt;&gt;"",IF(AND(B3833='IN-TC'!$S$4,OR(TH!N3833="1111",TH!O3833="1111")),TH!D3833,""),"")</f>
        <v/>
      </c>
      <c r="B3833" s="62" t="str">
        <f t="shared" si="401"/>
        <v/>
      </c>
      <c r="C3833" s="63"/>
      <c r="D3833" s="63"/>
      <c r="E3833" s="63"/>
      <c r="F3833" s="71"/>
      <c r="G3833" s="66"/>
      <c r="H3833" s="71"/>
      <c r="I3833" s="405"/>
      <c r="J3833" s="405"/>
      <c r="K3833" s="398"/>
      <c r="L3833" s="405"/>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ht="15.75" customHeight="1">
      <c r="A3834" s="327" t="str">
        <f>IF(B3834&lt;&gt;"",IF(AND(B3834='IN-TC'!$S$4,OR(TH!N3834="1111",TH!O3834="1111")),TH!D3834,""),"")</f>
        <v/>
      </c>
      <c r="B3834" s="62" t="str">
        <f t="shared" si="401"/>
        <v/>
      </c>
      <c r="C3834" s="63"/>
      <c r="D3834" s="63"/>
      <c r="E3834" s="63"/>
      <c r="F3834" s="71"/>
      <c r="G3834" s="66"/>
      <c r="H3834" s="71"/>
      <c r="I3834" s="405"/>
      <c r="J3834" s="405"/>
      <c r="K3834" s="398"/>
      <c r="L3834" s="405"/>
      <c r="M3834" s="64"/>
      <c r="N3834" s="65"/>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ht="15.75" customHeight="1">
      <c r="A3835" s="327" t="str">
        <f>IF(B3835&lt;&gt;"",IF(AND(B3835='IN-TC'!$S$4,OR(TH!N3835="1111",TH!O3835="1111")),TH!D3835,""),"")</f>
        <v/>
      </c>
      <c r="B3835" s="62" t="str">
        <f t="shared" si="401"/>
        <v/>
      </c>
      <c r="C3835" s="63"/>
      <c r="D3835" s="63"/>
      <c r="E3835" s="63"/>
      <c r="F3835" s="71"/>
      <c r="G3835" s="66"/>
      <c r="H3835" s="71"/>
      <c r="I3835" s="405"/>
      <c r="J3835" s="405"/>
      <c r="K3835" s="398"/>
      <c r="L3835" s="405"/>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ht="15.75" customHeight="1">
      <c r="A3836" s="327" t="str">
        <f>IF(B3836&lt;&gt;"",IF(AND(B3836='IN-TC'!$S$4,OR(TH!N3836="1111",TH!O3836="1111")),TH!D3836,""),"")</f>
        <v/>
      </c>
      <c r="B3836" s="62" t="str">
        <f t="shared" si="401"/>
        <v/>
      </c>
      <c r="C3836" s="63"/>
      <c r="D3836" s="63"/>
      <c r="E3836" s="63"/>
      <c r="F3836" s="71"/>
      <c r="G3836" s="66"/>
      <c r="H3836" s="71"/>
      <c r="I3836" s="405"/>
      <c r="J3836" s="405"/>
      <c r="K3836" s="398"/>
      <c r="L3836" s="405"/>
      <c r="M3836" s="64"/>
      <c r="N3836" s="65"/>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ht="15.75" customHeight="1">
      <c r="A3837" s="327" t="str">
        <f>IF(B3837&lt;&gt;"",IF(AND(B3837='IN-TC'!$S$4,OR(TH!N3837="1111",TH!O3837="1111")),TH!D3837,""),"")</f>
        <v/>
      </c>
      <c r="B3837" s="62" t="str">
        <f t="shared" si="401"/>
        <v/>
      </c>
      <c r="C3837" s="63"/>
      <c r="D3837" s="63"/>
      <c r="E3837" s="63"/>
      <c r="F3837" s="71"/>
      <c r="G3837" s="66"/>
      <c r="H3837" s="71"/>
      <c r="I3837" s="405"/>
      <c r="J3837" s="405"/>
      <c r="K3837" s="398"/>
      <c r="L3837" s="405"/>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ht="15.75" customHeight="1">
      <c r="A3838" s="327" t="str">
        <f>IF(B3838&lt;&gt;"",IF(AND(B3838='IN-TC'!$S$4,OR(TH!N3838="1111",TH!O3838="1111")),TH!D3838,""),"")</f>
        <v/>
      </c>
      <c r="B3838" s="62" t="str">
        <f t="shared" si="401"/>
        <v/>
      </c>
      <c r="C3838" s="63"/>
      <c r="D3838" s="63"/>
      <c r="E3838" s="63"/>
      <c r="F3838" s="71"/>
      <c r="G3838" s="66"/>
      <c r="H3838" s="71"/>
      <c r="I3838" s="405"/>
      <c r="J3838" s="405"/>
      <c r="K3838" s="398"/>
      <c r="L3838" s="405"/>
      <c r="M3838" s="64"/>
      <c r="N3838" s="65"/>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ht="15.75" customHeight="1">
      <c r="A3839" s="327" t="str">
        <f>IF(B3839&lt;&gt;"",IF(AND(B3839='IN-TC'!$S$4,OR(TH!N3839="1111",TH!O3839="1111")),TH!D3839,""),"")</f>
        <v/>
      </c>
      <c r="B3839" s="62" t="str">
        <f t="shared" si="401"/>
        <v/>
      </c>
      <c r="C3839" s="63"/>
      <c r="D3839" s="63"/>
      <c r="E3839" s="63"/>
      <c r="F3839" s="71"/>
      <c r="G3839" s="66"/>
      <c r="H3839" s="71"/>
      <c r="I3839" s="405"/>
      <c r="J3839" s="405"/>
      <c r="K3839" s="398"/>
      <c r="L3839" s="405"/>
      <c r="M3839" s="64"/>
      <c r="N3839" s="65"/>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ht="15.75" customHeight="1">
      <c r="A3840" s="327" t="str">
        <f>IF(B3840&lt;&gt;"",IF(AND(B3840='IN-TC'!$S$4,OR(TH!N3840="1111",TH!O3840="1111")),TH!D3840,""),"")</f>
        <v/>
      </c>
      <c r="B3840" s="62" t="str">
        <f t="shared" si="401"/>
        <v/>
      </c>
      <c r="C3840" s="63"/>
      <c r="D3840" s="63"/>
      <c r="E3840" s="63"/>
      <c r="F3840" s="71"/>
      <c r="G3840" s="66"/>
      <c r="H3840" s="71"/>
      <c r="I3840" s="405"/>
      <c r="J3840" s="405"/>
      <c r="K3840" s="398"/>
      <c r="L3840" s="405"/>
      <c r="M3840" s="64"/>
      <c r="N3840" s="65"/>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ht="15.75" customHeight="1">
      <c r="A3841" s="327" t="str">
        <f>IF(B3841&lt;&gt;"",IF(AND(B3841='IN-TC'!$S$4,OR(TH!N3841="1111",TH!O3841="1111")),TH!D3841,""),"")</f>
        <v/>
      </c>
      <c r="B3841" s="62" t="str">
        <f t="shared" si="401"/>
        <v/>
      </c>
      <c r="C3841" s="63"/>
      <c r="D3841" s="63"/>
      <c r="E3841" s="63"/>
      <c r="F3841" s="71"/>
      <c r="G3841" s="66"/>
      <c r="H3841" s="330"/>
      <c r="I3841" s="405"/>
      <c r="J3841" s="405"/>
      <c r="K3841" s="398"/>
      <c r="L3841" s="405"/>
      <c r="M3841" s="64"/>
      <c r="N3841" s="65"/>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ht="15.75" customHeight="1">
      <c r="A3842" s="327" t="str">
        <f>IF(B3842&lt;&gt;"",IF(AND(B3842='IN-TC'!$S$4,OR(TH!N3842="1111",TH!O3842="1111")),TH!D3842,""),"")</f>
        <v/>
      </c>
      <c r="B3842" s="62" t="str">
        <f t="shared" si="401"/>
        <v/>
      </c>
      <c r="C3842" s="63"/>
      <c r="D3842" s="63"/>
      <c r="E3842" s="63"/>
      <c r="F3842" s="71"/>
      <c r="G3842" s="66"/>
      <c r="H3842" s="71"/>
      <c r="I3842" s="405"/>
      <c r="J3842" s="405"/>
      <c r="K3842" s="398"/>
      <c r="L3842" s="405"/>
      <c r="M3842" s="64"/>
      <c r="N3842" s="65"/>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ht="15.75" customHeight="1">
      <c r="A3843" s="327" t="str">
        <f>IF(B3843&lt;&gt;"",IF(AND(B3843='IN-TC'!$S$4,OR(TH!N3843="1111",TH!O3843="1111")),TH!D3843,""),"")</f>
        <v/>
      </c>
      <c r="B3843" s="62" t="str">
        <f t="shared" si="401"/>
        <v/>
      </c>
      <c r="C3843" s="63"/>
      <c r="D3843" s="63"/>
      <c r="E3843" s="63"/>
      <c r="F3843" s="71"/>
      <c r="G3843" s="66"/>
      <c r="H3843" s="71"/>
      <c r="I3843" s="405"/>
      <c r="J3843" s="405"/>
      <c r="K3843" s="398"/>
      <c r="L3843" s="405"/>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ht="15.75" customHeight="1">
      <c r="A3844" s="327" t="str">
        <f>IF(B3844&lt;&gt;"",IF(AND(B3844='IN-TC'!$S$4,OR(TH!N3844="1111",TH!O3844="1111")),TH!D3844,""),"")</f>
        <v/>
      </c>
      <c r="B3844" s="62" t="str">
        <f t="shared" si="401"/>
        <v/>
      </c>
      <c r="C3844" s="63"/>
      <c r="D3844" s="63"/>
      <c r="E3844" s="63"/>
      <c r="F3844" s="71"/>
      <c r="G3844" s="66"/>
      <c r="H3844" s="330"/>
      <c r="I3844" s="405"/>
      <c r="J3844" s="405"/>
      <c r="K3844" s="398"/>
      <c r="L3844" s="405"/>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ht="15.75" customHeight="1">
      <c r="A3845" s="327" t="str">
        <f>IF(B3845&lt;&gt;"",IF(AND(B3845='IN-TC'!$S$4,OR(TH!N3845="1111",TH!O3845="1111")),TH!D3845,""),"")</f>
        <v/>
      </c>
      <c r="B3845" s="62" t="str">
        <f t="shared" si="401"/>
        <v/>
      </c>
      <c r="C3845" s="63"/>
      <c r="D3845" s="63"/>
      <c r="E3845" s="63"/>
      <c r="F3845" s="71"/>
      <c r="G3845" s="66"/>
      <c r="H3845" s="71"/>
      <c r="I3845" s="405"/>
      <c r="J3845" s="405"/>
      <c r="K3845" s="398"/>
      <c r="L3845" s="405"/>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ht="15.75" customHeight="1">
      <c r="A3846" s="327" t="str">
        <f>IF(B3846&lt;&gt;"",IF(AND(B3846='IN-TC'!$S$4,OR(TH!N3846="1111",TH!O3846="1111")),TH!D3846,""),"")</f>
        <v/>
      </c>
      <c r="B3846" s="62" t="str">
        <f t="shared" si="401"/>
        <v/>
      </c>
      <c r="C3846" s="63"/>
      <c r="D3846" s="63"/>
      <c r="E3846" s="63"/>
      <c r="F3846" s="71"/>
      <c r="G3846" s="66"/>
      <c r="H3846" s="71"/>
      <c r="I3846" s="405"/>
      <c r="J3846" s="405"/>
      <c r="K3846" s="398"/>
      <c r="L3846" s="405"/>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ht="15.75" customHeight="1">
      <c r="A3847" s="327" t="str">
        <f>IF(B3847&lt;&gt;"",IF(AND(B3847='IN-TC'!$S$4,OR(TH!N3847="1111",TH!O3847="1111")),TH!D3847,""),"")</f>
        <v/>
      </c>
      <c r="B3847" s="62" t="str">
        <f t="shared" si="401"/>
        <v/>
      </c>
      <c r="C3847" s="63"/>
      <c r="D3847" s="63"/>
      <c r="E3847" s="63"/>
      <c r="F3847" s="71"/>
      <c r="G3847" s="66"/>
      <c r="H3847" s="330"/>
      <c r="I3847" s="405"/>
      <c r="J3847" s="405"/>
      <c r="K3847" s="398"/>
      <c r="L3847" s="405"/>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ht="15.75" customHeight="1">
      <c r="A3848" s="327" t="str">
        <f>IF(B3848&lt;&gt;"",IF(AND(B3848='IN-TC'!$S$4,OR(TH!N3848="1111",TH!O3848="1111")),TH!D3848,""),"")</f>
        <v/>
      </c>
      <c r="B3848" s="62" t="str">
        <f t="shared" si="401"/>
        <v/>
      </c>
      <c r="C3848" s="63"/>
      <c r="D3848" s="63"/>
      <c r="E3848" s="63"/>
      <c r="F3848" s="71"/>
      <c r="G3848" s="66"/>
      <c r="H3848" s="71"/>
      <c r="I3848" s="405"/>
      <c r="J3848" s="405"/>
      <c r="K3848" s="398"/>
      <c r="L3848" s="405"/>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ht="15.75" customHeight="1">
      <c r="A3849" s="327" t="str">
        <f>IF(B3849&lt;&gt;"",IF(AND(B3849='IN-TC'!$S$4,OR(TH!N3849="1111",TH!O3849="1111")),TH!D3849,""),"")</f>
        <v/>
      </c>
      <c r="B3849" s="62" t="str">
        <f t="shared" si="401"/>
        <v/>
      </c>
      <c r="C3849" s="63"/>
      <c r="D3849" s="63"/>
      <c r="E3849" s="63"/>
      <c r="F3849" s="71"/>
      <c r="G3849" s="66"/>
      <c r="H3849" s="71"/>
      <c r="I3849" s="405"/>
      <c r="J3849" s="405"/>
      <c r="K3849" s="398"/>
      <c r="L3849" s="405"/>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ht="15.75" customHeight="1">
      <c r="A3850" s="327" t="str">
        <f>IF(B3850&lt;&gt;"",IF(AND(B3850='IN-TC'!$S$4,OR(TH!N3850="1111",TH!O3850="1111")),TH!D3850,""),"")</f>
        <v/>
      </c>
      <c r="B3850" s="62" t="str">
        <f t="shared" si="401"/>
        <v/>
      </c>
      <c r="C3850" s="63"/>
      <c r="D3850" s="63"/>
      <c r="E3850" s="63"/>
      <c r="F3850" s="71"/>
      <c r="G3850" s="66"/>
      <c r="H3850" s="71"/>
      <c r="I3850" s="405"/>
      <c r="J3850" s="405"/>
      <c r="K3850" s="398"/>
      <c r="L3850" s="405"/>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ht="15.75" customHeight="1">
      <c r="A3851" s="327" t="str">
        <f>IF(B3851&lt;&gt;"",IF(AND(B3851='IN-TC'!$S$4,OR(TH!N3851="1111",TH!O3851="1111")),TH!D3851,""),"")</f>
        <v/>
      </c>
      <c r="B3851" s="62" t="str">
        <f t="shared" si="401"/>
        <v/>
      </c>
      <c r="C3851" s="63"/>
      <c r="D3851" s="63"/>
      <c r="E3851" s="63"/>
      <c r="F3851" s="71"/>
      <c r="G3851" s="66"/>
      <c r="H3851" s="71"/>
      <c r="I3851" s="405"/>
      <c r="J3851" s="405"/>
      <c r="K3851" s="398"/>
      <c r="L3851" s="405"/>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ht="15.75" customHeight="1">
      <c r="A3852" s="327" t="str">
        <f>IF(B3852&lt;&gt;"",IF(AND(B3852='IN-TC'!$S$4,OR(TH!N3852="1111",TH!O3852="1111")),TH!D3852,""),"")</f>
        <v/>
      </c>
      <c r="B3852" s="62" t="str">
        <f t="shared" si="401"/>
        <v/>
      </c>
      <c r="C3852" s="63"/>
      <c r="D3852" s="63"/>
      <c r="E3852" s="63"/>
      <c r="F3852" s="71"/>
      <c r="G3852" s="66"/>
      <c r="H3852" s="71"/>
      <c r="I3852" s="405"/>
      <c r="J3852" s="405"/>
      <c r="K3852" s="398"/>
      <c r="L3852" s="405"/>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ht="15.75" customHeight="1">
      <c r="A3853" s="327" t="str">
        <f>IF(B3853&lt;&gt;"",IF(AND(B3853='IN-TC'!$S$4,OR(TH!N3853="1111",TH!O3853="1111")),TH!D3853,""),"")</f>
        <v/>
      </c>
      <c r="B3853" s="62" t="str">
        <f t="shared" si="401"/>
        <v/>
      </c>
      <c r="C3853" s="63"/>
      <c r="D3853" s="63"/>
      <c r="E3853" s="63"/>
      <c r="F3853" s="71"/>
      <c r="G3853" s="66"/>
      <c r="H3853" s="71"/>
      <c r="I3853" s="405"/>
      <c r="J3853" s="405"/>
      <c r="K3853" s="398"/>
      <c r="L3853" s="405"/>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ht="15.75" customHeight="1">
      <c r="A3854" s="327" t="str">
        <f>IF(B3854&lt;&gt;"",IF(AND(B3854='IN-TC'!$S$4,OR(TH!N3854="1111",TH!O3854="1111")),TH!D3854,""),"")</f>
        <v/>
      </c>
      <c r="B3854" s="62" t="str">
        <f t="shared" si="401"/>
        <v/>
      </c>
      <c r="C3854" s="63"/>
      <c r="D3854" s="63"/>
      <c r="E3854" s="63"/>
      <c r="F3854" s="71"/>
      <c r="G3854" s="66"/>
      <c r="H3854" s="71"/>
      <c r="I3854" s="405"/>
      <c r="J3854" s="405"/>
      <c r="K3854" s="398"/>
      <c r="L3854" s="405"/>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ht="15.75" customHeight="1">
      <c r="A3855" s="327" t="str">
        <f>IF(B3855&lt;&gt;"",IF(AND(B3855='IN-TC'!$S$4,OR(TH!N3855="1111",TH!O3855="1111")),TH!D3855,""),"")</f>
        <v/>
      </c>
      <c r="B3855" s="62" t="str">
        <f t="shared" si="401"/>
        <v/>
      </c>
      <c r="C3855" s="63"/>
      <c r="D3855" s="63"/>
      <c r="E3855" s="63"/>
      <c r="F3855" s="71"/>
      <c r="G3855" s="66"/>
      <c r="H3855" s="71"/>
      <c r="I3855" s="405"/>
      <c r="J3855" s="405"/>
      <c r="K3855" s="398"/>
      <c r="L3855" s="990"/>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ht="15.75" customHeight="1">
      <c r="A3856" s="327" t="str">
        <f>IF(B3856&lt;&gt;"",IF(AND(B3856='IN-TC'!$S$4,OR(TH!N3856="1111",TH!O3856="1111")),TH!D3856,""),"")</f>
        <v/>
      </c>
      <c r="B3856" s="62" t="str">
        <f t="shared" si="401"/>
        <v/>
      </c>
      <c r="C3856" s="63"/>
      <c r="D3856" s="63"/>
      <c r="E3856" s="63"/>
      <c r="F3856" s="71"/>
      <c r="G3856" s="66"/>
      <c r="H3856" s="71"/>
      <c r="I3856" s="405"/>
      <c r="J3856" s="405"/>
      <c r="K3856" s="398"/>
      <c r="L3856" s="405"/>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ht="15.75" customHeight="1">
      <c r="A3857" s="327" t="str">
        <f>IF(B3857&lt;&gt;"",IF(AND(B3857='IN-TC'!$S$4,OR(TH!N3857="1111",TH!O3857="1111")),TH!D3857,""),"")</f>
        <v/>
      </c>
      <c r="B3857" s="62" t="str">
        <f t="shared" si="401"/>
        <v/>
      </c>
      <c r="C3857" s="63"/>
      <c r="D3857" s="63"/>
      <c r="E3857" s="63"/>
      <c r="F3857" s="71"/>
      <c r="G3857" s="66"/>
      <c r="H3857" s="71"/>
      <c r="I3857" s="405"/>
      <c r="J3857" s="405"/>
      <c r="K3857" s="398"/>
      <c r="L3857" s="405"/>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ht="15.75" customHeight="1">
      <c r="A3858" s="327" t="str">
        <f>IF(B3858&lt;&gt;"",IF(AND(B3858='IN-TC'!$S$4,OR(TH!N3858="1111",TH!O3858="1111")),TH!D3858,""),"")</f>
        <v/>
      </c>
      <c r="B3858" s="62" t="str">
        <f t="shared" si="401"/>
        <v/>
      </c>
      <c r="C3858" s="63"/>
      <c r="D3858" s="63"/>
      <c r="E3858" s="63"/>
      <c r="F3858" s="71"/>
      <c r="G3858" s="66"/>
      <c r="H3858" s="71"/>
      <c r="I3858" s="405"/>
      <c r="J3858" s="405"/>
      <c r="K3858" s="398"/>
      <c r="L3858" s="405"/>
      <c r="M3858" s="64"/>
      <c r="N3858" s="65"/>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ht="15.75" customHeight="1">
      <c r="A3859" s="327" t="str">
        <f>IF(B3859&lt;&gt;"",IF(AND(B3859='IN-TC'!$S$4,OR(TH!N3859="1111",TH!O3859="1111")),TH!D3859,""),"")</f>
        <v/>
      </c>
      <c r="B3859" s="62" t="str">
        <f t="shared" si="401"/>
        <v/>
      </c>
      <c r="C3859" s="63"/>
      <c r="D3859" s="63"/>
      <c r="E3859" s="63"/>
      <c r="F3859" s="71"/>
      <c r="G3859" s="66"/>
      <c r="H3859" s="71"/>
      <c r="I3859" s="405"/>
      <c r="J3859" s="405"/>
      <c r="K3859" s="398"/>
      <c r="L3859" s="405"/>
      <c r="M3859" s="64"/>
      <c r="N3859" s="65"/>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ht="15.75" customHeight="1">
      <c r="A3860" s="327" t="str">
        <f>IF(B3860&lt;&gt;"",IF(AND(B3860='IN-TC'!$S$4,OR(TH!N3860="1111",TH!O3860="1111")),TH!D3860,""),"")</f>
        <v/>
      </c>
      <c r="B3860" s="62" t="str">
        <f t="shared" si="401"/>
        <v/>
      </c>
      <c r="C3860" s="63"/>
      <c r="D3860" s="63"/>
      <c r="E3860" s="63"/>
      <c r="F3860" s="71"/>
      <c r="G3860" s="816"/>
      <c r="H3860" s="71"/>
      <c r="I3860" s="405"/>
      <c r="J3860" s="405"/>
      <c r="K3860" s="398"/>
      <c r="L3860" s="405"/>
      <c r="M3860" s="64"/>
      <c r="N3860" s="65"/>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ht="15.75" customHeight="1">
      <c r="A3861" s="327" t="str">
        <f>IF(B3861&lt;&gt;"",IF(AND(B3861='IN-TC'!$S$4,OR(TH!N3861="1111",TH!O3861="1111")),TH!D3861,""),"")</f>
        <v/>
      </c>
      <c r="B3861" s="62" t="str">
        <f t="shared" si="401"/>
        <v/>
      </c>
      <c r="C3861" s="63"/>
      <c r="D3861" s="63"/>
      <c r="E3861" s="63"/>
      <c r="F3861" s="71"/>
      <c r="G3861" s="816"/>
      <c r="H3861" s="71"/>
      <c r="I3861" s="405"/>
      <c r="J3861" s="405"/>
      <c r="K3861" s="398"/>
      <c r="L3861" s="405"/>
      <c r="M3861" s="64"/>
      <c r="N3861" s="65"/>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ht="15.75" customHeight="1">
      <c r="A3862" s="327" t="str">
        <f>IF(B3862&lt;&gt;"",IF(AND(B3862='IN-TC'!$S$4,OR(TH!N3862="1111",TH!O3862="1111")),TH!D3862,""),"")</f>
        <v/>
      </c>
      <c r="B3862" s="62" t="str">
        <f t="shared" ref="B3862:B3925" si="402">IF(C3862&lt;&gt;"",MONTH(C3862),"")</f>
        <v/>
      </c>
      <c r="C3862" s="63"/>
      <c r="D3862" s="63"/>
      <c r="E3862" s="63"/>
      <c r="F3862" s="71"/>
      <c r="G3862" s="66"/>
      <c r="H3862" s="71"/>
      <c r="I3862" s="405"/>
      <c r="J3862" s="405"/>
      <c r="K3862" s="398"/>
      <c r="L3862" s="405"/>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ht="15.75" customHeight="1">
      <c r="A3863" s="327" t="str">
        <f>IF(B3863&lt;&gt;"",IF(AND(B3863='IN-TC'!$S$4,OR(TH!N3863="1111",TH!O3863="1111")),TH!D3863,""),"")</f>
        <v/>
      </c>
      <c r="B3863" s="62" t="str">
        <f t="shared" si="402"/>
        <v/>
      </c>
      <c r="C3863" s="63"/>
      <c r="D3863" s="63"/>
      <c r="E3863" s="63"/>
      <c r="F3863" s="71"/>
      <c r="G3863" s="66"/>
      <c r="H3863" s="71"/>
      <c r="I3863" s="405"/>
      <c r="J3863" s="405"/>
      <c r="K3863" s="398"/>
      <c r="L3863" s="405"/>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ht="15.75" customHeight="1">
      <c r="A3864" s="327" t="str">
        <f>IF(B3864&lt;&gt;"",IF(AND(B3864='IN-TC'!$S$4,OR(TH!N3864="1111",TH!O3864="1111")),TH!D3864,""),"")</f>
        <v/>
      </c>
      <c r="B3864" s="62" t="str">
        <f t="shared" si="402"/>
        <v/>
      </c>
      <c r="C3864" s="63"/>
      <c r="D3864" s="63"/>
      <c r="E3864" s="63"/>
      <c r="F3864" s="71"/>
      <c r="G3864" s="816"/>
      <c r="H3864" s="71"/>
      <c r="I3864" s="405"/>
      <c r="J3864" s="405"/>
      <c r="K3864" s="398"/>
      <c r="L3864" s="405"/>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ht="15.75" customHeight="1">
      <c r="A3865" s="327" t="str">
        <f>IF(B3865&lt;&gt;"",IF(AND(B3865='IN-TC'!$S$4,OR(TH!N3865="1111",TH!O3865="1111")),TH!D3865,""),"")</f>
        <v/>
      </c>
      <c r="B3865" s="62" t="str">
        <f t="shared" si="402"/>
        <v/>
      </c>
      <c r="C3865" s="63"/>
      <c r="D3865" s="63"/>
      <c r="E3865" s="63"/>
      <c r="F3865" s="71"/>
      <c r="G3865" s="816"/>
      <c r="H3865" s="71"/>
      <c r="I3865" s="405"/>
      <c r="J3865" s="405"/>
      <c r="K3865" s="398"/>
      <c r="L3865" s="405"/>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ht="15.75" customHeight="1">
      <c r="A3866" s="327" t="str">
        <f>IF(B3866&lt;&gt;"",IF(AND(B3866='IN-TC'!$S$4,OR(TH!N3866="1111",TH!O3866="1111")),TH!D3866,""),"")</f>
        <v/>
      </c>
      <c r="B3866" s="62" t="str">
        <f t="shared" si="402"/>
        <v/>
      </c>
      <c r="C3866" s="63"/>
      <c r="D3866" s="63"/>
      <c r="E3866" s="63"/>
      <c r="F3866" s="71"/>
      <c r="G3866" s="66"/>
      <c r="H3866" s="71"/>
      <c r="I3866" s="405"/>
      <c r="J3866" s="405"/>
      <c r="K3866" s="398"/>
      <c r="L3866" s="405"/>
      <c r="M3866" s="64"/>
      <c r="N3866" s="65"/>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ht="15.75" customHeight="1">
      <c r="A3867" s="327" t="str">
        <f>IF(B3867&lt;&gt;"",IF(AND(B3867='IN-TC'!$S$4,OR(TH!N3867="1111",TH!O3867="1111")),TH!D3867,""),"")</f>
        <v/>
      </c>
      <c r="B3867" s="62" t="str">
        <f t="shared" si="402"/>
        <v/>
      </c>
      <c r="C3867" s="63"/>
      <c r="D3867" s="63"/>
      <c r="E3867" s="63"/>
      <c r="F3867" s="71"/>
      <c r="G3867" s="66"/>
      <c r="H3867" s="71"/>
      <c r="I3867" s="405"/>
      <c r="J3867" s="405"/>
      <c r="K3867" s="398"/>
      <c r="L3867" s="405"/>
      <c r="M3867" s="64"/>
      <c r="N3867" s="65"/>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ht="15.75" customHeight="1">
      <c r="A3868" s="327" t="str">
        <f>IF(B3868&lt;&gt;"",IF(AND(B3868='IN-TC'!$S$4,OR(TH!N3868="1111",TH!O3868="1111")),TH!D3868,""),"")</f>
        <v/>
      </c>
      <c r="B3868" s="62" t="str">
        <f t="shared" si="402"/>
        <v/>
      </c>
      <c r="C3868" s="63"/>
      <c r="D3868" s="63"/>
      <c r="E3868" s="63"/>
      <c r="F3868" s="71"/>
      <c r="G3868" s="66"/>
      <c r="H3868" s="71"/>
      <c r="I3868" s="405"/>
      <c r="J3868" s="405"/>
      <c r="K3868" s="398"/>
      <c r="L3868" s="405"/>
      <c r="M3868" s="64"/>
      <c r="N3868" s="65"/>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ht="15.75" customHeight="1">
      <c r="A3869" s="327" t="str">
        <f>IF(B3869&lt;&gt;"",IF(AND(B3869='IN-TC'!$S$4,OR(TH!N3869="1111",TH!O3869="1111")),TH!D3869,""),"")</f>
        <v/>
      </c>
      <c r="B3869" s="62" t="str">
        <f t="shared" si="402"/>
        <v/>
      </c>
      <c r="C3869" s="63"/>
      <c r="D3869" s="63"/>
      <c r="E3869" s="63"/>
      <c r="F3869" s="71"/>
      <c r="G3869" s="66"/>
      <c r="H3869" s="71"/>
      <c r="I3869" s="405"/>
      <c r="J3869" s="405"/>
      <c r="K3869" s="398"/>
      <c r="L3869" s="405"/>
      <c r="M3869" s="64"/>
      <c r="N3869" s="65"/>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ht="15.75" customHeight="1">
      <c r="A3870" s="327" t="str">
        <f>IF(B3870&lt;&gt;"",IF(AND(B3870='IN-TC'!$S$4,OR(TH!N3870="1111",TH!O3870="1111")),TH!D3870,""),"")</f>
        <v/>
      </c>
      <c r="B3870" s="62" t="str">
        <f t="shared" si="402"/>
        <v/>
      </c>
      <c r="C3870" s="63"/>
      <c r="D3870" s="63"/>
      <c r="E3870" s="63"/>
      <c r="F3870" s="71"/>
      <c r="G3870" s="66"/>
      <c r="H3870" s="71"/>
      <c r="I3870" s="405"/>
      <c r="J3870" s="405"/>
      <c r="K3870" s="398"/>
      <c r="L3870" s="405"/>
      <c r="M3870" s="64"/>
      <c r="N3870" s="65"/>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ht="15.75" customHeight="1">
      <c r="A3871" s="327" t="str">
        <f>IF(B3871&lt;&gt;"",IF(AND(B3871='IN-TC'!$S$4,OR(TH!N3871="1111",TH!O3871="1111")),TH!D3871,""),"")</f>
        <v/>
      </c>
      <c r="B3871" s="62" t="str">
        <f t="shared" si="402"/>
        <v/>
      </c>
      <c r="C3871" s="63"/>
      <c r="D3871" s="63"/>
      <c r="E3871" s="63"/>
      <c r="F3871" s="71"/>
      <c r="G3871" s="66"/>
      <c r="H3871" s="71"/>
      <c r="I3871" s="405"/>
      <c r="J3871" s="405"/>
      <c r="K3871" s="398"/>
      <c r="L3871" s="405"/>
      <c r="M3871" s="64"/>
      <c r="N3871" s="65"/>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ht="15.75" customHeight="1">
      <c r="A3872" s="327" t="str">
        <f>IF(B3872&lt;&gt;"",IF(AND(B3872='IN-TC'!$S$4,OR(TH!N3872="1111",TH!O3872="1111")),TH!D3872,""),"")</f>
        <v/>
      </c>
      <c r="B3872" s="62" t="str">
        <f t="shared" si="402"/>
        <v/>
      </c>
      <c r="C3872" s="63"/>
      <c r="D3872" s="63"/>
      <c r="E3872" s="63"/>
      <c r="F3872" s="71"/>
      <c r="G3872" s="66"/>
      <c r="H3872" s="71"/>
      <c r="I3872" s="405"/>
      <c r="J3872" s="405"/>
      <c r="K3872" s="398"/>
      <c r="L3872" s="405"/>
      <c r="M3872" s="64"/>
      <c r="N3872" s="65"/>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ht="15.75" customHeight="1">
      <c r="A3873" s="327" t="str">
        <f>IF(B3873&lt;&gt;"",IF(AND(B3873='IN-TC'!$S$4,OR(TH!N3873="1111",TH!O3873="1111")),TH!D3873,""),"")</f>
        <v/>
      </c>
      <c r="B3873" s="62" t="str">
        <f t="shared" si="402"/>
        <v/>
      </c>
      <c r="C3873" s="63"/>
      <c r="D3873" s="63"/>
      <c r="E3873" s="63"/>
      <c r="F3873" s="71"/>
      <c r="G3873" s="66"/>
      <c r="H3873" s="977"/>
      <c r="I3873" s="405"/>
      <c r="J3873" s="405"/>
      <c r="K3873" s="398"/>
      <c r="L3873" s="405"/>
      <c r="M3873" s="64"/>
      <c r="N3873" s="65"/>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ht="15.75" customHeight="1">
      <c r="A3874" s="327" t="str">
        <f>IF(B3874&lt;&gt;"",IF(AND(B3874='IN-TC'!$S$4,OR(TH!N3874="1111",TH!O3874="1111")),TH!D3874,""),"")</f>
        <v/>
      </c>
      <c r="B3874" s="62" t="str">
        <f t="shared" si="402"/>
        <v/>
      </c>
      <c r="C3874" s="63"/>
      <c r="D3874" s="63"/>
      <c r="E3874" s="63"/>
      <c r="F3874" s="71"/>
      <c r="G3874" s="66"/>
      <c r="H3874" s="977"/>
      <c r="I3874" s="405"/>
      <c r="J3874" s="405"/>
      <c r="K3874" s="398"/>
      <c r="L3874" s="405"/>
      <c r="M3874" s="64"/>
      <c r="N3874" s="65"/>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ht="15.75" customHeight="1">
      <c r="A3875" s="327" t="str">
        <f>IF(B3875&lt;&gt;"",IF(AND(B3875='IN-TC'!$S$4,OR(TH!N3875="1111",TH!O3875="1111")),TH!D3875,""),"")</f>
        <v/>
      </c>
      <c r="B3875" s="62" t="str">
        <f t="shared" si="402"/>
        <v/>
      </c>
      <c r="C3875" s="63"/>
      <c r="D3875" s="63"/>
      <c r="E3875" s="63"/>
      <c r="F3875" s="71"/>
      <c r="G3875" s="66"/>
      <c r="H3875" s="977"/>
      <c r="I3875" s="405"/>
      <c r="J3875" s="405"/>
      <c r="K3875" s="398"/>
      <c r="L3875" s="405"/>
      <c r="M3875" s="64"/>
      <c r="N3875" s="65"/>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ht="15.75" customHeight="1">
      <c r="A3876" s="327" t="str">
        <f>IF(B3876&lt;&gt;"",IF(AND(B3876='IN-TC'!$S$4,OR(TH!N3876="1111",TH!O3876="1111")),TH!D3876,""),"")</f>
        <v/>
      </c>
      <c r="B3876" s="62" t="str">
        <f t="shared" si="402"/>
        <v/>
      </c>
      <c r="C3876" s="63"/>
      <c r="D3876" s="63"/>
      <c r="E3876" s="63"/>
      <c r="F3876" s="71"/>
      <c r="G3876" s="66"/>
      <c r="H3876" s="977"/>
      <c r="I3876" s="405"/>
      <c r="J3876" s="405"/>
      <c r="K3876" s="398"/>
      <c r="L3876" s="405"/>
      <c r="M3876" s="64"/>
      <c r="N3876" s="65"/>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ht="15.75" customHeight="1">
      <c r="A3877" s="327" t="str">
        <f>IF(B3877&lt;&gt;"",IF(AND(B3877='IN-TC'!$S$4,OR(TH!N3877="1111",TH!O3877="1111")),TH!D3877,""),"")</f>
        <v/>
      </c>
      <c r="B3877" s="62" t="str">
        <f t="shared" si="402"/>
        <v/>
      </c>
      <c r="C3877" s="63"/>
      <c r="D3877" s="63"/>
      <c r="E3877" s="63"/>
      <c r="F3877" s="71"/>
      <c r="G3877" s="66"/>
      <c r="H3877" s="977"/>
      <c r="I3877" s="405"/>
      <c r="J3877" s="405"/>
      <c r="K3877" s="398"/>
      <c r="L3877" s="405"/>
      <c r="M3877" s="64"/>
      <c r="N3877" s="65"/>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ht="15.75" customHeight="1">
      <c r="A3878" s="327" t="str">
        <f>IF(B3878&lt;&gt;"",IF(AND(B3878='IN-TC'!$S$4,OR(TH!N3878="1111",TH!O3878="1111")),TH!D3878,""),"")</f>
        <v/>
      </c>
      <c r="B3878" s="62" t="str">
        <f t="shared" si="402"/>
        <v/>
      </c>
      <c r="C3878" s="63"/>
      <c r="D3878" s="63"/>
      <c r="E3878" s="63"/>
      <c r="F3878" s="71"/>
      <c r="G3878" s="66"/>
      <c r="H3878" s="977"/>
      <c r="I3878" s="405"/>
      <c r="J3878" s="405"/>
      <c r="K3878" s="398"/>
      <c r="L3878" s="405"/>
      <c r="M3878" s="64"/>
      <c r="N3878" s="65"/>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ht="15.75" customHeight="1">
      <c r="A3879" s="327" t="str">
        <f>IF(B3879&lt;&gt;"",IF(AND(B3879='IN-TC'!$S$4,OR(TH!N3879="1111",TH!O3879="1111")),TH!D3879,""),"")</f>
        <v/>
      </c>
      <c r="B3879" s="62" t="str">
        <f t="shared" si="402"/>
        <v/>
      </c>
      <c r="C3879" s="63"/>
      <c r="D3879" s="63"/>
      <c r="E3879" s="63"/>
      <c r="F3879" s="71"/>
      <c r="G3879" s="66"/>
      <c r="H3879" s="71"/>
      <c r="I3879" s="405"/>
      <c r="J3879" s="405"/>
      <c r="K3879" s="398"/>
      <c r="L3879" s="405"/>
      <c r="M3879" s="64"/>
      <c r="N3879" s="65"/>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ht="15.75" customHeight="1">
      <c r="A3880" s="327" t="str">
        <f>IF(B3880&lt;&gt;"",IF(AND(B3880='IN-TC'!$S$4,OR(TH!N3880="1111",TH!O3880="1111")),TH!D3880,""),"")</f>
        <v/>
      </c>
      <c r="B3880" s="62" t="str">
        <f t="shared" si="402"/>
        <v/>
      </c>
      <c r="C3880" s="63"/>
      <c r="D3880" s="63"/>
      <c r="E3880" s="63"/>
      <c r="F3880" s="71"/>
      <c r="G3880" s="66"/>
      <c r="H3880" s="71"/>
      <c r="I3880" s="405"/>
      <c r="J3880" s="405"/>
      <c r="K3880" s="398"/>
      <c r="L3880" s="405"/>
      <c r="M3880" s="64"/>
      <c r="N3880" s="65"/>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ht="15.75" customHeight="1">
      <c r="A3881" s="327" t="str">
        <f>IF(B3881&lt;&gt;"",IF(AND(B3881='IN-TC'!$S$4,OR(TH!N3881="1111",TH!O3881="1111")),TH!D3881,""),"")</f>
        <v/>
      </c>
      <c r="B3881" s="62" t="str">
        <f t="shared" si="402"/>
        <v/>
      </c>
      <c r="C3881" s="63"/>
      <c r="D3881" s="63"/>
      <c r="E3881" s="63"/>
      <c r="F3881" s="71"/>
      <c r="G3881" s="66"/>
      <c r="H3881" s="71"/>
      <c r="I3881" s="405"/>
      <c r="J3881" s="405"/>
      <c r="K3881" s="398"/>
      <c r="L3881" s="405"/>
      <c r="M3881" s="64"/>
      <c r="N3881" s="65"/>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ht="15.75" customHeight="1">
      <c r="A3882" s="327" t="str">
        <f>IF(B3882&lt;&gt;"",IF(AND(B3882='IN-TC'!$S$4,OR(TH!N3882="1111",TH!O3882="1111")),TH!D3882,""),"")</f>
        <v/>
      </c>
      <c r="B3882" s="62" t="str">
        <f t="shared" si="402"/>
        <v/>
      </c>
      <c r="C3882" s="63"/>
      <c r="D3882" s="63"/>
      <c r="E3882" s="63"/>
      <c r="F3882" s="71"/>
      <c r="G3882" s="66"/>
      <c r="H3882" s="71"/>
      <c r="I3882" s="405"/>
      <c r="J3882" s="405"/>
      <c r="K3882" s="398"/>
      <c r="L3882" s="405"/>
      <c r="M3882" s="64"/>
      <c r="N3882" s="65"/>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ht="15.75" customHeight="1">
      <c r="A3883" s="327" t="str">
        <f>IF(B3883&lt;&gt;"",IF(AND(B3883='IN-TC'!$S$4,OR(TH!N3883="1111",TH!O3883="1111")),TH!D3883,""),"")</f>
        <v/>
      </c>
      <c r="B3883" s="62" t="str">
        <f t="shared" si="402"/>
        <v/>
      </c>
      <c r="C3883" s="63"/>
      <c r="D3883" s="63"/>
      <c r="E3883" s="63"/>
      <c r="F3883" s="71"/>
      <c r="G3883" s="66"/>
      <c r="H3883" s="71"/>
      <c r="I3883" s="405"/>
      <c r="J3883" s="405"/>
      <c r="K3883" s="398"/>
      <c r="L3883" s="405"/>
      <c r="M3883" s="64"/>
      <c r="N3883" s="65"/>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ht="15.75" customHeight="1">
      <c r="A3884" s="327" t="str">
        <f>IF(B3884&lt;&gt;"",IF(AND(B3884='IN-TC'!$S$4,OR(TH!N3884="1111",TH!O3884="1111")),TH!D3884,""),"")</f>
        <v/>
      </c>
      <c r="B3884" s="62" t="str">
        <f t="shared" si="402"/>
        <v/>
      </c>
      <c r="C3884" s="63"/>
      <c r="D3884" s="63"/>
      <c r="E3884" s="63"/>
      <c r="F3884" s="71"/>
      <c r="G3884" s="66"/>
      <c r="H3884" s="71"/>
      <c r="I3884" s="405"/>
      <c r="J3884" s="405"/>
      <c r="K3884" s="398"/>
      <c r="L3884" s="405"/>
      <c r="M3884" s="64"/>
      <c r="N3884" s="65"/>
      <c r="O3884" s="65"/>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ht="15.75" customHeight="1">
      <c r="A3885" s="327" t="str">
        <f>IF(B3885&lt;&gt;"",IF(AND(B3885='IN-TC'!$S$4,OR(TH!N3885="1111",TH!O3885="1111")),TH!D3885,""),"")</f>
        <v/>
      </c>
      <c r="B3885" s="62" t="str">
        <f t="shared" si="402"/>
        <v/>
      </c>
      <c r="C3885" s="63"/>
      <c r="D3885" s="63"/>
      <c r="E3885" s="63"/>
      <c r="F3885" s="71"/>
      <c r="G3885" s="816"/>
      <c r="H3885" s="311"/>
      <c r="I3885" s="405"/>
      <c r="J3885" s="405"/>
      <c r="K3885" s="398"/>
      <c r="L3885" s="405"/>
      <c r="M3885" s="64"/>
      <c r="N3885" s="65"/>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ht="15.75" customHeight="1">
      <c r="A3886" s="327" t="str">
        <f>IF(B3886&lt;&gt;"",IF(AND(B3886='IN-TC'!$S$4,OR(TH!N3886="1111",TH!O3886="1111")),TH!D3886,""),"")</f>
        <v/>
      </c>
      <c r="B3886" s="62" t="str">
        <f t="shared" si="402"/>
        <v/>
      </c>
      <c r="C3886" s="63"/>
      <c r="D3886" s="63"/>
      <c r="E3886" s="63"/>
      <c r="F3886" s="71"/>
      <c r="G3886" s="816"/>
      <c r="H3886" s="330"/>
      <c r="I3886" s="405"/>
      <c r="J3886" s="405"/>
      <c r="K3886" s="398"/>
      <c r="L3886" s="405"/>
      <c r="M3886" s="64"/>
      <c r="N3886" s="65"/>
      <c r="O3886" s="65"/>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ht="15.75" customHeight="1">
      <c r="A3887" s="327" t="str">
        <f>IF(B3887&lt;&gt;"",IF(AND(B3887='IN-TC'!$S$4,OR(TH!N3887="1111",TH!O3887="1111")),TH!D3887,""),"")</f>
        <v/>
      </c>
      <c r="B3887" s="62" t="str">
        <f t="shared" si="402"/>
        <v/>
      </c>
      <c r="C3887" s="63"/>
      <c r="D3887" s="63"/>
      <c r="E3887" s="63"/>
      <c r="F3887" s="71"/>
      <c r="G3887" s="816"/>
      <c r="H3887" s="330"/>
      <c r="I3887" s="405"/>
      <c r="J3887" s="405"/>
      <c r="K3887" s="398"/>
      <c r="L3887" s="405"/>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ht="15.75" customHeight="1">
      <c r="A3888" s="327" t="str">
        <f>IF(B3888&lt;&gt;"",IF(AND(B3888='IN-TC'!$S$4,OR(TH!N3888="1111",TH!O3888="1111")),TH!D3888,""),"")</f>
        <v/>
      </c>
      <c r="B3888" s="62" t="str">
        <f t="shared" si="402"/>
        <v/>
      </c>
      <c r="C3888" s="63"/>
      <c r="D3888" s="63"/>
      <c r="E3888" s="63"/>
      <c r="F3888" s="71"/>
      <c r="G3888" s="816"/>
      <c r="H3888" s="71"/>
      <c r="I3888" s="405"/>
      <c r="J3888" s="405"/>
      <c r="K3888" s="398"/>
      <c r="L3888" s="405"/>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ht="15.75" customHeight="1">
      <c r="A3889" s="327" t="str">
        <f>IF(B3889&lt;&gt;"",IF(AND(B3889='IN-TC'!$S$4,OR(TH!N3889="1111",TH!O3889="1111")),TH!D3889,""),"")</f>
        <v/>
      </c>
      <c r="B3889" s="62" t="str">
        <f t="shared" si="402"/>
        <v/>
      </c>
      <c r="C3889" s="63"/>
      <c r="D3889" s="63"/>
      <c r="E3889" s="63"/>
      <c r="F3889" s="71"/>
      <c r="G3889" s="816"/>
      <c r="H3889" s="71"/>
      <c r="I3889" s="405"/>
      <c r="J3889" s="405"/>
      <c r="K3889" s="398"/>
      <c r="L3889" s="405"/>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ht="15.75" customHeight="1">
      <c r="A3890" s="327" t="str">
        <f>IF(B3890&lt;&gt;"",IF(AND(B3890='IN-TC'!$S$4,OR(TH!N3890="1111",TH!O3890="1111")),TH!D3890,""),"")</f>
        <v/>
      </c>
      <c r="B3890" s="62" t="str">
        <f t="shared" si="402"/>
        <v/>
      </c>
      <c r="C3890" s="63"/>
      <c r="D3890" s="63"/>
      <c r="E3890" s="63"/>
      <c r="F3890" s="71"/>
      <c r="G3890" s="816"/>
      <c r="H3890" s="71"/>
      <c r="I3890" s="405"/>
      <c r="J3890" s="405"/>
      <c r="K3890" s="398"/>
      <c r="L3890" s="405"/>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ht="15.75" customHeight="1">
      <c r="A3891" s="327" t="str">
        <f>IF(B3891&lt;&gt;"",IF(AND(B3891='IN-TC'!$S$4,OR(TH!N3891="1111",TH!O3891="1111")),TH!D3891,""),"")</f>
        <v/>
      </c>
      <c r="B3891" s="62" t="str">
        <f t="shared" si="402"/>
        <v/>
      </c>
      <c r="C3891" s="63"/>
      <c r="D3891" s="63"/>
      <c r="E3891" s="63"/>
      <c r="F3891" s="71"/>
      <c r="G3891" s="816"/>
      <c r="H3891" s="71"/>
      <c r="I3891" s="405"/>
      <c r="J3891" s="405"/>
      <c r="K3891" s="398"/>
      <c r="L3891" s="405"/>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ht="15.75" customHeight="1">
      <c r="A3892" s="327" t="str">
        <f>IF(B3892&lt;&gt;"",IF(AND(B3892='IN-TC'!$S$4,OR(TH!N3892="1111",TH!O3892="1111")),TH!D3892,""),"")</f>
        <v/>
      </c>
      <c r="B3892" s="62" t="str">
        <f t="shared" si="402"/>
        <v/>
      </c>
      <c r="C3892" s="63"/>
      <c r="D3892" s="63"/>
      <c r="E3892" s="63"/>
      <c r="F3892" s="71"/>
      <c r="G3892" s="816"/>
      <c r="H3892" s="71"/>
      <c r="I3892" s="405"/>
      <c r="J3892" s="405"/>
      <c r="K3892" s="398"/>
      <c r="L3892" s="405"/>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ht="15.75" customHeight="1">
      <c r="A3893" s="327" t="str">
        <f>IF(B3893&lt;&gt;"",IF(AND(B3893='IN-TC'!$S$4,OR(TH!N3893="1111",TH!O3893="1111")),TH!D3893,""),"")</f>
        <v/>
      </c>
      <c r="B3893" s="62" t="str">
        <f t="shared" si="402"/>
        <v/>
      </c>
      <c r="C3893" s="63"/>
      <c r="D3893" s="63"/>
      <c r="E3893" s="63"/>
      <c r="F3893" s="71"/>
      <c r="G3893" s="816"/>
      <c r="H3893" s="71"/>
      <c r="I3893" s="405"/>
      <c r="J3893" s="405"/>
      <c r="K3893" s="398"/>
      <c r="L3893" s="405"/>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ht="15.75" customHeight="1">
      <c r="A3894" s="327" t="str">
        <f>IF(B3894&lt;&gt;"",IF(AND(B3894='IN-TC'!$S$4,OR(TH!N3894="1111",TH!O3894="1111")),TH!D3894,""),"")</f>
        <v/>
      </c>
      <c r="B3894" s="62" t="str">
        <f t="shared" si="402"/>
        <v/>
      </c>
      <c r="C3894" s="63"/>
      <c r="D3894" s="63"/>
      <c r="E3894" s="63"/>
      <c r="F3894" s="71"/>
      <c r="G3894" s="66"/>
      <c r="H3894" s="71"/>
      <c r="I3894" s="405"/>
      <c r="J3894" s="405"/>
      <c r="K3894" s="398"/>
      <c r="L3894" s="405"/>
      <c r="M3894" s="64"/>
      <c r="N3894" s="65"/>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ht="15.75" customHeight="1">
      <c r="A3895" s="327" t="str">
        <f>IF(B3895&lt;&gt;"",IF(AND(B3895='IN-TC'!$S$4,OR(TH!N3895="1111",TH!O3895="1111")),TH!D3895,""),"")</f>
        <v/>
      </c>
      <c r="B3895" s="62" t="str">
        <f t="shared" si="402"/>
        <v/>
      </c>
      <c r="C3895" s="63"/>
      <c r="D3895" s="63"/>
      <c r="E3895" s="63"/>
      <c r="F3895" s="71"/>
      <c r="G3895" s="66"/>
      <c r="H3895" s="71"/>
      <c r="I3895" s="405"/>
      <c r="J3895" s="405"/>
      <c r="K3895" s="398"/>
      <c r="L3895" s="405"/>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ht="15.75" customHeight="1">
      <c r="A3896" s="327" t="str">
        <f>IF(B3896&lt;&gt;"",IF(AND(B3896='IN-TC'!$S$4,OR(TH!N3896="1111",TH!O3896="1111")),TH!D3896,""),"")</f>
        <v/>
      </c>
      <c r="B3896" s="62" t="str">
        <f t="shared" si="402"/>
        <v/>
      </c>
      <c r="C3896" s="63"/>
      <c r="D3896" s="63"/>
      <c r="E3896" s="63"/>
      <c r="F3896" s="71"/>
      <c r="G3896" s="66"/>
      <c r="H3896" s="71"/>
      <c r="I3896" s="405"/>
      <c r="J3896" s="405"/>
      <c r="K3896" s="398"/>
      <c r="L3896" s="405"/>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ht="15.75" customHeight="1">
      <c r="A3897" s="327" t="str">
        <f>IF(B3897&lt;&gt;"",IF(AND(B3897='IN-TC'!$S$4,OR(TH!N3897="1111",TH!O3897="1111")),TH!D3897,""),"")</f>
        <v/>
      </c>
      <c r="B3897" s="62" t="str">
        <f t="shared" si="402"/>
        <v/>
      </c>
      <c r="C3897" s="63"/>
      <c r="D3897" s="63"/>
      <c r="E3897" s="63"/>
      <c r="F3897" s="71"/>
      <c r="G3897" s="66"/>
      <c r="H3897" s="71"/>
      <c r="I3897" s="405"/>
      <c r="J3897" s="405"/>
      <c r="K3897" s="398"/>
      <c r="L3897" s="405"/>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ht="15.75" customHeight="1">
      <c r="A3898" s="327" t="str">
        <f>IF(B3898&lt;&gt;"",IF(AND(B3898='IN-TC'!$S$4,OR(TH!N3898="1111",TH!O3898="1111")),TH!D3898,""),"")</f>
        <v/>
      </c>
      <c r="B3898" s="62" t="str">
        <f t="shared" si="402"/>
        <v/>
      </c>
      <c r="C3898" s="63"/>
      <c r="D3898" s="63"/>
      <c r="E3898" s="63"/>
      <c r="F3898" s="71"/>
      <c r="G3898" s="66"/>
      <c r="H3898" s="71"/>
      <c r="I3898" s="405"/>
      <c r="J3898" s="405"/>
      <c r="K3898" s="398"/>
      <c r="L3898" s="405"/>
      <c r="M3898" s="64"/>
      <c r="N3898" s="65"/>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ht="15.75" customHeight="1">
      <c r="A3899" s="327" t="str">
        <f>IF(B3899&lt;&gt;"",IF(AND(B3899='IN-TC'!$S$4,OR(TH!N3899="1111",TH!O3899="1111")),TH!D3899,""),"")</f>
        <v/>
      </c>
      <c r="B3899" s="62" t="str">
        <f t="shared" si="402"/>
        <v/>
      </c>
      <c r="C3899" s="63"/>
      <c r="D3899" s="63"/>
      <c r="E3899" s="63"/>
      <c r="F3899" s="71"/>
      <c r="G3899" s="66"/>
      <c r="H3899" s="71"/>
      <c r="I3899" s="405"/>
      <c r="J3899" s="405"/>
      <c r="K3899" s="398"/>
      <c r="L3899" s="405"/>
      <c r="M3899" s="64"/>
      <c r="N3899" s="65"/>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ht="15.75" customHeight="1">
      <c r="A3900" s="327" t="str">
        <f>IF(B3900&lt;&gt;"",IF(AND(B3900='IN-TC'!$S$4,OR(TH!N3900="1111",TH!O3900="1111")),TH!D3900,""),"")</f>
        <v/>
      </c>
      <c r="B3900" s="62" t="str">
        <f t="shared" si="402"/>
        <v/>
      </c>
      <c r="C3900" s="63"/>
      <c r="D3900" s="63"/>
      <c r="E3900" s="63"/>
      <c r="F3900" s="71"/>
      <c r="G3900" s="66"/>
      <c r="H3900" s="71"/>
      <c r="I3900" s="405"/>
      <c r="J3900" s="405"/>
      <c r="K3900" s="398"/>
      <c r="L3900" s="405"/>
      <c r="M3900" s="64"/>
      <c r="N3900" s="65"/>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ht="15.75" customHeight="1">
      <c r="A3901" s="327" t="str">
        <f>IF(B3901&lt;&gt;"",IF(AND(B3901='IN-TC'!$S$4,OR(TH!N3901="1111",TH!O3901="1111")),TH!D3901,""),"")</f>
        <v/>
      </c>
      <c r="B3901" s="62" t="str">
        <f t="shared" si="402"/>
        <v/>
      </c>
      <c r="C3901" s="63"/>
      <c r="D3901" s="63"/>
      <c r="E3901" s="63"/>
      <c r="F3901" s="71"/>
      <c r="G3901" s="66"/>
      <c r="H3901" s="71"/>
      <c r="I3901" s="405"/>
      <c r="J3901" s="405"/>
      <c r="K3901" s="398"/>
      <c r="L3901" s="405"/>
      <c r="M3901" s="64"/>
      <c r="N3901" s="65"/>
      <c r="O3901" s="65"/>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ht="15.75" customHeight="1">
      <c r="A3902" s="327" t="str">
        <f>IF(B3902&lt;&gt;"",IF(AND(B3902='IN-TC'!$S$4,OR(TH!N3902="1111",TH!O3902="1111")),TH!D3902,""),"")</f>
        <v/>
      </c>
      <c r="B3902" s="62" t="str">
        <f t="shared" si="402"/>
        <v/>
      </c>
      <c r="C3902" s="63"/>
      <c r="D3902" s="63"/>
      <c r="E3902" s="63"/>
      <c r="F3902" s="71"/>
      <c r="G3902" s="66"/>
      <c r="H3902" s="71"/>
      <c r="I3902" s="405"/>
      <c r="J3902" s="405"/>
      <c r="K3902" s="398"/>
      <c r="L3902" s="405"/>
      <c r="M3902" s="64"/>
      <c r="N3902" s="65"/>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ht="15.75" customHeight="1">
      <c r="A3903" s="327" t="str">
        <f>IF(B3903&lt;&gt;"",IF(AND(B3903='IN-TC'!$S$4,OR(TH!N3903="1111",TH!O3903="1111")),TH!D3903,""),"")</f>
        <v/>
      </c>
      <c r="B3903" s="62" t="str">
        <f t="shared" si="402"/>
        <v/>
      </c>
      <c r="C3903" s="63"/>
      <c r="D3903" s="63"/>
      <c r="E3903" s="63"/>
      <c r="F3903" s="71"/>
      <c r="G3903" s="66"/>
      <c r="H3903" s="71"/>
      <c r="I3903" s="405"/>
      <c r="J3903" s="405"/>
      <c r="K3903" s="398"/>
      <c r="L3903" s="405"/>
      <c r="M3903" s="64"/>
      <c r="N3903" s="65"/>
      <c r="O3903" s="65"/>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ht="15.75" customHeight="1">
      <c r="A3904" s="327" t="str">
        <f>IF(B3904&lt;&gt;"",IF(AND(B3904='IN-TC'!$S$4,OR(TH!N3904="1111",TH!O3904="1111")),TH!D3904,""),"")</f>
        <v/>
      </c>
      <c r="B3904" s="62" t="str">
        <f t="shared" si="402"/>
        <v/>
      </c>
      <c r="C3904" s="63"/>
      <c r="D3904" s="63"/>
      <c r="E3904" s="63"/>
      <c r="F3904" s="71"/>
      <c r="G3904" s="66"/>
      <c r="H3904" s="71"/>
      <c r="I3904" s="405"/>
      <c r="J3904" s="405"/>
      <c r="K3904" s="398"/>
      <c r="L3904" s="405"/>
      <c r="M3904" s="64"/>
      <c r="N3904" s="65"/>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ht="15.75" customHeight="1">
      <c r="A3905" s="327" t="str">
        <f>IF(B3905&lt;&gt;"",IF(AND(B3905='IN-TC'!$S$4,OR(TH!N3905="1111",TH!O3905="1111")),TH!D3905,""),"")</f>
        <v/>
      </c>
      <c r="B3905" s="62" t="str">
        <f t="shared" si="402"/>
        <v/>
      </c>
      <c r="C3905" s="63"/>
      <c r="D3905" s="63"/>
      <c r="E3905" s="63"/>
      <c r="F3905" s="71"/>
      <c r="G3905" s="66"/>
      <c r="H3905" s="71"/>
      <c r="I3905" s="405"/>
      <c r="J3905" s="405"/>
      <c r="K3905" s="398"/>
      <c r="L3905" s="405"/>
      <c r="M3905" s="64"/>
      <c r="N3905" s="65"/>
      <c r="O3905" s="65"/>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ht="15.75" customHeight="1">
      <c r="A3906" s="327" t="str">
        <f>IF(B3906&lt;&gt;"",IF(AND(B3906='IN-TC'!$S$4,OR(TH!N3906="1111",TH!O3906="1111")),TH!D3906,""),"")</f>
        <v/>
      </c>
      <c r="B3906" s="62" t="str">
        <f t="shared" si="402"/>
        <v/>
      </c>
      <c r="C3906" s="63"/>
      <c r="D3906" s="63"/>
      <c r="E3906" s="63"/>
      <c r="F3906" s="71"/>
      <c r="G3906" s="66"/>
      <c r="H3906" s="71"/>
      <c r="I3906" s="405"/>
      <c r="J3906" s="405"/>
      <c r="K3906" s="398"/>
      <c r="L3906" s="405"/>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ht="15.75" customHeight="1">
      <c r="A3907" s="327" t="str">
        <f>IF(B3907&lt;&gt;"",IF(AND(B3907='IN-TC'!$S$4,OR(TH!N3907="1111",TH!O3907="1111")),TH!D3907,""),"")</f>
        <v/>
      </c>
      <c r="B3907" s="62" t="str">
        <f t="shared" si="402"/>
        <v/>
      </c>
      <c r="C3907" s="63"/>
      <c r="D3907" s="63"/>
      <c r="E3907" s="63"/>
      <c r="F3907" s="71"/>
      <c r="G3907" s="66"/>
      <c r="H3907" s="71"/>
      <c r="I3907" s="405"/>
      <c r="J3907" s="405"/>
      <c r="K3907" s="398"/>
      <c r="L3907" s="405"/>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ht="15.75" customHeight="1">
      <c r="A3908" s="327" t="str">
        <f>IF(B3908&lt;&gt;"",IF(AND(B3908='IN-TC'!$S$4,OR(TH!N3908="1111",TH!O3908="1111")),TH!D3908,""),"")</f>
        <v/>
      </c>
      <c r="B3908" s="62" t="str">
        <f t="shared" si="402"/>
        <v/>
      </c>
      <c r="C3908" s="63"/>
      <c r="D3908" s="63"/>
      <c r="E3908" s="63"/>
      <c r="F3908" s="71"/>
      <c r="G3908" s="66"/>
      <c r="H3908" s="71"/>
      <c r="I3908" s="405"/>
      <c r="J3908" s="405"/>
      <c r="K3908" s="398"/>
      <c r="L3908" s="405"/>
      <c r="M3908" s="64"/>
      <c r="N3908" s="65"/>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ht="15.75" customHeight="1">
      <c r="A3909" s="327" t="str">
        <f>IF(B3909&lt;&gt;"",IF(AND(B3909='IN-TC'!$S$4,OR(TH!N3909="1111",TH!O3909="1111")),TH!D3909,""),"")</f>
        <v/>
      </c>
      <c r="B3909" s="62" t="str">
        <f t="shared" si="402"/>
        <v/>
      </c>
      <c r="C3909" s="63"/>
      <c r="D3909" s="63"/>
      <c r="E3909" s="63"/>
      <c r="F3909" s="71"/>
      <c r="G3909" s="66"/>
      <c r="H3909" s="71"/>
      <c r="I3909" s="405"/>
      <c r="J3909" s="405"/>
      <c r="K3909" s="398"/>
      <c r="L3909" s="405"/>
      <c r="M3909" s="64"/>
      <c r="N3909" s="65"/>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ht="15.75" customHeight="1">
      <c r="A3910" s="327" t="str">
        <f>IF(B3910&lt;&gt;"",IF(AND(B3910='IN-TC'!$S$4,OR(TH!N3910="1111",TH!O3910="1111")),TH!D3910,""),"")</f>
        <v/>
      </c>
      <c r="B3910" s="62" t="str">
        <f t="shared" si="402"/>
        <v/>
      </c>
      <c r="C3910" s="63"/>
      <c r="D3910" s="63"/>
      <c r="E3910" s="63"/>
      <c r="F3910" s="71"/>
      <c r="G3910" s="66"/>
      <c r="H3910" s="71"/>
      <c r="I3910" s="405"/>
      <c r="J3910" s="405"/>
      <c r="K3910" s="398"/>
      <c r="L3910" s="405"/>
      <c r="M3910" s="64"/>
      <c r="N3910" s="65"/>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ht="15.75" customHeight="1">
      <c r="A3911" s="327" t="str">
        <f>IF(B3911&lt;&gt;"",IF(AND(B3911='IN-TC'!$S$4,OR(TH!N3911="1111",TH!O3911="1111")),TH!D3911,""),"")</f>
        <v/>
      </c>
      <c r="B3911" s="62" t="str">
        <f t="shared" si="402"/>
        <v/>
      </c>
      <c r="C3911" s="63"/>
      <c r="D3911" s="63"/>
      <c r="E3911" s="63"/>
      <c r="F3911" s="71"/>
      <c r="G3911" s="66"/>
      <c r="H3911" s="71"/>
      <c r="I3911" s="405"/>
      <c r="J3911" s="405"/>
      <c r="K3911" s="398"/>
      <c r="L3911" s="405"/>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ht="15.75" customHeight="1">
      <c r="A3912" s="327" t="str">
        <f>IF(B3912&lt;&gt;"",IF(AND(B3912='IN-TC'!$S$4,OR(TH!N3912="1111",TH!O3912="1111")),TH!D3912,""),"")</f>
        <v/>
      </c>
      <c r="B3912" s="62" t="str">
        <f t="shared" si="402"/>
        <v/>
      </c>
      <c r="C3912" s="63"/>
      <c r="D3912" s="63"/>
      <c r="E3912" s="63"/>
      <c r="F3912" s="71"/>
      <c r="G3912" s="66"/>
      <c r="H3912" s="330"/>
      <c r="I3912" s="405"/>
      <c r="J3912" s="405"/>
      <c r="K3912" s="398"/>
      <c r="L3912" s="405"/>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ht="15.75" customHeight="1">
      <c r="A3913" s="327" t="str">
        <f>IF(B3913&lt;&gt;"",IF(AND(B3913='IN-TC'!$S$4,OR(TH!N3913="1111",TH!O3913="1111")),TH!D3913,""),"")</f>
        <v/>
      </c>
      <c r="B3913" s="62" t="str">
        <f t="shared" si="402"/>
        <v/>
      </c>
      <c r="C3913" s="63"/>
      <c r="D3913" s="63"/>
      <c r="E3913" s="63"/>
      <c r="F3913" s="71"/>
      <c r="G3913" s="66"/>
      <c r="H3913" s="71"/>
      <c r="I3913" s="405"/>
      <c r="J3913" s="405"/>
      <c r="K3913" s="398"/>
      <c r="L3913" s="405"/>
      <c r="M3913" s="64"/>
      <c r="N3913" s="65"/>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ht="15.75" customHeight="1">
      <c r="A3914" s="327" t="str">
        <f>IF(B3914&lt;&gt;"",IF(AND(B3914='IN-TC'!$S$4,OR(TH!N3914="1111",TH!O3914="1111")),TH!D3914,""),"")</f>
        <v/>
      </c>
      <c r="B3914" s="62" t="str">
        <f t="shared" si="402"/>
        <v/>
      </c>
      <c r="C3914" s="63"/>
      <c r="D3914" s="63"/>
      <c r="E3914" s="63"/>
      <c r="F3914" s="71"/>
      <c r="G3914" s="66"/>
      <c r="H3914" s="71"/>
      <c r="I3914" s="405"/>
      <c r="J3914" s="405"/>
      <c r="K3914" s="398"/>
      <c r="L3914" s="405"/>
      <c r="M3914" s="64"/>
      <c r="N3914" s="65"/>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ht="15.75" customHeight="1">
      <c r="A3915" s="327" t="str">
        <f>IF(B3915&lt;&gt;"",IF(AND(B3915='IN-TC'!$S$4,OR(TH!N3915="1111",TH!O3915="1111")),TH!D3915,""),"")</f>
        <v/>
      </c>
      <c r="B3915" s="62" t="str">
        <f t="shared" si="402"/>
        <v/>
      </c>
      <c r="C3915" s="63"/>
      <c r="D3915" s="63"/>
      <c r="E3915" s="63"/>
      <c r="F3915" s="71"/>
      <c r="G3915" s="816"/>
      <c r="H3915" s="71"/>
      <c r="I3915" s="405"/>
      <c r="J3915" s="405"/>
      <c r="K3915" s="398"/>
      <c r="L3915" s="405"/>
      <c r="M3915" s="64"/>
      <c r="N3915" s="65"/>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ht="15.75" customHeight="1">
      <c r="A3916" s="327" t="str">
        <f>IF(B3916&lt;&gt;"",IF(AND(B3916='IN-TC'!$S$4,OR(TH!N3916="1111",TH!O3916="1111")),TH!D3916,""),"")</f>
        <v/>
      </c>
      <c r="B3916" s="62" t="str">
        <f t="shared" si="402"/>
        <v/>
      </c>
      <c r="C3916" s="63"/>
      <c r="D3916" s="63"/>
      <c r="E3916" s="63"/>
      <c r="F3916" s="71"/>
      <c r="G3916" s="816"/>
      <c r="H3916" s="71"/>
      <c r="I3916" s="405"/>
      <c r="J3916" s="405"/>
      <c r="K3916" s="398"/>
      <c r="L3916" s="405"/>
      <c r="M3916" s="64"/>
      <c r="N3916" s="65"/>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ht="15.75" customHeight="1">
      <c r="A3917" s="327" t="str">
        <f>IF(B3917&lt;&gt;"",IF(AND(B3917='IN-TC'!$S$4,OR(TH!N3917="1111",TH!O3917="1111")),TH!D3917,""),"")</f>
        <v/>
      </c>
      <c r="B3917" s="62" t="str">
        <f t="shared" si="402"/>
        <v/>
      </c>
      <c r="C3917" s="63"/>
      <c r="D3917" s="63"/>
      <c r="E3917" s="63"/>
      <c r="F3917" s="71"/>
      <c r="G3917" s="66"/>
      <c r="H3917" s="71"/>
      <c r="I3917" s="405"/>
      <c r="J3917" s="405"/>
      <c r="K3917" s="398"/>
      <c r="L3917" s="405"/>
      <c r="M3917" s="64"/>
      <c r="N3917" s="65"/>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ht="15.75" customHeight="1">
      <c r="A3918" s="327" t="str">
        <f>IF(B3918&lt;&gt;"",IF(AND(B3918='IN-TC'!$S$4,OR(TH!N3918="1111",TH!O3918="1111")),TH!D3918,""),"")</f>
        <v/>
      </c>
      <c r="B3918" s="62" t="str">
        <f t="shared" si="402"/>
        <v/>
      </c>
      <c r="C3918" s="63"/>
      <c r="D3918" s="63"/>
      <c r="E3918" s="63"/>
      <c r="F3918" s="71"/>
      <c r="G3918" s="66"/>
      <c r="H3918" s="71"/>
      <c r="I3918" s="405"/>
      <c r="J3918" s="405"/>
      <c r="K3918" s="398"/>
      <c r="L3918" s="405"/>
      <c r="M3918" s="64"/>
      <c r="N3918" s="65"/>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ht="15.75" customHeight="1">
      <c r="A3919" s="327" t="str">
        <f>IF(B3919&lt;&gt;"",IF(AND(B3919='IN-TC'!$S$4,OR(TH!N3919="1111",TH!O3919="1111")),TH!D3919,""),"")</f>
        <v/>
      </c>
      <c r="B3919" s="62" t="str">
        <f t="shared" si="402"/>
        <v/>
      </c>
      <c r="C3919" s="63"/>
      <c r="D3919" s="63"/>
      <c r="E3919" s="63"/>
      <c r="F3919" s="71"/>
      <c r="G3919" s="66"/>
      <c r="H3919" s="71"/>
      <c r="I3919" s="405"/>
      <c r="J3919" s="405"/>
      <c r="K3919" s="398"/>
      <c r="L3919" s="405"/>
      <c r="M3919" s="64"/>
      <c r="N3919" s="65"/>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ht="15.75" customHeight="1">
      <c r="A3920" s="327" t="str">
        <f>IF(B3920&lt;&gt;"",IF(AND(B3920='IN-TC'!$S$4,OR(TH!N3920="1111",TH!O3920="1111")),TH!D3920,""),"")</f>
        <v/>
      </c>
      <c r="B3920" s="62" t="str">
        <f t="shared" si="402"/>
        <v/>
      </c>
      <c r="C3920" s="63"/>
      <c r="D3920" s="63"/>
      <c r="E3920" s="63"/>
      <c r="F3920" s="71"/>
      <c r="G3920" s="66"/>
      <c r="H3920" s="71"/>
      <c r="I3920" s="405"/>
      <c r="J3920" s="405"/>
      <c r="K3920" s="398"/>
      <c r="L3920" s="405"/>
      <c r="M3920" s="64"/>
      <c r="N3920" s="65"/>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ht="15.75" customHeight="1">
      <c r="A3921" s="327" t="str">
        <f>IF(B3921&lt;&gt;"",IF(AND(B3921='IN-TC'!$S$4,OR(TH!N3921="1111",TH!O3921="1111")),TH!D3921,""),"")</f>
        <v/>
      </c>
      <c r="B3921" s="62" t="str">
        <f t="shared" si="402"/>
        <v/>
      </c>
      <c r="C3921" s="63"/>
      <c r="D3921" s="63"/>
      <c r="E3921" s="63"/>
      <c r="F3921" s="71"/>
      <c r="G3921" s="66"/>
      <c r="H3921" s="71"/>
      <c r="I3921" s="405"/>
      <c r="J3921" s="405"/>
      <c r="K3921" s="398"/>
      <c r="L3921" s="405"/>
      <c r="M3921" s="64"/>
      <c r="N3921" s="65"/>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ht="15.75" customHeight="1">
      <c r="A3922" s="327" t="str">
        <f>IF(B3922&lt;&gt;"",IF(AND(B3922='IN-TC'!$S$4,OR(TH!N3922="1111",TH!O3922="1111")),TH!D3922,""),"")</f>
        <v/>
      </c>
      <c r="B3922" s="62" t="str">
        <f t="shared" si="402"/>
        <v/>
      </c>
      <c r="C3922" s="63"/>
      <c r="D3922" s="63"/>
      <c r="E3922" s="63"/>
      <c r="F3922" s="71"/>
      <c r="G3922" s="66"/>
      <c r="H3922" s="71"/>
      <c r="I3922" s="405"/>
      <c r="J3922" s="405"/>
      <c r="K3922" s="398"/>
      <c r="L3922" s="405"/>
      <c r="M3922" s="64"/>
      <c r="N3922" s="65"/>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ht="15.75" customHeight="1">
      <c r="A3923" s="327" t="str">
        <f>IF(B3923&lt;&gt;"",IF(AND(B3923='IN-TC'!$S$4,OR(TH!N3923="1111",TH!O3923="1111")),TH!D3923,""),"")</f>
        <v/>
      </c>
      <c r="B3923" s="62" t="str">
        <f t="shared" si="402"/>
        <v/>
      </c>
      <c r="C3923" s="63"/>
      <c r="D3923" s="63"/>
      <c r="E3923" s="63"/>
      <c r="F3923" s="71"/>
      <c r="G3923" s="66"/>
      <c r="H3923" s="71"/>
      <c r="I3923" s="405"/>
      <c r="J3923" s="405"/>
      <c r="K3923" s="398"/>
      <c r="L3923" s="405"/>
      <c r="M3923" s="64"/>
      <c r="N3923" s="65"/>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ht="15.75" customHeight="1">
      <c r="A3924" s="327" t="str">
        <f>IF(B3924&lt;&gt;"",IF(AND(B3924='IN-TC'!$S$4,OR(TH!N3924="1111",TH!O3924="1111")),TH!D3924,""),"")</f>
        <v/>
      </c>
      <c r="B3924" s="62" t="str">
        <f t="shared" si="402"/>
        <v/>
      </c>
      <c r="C3924" s="63"/>
      <c r="D3924" s="63"/>
      <c r="E3924" s="63"/>
      <c r="F3924" s="71"/>
      <c r="G3924" s="66"/>
      <c r="H3924" s="71"/>
      <c r="I3924" s="405"/>
      <c r="J3924" s="405"/>
      <c r="K3924" s="398"/>
      <c r="L3924" s="405"/>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ht="15.75" customHeight="1">
      <c r="A3925" s="327" t="str">
        <f>IF(B3925&lt;&gt;"",IF(AND(B3925='IN-TC'!$S$4,OR(TH!N3925="1111",TH!O3925="1111")),TH!D3925,""),"")</f>
        <v/>
      </c>
      <c r="B3925" s="62" t="str">
        <f t="shared" si="402"/>
        <v/>
      </c>
      <c r="C3925" s="63"/>
      <c r="D3925" s="63"/>
      <c r="E3925" s="63"/>
      <c r="F3925" s="71"/>
      <c r="G3925" s="66"/>
      <c r="H3925" s="71"/>
      <c r="I3925" s="405"/>
      <c r="J3925" s="405"/>
      <c r="K3925" s="398"/>
      <c r="L3925" s="405"/>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ht="15.75" customHeight="1">
      <c r="A3926" s="327" t="str">
        <f>IF(B3926&lt;&gt;"",IF(AND(B3926='IN-TC'!$S$4,OR(TH!N3926="1111",TH!O3926="1111")),TH!D3926,""),"")</f>
        <v/>
      </c>
      <c r="B3926" s="62" t="str">
        <f t="shared" ref="B3926:B3989" si="403">IF(C3926&lt;&gt;"",MONTH(C3926),"")</f>
        <v/>
      </c>
      <c r="C3926" s="63"/>
      <c r="D3926" s="63"/>
      <c r="E3926" s="63"/>
      <c r="F3926" s="71"/>
      <c r="G3926" s="66"/>
      <c r="H3926" s="71"/>
      <c r="I3926" s="405"/>
      <c r="J3926" s="405"/>
      <c r="K3926" s="398"/>
      <c r="L3926" s="405"/>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ht="15.75" customHeight="1">
      <c r="A3927" s="327" t="str">
        <f>IF(B3927&lt;&gt;"",IF(AND(B3927='IN-TC'!$S$4,OR(TH!N3927="1111",TH!O3927="1111")),TH!D3927,""),"")</f>
        <v/>
      </c>
      <c r="B3927" s="62" t="str">
        <f t="shared" si="403"/>
        <v/>
      </c>
      <c r="C3927" s="63"/>
      <c r="D3927" s="63"/>
      <c r="E3927" s="63"/>
      <c r="F3927" s="71"/>
      <c r="G3927" s="66"/>
      <c r="H3927" s="71"/>
      <c r="I3927" s="405"/>
      <c r="J3927" s="405"/>
      <c r="K3927" s="398"/>
      <c r="L3927" s="405"/>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ht="15.75" customHeight="1">
      <c r="A3928" s="327" t="str">
        <f>IF(B3928&lt;&gt;"",IF(AND(B3928='IN-TC'!$S$4,OR(TH!N3928="1111",TH!O3928="1111")),TH!D3928,""),"")</f>
        <v/>
      </c>
      <c r="B3928" s="62" t="str">
        <f t="shared" si="403"/>
        <v/>
      </c>
      <c r="C3928" s="63"/>
      <c r="D3928" s="63"/>
      <c r="E3928" s="63"/>
      <c r="F3928" s="71"/>
      <c r="G3928" s="66"/>
      <c r="H3928" s="71"/>
      <c r="I3928" s="405"/>
      <c r="J3928" s="405"/>
      <c r="K3928" s="398"/>
      <c r="L3928" s="405"/>
      <c r="M3928" s="64"/>
      <c r="N3928" s="65"/>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ht="15.75" customHeight="1">
      <c r="A3929" s="327" t="str">
        <f>IF(B3929&lt;&gt;"",IF(AND(B3929='IN-TC'!$S$4,OR(TH!N3929="1111",TH!O3929="1111")),TH!D3929,""),"")</f>
        <v/>
      </c>
      <c r="B3929" s="62" t="str">
        <f t="shared" si="403"/>
        <v/>
      </c>
      <c r="C3929" s="63"/>
      <c r="D3929" s="63"/>
      <c r="E3929" s="63"/>
      <c r="F3929" s="71"/>
      <c r="G3929" s="66"/>
      <c r="H3929" s="71"/>
      <c r="I3929" s="405"/>
      <c r="J3929" s="405"/>
      <c r="K3929" s="398"/>
      <c r="L3929" s="405"/>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ht="15.75" customHeight="1">
      <c r="A3930" s="327" t="str">
        <f>IF(B3930&lt;&gt;"",IF(AND(B3930='IN-TC'!$S$4,OR(TH!N3930="1111",TH!O3930="1111")),TH!D3930,""),"")</f>
        <v/>
      </c>
      <c r="B3930" s="62" t="str">
        <f t="shared" si="403"/>
        <v/>
      </c>
      <c r="C3930" s="63"/>
      <c r="D3930" s="63"/>
      <c r="E3930" s="63"/>
      <c r="F3930" s="71"/>
      <c r="G3930" s="66"/>
      <c r="H3930" s="71"/>
      <c r="I3930" s="405"/>
      <c r="J3930" s="405"/>
      <c r="K3930" s="398"/>
      <c r="L3930" s="405"/>
      <c r="M3930" s="64"/>
      <c r="N3930" s="65"/>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ht="15.75" customHeight="1">
      <c r="A3931" s="327" t="str">
        <f>IF(B3931&lt;&gt;"",IF(AND(B3931='IN-TC'!$S$4,OR(TH!N3931="1111",TH!O3931="1111")),TH!D3931,""),"")</f>
        <v/>
      </c>
      <c r="B3931" s="62" t="str">
        <f t="shared" si="403"/>
        <v/>
      </c>
      <c r="C3931" s="63"/>
      <c r="D3931" s="63"/>
      <c r="E3931" s="63"/>
      <c r="F3931" s="71"/>
      <c r="G3931" s="66"/>
      <c r="H3931" s="71"/>
      <c r="I3931" s="405"/>
      <c r="J3931" s="405"/>
      <c r="K3931" s="398"/>
      <c r="L3931" s="405"/>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ht="15.75" customHeight="1">
      <c r="A3932" s="327" t="str">
        <f>IF(B3932&lt;&gt;"",IF(AND(B3932='IN-TC'!$S$4,OR(TH!N3932="1111",TH!O3932="1111")),TH!D3932,""),"")</f>
        <v/>
      </c>
      <c r="B3932" s="62" t="str">
        <f t="shared" si="403"/>
        <v/>
      </c>
      <c r="C3932" s="63"/>
      <c r="D3932" s="63"/>
      <c r="E3932" s="63"/>
      <c r="F3932" s="71"/>
      <c r="G3932" s="66"/>
      <c r="H3932" s="71"/>
      <c r="I3932" s="405"/>
      <c r="J3932" s="405"/>
      <c r="K3932" s="398"/>
      <c r="L3932" s="405"/>
      <c r="M3932" s="64"/>
      <c r="N3932" s="65"/>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ht="15.75" customHeight="1">
      <c r="A3933" s="327" t="str">
        <f>IF(B3933&lt;&gt;"",IF(AND(B3933='IN-TC'!$S$4,OR(TH!N3933="1111",TH!O3933="1111")),TH!D3933,""),"")</f>
        <v/>
      </c>
      <c r="B3933" s="62" t="str">
        <f t="shared" si="403"/>
        <v/>
      </c>
      <c r="C3933" s="63"/>
      <c r="D3933" s="63"/>
      <c r="E3933" s="63"/>
      <c r="F3933" s="71"/>
      <c r="G3933" s="66"/>
      <c r="H3933" s="71"/>
      <c r="I3933" s="405"/>
      <c r="J3933" s="405"/>
      <c r="K3933" s="398"/>
      <c r="L3933" s="405"/>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ht="15.75" customHeight="1">
      <c r="A3934" s="327" t="str">
        <f>IF(B3934&lt;&gt;"",IF(AND(B3934='IN-TC'!$S$4,OR(TH!N3934="1111",TH!O3934="1111")),TH!D3934,""),"")</f>
        <v/>
      </c>
      <c r="B3934" s="62" t="str">
        <f t="shared" si="403"/>
        <v/>
      </c>
      <c r="C3934" s="63"/>
      <c r="D3934" s="63"/>
      <c r="E3934" s="63"/>
      <c r="F3934" s="71"/>
      <c r="G3934" s="66"/>
      <c r="H3934" s="71"/>
      <c r="I3934" s="405"/>
      <c r="J3934" s="405"/>
      <c r="K3934" s="398"/>
      <c r="L3934" s="405"/>
      <c r="M3934" s="64"/>
      <c r="N3934" s="65"/>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ht="15.75" customHeight="1">
      <c r="A3935" s="327" t="str">
        <f>IF(B3935&lt;&gt;"",IF(AND(B3935='IN-TC'!$S$4,OR(TH!N3935="1111",TH!O3935="1111")),TH!D3935,""),"")</f>
        <v/>
      </c>
      <c r="B3935" s="62" t="str">
        <f t="shared" si="403"/>
        <v/>
      </c>
      <c r="C3935" s="63"/>
      <c r="D3935" s="63"/>
      <c r="E3935" s="63"/>
      <c r="F3935" s="71"/>
      <c r="G3935" s="66"/>
      <c r="H3935" s="71"/>
      <c r="I3935" s="405"/>
      <c r="J3935" s="405"/>
      <c r="K3935" s="398"/>
      <c r="L3935" s="405"/>
      <c r="M3935" s="64"/>
      <c r="N3935" s="65"/>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ht="15.75" customHeight="1">
      <c r="A3936" s="327" t="str">
        <f>IF(B3936&lt;&gt;"",IF(AND(B3936='IN-TC'!$S$4,OR(TH!N3936="1111",TH!O3936="1111")),TH!D3936,""),"")</f>
        <v/>
      </c>
      <c r="B3936" s="62" t="str">
        <f t="shared" si="403"/>
        <v/>
      </c>
      <c r="C3936" s="63"/>
      <c r="D3936" s="63"/>
      <c r="E3936" s="63"/>
      <c r="F3936" s="71"/>
      <c r="G3936" s="66"/>
      <c r="H3936" s="71"/>
      <c r="I3936" s="405"/>
      <c r="J3936" s="405"/>
      <c r="K3936" s="398"/>
      <c r="L3936" s="405"/>
      <c r="M3936" s="64"/>
      <c r="N3936" s="65"/>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ht="15.75" customHeight="1">
      <c r="A3937" s="327" t="str">
        <f>IF(B3937&lt;&gt;"",IF(AND(B3937='IN-TC'!$S$4,OR(TH!N3937="1111",TH!O3937="1111")),TH!D3937,""),"")</f>
        <v/>
      </c>
      <c r="B3937" s="62" t="str">
        <f t="shared" si="403"/>
        <v/>
      </c>
      <c r="C3937" s="63"/>
      <c r="D3937" s="63"/>
      <c r="E3937" s="63"/>
      <c r="F3937" s="71"/>
      <c r="G3937" s="66"/>
      <c r="H3937" s="71"/>
      <c r="I3937" s="405"/>
      <c r="J3937" s="405"/>
      <c r="K3937" s="398"/>
      <c r="L3937" s="405"/>
      <c r="M3937" s="64"/>
      <c r="N3937" s="65"/>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ht="15.75" customHeight="1">
      <c r="A3938" s="327" t="str">
        <f>IF(B3938&lt;&gt;"",IF(AND(B3938='IN-TC'!$S$4,OR(TH!N3938="1111",TH!O3938="1111")),TH!D3938,""),"")</f>
        <v/>
      </c>
      <c r="B3938" s="62" t="str">
        <f t="shared" si="403"/>
        <v/>
      </c>
      <c r="C3938" s="63"/>
      <c r="D3938" s="63"/>
      <c r="E3938" s="63"/>
      <c r="F3938" s="71"/>
      <c r="G3938" s="66"/>
      <c r="H3938" s="71"/>
      <c r="I3938" s="405"/>
      <c r="J3938" s="405"/>
      <c r="K3938" s="398"/>
      <c r="L3938" s="405"/>
      <c r="M3938" s="64"/>
      <c r="N3938" s="65"/>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ht="15.75" customHeight="1">
      <c r="A3939" s="327" t="str">
        <f>IF(B3939&lt;&gt;"",IF(AND(B3939='IN-TC'!$S$4,OR(TH!N3939="1111",TH!O3939="1111")),TH!D3939,""),"")</f>
        <v/>
      </c>
      <c r="B3939" s="62" t="str">
        <f t="shared" si="403"/>
        <v/>
      </c>
      <c r="C3939" s="63"/>
      <c r="D3939" s="63"/>
      <c r="E3939" s="63"/>
      <c r="F3939" s="71"/>
      <c r="G3939" s="66"/>
      <c r="H3939" s="71"/>
      <c r="I3939" s="405"/>
      <c r="J3939" s="405"/>
      <c r="K3939" s="398"/>
      <c r="L3939" s="405"/>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ht="15.75" customHeight="1">
      <c r="A3940" s="327" t="str">
        <f>IF(B3940&lt;&gt;"",IF(AND(B3940='IN-TC'!$S$4,OR(TH!N3940="1111",TH!O3940="1111")),TH!D3940,""),"")</f>
        <v/>
      </c>
      <c r="B3940" s="62" t="str">
        <f t="shared" si="403"/>
        <v/>
      </c>
      <c r="C3940" s="63"/>
      <c r="D3940" s="63"/>
      <c r="E3940" s="63"/>
      <c r="F3940" s="71"/>
      <c r="G3940" s="66"/>
      <c r="H3940" s="71"/>
      <c r="I3940" s="405"/>
      <c r="J3940" s="405"/>
      <c r="K3940" s="398"/>
      <c r="L3940" s="405"/>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ht="15.75" customHeight="1">
      <c r="A3941" s="327" t="str">
        <f>IF(B3941&lt;&gt;"",IF(AND(B3941='IN-TC'!$S$4,OR(TH!N3941="1111",TH!O3941="1111")),TH!D3941,""),"")</f>
        <v/>
      </c>
      <c r="B3941" s="62" t="str">
        <f t="shared" si="403"/>
        <v/>
      </c>
      <c r="C3941" s="63"/>
      <c r="D3941" s="63"/>
      <c r="E3941" s="63"/>
      <c r="F3941" s="71"/>
      <c r="G3941" s="66"/>
      <c r="H3941" s="71"/>
      <c r="I3941" s="405"/>
      <c r="J3941" s="405"/>
      <c r="K3941" s="398"/>
      <c r="L3941" s="405"/>
      <c r="M3941" s="64"/>
      <c r="N3941" s="65"/>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ht="15.75" customHeight="1">
      <c r="A3942" s="327" t="str">
        <f>IF(B3942&lt;&gt;"",IF(AND(B3942='IN-TC'!$S$4,OR(TH!N3942="1111",TH!O3942="1111")),TH!D3942,""),"")</f>
        <v/>
      </c>
      <c r="B3942" s="62" t="str">
        <f t="shared" si="403"/>
        <v/>
      </c>
      <c r="C3942" s="63"/>
      <c r="D3942" s="63"/>
      <c r="E3942" s="63"/>
      <c r="F3942" s="71"/>
      <c r="G3942" s="66"/>
      <c r="H3942" s="71"/>
      <c r="I3942" s="405"/>
      <c r="J3942" s="405"/>
      <c r="K3942" s="398"/>
      <c r="L3942" s="405"/>
      <c r="M3942" s="64"/>
      <c r="N3942" s="65"/>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ht="15.75" customHeight="1">
      <c r="A3943" s="327" t="str">
        <f>IF(B3943&lt;&gt;"",IF(AND(B3943='IN-TC'!$S$4,OR(TH!N3943="1111",TH!O3943="1111")),TH!D3943,""),"")</f>
        <v/>
      </c>
      <c r="B3943" s="62" t="str">
        <f t="shared" si="403"/>
        <v/>
      </c>
      <c r="C3943" s="63"/>
      <c r="D3943" s="63"/>
      <c r="E3943" s="63"/>
      <c r="F3943" s="71"/>
      <c r="G3943" s="66"/>
      <c r="H3943" s="71"/>
      <c r="I3943" s="405"/>
      <c r="J3943" s="405"/>
      <c r="K3943" s="398"/>
      <c r="L3943" s="405"/>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ht="15.75" customHeight="1">
      <c r="A3944" s="327" t="str">
        <f>IF(B3944&lt;&gt;"",IF(AND(B3944='IN-TC'!$S$4,OR(TH!N3944="1111",TH!O3944="1111")),TH!D3944,""),"")</f>
        <v/>
      </c>
      <c r="B3944" s="62" t="str">
        <f t="shared" si="403"/>
        <v/>
      </c>
      <c r="C3944" s="63"/>
      <c r="D3944" s="63"/>
      <c r="E3944" s="63"/>
      <c r="F3944" s="71"/>
      <c r="G3944" s="66"/>
      <c r="H3944" s="71"/>
      <c r="I3944" s="405"/>
      <c r="J3944" s="405"/>
      <c r="K3944" s="398"/>
      <c r="L3944" s="405"/>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ht="15.75" customHeight="1">
      <c r="A3945" s="327" t="str">
        <f>IF(B3945&lt;&gt;"",IF(AND(B3945='IN-TC'!$S$4,OR(TH!N3945="1111",TH!O3945="1111")),TH!D3945,""),"")</f>
        <v/>
      </c>
      <c r="B3945" s="62" t="str">
        <f t="shared" si="403"/>
        <v/>
      </c>
      <c r="C3945" s="63"/>
      <c r="D3945" s="63"/>
      <c r="E3945" s="63"/>
      <c r="F3945" s="71"/>
      <c r="G3945" s="66"/>
      <c r="H3945" s="71"/>
      <c r="I3945" s="405"/>
      <c r="J3945" s="405"/>
      <c r="K3945" s="398"/>
      <c r="L3945" s="405"/>
      <c r="M3945" s="64"/>
      <c r="N3945" s="65"/>
      <c r="O3945" s="65"/>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ht="15.75" customHeight="1">
      <c r="A3946" s="327" t="str">
        <f>IF(B3946&lt;&gt;"",IF(AND(B3946='IN-TC'!$S$4,OR(TH!N3946="1111",TH!O3946="1111")),TH!D3946,""),"")</f>
        <v/>
      </c>
      <c r="B3946" s="62" t="str">
        <f t="shared" si="403"/>
        <v/>
      </c>
      <c r="C3946" s="63"/>
      <c r="D3946" s="63"/>
      <c r="E3946" s="63"/>
      <c r="F3946" s="71"/>
      <c r="G3946" s="66"/>
      <c r="H3946" s="71"/>
      <c r="I3946" s="405"/>
      <c r="J3946" s="405"/>
      <c r="K3946" s="398"/>
      <c r="L3946" s="405"/>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ht="15.75" customHeight="1">
      <c r="A3947" s="327" t="str">
        <f>IF(B3947&lt;&gt;"",IF(AND(B3947='IN-TC'!$S$4,OR(TH!N3947="1111",TH!O3947="1111")),TH!D3947,""),"")</f>
        <v/>
      </c>
      <c r="B3947" s="62" t="str">
        <f t="shared" si="403"/>
        <v/>
      </c>
      <c r="C3947" s="63"/>
      <c r="D3947" s="63"/>
      <c r="E3947" s="63"/>
      <c r="F3947" s="71"/>
      <c r="G3947" s="66"/>
      <c r="H3947" s="71"/>
      <c r="I3947" s="405"/>
      <c r="J3947" s="405"/>
      <c r="K3947" s="398"/>
      <c r="L3947" s="405"/>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ht="15.75" customHeight="1">
      <c r="A3948" s="327" t="str">
        <f>IF(B3948&lt;&gt;"",IF(AND(B3948='IN-TC'!$S$4,OR(TH!N3948="1111",TH!O3948="1111")),TH!D3948,""),"")</f>
        <v/>
      </c>
      <c r="B3948" s="62" t="str">
        <f t="shared" si="403"/>
        <v/>
      </c>
      <c r="C3948" s="63"/>
      <c r="D3948" s="63"/>
      <c r="E3948" s="63"/>
      <c r="F3948" s="71"/>
      <c r="G3948" s="66"/>
      <c r="H3948" s="71"/>
      <c r="I3948" s="405"/>
      <c r="J3948" s="405"/>
      <c r="K3948" s="398"/>
      <c r="L3948" s="405"/>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ht="15.75" customHeight="1">
      <c r="A3949" s="327" t="str">
        <f>IF(B3949&lt;&gt;"",IF(AND(B3949='IN-TC'!$S$4,OR(TH!N3949="1111",TH!O3949="1111")),TH!D3949,""),"")</f>
        <v/>
      </c>
      <c r="B3949" s="62" t="str">
        <f t="shared" si="403"/>
        <v/>
      </c>
      <c r="C3949" s="63"/>
      <c r="D3949" s="63"/>
      <c r="E3949" s="63"/>
      <c r="F3949" s="71"/>
      <c r="G3949" s="66"/>
      <c r="H3949" s="71"/>
      <c r="I3949" s="405"/>
      <c r="J3949" s="405"/>
      <c r="K3949" s="398"/>
      <c r="L3949" s="405"/>
      <c r="M3949" s="64"/>
      <c r="N3949" s="65"/>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ht="15.75" customHeight="1">
      <c r="A3950" s="327" t="str">
        <f>IF(B3950&lt;&gt;"",IF(AND(B3950='IN-TC'!$S$4,OR(TH!N3950="1111",TH!O3950="1111")),TH!D3950,""),"")</f>
        <v/>
      </c>
      <c r="B3950" s="62" t="str">
        <f t="shared" si="403"/>
        <v/>
      </c>
      <c r="C3950" s="63"/>
      <c r="D3950" s="63"/>
      <c r="E3950" s="63"/>
      <c r="F3950" s="71"/>
      <c r="G3950" s="66"/>
      <c r="H3950" s="71"/>
      <c r="I3950" s="405"/>
      <c r="J3950" s="405"/>
      <c r="K3950" s="398"/>
      <c r="L3950" s="405"/>
      <c r="M3950" s="64"/>
      <c r="N3950" s="65"/>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ht="15.75" customHeight="1">
      <c r="A3951" s="327" t="str">
        <f>IF(B3951&lt;&gt;"",IF(AND(B3951='IN-TC'!$S$4,OR(TH!N3951="1111",TH!O3951="1111")),TH!D3951,""),"")</f>
        <v/>
      </c>
      <c r="B3951" s="62" t="str">
        <f t="shared" si="403"/>
        <v/>
      </c>
      <c r="C3951" s="63"/>
      <c r="D3951" s="63"/>
      <c r="E3951" s="63"/>
      <c r="F3951" s="71"/>
      <c r="G3951" s="66"/>
      <c r="H3951" s="71"/>
      <c r="I3951" s="405"/>
      <c r="J3951" s="405"/>
      <c r="K3951" s="398"/>
      <c r="L3951" s="405"/>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ht="15.75" customHeight="1">
      <c r="A3952" s="327" t="str">
        <f>IF(B3952&lt;&gt;"",IF(AND(B3952='IN-TC'!$S$4,OR(TH!N3952="1111",TH!O3952="1111")),TH!D3952,""),"")</f>
        <v/>
      </c>
      <c r="B3952" s="62" t="str">
        <f t="shared" si="403"/>
        <v/>
      </c>
      <c r="C3952" s="63"/>
      <c r="D3952" s="63"/>
      <c r="E3952" s="63"/>
      <c r="F3952" s="71"/>
      <c r="G3952" s="66"/>
      <c r="H3952" s="71"/>
      <c r="I3952" s="405"/>
      <c r="J3952" s="405"/>
      <c r="K3952" s="398"/>
      <c r="L3952" s="405"/>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ht="15.75" customHeight="1">
      <c r="A3953" s="327" t="str">
        <f>IF(B3953&lt;&gt;"",IF(AND(B3953='IN-TC'!$S$4,OR(TH!N3953="1111",TH!O3953="1111")),TH!D3953,""),"")</f>
        <v/>
      </c>
      <c r="B3953" s="62" t="str">
        <f t="shared" si="403"/>
        <v/>
      </c>
      <c r="C3953" s="63"/>
      <c r="D3953" s="63"/>
      <c r="E3953" s="63"/>
      <c r="F3953" s="71"/>
      <c r="G3953" s="66"/>
      <c r="H3953" s="71"/>
      <c r="I3953" s="405"/>
      <c r="J3953" s="405"/>
      <c r="K3953" s="398"/>
      <c r="L3953" s="405"/>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ht="15.75" customHeight="1">
      <c r="A3954" s="327" t="str">
        <f>IF(B3954&lt;&gt;"",IF(AND(B3954='IN-TC'!$S$4,OR(TH!N3954="1111",TH!O3954="1111")),TH!D3954,""),"")</f>
        <v/>
      </c>
      <c r="B3954" s="62" t="str">
        <f t="shared" si="403"/>
        <v/>
      </c>
      <c r="C3954" s="63"/>
      <c r="D3954" s="63"/>
      <c r="E3954" s="63"/>
      <c r="F3954" s="71"/>
      <c r="G3954" s="66"/>
      <c r="H3954" s="71"/>
      <c r="I3954" s="405"/>
      <c r="J3954" s="405"/>
      <c r="K3954" s="398"/>
      <c r="L3954" s="405"/>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ht="15.75" customHeight="1">
      <c r="A3955" s="327" t="str">
        <f>IF(B3955&lt;&gt;"",IF(AND(B3955='IN-TC'!$S$4,OR(TH!N3955="1111",TH!O3955="1111")),TH!D3955,""),"")</f>
        <v/>
      </c>
      <c r="B3955" s="62" t="str">
        <f t="shared" si="403"/>
        <v/>
      </c>
      <c r="C3955" s="63"/>
      <c r="D3955" s="63"/>
      <c r="E3955" s="63"/>
      <c r="F3955" s="71"/>
      <c r="G3955" s="66"/>
      <c r="H3955" s="71"/>
      <c r="I3955" s="405"/>
      <c r="J3955" s="405"/>
      <c r="K3955" s="398"/>
      <c r="L3955" s="405"/>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ht="15.75" customHeight="1">
      <c r="A3956" s="327" t="str">
        <f>IF(B3956&lt;&gt;"",IF(AND(B3956='IN-TC'!$S$4,OR(TH!N3956="1111",TH!O3956="1111")),TH!D3956,""),"")</f>
        <v/>
      </c>
      <c r="B3956" s="62" t="str">
        <f t="shared" si="403"/>
        <v/>
      </c>
      <c r="C3956" s="63"/>
      <c r="D3956" s="63"/>
      <c r="E3956" s="63"/>
      <c r="F3956" s="71"/>
      <c r="G3956" s="66"/>
      <c r="H3956" s="71"/>
      <c r="I3956" s="405"/>
      <c r="J3956" s="405"/>
      <c r="K3956" s="398"/>
      <c r="L3956" s="405"/>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ht="15.75" customHeight="1">
      <c r="A3957" s="327" t="str">
        <f>IF(B3957&lt;&gt;"",IF(AND(B3957='IN-TC'!$S$4,OR(TH!N3957="1111",TH!O3957="1111")),TH!D3957,""),"")</f>
        <v/>
      </c>
      <c r="B3957" s="62" t="str">
        <f t="shared" si="403"/>
        <v/>
      </c>
      <c r="C3957" s="63"/>
      <c r="D3957" s="63"/>
      <c r="E3957" s="63"/>
      <c r="F3957" s="71"/>
      <c r="G3957" s="66"/>
      <c r="H3957" s="71"/>
      <c r="I3957" s="405"/>
      <c r="J3957" s="405"/>
      <c r="K3957" s="398"/>
      <c r="L3957" s="405"/>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ht="15.75" customHeight="1">
      <c r="A3958" s="327" t="str">
        <f>IF(B3958&lt;&gt;"",IF(AND(B3958='IN-TC'!$S$4,OR(TH!N3958="1111",TH!O3958="1111")),TH!D3958,""),"")</f>
        <v/>
      </c>
      <c r="B3958" s="62" t="str">
        <f t="shared" si="403"/>
        <v/>
      </c>
      <c r="C3958" s="63"/>
      <c r="D3958" s="63"/>
      <c r="E3958" s="63"/>
      <c r="F3958" s="71"/>
      <c r="G3958" s="66"/>
      <c r="H3958" s="71"/>
      <c r="I3958" s="405"/>
      <c r="J3958" s="405"/>
      <c r="K3958" s="398"/>
      <c r="L3958" s="405"/>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ht="15.75" customHeight="1">
      <c r="A3959" s="327" t="str">
        <f>IF(B3959&lt;&gt;"",IF(AND(B3959='IN-TC'!$S$4,OR(TH!N3959="1111",TH!O3959="1111")),TH!D3959,""),"")</f>
        <v/>
      </c>
      <c r="B3959" s="62" t="str">
        <f t="shared" si="403"/>
        <v/>
      </c>
      <c r="C3959" s="63"/>
      <c r="D3959" s="63"/>
      <c r="E3959" s="63"/>
      <c r="F3959" s="71"/>
      <c r="G3959" s="66"/>
      <c r="H3959" s="71"/>
      <c r="I3959" s="405"/>
      <c r="J3959" s="405"/>
      <c r="K3959" s="398"/>
      <c r="L3959" s="405"/>
      <c r="M3959" s="64"/>
      <c r="N3959" s="65"/>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ht="15.75" customHeight="1">
      <c r="A3960" s="327" t="str">
        <f>IF(B3960&lt;&gt;"",IF(AND(B3960='IN-TC'!$S$4,OR(TH!N3960="1111",TH!O3960="1111")),TH!D3960,""),"")</f>
        <v/>
      </c>
      <c r="B3960" s="62" t="str">
        <f t="shared" si="403"/>
        <v/>
      </c>
      <c r="C3960" s="63"/>
      <c r="D3960" s="63"/>
      <c r="E3960" s="63"/>
      <c r="F3960" s="71"/>
      <c r="G3960" s="66"/>
      <c r="H3960" s="71"/>
      <c r="I3960" s="405"/>
      <c r="J3960" s="405"/>
      <c r="K3960" s="398"/>
      <c r="L3960" s="405"/>
      <c r="M3960" s="64"/>
      <c r="N3960" s="65"/>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ht="15.75" customHeight="1">
      <c r="A3961" s="327" t="str">
        <f>IF(B3961&lt;&gt;"",IF(AND(B3961='IN-TC'!$S$4,OR(TH!N3961="1111",TH!O3961="1111")),TH!D3961,""),"")</f>
        <v/>
      </c>
      <c r="B3961" s="62" t="str">
        <f t="shared" si="403"/>
        <v/>
      </c>
      <c r="C3961" s="63"/>
      <c r="D3961" s="63"/>
      <c r="E3961" s="63"/>
      <c r="F3961" s="71"/>
      <c r="G3961" s="66"/>
      <c r="H3961" s="71"/>
      <c r="I3961" s="405"/>
      <c r="J3961" s="405"/>
      <c r="K3961" s="398"/>
      <c r="L3961" s="405"/>
      <c r="M3961" s="64"/>
      <c r="N3961" s="65"/>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ht="15.75" customHeight="1">
      <c r="A3962" s="327" t="str">
        <f>IF(B3962&lt;&gt;"",IF(AND(B3962='IN-TC'!$S$4,OR(TH!N3962="1111",TH!O3962="1111")),TH!D3962,""),"")</f>
        <v/>
      </c>
      <c r="B3962" s="62" t="str">
        <f t="shared" si="403"/>
        <v/>
      </c>
      <c r="C3962" s="63"/>
      <c r="D3962" s="63"/>
      <c r="E3962" s="63"/>
      <c r="F3962" s="71"/>
      <c r="G3962" s="66"/>
      <c r="H3962" s="71"/>
      <c r="I3962" s="405"/>
      <c r="J3962" s="405"/>
      <c r="K3962" s="398"/>
      <c r="L3962" s="405"/>
      <c r="M3962" s="64"/>
      <c r="N3962" s="65"/>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ht="15.75" customHeight="1">
      <c r="A3963" s="327" t="str">
        <f>IF(B3963&lt;&gt;"",IF(AND(B3963='IN-TC'!$S$4,OR(TH!N3963="1111",TH!O3963="1111")),TH!D3963,""),"")</f>
        <v/>
      </c>
      <c r="B3963" s="62" t="str">
        <f t="shared" si="403"/>
        <v/>
      </c>
      <c r="C3963" s="63"/>
      <c r="D3963" s="63"/>
      <c r="E3963" s="63"/>
      <c r="F3963" s="71"/>
      <c r="G3963" s="66"/>
      <c r="H3963" s="71"/>
      <c r="I3963" s="405"/>
      <c r="J3963" s="405"/>
      <c r="K3963" s="398"/>
      <c r="L3963" s="405"/>
      <c r="M3963" s="64"/>
      <c r="N3963" s="65"/>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ht="15.75" customHeight="1">
      <c r="A3964" s="327" t="str">
        <f>IF(B3964&lt;&gt;"",IF(AND(B3964='IN-TC'!$S$4,OR(TH!N3964="1111",TH!O3964="1111")),TH!D3964,""),"")</f>
        <v/>
      </c>
      <c r="B3964" s="62" t="str">
        <f t="shared" si="403"/>
        <v/>
      </c>
      <c r="C3964" s="63"/>
      <c r="D3964" s="63"/>
      <c r="E3964" s="63"/>
      <c r="F3964" s="71"/>
      <c r="G3964" s="66"/>
      <c r="H3964" s="71"/>
      <c r="I3964" s="405"/>
      <c r="J3964" s="405"/>
      <c r="K3964" s="398"/>
      <c r="L3964" s="405"/>
      <c r="M3964" s="64"/>
      <c r="N3964" s="65"/>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ht="15.75" customHeight="1">
      <c r="A3965" s="327" t="str">
        <f>IF(B3965&lt;&gt;"",IF(AND(B3965='IN-TC'!$S$4,OR(TH!N3965="1111",TH!O3965="1111")),TH!D3965,""),"")</f>
        <v/>
      </c>
      <c r="B3965" s="62" t="str">
        <f t="shared" si="403"/>
        <v/>
      </c>
      <c r="C3965" s="63"/>
      <c r="D3965" s="63"/>
      <c r="E3965" s="63"/>
      <c r="F3965" s="71"/>
      <c r="G3965" s="66"/>
      <c r="H3965" s="71"/>
      <c r="I3965" s="405"/>
      <c r="J3965" s="405"/>
      <c r="K3965" s="398"/>
      <c r="L3965" s="405"/>
      <c r="M3965" s="64"/>
      <c r="N3965" s="65"/>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ht="15.75" customHeight="1">
      <c r="A3966" s="327" t="str">
        <f>IF(B3966&lt;&gt;"",IF(AND(B3966='IN-TC'!$S$4,OR(TH!N3966="1111",TH!O3966="1111")),TH!D3966,""),"")</f>
        <v/>
      </c>
      <c r="B3966" s="62" t="str">
        <f t="shared" si="403"/>
        <v/>
      </c>
      <c r="C3966" s="63"/>
      <c r="D3966" s="63"/>
      <c r="E3966" s="63"/>
      <c r="F3966" s="71"/>
      <c r="G3966" s="66"/>
      <c r="H3966" s="71"/>
      <c r="I3966" s="405"/>
      <c r="J3966" s="405"/>
      <c r="K3966" s="398"/>
      <c r="L3966" s="405"/>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ht="15.75" customHeight="1">
      <c r="A3967" s="327" t="str">
        <f>IF(B3967&lt;&gt;"",IF(AND(B3967='IN-TC'!$S$4,OR(TH!N3967="1111",TH!O3967="1111")),TH!D3967,""),"")</f>
        <v/>
      </c>
      <c r="B3967" s="62" t="str">
        <f t="shared" si="403"/>
        <v/>
      </c>
      <c r="C3967" s="63"/>
      <c r="D3967" s="63"/>
      <c r="E3967" s="63"/>
      <c r="F3967" s="71"/>
      <c r="G3967" s="66"/>
      <c r="H3967" s="71"/>
      <c r="I3967" s="405"/>
      <c r="J3967" s="405"/>
      <c r="K3967" s="398"/>
      <c r="L3967" s="405"/>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ht="15.75" customHeight="1">
      <c r="A3968" s="327" t="str">
        <f>IF(B3968&lt;&gt;"",IF(AND(B3968='IN-TC'!$S$4,OR(TH!N3968="1111",TH!O3968="1111")),TH!D3968,""),"")</f>
        <v/>
      </c>
      <c r="B3968" s="62" t="str">
        <f t="shared" si="403"/>
        <v/>
      </c>
      <c r="C3968" s="63"/>
      <c r="D3968" s="63"/>
      <c r="E3968" s="63"/>
      <c r="F3968" s="71"/>
      <c r="G3968" s="816"/>
      <c r="H3968" s="71"/>
      <c r="I3968" s="405"/>
      <c r="J3968" s="405"/>
      <c r="K3968" s="398"/>
      <c r="L3968" s="405"/>
      <c r="M3968" s="64"/>
      <c r="N3968" s="65"/>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ht="15.75" customHeight="1">
      <c r="A3969" s="327" t="str">
        <f>IF(B3969&lt;&gt;"",IF(AND(B3969='IN-TC'!$S$4,OR(TH!N3969="1111",TH!O3969="1111")),TH!D3969,""),"")</f>
        <v/>
      </c>
      <c r="B3969" s="62" t="str">
        <f t="shared" si="403"/>
        <v/>
      </c>
      <c r="C3969" s="63"/>
      <c r="D3969" s="63"/>
      <c r="E3969" s="63"/>
      <c r="F3969" s="71"/>
      <c r="G3969" s="816"/>
      <c r="H3969" s="71"/>
      <c r="I3969" s="405"/>
      <c r="J3969" s="405"/>
      <c r="K3969" s="398"/>
      <c r="L3969" s="405"/>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ht="15.75" customHeight="1">
      <c r="A3970" s="327" t="str">
        <f>IF(B3970&lt;&gt;"",IF(AND(B3970='IN-TC'!$S$4,OR(TH!N3970="1111",TH!O3970="1111")),TH!D3970,""),"")</f>
        <v/>
      </c>
      <c r="B3970" s="62" t="str">
        <f t="shared" si="403"/>
        <v/>
      </c>
      <c r="C3970" s="63"/>
      <c r="D3970" s="63"/>
      <c r="E3970" s="63"/>
      <c r="F3970" s="71"/>
      <c r="G3970" s="816"/>
      <c r="H3970" s="71"/>
      <c r="I3970" s="405"/>
      <c r="J3970" s="405"/>
      <c r="K3970" s="398"/>
      <c r="L3970" s="405"/>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ht="15.75" customHeight="1">
      <c r="A3971" s="327" t="str">
        <f>IF(B3971&lt;&gt;"",IF(AND(B3971='IN-TC'!$S$4,OR(TH!N3971="1111",TH!O3971="1111")),TH!D3971,""),"")</f>
        <v/>
      </c>
      <c r="B3971" s="62" t="str">
        <f t="shared" si="403"/>
        <v/>
      </c>
      <c r="C3971" s="63"/>
      <c r="D3971" s="63"/>
      <c r="E3971" s="63"/>
      <c r="F3971" s="71"/>
      <c r="G3971" s="816"/>
      <c r="H3971" s="71"/>
      <c r="I3971" s="405"/>
      <c r="J3971" s="405"/>
      <c r="K3971" s="398"/>
      <c r="L3971" s="405"/>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ht="15.75" customHeight="1">
      <c r="A3972" s="327" t="str">
        <f>IF(B3972&lt;&gt;"",IF(AND(B3972='IN-TC'!$S$4,OR(TH!N3972="1111",TH!O3972="1111")),TH!D3972,""),"")</f>
        <v/>
      </c>
      <c r="B3972" s="62" t="str">
        <f t="shared" si="403"/>
        <v/>
      </c>
      <c r="C3972" s="63"/>
      <c r="D3972" s="63"/>
      <c r="E3972" s="63"/>
      <c r="F3972" s="477"/>
      <c r="G3972" s="66"/>
      <c r="H3972" s="71"/>
      <c r="I3972" s="405"/>
      <c r="J3972" s="405"/>
      <c r="K3972" s="398"/>
      <c r="L3972" s="985"/>
      <c r="M3972" s="64"/>
      <c r="N3972" s="65"/>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ht="15.75" customHeight="1">
      <c r="A3973" s="327" t="str">
        <f>IF(B3973&lt;&gt;"",IF(AND(B3973='IN-TC'!$S$4,OR(TH!N3973="1111",TH!O3973="1111")),TH!D3973,""),"")</f>
        <v/>
      </c>
      <c r="B3973" s="62" t="str">
        <f t="shared" si="403"/>
        <v/>
      </c>
      <c r="C3973" s="63"/>
      <c r="D3973" s="63"/>
      <c r="E3973" s="63"/>
      <c r="F3973" s="477"/>
      <c r="G3973" s="66"/>
      <c r="H3973" s="71"/>
      <c r="I3973" s="405"/>
      <c r="J3973" s="405"/>
      <c r="K3973" s="398"/>
      <c r="L3973" s="985"/>
      <c r="M3973" s="64"/>
      <c r="N3973" s="65"/>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ht="15.75" customHeight="1">
      <c r="A3974" s="327" t="str">
        <f>IF(B3974&lt;&gt;"",IF(AND(B3974='IN-TC'!$S$4,OR(TH!N3974="1111",TH!O3974="1111")),TH!D3974,""),"")</f>
        <v/>
      </c>
      <c r="B3974" s="62" t="str">
        <f t="shared" si="403"/>
        <v/>
      </c>
      <c r="C3974" s="63"/>
      <c r="D3974" s="63"/>
      <c r="E3974" s="63"/>
      <c r="F3974" s="71"/>
      <c r="G3974" s="816"/>
      <c r="H3974" s="71"/>
      <c r="I3974" s="405"/>
      <c r="J3974" s="405"/>
      <c r="K3974" s="398"/>
      <c r="L3974" s="405"/>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ht="15.75" customHeight="1">
      <c r="A3975" s="327" t="str">
        <f>IF(B3975&lt;&gt;"",IF(AND(B3975='IN-TC'!$S$4,OR(TH!N3975="1111",TH!O3975="1111")),TH!D3975,""),"")</f>
        <v/>
      </c>
      <c r="B3975" s="62" t="str">
        <f t="shared" si="403"/>
        <v/>
      </c>
      <c r="C3975" s="63"/>
      <c r="D3975" s="63"/>
      <c r="E3975" s="63"/>
      <c r="F3975" s="71"/>
      <c r="G3975" s="816"/>
      <c r="H3975" s="71"/>
      <c r="I3975" s="405"/>
      <c r="J3975" s="405"/>
      <c r="K3975" s="398"/>
      <c r="L3975" s="405"/>
      <c r="M3975" s="64"/>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ht="15.75" customHeight="1">
      <c r="A3976" s="327" t="str">
        <f>IF(B3976&lt;&gt;"",IF(AND(B3976='IN-TC'!$S$4,OR(TH!N3976="1111",TH!O3976="1111")),TH!D3976,""),"")</f>
        <v/>
      </c>
      <c r="B3976" s="62" t="str">
        <f t="shared" si="403"/>
        <v/>
      </c>
      <c r="C3976" s="63"/>
      <c r="D3976" s="63"/>
      <c r="E3976" s="63"/>
      <c r="F3976" s="71"/>
      <c r="G3976" s="816"/>
      <c r="H3976" s="71"/>
      <c r="I3976" s="405"/>
      <c r="J3976" s="405"/>
      <c r="K3976" s="398"/>
      <c r="L3976" s="405"/>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ht="15.75" customHeight="1">
      <c r="A3977" s="327" t="str">
        <f>IF(B3977&lt;&gt;"",IF(AND(B3977='IN-TC'!$S$4,OR(TH!N3977="1111",TH!O3977="1111")),TH!D3977,""),"")</f>
        <v/>
      </c>
      <c r="B3977" s="62" t="str">
        <f t="shared" si="403"/>
        <v/>
      </c>
      <c r="C3977" s="63"/>
      <c r="D3977" s="63"/>
      <c r="E3977" s="63"/>
      <c r="F3977" s="71"/>
      <c r="G3977" s="816"/>
      <c r="H3977" s="71"/>
      <c r="I3977" s="405"/>
      <c r="J3977" s="405"/>
      <c r="K3977" s="398"/>
      <c r="L3977" s="405"/>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ht="15.75" customHeight="1">
      <c r="A3978" s="327" t="str">
        <f>IF(B3978&lt;&gt;"",IF(AND(B3978='IN-TC'!$S$4,OR(TH!N3978="1111",TH!O3978="1111")),TH!D3978,""),"")</f>
        <v/>
      </c>
      <c r="B3978" s="62" t="str">
        <f t="shared" si="403"/>
        <v/>
      </c>
      <c r="C3978" s="63"/>
      <c r="D3978" s="63"/>
      <c r="E3978" s="63"/>
      <c r="F3978" s="71"/>
      <c r="G3978" s="816"/>
      <c r="H3978" s="71"/>
      <c r="I3978" s="405"/>
      <c r="J3978" s="405"/>
      <c r="K3978" s="398"/>
      <c r="L3978" s="405"/>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ht="15.75" customHeight="1">
      <c r="A3979" s="327" t="str">
        <f>IF(B3979&lt;&gt;"",IF(AND(B3979='IN-TC'!$S$4,OR(TH!N3979="1111",TH!O3979="1111")),TH!D3979,""),"")</f>
        <v/>
      </c>
      <c r="B3979" s="62" t="str">
        <f t="shared" si="403"/>
        <v/>
      </c>
      <c r="C3979" s="63"/>
      <c r="D3979" s="63"/>
      <c r="E3979" s="63"/>
      <c r="F3979" s="71"/>
      <c r="G3979" s="816"/>
      <c r="H3979" s="71"/>
      <c r="I3979" s="405"/>
      <c r="J3979" s="405"/>
      <c r="K3979" s="398"/>
      <c r="L3979" s="405"/>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ht="15.75" customHeight="1">
      <c r="A3980" s="327" t="str">
        <f>IF(B3980&lt;&gt;"",IF(AND(B3980='IN-TC'!$S$4,OR(TH!N3980="1111",TH!O3980="1111")),TH!D3980,""),"")</f>
        <v/>
      </c>
      <c r="B3980" s="62" t="str">
        <f t="shared" si="403"/>
        <v/>
      </c>
      <c r="C3980" s="63"/>
      <c r="D3980" s="63"/>
      <c r="E3980" s="63"/>
      <c r="F3980" s="477"/>
      <c r="G3980" s="66"/>
      <c r="H3980" s="71"/>
      <c r="I3980" s="405"/>
      <c r="J3980" s="405"/>
      <c r="K3980" s="398"/>
      <c r="L3980" s="985"/>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ht="15.75" customHeight="1">
      <c r="A3981" s="327" t="str">
        <f>IF(B3981&lt;&gt;"",IF(AND(B3981='IN-TC'!$S$4,OR(TH!N3981="1111",TH!O3981="1111")),TH!D3981,""),"")</f>
        <v/>
      </c>
      <c r="B3981" s="62" t="str">
        <f t="shared" si="403"/>
        <v/>
      </c>
      <c r="C3981" s="63"/>
      <c r="D3981" s="63"/>
      <c r="E3981" s="63"/>
      <c r="F3981" s="477"/>
      <c r="G3981" s="66"/>
      <c r="H3981" s="71"/>
      <c r="I3981" s="405"/>
      <c r="J3981" s="405"/>
      <c r="K3981" s="398"/>
      <c r="L3981" s="985"/>
      <c r="M3981" s="64"/>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c r="A3982" s="327" t="str">
        <f>IF(B3982&lt;&gt;"",IF(AND(B3982='IN-TC'!$S$4,OR(TH!N3982="1111",TH!O3982="1111")),TH!D3982,""),"")</f>
        <v/>
      </c>
      <c r="B3982" s="62" t="str">
        <f t="shared" si="403"/>
        <v/>
      </c>
      <c r="C3982" s="63"/>
      <c r="D3982" s="63"/>
      <c r="E3982" s="63"/>
      <c r="F3982" s="71"/>
      <c r="G3982" s="816"/>
      <c r="H3982" s="71"/>
      <c r="I3982" s="405"/>
      <c r="J3982" s="405"/>
      <c r="K3982" s="398"/>
      <c r="L3982" s="405"/>
      <c r="M3982" s="64"/>
      <c r="N3982" s="65"/>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c r="A3983" s="327" t="str">
        <f>IF(B3983&lt;&gt;"",IF(AND(B3983='IN-TC'!$S$4,OR(TH!N3983="1111",TH!O3983="1111")),TH!D3983,""),"")</f>
        <v/>
      </c>
      <c r="B3983" s="62" t="str">
        <f t="shared" si="403"/>
        <v/>
      </c>
      <c r="C3983" s="63"/>
      <c r="D3983" s="63"/>
      <c r="E3983" s="63"/>
      <c r="F3983" s="71"/>
      <c r="G3983" s="816"/>
      <c r="H3983" s="71"/>
      <c r="I3983" s="405"/>
      <c r="J3983" s="405"/>
      <c r="K3983" s="398"/>
      <c r="L3983" s="405"/>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ht="15.75" customHeight="1">
      <c r="A3984" s="327" t="str">
        <f>IF(B3984&lt;&gt;"",IF(AND(B3984='IN-TC'!$S$4,OR(TH!N3984="1111",TH!O3984="1111")),TH!D3984,""),"")</f>
        <v/>
      </c>
      <c r="B3984" s="62" t="str">
        <f t="shared" si="403"/>
        <v/>
      </c>
      <c r="C3984" s="63"/>
      <c r="D3984" s="63"/>
      <c r="E3984" s="63"/>
      <c r="F3984" s="71"/>
      <c r="G3984" s="816"/>
      <c r="H3984" s="71"/>
      <c r="I3984" s="405"/>
      <c r="J3984" s="405"/>
      <c r="K3984" s="398"/>
      <c r="L3984" s="405"/>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ht="15.75" customHeight="1">
      <c r="A3985" s="327" t="str">
        <f>IF(B3985&lt;&gt;"",IF(AND(B3985='IN-TC'!$S$4,OR(TH!N3985="1111",TH!O3985="1111")),TH!D3985,""),"")</f>
        <v/>
      </c>
      <c r="B3985" s="62" t="str">
        <f t="shared" si="403"/>
        <v/>
      </c>
      <c r="C3985" s="63"/>
      <c r="D3985" s="63"/>
      <c r="E3985" s="63"/>
      <c r="F3985" s="71"/>
      <c r="G3985" s="816"/>
      <c r="H3985" s="71"/>
      <c r="I3985" s="405"/>
      <c r="J3985" s="405"/>
      <c r="K3985" s="398"/>
      <c r="L3985" s="405"/>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ht="15.75" customHeight="1">
      <c r="A3986" s="327" t="str">
        <f>IF(B3986&lt;&gt;"",IF(AND(B3986='IN-TC'!$S$4,OR(TH!N3986="1111",TH!O3986="1111")),TH!D3986,""),"")</f>
        <v/>
      </c>
      <c r="B3986" s="62" t="str">
        <f t="shared" si="403"/>
        <v/>
      </c>
      <c r="C3986" s="63"/>
      <c r="D3986" s="63"/>
      <c r="E3986" s="63"/>
      <c r="F3986" s="477"/>
      <c r="G3986" s="66"/>
      <c r="H3986" s="71"/>
      <c r="I3986" s="405"/>
      <c r="J3986" s="405"/>
      <c r="K3986" s="398"/>
      <c r="L3986" s="985"/>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ht="15.75" customHeight="1">
      <c r="A3987" s="327" t="str">
        <f>IF(B3987&lt;&gt;"",IF(AND(B3987='IN-TC'!$S$4,OR(TH!N3987="1111",TH!O3987="1111")),TH!D3987,""),"")</f>
        <v/>
      </c>
      <c r="B3987" s="62" t="str">
        <f t="shared" si="403"/>
        <v/>
      </c>
      <c r="C3987" s="63"/>
      <c r="D3987" s="63"/>
      <c r="E3987" s="63"/>
      <c r="F3987" s="477"/>
      <c r="G3987" s="66"/>
      <c r="H3987" s="71"/>
      <c r="I3987" s="405"/>
      <c r="J3987" s="405"/>
      <c r="K3987" s="398"/>
      <c r="L3987" s="985"/>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ht="15.75" customHeight="1">
      <c r="A3988" s="327" t="str">
        <f>IF(B3988&lt;&gt;"",IF(AND(B3988='IN-TC'!$S$4,OR(TH!N3988="1111",TH!O3988="1111")),TH!D3988,""),"")</f>
        <v/>
      </c>
      <c r="B3988" s="62" t="str">
        <f t="shared" si="403"/>
        <v/>
      </c>
      <c r="C3988" s="63"/>
      <c r="D3988" s="63"/>
      <c r="E3988" s="63"/>
      <c r="F3988" s="71"/>
      <c r="G3988" s="816"/>
      <c r="H3988" s="71"/>
      <c r="I3988" s="405"/>
      <c r="J3988" s="405"/>
      <c r="K3988" s="398"/>
      <c r="L3988" s="405"/>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ht="15.75" customHeight="1">
      <c r="A3989" s="327" t="str">
        <f>IF(B3989&lt;&gt;"",IF(AND(B3989='IN-TC'!$S$4,OR(TH!N3989="1111",TH!O3989="1111")),TH!D3989,""),"")</f>
        <v/>
      </c>
      <c r="B3989" s="62" t="str">
        <f t="shared" si="403"/>
        <v/>
      </c>
      <c r="C3989" s="63"/>
      <c r="D3989" s="63"/>
      <c r="E3989" s="63"/>
      <c r="F3989" s="71"/>
      <c r="G3989" s="816"/>
      <c r="H3989" s="71"/>
      <c r="I3989" s="405"/>
      <c r="J3989" s="405"/>
      <c r="K3989" s="398"/>
      <c r="L3989" s="405"/>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ht="15.75" customHeight="1">
      <c r="A3990" s="327" t="str">
        <f>IF(B3990&lt;&gt;"",IF(AND(B3990='IN-TC'!$S$4,OR(TH!N3990="1111",TH!O3990="1111")),TH!D3990,""),"")</f>
        <v/>
      </c>
      <c r="B3990" s="62" t="str">
        <f t="shared" ref="B3990:B4053" si="404">IF(C3990&lt;&gt;"",MONTH(C3990),"")</f>
        <v/>
      </c>
      <c r="C3990" s="63"/>
      <c r="D3990" s="63"/>
      <c r="E3990" s="63"/>
      <c r="F3990" s="71"/>
      <c r="G3990" s="816"/>
      <c r="H3990" s="71"/>
      <c r="I3990" s="405"/>
      <c r="J3990" s="405"/>
      <c r="K3990" s="398"/>
      <c r="L3990" s="405"/>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ht="15.75" customHeight="1">
      <c r="A3991" s="327" t="str">
        <f>IF(B3991&lt;&gt;"",IF(AND(B3991='IN-TC'!$S$4,OR(TH!N3991="1111",TH!O3991="1111")),TH!D3991,""),"")</f>
        <v/>
      </c>
      <c r="B3991" s="62" t="str">
        <f t="shared" si="404"/>
        <v/>
      </c>
      <c r="C3991" s="63"/>
      <c r="D3991" s="63"/>
      <c r="E3991" s="63"/>
      <c r="F3991" s="71"/>
      <c r="G3991" s="816"/>
      <c r="H3991" s="71"/>
      <c r="I3991" s="405"/>
      <c r="J3991" s="405"/>
      <c r="K3991" s="398"/>
      <c r="L3991" s="405"/>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ht="15.75" customHeight="1">
      <c r="A3992" s="327" t="str">
        <f>IF(B3992&lt;&gt;"",IF(AND(B3992='IN-TC'!$S$4,OR(TH!N3992="1111",TH!O3992="1111")),TH!D3992,""),"")</f>
        <v/>
      </c>
      <c r="B3992" s="62" t="str">
        <f t="shared" si="404"/>
        <v/>
      </c>
      <c r="C3992" s="63"/>
      <c r="D3992" s="63"/>
      <c r="E3992" s="63"/>
      <c r="F3992" s="71"/>
      <c r="G3992" s="816"/>
      <c r="H3992" s="71"/>
      <c r="I3992" s="405"/>
      <c r="J3992" s="405"/>
      <c r="K3992" s="398"/>
      <c r="L3992" s="405"/>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ht="15.75" customHeight="1">
      <c r="A3993" s="327" t="str">
        <f>IF(B3993&lt;&gt;"",IF(AND(B3993='IN-TC'!$S$4,OR(TH!N3993="1111",TH!O3993="1111")),TH!D3993,""),"")</f>
        <v/>
      </c>
      <c r="B3993" s="62" t="str">
        <f t="shared" si="404"/>
        <v/>
      </c>
      <c r="C3993" s="63"/>
      <c r="D3993" s="63"/>
      <c r="E3993" s="63"/>
      <c r="F3993" s="71"/>
      <c r="G3993" s="816"/>
      <c r="H3993" s="71"/>
      <c r="I3993" s="405"/>
      <c r="J3993" s="405"/>
      <c r="K3993" s="398"/>
      <c r="L3993" s="405"/>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ht="15.75" customHeight="1">
      <c r="A3994" s="327" t="str">
        <f>IF(B3994&lt;&gt;"",IF(AND(B3994='IN-TC'!$S$4,OR(TH!N3994="1111",TH!O3994="1111")),TH!D3994,""),"")</f>
        <v/>
      </c>
      <c r="B3994" s="62" t="str">
        <f t="shared" si="404"/>
        <v/>
      </c>
      <c r="C3994" s="63"/>
      <c r="D3994" s="63"/>
      <c r="E3994" s="63"/>
      <c r="F3994" s="71"/>
      <c r="G3994" s="66"/>
      <c r="H3994" s="71"/>
      <c r="I3994" s="405"/>
      <c r="J3994" s="405"/>
      <c r="K3994" s="398"/>
      <c r="L3994" s="405"/>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ht="15.75" customHeight="1">
      <c r="A3995" s="327" t="str">
        <f>IF(B3995&lt;&gt;"",IF(AND(B3995='IN-TC'!$S$4,OR(TH!N3995="1111",TH!O3995="1111")),TH!D3995,""),"")</f>
        <v/>
      </c>
      <c r="B3995" s="62" t="str">
        <f t="shared" si="404"/>
        <v/>
      </c>
      <c r="C3995" s="63"/>
      <c r="D3995" s="63"/>
      <c r="E3995" s="63"/>
      <c r="F3995" s="477"/>
      <c r="G3995" s="66"/>
      <c r="H3995" s="71"/>
      <c r="I3995" s="405"/>
      <c r="J3995" s="405"/>
      <c r="K3995" s="398"/>
      <c r="L3995" s="985"/>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ht="15.75" customHeight="1">
      <c r="A3996" s="327" t="str">
        <f>IF(B3996&lt;&gt;"",IF(AND(B3996='IN-TC'!$S$4,OR(TH!N3996="1111",TH!O3996="1111")),TH!D3996,""),"")</f>
        <v/>
      </c>
      <c r="B3996" s="62" t="str">
        <f t="shared" si="404"/>
        <v/>
      </c>
      <c r="C3996" s="63"/>
      <c r="D3996" s="63"/>
      <c r="E3996" s="63"/>
      <c r="F3996" s="71"/>
      <c r="G3996" s="66"/>
      <c r="H3996" s="71"/>
      <c r="I3996" s="405"/>
      <c r="J3996" s="405"/>
      <c r="K3996" s="398"/>
      <c r="L3996" s="405"/>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ht="15.75" customHeight="1">
      <c r="A3997" s="327" t="str">
        <f>IF(B3997&lt;&gt;"",IF(AND(B3997='IN-TC'!$S$4,OR(TH!N3997="1111",TH!O3997="1111")),TH!D3997,""),"")</f>
        <v/>
      </c>
      <c r="B3997" s="62" t="str">
        <f t="shared" si="404"/>
        <v/>
      </c>
      <c r="C3997" s="63"/>
      <c r="D3997" s="63"/>
      <c r="E3997" s="63"/>
      <c r="F3997" s="477"/>
      <c r="G3997" s="66"/>
      <c r="H3997" s="71"/>
      <c r="I3997" s="405"/>
      <c r="J3997" s="405"/>
      <c r="K3997" s="398"/>
      <c r="L3997" s="985"/>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ht="15.75" customHeight="1">
      <c r="A3998" s="327" t="str">
        <f>IF(B3998&lt;&gt;"",IF(AND(B3998='IN-TC'!$S$4,OR(TH!N3998="1111",TH!O3998="1111")),TH!D3998,""),"")</f>
        <v/>
      </c>
      <c r="B3998" s="62" t="str">
        <f t="shared" si="404"/>
        <v/>
      </c>
      <c r="C3998" s="63"/>
      <c r="D3998" s="63"/>
      <c r="E3998" s="63"/>
      <c r="F3998" s="71"/>
      <c r="G3998" s="816"/>
      <c r="H3998" s="71"/>
      <c r="I3998" s="405"/>
      <c r="J3998" s="405"/>
      <c r="K3998" s="398"/>
      <c r="L3998" s="405"/>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ht="15.75" customHeight="1">
      <c r="A3999" s="327" t="str">
        <f>IF(B3999&lt;&gt;"",IF(AND(B3999='IN-TC'!$S$4,OR(TH!N3999="1111",TH!O3999="1111")),TH!D3999,""),"")</f>
        <v/>
      </c>
      <c r="B3999" s="62" t="str">
        <f t="shared" si="404"/>
        <v/>
      </c>
      <c r="C3999" s="63"/>
      <c r="D3999" s="63"/>
      <c r="E3999" s="63"/>
      <c r="F3999" s="71"/>
      <c r="G3999" s="816"/>
      <c r="H3999" s="71"/>
      <c r="I3999" s="405"/>
      <c r="J3999" s="405"/>
      <c r="K3999" s="398"/>
      <c r="L3999" s="405"/>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ht="15.75" customHeight="1">
      <c r="A4000" s="327" t="str">
        <f>IF(B4000&lt;&gt;"",IF(AND(B4000='IN-TC'!$S$4,OR(TH!N4000="1111",TH!O4000="1111")),TH!D4000,""),"")</f>
        <v/>
      </c>
      <c r="B4000" s="62" t="str">
        <f t="shared" si="404"/>
        <v/>
      </c>
      <c r="C4000" s="63"/>
      <c r="D4000" s="63"/>
      <c r="E4000" s="63"/>
      <c r="F4000" s="71"/>
      <c r="G4000" s="816"/>
      <c r="H4000" s="71"/>
      <c r="I4000" s="405"/>
      <c r="J4000" s="405"/>
      <c r="K4000" s="398"/>
      <c r="L4000" s="405"/>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ht="15.75" customHeight="1">
      <c r="A4001" s="327" t="str">
        <f>IF(B4001&lt;&gt;"",IF(AND(B4001='IN-TC'!$S$4,OR(TH!N4001="1111",TH!O4001="1111")),TH!D4001,""),"")</f>
        <v/>
      </c>
      <c r="B4001" s="62" t="str">
        <f t="shared" si="404"/>
        <v/>
      </c>
      <c r="C4001" s="63"/>
      <c r="D4001" s="63"/>
      <c r="E4001" s="63"/>
      <c r="F4001" s="71"/>
      <c r="G4001" s="816"/>
      <c r="H4001" s="71"/>
      <c r="I4001" s="405"/>
      <c r="J4001" s="405"/>
      <c r="K4001" s="398"/>
      <c r="L4001" s="405"/>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ht="15.75" customHeight="1">
      <c r="A4002" s="327" t="str">
        <f>IF(B4002&lt;&gt;"",IF(AND(B4002='IN-TC'!$S$4,OR(TH!N4002="1111",TH!O4002="1111")),TH!D4002,""),"")</f>
        <v/>
      </c>
      <c r="B4002" s="62" t="str">
        <f t="shared" si="404"/>
        <v/>
      </c>
      <c r="C4002" s="63"/>
      <c r="D4002" s="63"/>
      <c r="E4002" s="63"/>
      <c r="F4002" s="71"/>
      <c r="G4002" s="816"/>
      <c r="H4002" s="71"/>
      <c r="I4002" s="405"/>
      <c r="J4002" s="405"/>
      <c r="K4002" s="398"/>
      <c r="L4002" s="405"/>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ht="15.75" customHeight="1">
      <c r="A4003" s="327" t="str">
        <f>IF(B4003&lt;&gt;"",IF(AND(B4003='IN-TC'!$S$4,OR(TH!N4003="1111",TH!O4003="1111")),TH!D4003,""),"")</f>
        <v/>
      </c>
      <c r="B4003" s="62" t="str">
        <f t="shared" si="404"/>
        <v/>
      </c>
      <c r="C4003" s="63"/>
      <c r="D4003" s="63"/>
      <c r="E4003" s="63"/>
      <c r="F4003" s="71"/>
      <c r="G4003" s="816"/>
      <c r="H4003" s="71"/>
      <c r="I4003" s="405"/>
      <c r="J4003" s="405"/>
      <c r="K4003" s="398"/>
      <c r="L4003" s="405"/>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ht="15.75" customHeight="1">
      <c r="A4004" s="327" t="str">
        <f>IF(B4004&lt;&gt;"",IF(AND(B4004='IN-TC'!$S$4,OR(TH!N4004="1111",TH!O4004="1111")),TH!D4004,""),"")</f>
        <v/>
      </c>
      <c r="B4004" s="62" t="str">
        <f t="shared" si="404"/>
        <v/>
      </c>
      <c r="C4004" s="63"/>
      <c r="D4004" s="63"/>
      <c r="E4004" s="63"/>
      <c r="F4004" s="71"/>
      <c r="G4004" s="66"/>
      <c r="H4004" s="71"/>
      <c r="I4004" s="405"/>
      <c r="J4004" s="405"/>
      <c r="K4004" s="398"/>
      <c r="L4004" s="405"/>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ht="15.75" customHeight="1">
      <c r="A4005" s="327" t="str">
        <f>IF(B4005&lt;&gt;"",IF(AND(B4005='IN-TC'!$S$4,OR(TH!N4005="1111",TH!O4005="1111")),TH!D4005,""),"")</f>
        <v/>
      </c>
      <c r="B4005" s="62" t="str">
        <f t="shared" si="404"/>
        <v/>
      </c>
      <c r="C4005" s="63"/>
      <c r="D4005" s="63"/>
      <c r="E4005" s="63"/>
      <c r="F4005" s="477"/>
      <c r="G4005" s="66"/>
      <c r="H4005" s="71"/>
      <c r="I4005" s="405"/>
      <c r="J4005" s="405"/>
      <c r="K4005" s="398"/>
      <c r="L4005" s="985"/>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ht="15.75" customHeight="1">
      <c r="A4006" s="327" t="str">
        <f>IF(B4006&lt;&gt;"",IF(AND(B4006='IN-TC'!$S$4,OR(TH!N4006="1111",TH!O4006="1111")),TH!D4006,""),"")</f>
        <v/>
      </c>
      <c r="B4006" s="62" t="str">
        <f t="shared" si="404"/>
        <v/>
      </c>
      <c r="C4006" s="63"/>
      <c r="D4006" s="63"/>
      <c r="E4006" s="63"/>
      <c r="F4006" s="477"/>
      <c r="G4006" s="66"/>
      <c r="H4006" s="71"/>
      <c r="I4006" s="405"/>
      <c r="J4006" s="405"/>
      <c r="K4006" s="398"/>
      <c r="L4006" s="985"/>
      <c r="M4006" s="64"/>
      <c r="N4006" s="65"/>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ht="15.75" customHeight="1">
      <c r="A4007" s="327" t="str">
        <f>IF(B4007&lt;&gt;"",IF(AND(B4007='IN-TC'!$S$4,OR(TH!N4007="1111",TH!O4007="1111")),TH!D4007,""),"")</f>
        <v/>
      </c>
      <c r="B4007" s="62" t="str">
        <f t="shared" si="404"/>
        <v/>
      </c>
      <c r="C4007" s="63"/>
      <c r="D4007" s="63"/>
      <c r="E4007" s="63"/>
      <c r="F4007" s="71"/>
      <c r="G4007" s="66"/>
      <c r="H4007" s="71"/>
      <c r="I4007" s="405"/>
      <c r="J4007" s="405"/>
      <c r="K4007" s="398"/>
      <c r="L4007" s="405"/>
      <c r="M4007" s="64"/>
      <c r="N4007" s="65"/>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ht="15.75" customHeight="1">
      <c r="A4008" s="327" t="str">
        <f>IF(B4008&lt;&gt;"",IF(AND(B4008='IN-TC'!$S$4,OR(TH!N4008="1111",TH!O4008="1111")),TH!D4008,""),"")</f>
        <v/>
      </c>
      <c r="B4008" s="62" t="str">
        <f t="shared" si="404"/>
        <v/>
      </c>
      <c r="C4008" s="63"/>
      <c r="D4008" s="63"/>
      <c r="E4008" s="63"/>
      <c r="F4008" s="71"/>
      <c r="G4008" s="66"/>
      <c r="H4008" s="71"/>
      <c r="I4008" s="405"/>
      <c r="J4008" s="405"/>
      <c r="K4008" s="398"/>
      <c r="L4008" s="405"/>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ht="15.75" customHeight="1">
      <c r="A4009" s="327" t="str">
        <f>IF(B4009&lt;&gt;"",IF(AND(B4009='IN-TC'!$S$4,OR(TH!N4009="1111",TH!O4009="1111")),TH!D4009,""),"")</f>
        <v/>
      </c>
      <c r="B4009" s="62" t="str">
        <f t="shared" si="404"/>
        <v/>
      </c>
      <c r="C4009" s="63"/>
      <c r="D4009" s="63"/>
      <c r="E4009" s="63"/>
      <c r="F4009" s="71"/>
      <c r="G4009" s="66"/>
      <c r="H4009" s="71"/>
      <c r="I4009" s="405"/>
      <c r="J4009" s="405"/>
      <c r="K4009" s="398"/>
      <c r="L4009" s="405"/>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ht="15.75" customHeight="1">
      <c r="A4010" s="327" t="str">
        <f>IF(B4010&lt;&gt;"",IF(AND(B4010='IN-TC'!$S$4,OR(TH!N4010="1111",TH!O4010="1111")),TH!D4010,""),"")</f>
        <v/>
      </c>
      <c r="B4010" s="62" t="str">
        <f t="shared" si="404"/>
        <v/>
      </c>
      <c r="C4010" s="63"/>
      <c r="D4010" s="63"/>
      <c r="E4010" s="63"/>
      <c r="F4010" s="71"/>
      <c r="G4010" s="66"/>
      <c r="H4010" s="71"/>
      <c r="I4010" s="405"/>
      <c r="J4010" s="405"/>
      <c r="K4010" s="398"/>
      <c r="L4010" s="405"/>
      <c r="M4010" s="64"/>
      <c r="N4010" s="65"/>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ht="15.75" customHeight="1">
      <c r="A4011" s="327" t="str">
        <f>IF(B4011&lt;&gt;"",IF(AND(B4011='IN-TC'!$S$4,OR(TH!N4011="1111",TH!O4011="1111")),TH!D4011,""),"")</f>
        <v/>
      </c>
      <c r="B4011" s="62" t="str">
        <f t="shared" si="404"/>
        <v/>
      </c>
      <c r="C4011" s="63"/>
      <c r="D4011" s="63"/>
      <c r="E4011" s="63"/>
      <c r="F4011" s="71"/>
      <c r="G4011" s="66"/>
      <c r="H4011" s="71"/>
      <c r="I4011" s="405"/>
      <c r="J4011" s="405"/>
      <c r="K4011" s="398"/>
      <c r="L4011" s="405"/>
      <c r="M4011" s="64"/>
      <c r="N4011" s="65"/>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ht="15.75" customHeight="1">
      <c r="A4012" s="327" t="str">
        <f>IF(B4012&lt;&gt;"",IF(AND(B4012='IN-TC'!$S$4,OR(TH!N4012="1111",TH!O4012="1111")),TH!D4012,""),"")</f>
        <v/>
      </c>
      <c r="B4012" s="62" t="str">
        <f t="shared" si="404"/>
        <v/>
      </c>
      <c r="C4012" s="63"/>
      <c r="D4012" s="63"/>
      <c r="E4012" s="63"/>
      <c r="F4012" s="71"/>
      <c r="G4012" s="66"/>
      <c r="H4012" s="71"/>
      <c r="I4012" s="405"/>
      <c r="J4012" s="405"/>
      <c r="K4012" s="398"/>
      <c r="L4012" s="405"/>
      <c r="M4012" s="64"/>
      <c r="N4012" s="65"/>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ht="15.75" customHeight="1">
      <c r="A4013" s="327" t="str">
        <f>IF(B4013&lt;&gt;"",IF(AND(B4013='IN-TC'!$S$4,OR(TH!N4013="1111",TH!O4013="1111")),TH!D4013,""),"")</f>
        <v/>
      </c>
      <c r="B4013" s="62" t="str">
        <f t="shared" si="404"/>
        <v/>
      </c>
      <c r="C4013" s="63"/>
      <c r="D4013" s="63"/>
      <c r="E4013" s="63"/>
      <c r="F4013" s="71"/>
      <c r="G4013" s="66"/>
      <c r="H4013" s="71"/>
      <c r="I4013" s="405"/>
      <c r="J4013" s="405"/>
      <c r="K4013" s="398"/>
      <c r="L4013" s="405"/>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ht="15.75" customHeight="1">
      <c r="A4014" s="327" t="str">
        <f>IF(B4014&lt;&gt;"",IF(AND(B4014='IN-TC'!$S$4,OR(TH!N4014="1111",TH!O4014="1111")),TH!D4014,""),"")</f>
        <v/>
      </c>
      <c r="B4014" s="62" t="str">
        <f t="shared" si="404"/>
        <v/>
      </c>
      <c r="C4014" s="63"/>
      <c r="D4014" s="63"/>
      <c r="E4014" s="63"/>
      <c r="F4014" s="71"/>
      <c r="G4014" s="66"/>
      <c r="H4014" s="330"/>
      <c r="I4014" s="405"/>
      <c r="J4014" s="405"/>
      <c r="K4014" s="398"/>
      <c r="L4014" s="405"/>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ht="15.75" customHeight="1">
      <c r="A4015" s="327" t="str">
        <f>IF(B4015&lt;&gt;"",IF(AND(B4015='IN-TC'!$S$4,OR(TH!N4015="1111",TH!O4015="1111")),TH!D4015,""),"")</f>
        <v/>
      </c>
      <c r="B4015" s="62" t="str">
        <f t="shared" si="404"/>
        <v/>
      </c>
      <c r="C4015" s="63"/>
      <c r="D4015" s="63"/>
      <c r="E4015" s="63"/>
      <c r="F4015" s="71"/>
      <c r="G4015" s="66"/>
      <c r="H4015" s="71"/>
      <c r="I4015" s="405"/>
      <c r="J4015" s="405"/>
      <c r="K4015" s="398"/>
      <c r="L4015" s="405"/>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ht="15.75" customHeight="1">
      <c r="A4016" s="327" t="str">
        <f>IF(B4016&lt;&gt;"",IF(AND(B4016='IN-TC'!$S$4,OR(TH!N4016="1111",TH!O4016="1111")),TH!D4016,""),"")</f>
        <v/>
      </c>
      <c r="B4016" s="62" t="str">
        <f t="shared" si="404"/>
        <v/>
      </c>
      <c r="C4016" s="63"/>
      <c r="D4016" s="63"/>
      <c r="E4016" s="63"/>
      <c r="F4016" s="71"/>
      <c r="G4016" s="66"/>
      <c r="H4016" s="71"/>
      <c r="I4016" s="405"/>
      <c r="J4016" s="405"/>
      <c r="K4016" s="398"/>
      <c r="L4016" s="405"/>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ht="15.75" customHeight="1">
      <c r="A4017" s="327" t="str">
        <f>IF(B4017&lt;&gt;"",IF(AND(B4017='IN-TC'!$S$4,OR(TH!N4017="1111",TH!O4017="1111")),TH!D4017,""),"")</f>
        <v/>
      </c>
      <c r="B4017" s="62" t="str">
        <f t="shared" si="404"/>
        <v/>
      </c>
      <c r="C4017" s="63"/>
      <c r="D4017" s="63"/>
      <c r="E4017" s="63"/>
      <c r="F4017" s="71"/>
      <c r="G4017" s="66"/>
      <c r="H4017" s="71"/>
      <c r="I4017" s="405"/>
      <c r="J4017" s="405"/>
      <c r="K4017" s="398"/>
      <c r="L4017" s="405"/>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ht="15.75" customHeight="1">
      <c r="A4018" s="327" t="str">
        <f>IF(B4018&lt;&gt;"",IF(AND(B4018='IN-TC'!$S$4,OR(TH!N4018="1111",TH!O4018="1111")),TH!D4018,""),"")</f>
        <v/>
      </c>
      <c r="B4018" s="62" t="str">
        <f t="shared" si="404"/>
        <v/>
      </c>
      <c r="C4018" s="63"/>
      <c r="D4018" s="63"/>
      <c r="E4018" s="63"/>
      <c r="F4018" s="71"/>
      <c r="G4018" s="66"/>
      <c r="H4018" s="71"/>
      <c r="I4018" s="405"/>
      <c r="J4018" s="405"/>
      <c r="K4018" s="398"/>
      <c r="L4018" s="405"/>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ht="15.75" customHeight="1">
      <c r="A4019" s="327" t="str">
        <f>IF(B4019&lt;&gt;"",IF(AND(B4019='IN-TC'!$S$4,OR(TH!N4019="1111",TH!O4019="1111")),TH!D4019,""),"")</f>
        <v/>
      </c>
      <c r="B4019" s="62" t="str">
        <f t="shared" si="404"/>
        <v/>
      </c>
      <c r="C4019" s="63"/>
      <c r="D4019" s="63"/>
      <c r="E4019" s="63"/>
      <c r="F4019" s="71"/>
      <c r="G4019" s="66"/>
      <c r="H4019" s="71"/>
      <c r="I4019" s="405"/>
      <c r="J4019" s="405"/>
      <c r="K4019" s="398"/>
      <c r="L4019" s="405"/>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ht="15.75" customHeight="1">
      <c r="A4020" s="327" t="str">
        <f>IF(B4020&lt;&gt;"",IF(AND(B4020='IN-TC'!$S$4,OR(TH!N4020="1111",TH!O4020="1111")),TH!D4020,""),"")</f>
        <v/>
      </c>
      <c r="B4020" s="62" t="str">
        <f t="shared" si="404"/>
        <v/>
      </c>
      <c r="C4020" s="63"/>
      <c r="D4020" s="63"/>
      <c r="E4020" s="63"/>
      <c r="F4020" s="71"/>
      <c r="G4020" s="66"/>
      <c r="H4020" s="71"/>
      <c r="I4020" s="405"/>
      <c r="J4020" s="405"/>
      <c r="K4020" s="398"/>
      <c r="L4020" s="405"/>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ht="15.75" customHeight="1">
      <c r="A4021" s="327" t="str">
        <f>IF(B4021&lt;&gt;"",IF(AND(B4021='IN-TC'!$S$4,OR(TH!N4021="1111",TH!O4021="1111")),TH!D4021,""),"")</f>
        <v/>
      </c>
      <c r="B4021" s="62" t="str">
        <f t="shared" si="404"/>
        <v/>
      </c>
      <c r="C4021" s="63"/>
      <c r="D4021" s="63"/>
      <c r="E4021" s="63"/>
      <c r="F4021" s="71"/>
      <c r="G4021" s="66"/>
      <c r="H4021" s="71"/>
      <c r="I4021" s="405"/>
      <c r="J4021" s="405"/>
      <c r="K4021" s="398"/>
      <c r="L4021" s="405"/>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ht="15.75" customHeight="1">
      <c r="A4022" s="327" t="str">
        <f>IF(B4022&lt;&gt;"",IF(AND(B4022='IN-TC'!$S$4,OR(TH!N4022="1111",TH!O4022="1111")),TH!D4022,""),"")</f>
        <v/>
      </c>
      <c r="B4022" s="62" t="str">
        <f t="shared" si="404"/>
        <v/>
      </c>
      <c r="C4022" s="63"/>
      <c r="D4022" s="63"/>
      <c r="E4022" s="63"/>
      <c r="F4022" s="71"/>
      <c r="G4022" s="66"/>
      <c r="H4022" s="71"/>
      <c r="I4022" s="405"/>
      <c r="J4022" s="405"/>
      <c r="K4022" s="398"/>
      <c r="L4022" s="405"/>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ht="15.75" customHeight="1">
      <c r="A4023" s="327" t="str">
        <f>IF(B4023&lt;&gt;"",IF(AND(B4023='IN-TC'!$S$4,OR(TH!N4023="1111",TH!O4023="1111")),TH!D4023,""),"")</f>
        <v/>
      </c>
      <c r="B4023" s="62" t="str">
        <f t="shared" si="404"/>
        <v/>
      </c>
      <c r="C4023" s="63"/>
      <c r="D4023" s="63"/>
      <c r="E4023" s="63"/>
      <c r="F4023" s="71"/>
      <c r="G4023" s="66"/>
      <c r="H4023" s="71"/>
      <c r="I4023" s="405"/>
      <c r="J4023" s="405"/>
      <c r="K4023" s="398"/>
      <c r="L4023" s="405"/>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ht="15.75" customHeight="1">
      <c r="A4024" s="327" t="str">
        <f>IF(B4024&lt;&gt;"",IF(AND(B4024='IN-TC'!$S$4,OR(TH!N4024="1111",TH!O4024="1111")),TH!D4024,""),"")</f>
        <v/>
      </c>
      <c r="B4024" s="62" t="str">
        <f t="shared" si="404"/>
        <v/>
      </c>
      <c r="C4024" s="63"/>
      <c r="D4024" s="63"/>
      <c r="E4024" s="63"/>
      <c r="F4024" s="71"/>
      <c r="G4024" s="66"/>
      <c r="H4024" s="71"/>
      <c r="I4024" s="405"/>
      <c r="J4024" s="405"/>
      <c r="K4024" s="398"/>
      <c r="L4024" s="405"/>
      <c r="M4024" s="64"/>
      <c r="N4024" s="65"/>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ht="15.75" customHeight="1">
      <c r="A4025" s="327" t="str">
        <f>IF(B4025&lt;&gt;"",IF(AND(B4025='IN-TC'!$S$4,OR(TH!N4025="1111",TH!O4025="1111")),TH!D4025,""),"")</f>
        <v/>
      </c>
      <c r="B4025" s="62" t="str">
        <f t="shared" si="404"/>
        <v/>
      </c>
      <c r="C4025" s="63"/>
      <c r="D4025" s="63"/>
      <c r="E4025" s="63"/>
      <c r="F4025" s="71"/>
      <c r="G4025" s="66"/>
      <c r="H4025" s="71"/>
      <c r="I4025" s="405"/>
      <c r="J4025" s="405"/>
      <c r="K4025" s="398"/>
      <c r="L4025" s="405"/>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ht="15.75" customHeight="1">
      <c r="A4026" s="327" t="str">
        <f>IF(B4026&lt;&gt;"",IF(AND(B4026='IN-TC'!$S$4,OR(TH!N4026="1111",TH!O4026="1111")),TH!D4026,""),"")</f>
        <v/>
      </c>
      <c r="B4026" s="62" t="str">
        <f t="shared" si="404"/>
        <v/>
      </c>
      <c r="C4026" s="63"/>
      <c r="D4026" s="63"/>
      <c r="E4026" s="63"/>
      <c r="F4026" s="71"/>
      <c r="G4026" s="66"/>
      <c r="H4026" s="71"/>
      <c r="I4026" s="405"/>
      <c r="J4026" s="405"/>
      <c r="K4026" s="398"/>
      <c r="L4026" s="405"/>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ht="15.75" customHeight="1">
      <c r="A4027" s="327" t="str">
        <f>IF(B4027&lt;&gt;"",IF(AND(B4027='IN-TC'!$S$4,OR(TH!N4027="1111",TH!O4027="1111")),TH!D4027,""),"")</f>
        <v/>
      </c>
      <c r="B4027" s="62" t="str">
        <f t="shared" si="404"/>
        <v/>
      </c>
      <c r="C4027" s="63"/>
      <c r="D4027" s="63"/>
      <c r="E4027" s="63"/>
      <c r="F4027" s="71"/>
      <c r="G4027" s="66"/>
      <c r="H4027" s="71"/>
      <c r="I4027" s="405"/>
      <c r="J4027" s="405"/>
      <c r="K4027" s="398"/>
      <c r="L4027" s="405"/>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ht="15.75" customHeight="1">
      <c r="A4028" s="327" t="str">
        <f>IF(B4028&lt;&gt;"",IF(AND(B4028='IN-TC'!$S$4,OR(TH!N4028="1111",TH!O4028="1111")),TH!D4028,""),"")</f>
        <v/>
      </c>
      <c r="B4028" s="62" t="str">
        <f t="shared" si="404"/>
        <v/>
      </c>
      <c r="C4028" s="63"/>
      <c r="D4028" s="63"/>
      <c r="E4028" s="63"/>
      <c r="F4028" s="71"/>
      <c r="G4028" s="66"/>
      <c r="H4028" s="71"/>
      <c r="I4028" s="405"/>
      <c r="J4028" s="405"/>
      <c r="K4028" s="398"/>
      <c r="L4028" s="405"/>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ht="15.75" customHeight="1">
      <c r="A4029" s="327" t="str">
        <f>IF(B4029&lt;&gt;"",IF(AND(B4029='IN-TC'!$S$4,OR(TH!N4029="1111",TH!O4029="1111")),TH!D4029,""),"")</f>
        <v/>
      </c>
      <c r="B4029" s="62" t="str">
        <f t="shared" si="404"/>
        <v/>
      </c>
      <c r="C4029" s="63"/>
      <c r="D4029" s="63"/>
      <c r="E4029" s="63"/>
      <c r="F4029" s="71"/>
      <c r="G4029" s="66"/>
      <c r="H4029" s="71"/>
      <c r="I4029" s="405"/>
      <c r="J4029" s="405"/>
      <c r="K4029" s="398"/>
      <c r="L4029" s="405"/>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ht="15.75" customHeight="1">
      <c r="A4030" s="327" t="str">
        <f>IF(B4030&lt;&gt;"",IF(AND(B4030='IN-TC'!$S$4,OR(TH!N4030="1111",TH!O4030="1111")),TH!D4030,""),"")</f>
        <v/>
      </c>
      <c r="B4030" s="62" t="str">
        <f t="shared" si="404"/>
        <v/>
      </c>
      <c r="C4030" s="63"/>
      <c r="D4030" s="63"/>
      <c r="E4030" s="63"/>
      <c r="F4030" s="71"/>
      <c r="G4030" s="66"/>
      <c r="H4030" s="71"/>
      <c r="I4030" s="405"/>
      <c r="J4030" s="405"/>
      <c r="K4030" s="398"/>
      <c r="L4030" s="405"/>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ht="15.75" customHeight="1">
      <c r="A4031" s="327" t="str">
        <f>IF(B4031&lt;&gt;"",IF(AND(B4031='IN-TC'!$S$4,OR(TH!N4031="1111",TH!O4031="1111")),TH!D4031,""),"")</f>
        <v/>
      </c>
      <c r="B4031" s="62" t="str">
        <f t="shared" si="404"/>
        <v/>
      </c>
      <c r="C4031" s="63"/>
      <c r="D4031" s="63"/>
      <c r="E4031" s="63"/>
      <c r="F4031" s="71"/>
      <c r="G4031" s="66"/>
      <c r="H4031" s="71"/>
      <c r="I4031" s="405"/>
      <c r="J4031" s="405"/>
      <c r="K4031" s="398"/>
      <c r="L4031" s="405"/>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ht="15.75" customHeight="1">
      <c r="A4032" s="327" t="str">
        <f>IF(B4032&lt;&gt;"",IF(AND(B4032='IN-TC'!$S$4,OR(TH!N4032="1111",TH!O4032="1111")),TH!D4032,""),"")</f>
        <v/>
      </c>
      <c r="B4032" s="62" t="str">
        <f t="shared" si="404"/>
        <v/>
      </c>
      <c r="C4032" s="63"/>
      <c r="D4032" s="63"/>
      <c r="E4032" s="63"/>
      <c r="F4032" s="71"/>
      <c r="G4032" s="66"/>
      <c r="H4032" s="71"/>
      <c r="I4032" s="405"/>
      <c r="J4032" s="405"/>
      <c r="K4032" s="398"/>
      <c r="L4032" s="405"/>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ht="15.75" customHeight="1">
      <c r="A4033" s="327" t="str">
        <f>IF(B4033&lt;&gt;"",IF(AND(B4033='IN-TC'!$S$4,OR(TH!N4033="1111",TH!O4033="1111")),TH!D4033,""),"")</f>
        <v/>
      </c>
      <c r="B4033" s="62" t="str">
        <f t="shared" si="404"/>
        <v/>
      </c>
      <c r="C4033" s="63"/>
      <c r="D4033" s="63"/>
      <c r="E4033" s="63"/>
      <c r="F4033" s="71"/>
      <c r="G4033" s="66"/>
      <c r="H4033" s="71"/>
      <c r="I4033" s="405"/>
      <c r="J4033" s="405"/>
      <c r="K4033" s="398"/>
      <c r="L4033" s="405"/>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ht="15.75" customHeight="1">
      <c r="A4034" s="327" t="str">
        <f>IF(B4034&lt;&gt;"",IF(AND(B4034='IN-TC'!$S$4,OR(TH!N4034="1111",TH!O4034="1111")),TH!D4034,""),"")</f>
        <v/>
      </c>
      <c r="B4034" s="62" t="str">
        <f t="shared" si="404"/>
        <v/>
      </c>
      <c r="C4034" s="63"/>
      <c r="D4034" s="63"/>
      <c r="E4034" s="63"/>
      <c r="F4034" s="71"/>
      <c r="G4034" s="66"/>
      <c r="H4034" s="71"/>
      <c r="I4034" s="405"/>
      <c r="J4034" s="405"/>
      <c r="K4034" s="398"/>
      <c r="L4034" s="405"/>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ht="15.75" customHeight="1">
      <c r="A4035" s="327" t="str">
        <f>IF(B4035&lt;&gt;"",IF(AND(B4035='IN-TC'!$S$4,OR(TH!N4035="1111",TH!O4035="1111")),TH!D4035,""),"")</f>
        <v/>
      </c>
      <c r="B4035" s="62" t="str">
        <f t="shared" si="404"/>
        <v/>
      </c>
      <c r="C4035" s="63"/>
      <c r="D4035" s="63"/>
      <c r="E4035" s="63"/>
      <c r="F4035" s="71"/>
      <c r="G4035" s="66"/>
      <c r="H4035" s="71"/>
      <c r="I4035" s="405"/>
      <c r="J4035" s="405"/>
      <c r="K4035" s="398"/>
      <c r="L4035" s="405"/>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ht="15.75" customHeight="1">
      <c r="A4036" s="327" t="str">
        <f>IF(B4036&lt;&gt;"",IF(AND(B4036='IN-TC'!$S$4,OR(TH!N4036="1111",TH!O4036="1111")),TH!D4036,""),"")</f>
        <v/>
      </c>
      <c r="B4036" s="62" t="str">
        <f t="shared" si="404"/>
        <v/>
      </c>
      <c r="C4036" s="63"/>
      <c r="D4036" s="63"/>
      <c r="E4036" s="63"/>
      <c r="F4036" s="71"/>
      <c r="G4036" s="66"/>
      <c r="H4036" s="71"/>
      <c r="I4036" s="405"/>
      <c r="J4036" s="405"/>
      <c r="K4036" s="398"/>
      <c r="L4036" s="405"/>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ht="15.75" customHeight="1">
      <c r="A4037" s="327" t="str">
        <f>IF(B4037&lt;&gt;"",IF(AND(B4037='IN-TC'!$S$4,OR(TH!N4037="1111",TH!O4037="1111")),TH!D4037,""),"")</f>
        <v/>
      </c>
      <c r="B4037" s="62" t="str">
        <f t="shared" si="404"/>
        <v/>
      </c>
      <c r="C4037" s="63"/>
      <c r="D4037" s="63"/>
      <c r="E4037" s="63"/>
      <c r="F4037" s="71"/>
      <c r="G4037" s="66"/>
      <c r="H4037" s="71"/>
      <c r="I4037" s="405"/>
      <c r="J4037" s="405"/>
      <c r="K4037" s="398"/>
      <c r="L4037" s="405"/>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ht="15.75" customHeight="1">
      <c r="A4038" s="327" t="str">
        <f>IF(B4038&lt;&gt;"",IF(AND(B4038='IN-TC'!$S$4,OR(TH!N4038="1111",TH!O4038="1111")),TH!D4038,""),"")</f>
        <v/>
      </c>
      <c r="B4038" s="62" t="str">
        <f t="shared" si="404"/>
        <v/>
      </c>
      <c r="C4038" s="63"/>
      <c r="D4038" s="63"/>
      <c r="E4038" s="63"/>
      <c r="F4038" s="71"/>
      <c r="G4038" s="66"/>
      <c r="H4038" s="71"/>
      <c r="I4038" s="405"/>
      <c r="J4038" s="405"/>
      <c r="K4038" s="398"/>
      <c r="L4038" s="405"/>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ht="15.75" customHeight="1">
      <c r="A4039" s="327" t="str">
        <f>IF(B4039&lt;&gt;"",IF(AND(B4039='IN-TC'!$S$4,OR(TH!N4039="1111",TH!O4039="1111")),TH!D4039,""),"")</f>
        <v/>
      </c>
      <c r="B4039" s="62" t="str">
        <f t="shared" si="404"/>
        <v/>
      </c>
      <c r="C4039" s="63"/>
      <c r="D4039" s="63"/>
      <c r="E4039" s="63"/>
      <c r="F4039" s="71"/>
      <c r="G4039" s="66"/>
      <c r="H4039" s="71"/>
      <c r="I4039" s="405"/>
      <c r="J4039" s="405"/>
      <c r="K4039" s="398"/>
      <c r="L4039" s="405"/>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ht="15.75" customHeight="1">
      <c r="A4040" s="327" t="str">
        <f>IF(B4040&lt;&gt;"",IF(AND(B4040='IN-TC'!$S$4,OR(TH!N4040="1111",TH!O4040="1111")),TH!D4040,""),"")</f>
        <v/>
      </c>
      <c r="B4040" s="62" t="str">
        <f t="shared" si="404"/>
        <v/>
      </c>
      <c r="C4040" s="63"/>
      <c r="D4040" s="63"/>
      <c r="E4040" s="63"/>
      <c r="F4040" s="71"/>
      <c r="G4040" s="66"/>
      <c r="H4040" s="71"/>
      <c r="I4040" s="405"/>
      <c r="J4040" s="405"/>
      <c r="K4040" s="398"/>
      <c r="L4040" s="405"/>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ht="15.75" customHeight="1">
      <c r="A4041" s="327" t="str">
        <f>IF(B4041&lt;&gt;"",IF(AND(B4041='IN-TC'!$S$4,OR(TH!N4041="1111",TH!O4041="1111")),TH!D4041,""),"")</f>
        <v/>
      </c>
      <c r="B4041" s="62" t="str">
        <f t="shared" si="404"/>
        <v/>
      </c>
      <c r="C4041" s="63"/>
      <c r="D4041" s="63"/>
      <c r="E4041" s="63"/>
      <c r="F4041" s="71"/>
      <c r="G4041" s="66"/>
      <c r="H4041" s="71"/>
      <c r="I4041" s="405"/>
      <c r="J4041" s="405"/>
      <c r="K4041" s="398"/>
      <c r="L4041" s="405"/>
      <c r="M4041" s="64"/>
      <c r="N4041" s="65"/>
      <c r="O4041" s="65"/>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ht="15.75" customHeight="1">
      <c r="A4042" s="327" t="str">
        <f>IF(B4042&lt;&gt;"",IF(AND(B4042='IN-TC'!$S$4,OR(TH!N4042="1111",TH!O4042="1111")),TH!D4042,""),"")</f>
        <v/>
      </c>
      <c r="B4042" s="62" t="str">
        <f t="shared" si="404"/>
        <v/>
      </c>
      <c r="C4042" s="63"/>
      <c r="D4042" s="63"/>
      <c r="E4042" s="63"/>
      <c r="F4042" s="71"/>
      <c r="G4042" s="66"/>
      <c r="H4042" s="71"/>
      <c r="I4042" s="405"/>
      <c r="J4042" s="405"/>
      <c r="K4042" s="398"/>
      <c r="L4042" s="405"/>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ht="15.75" customHeight="1">
      <c r="A4043" s="327" t="str">
        <f>IF(B4043&lt;&gt;"",IF(AND(B4043='IN-TC'!$S$4,OR(TH!N4043="1111",TH!O4043="1111")),TH!D4043,""),"")</f>
        <v/>
      </c>
      <c r="B4043" s="62" t="str">
        <f t="shared" si="404"/>
        <v/>
      </c>
      <c r="C4043" s="63"/>
      <c r="D4043" s="63"/>
      <c r="E4043" s="63"/>
      <c r="F4043" s="71"/>
      <c r="G4043" s="66"/>
      <c r="H4043" s="71"/>
      <c r="I4043" s="405"/>
      <c r="J4043" s="405"/>
      <c r="K4043" s="398"/>
      <c r="L4043" s="405"/>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ht="15.75" customHeight="1">
      <c r="A4044" s="327" t="str">
        <f>IF(B4044&lt;&gt;"",IF(AND(B4044='IN-TC'!$S$4,OR(TH!N4044="1111",TH!O4044="1111")),TH!D4044,""),"")</f>
        <v/>
      </c>
      <c r="B4044" s="62" t="str">
        <f t="shared" si="404"/>
        <v/>
      </c>
      <c r="C4044" s="63"/>
      <c r="D4044" s="63"/>
      <c r="E4044" s="63"/>
      <c r="F4044" s="71"/>
      <c r="G4044" s="66"/>
      <c r="H4044" s="71"/>
      <c r="I4044" s="405"/>
      <c r="J4044" s="405"/>
      <c r="K4044" s="398"/>
      <c r="L4044" s="405"/>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ht="15.75" customHeight="1">
      <c r="A4045" s="327" t="str">
        <f>IF(B4045&lt;&gt;"",IF(AND(B4045='IN-TC'!$S$4,OR(TH!N4045="1111",TH!O4045="1111")),TH!D4045,""),"")</f>
        <v/>
      </c>
      <c r="B4045" s="62" t="str">
        <f t="shared" si="404"/>
        <v/>
      </c>
      <c r="C4045" s="63"/>
      <c r="D4045" s="63"/>
      <c r="E4045" s="63"/>
      <c r="F4045" s="71"/>
      <c r="G4045" s="66"/>
      <c r="H4045" s="71"/>
      <c r="I4045" s="405"/>
      <c r="J4045" s="405"/>
      <c r="K4045" s="398"/>
      <c r="L4045" s="405"/>
      <c r="M4045" s="64"/>
      <c r="N4045" s="65"/>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ht="15.75" customHeight="1">
      <c r="A4046" s="327" t="str">
        <f>IF(B4046&lt;&gt;"",IF(AND(B4046='IN-TC'!$S$4,OR(TH!N4046="1111",TH!O4046="1111")),TH!D4046,""),"")</f>
        <v/>
      </c>
      <c r="B4046" s="62" t="str">
        <f t="shared" si="404"/>
        <v/>
      </c>
      <c r="C4046" s="63"/>
      <c r="D4046" s="63"/>
      <c r="E4046" s="63"/>
      <c r="F4046" s="71"/>
      <c r="G4046" s="66"/>
      <c r="H4046" s="71"/>
      <c r="I4046" s="405"/>
      <c r="J4046" s="405"/>
      <c r="K4046" s="398"/>
      <c r="L4046" s="405"/>
      <c r="M4046" s="64"/>
      <c r="N4046" s="65"/>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ht="15.75" customHeight="1">
      <c r="A4047" s="327" t="str">
        <f>IF(B4047&lt;&gt;"",IF(AND(B4047='IN-TC'!$S$4,OR(TH!N4047="1111",TH!O4047="1111")),TH!D4047,""),"")</f>
        <v/>
      </c>
      <c r="B4047" s="62" t="str">
        <f t="shared" si="404"/>
        <v/>
      </c>
      <c r="C4047" s="63"/>
      <c r="D4047" s="63"/>
      <c r="E4047" s="63"/>
      <c r="F4047" s="71"/>
      <c r="G4047" s="66"/>
      <c r="H4047" s="71"/>
      <c r="I4047" s="405"/>
      <c r="J4047" s="405"/>
      <c r="K4047" s="398"/>
      <c r="L4047" s="405"/>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ht="15.75" customHeight="1">
      <c r="A4048" s="327" t="str">
        <f>IF(B4048&lt;&gt;"",IF(AND(B4048='IN-TC'!$S$4,OR(TH!N4048="1111",TH!O4048="1111")),TH!D4048,""),"")</f>
        <v/>
      </c>
      <c r="B4048" s="62" t="str">
        <f t="shared" si="404"/>
        <v/>
      </c>
      <c r="C4048" s="63"/>
      <c r="D4048" s="63"/>
      <c r="E4048" s="63"/>
      <c r="F4048" s="71"/>
      <c r="G4048" s="66"/>
      <c r="H4048" s="71"/>
      <c r="I4048" s="405"/>
      <c r="J4048" s="405"/>
      <c r="K4048" s="398"/>
      <c r="L4048" s="405"/>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ht="15.75" customHeight="1">
      <c r="A4049" s="327" t="str">
        <f>IF(B4049&lt;&gt;"",IF(AND(B4049='IN-TC'!$S$4,OR(TH!N4049="1111",TH!O4049="1111")),TH!D4049,""),"")</f>
        <v/>
      </c>
      <c r="B4049" s="62" t="str">
        <f t="shared" si="404"/>
        <v/>
      </c>
      <c r="C4049" s="63"/>
      <c r="D4049" s="63"/>
      <c r="E4049" s="63"/>
      <c r="F4049" s="71"/>
      <c r="G4049" s="66"/>
      <c r="H4049" s="71"/>
      <c r="I4049" s="405"/>
      <c r="J4049" s="405"/>
      <c r="K4049" s="398"/>
      <c r="L4049" s="405"/>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ht="15.75" customHeight="1">
      <c r="A4050" s="327" t="str">
        <f>IF(B4050&lt;&gt;"",IF(AND(B4050='IN-TC'!$S$4,OR(TH!N4050="1111",TH!O4050="1111")),TH!D4050,""),"")</f>
        <v/>
      </c>
      <c r="B4050" s="62" t="str">
        <f t="shared" si="404"/>
        <v/>
      </c>
      <c r="C4050" s="63"/>
      <c r="D4050" s="63"/>
      <c r="E4050" s="63"/>
      <c r="F4050" s="71"/>
      <c r="G4050" s="816"/>
      <c r="H4050" s="71"/>
      <c r="I4050" s="405"/>
      <c r="J4050" s="405"/>
      <c r="K4050" s="398"/>
      <c r="L4050" s="405"/>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ht="15.75" customHeight="1">
      <c r="A4051" s="327" t="str">
        <f>IF(B4051&lt;&gt;"",IF(AND(B4051='IN-TC'!$S$4,OR(TH!N4051="1111",TH!O4051="1111")),TH!D4051,""),"")</f>
        <v/>
      </c>
      <c r="B4051" s="62" t="str">
        <f t="shared" si="404"/>
        <v/>
      </c>
      <c r="C4051" s="63"/>
      <c r="D4051" s="63"/>
      <c r="E4051" s="63"/>
      <c r="F4051" s="71"/>
      <c r="G4051" s="816"/>
      <c r="H4051" s="71"/>
      <c r="I4051" s="405"/>
      <c r="J4051" s="405"/>
      <c r="K4051" s="398"/>
      <c r="L4051" s="405"/>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ht="15.75" customHeight="1">
      <c r="A4052" s="327" t="str">
        <f>IF(B4052&lt;&gt;"",IF(AND(B4052='IN-TC'!$S$4,OR(TH!N4052="1111",TH!O4052="1111")),TH!D4052,""),"")</f>
        <v/>
      </c>
      <c r="B4052" s="62" t="str">
        <f t="shared" si="404"/>
        <v/>
      </c>
      <c r="C4052" s="63"/>
      <c r="D4052" s="63"/>
      <c r="E4052" s="63"/>
      <c r="F4052" s="71"/>
      <c r="G4052" s="816"/>
      <c r="H4052" s="71"/>
      <c r="I4052" s="405"/>
      <c r="J4052" s="405"/>
      <c r="K4052" s="398"/>
      <c r="L4052" s="405"/>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ht="15.75" customHeight="1">
      <c r="A4053" s="327" t="str">
        <f>IF(B4053&lt;&gt;"",IF(AND(B4053='IN-TC'!$S$4,OR(TH!N4053="1111",TH!O4053="1111")),TH!D4053,""),"")</f>
        <v/>
      </c>
      <c r="B4053" s="62" t="str">
        <f t="shared" si="404"/>
        <v/>
      </c>
      <c r="C4053" s="63"/>
      <c r="D4053" s="63"/>
      <c r="E4053" s="63"/>
      <c r="F4053" s="71"/>
      <c r="G4053" s="816"/>
      <c r="H4053" s="71"/>
      <c r="I4053" s="405"/>
      <c r="J4053" s="405"/>
      <c r="K4053" s="398"/>
      <c r="L4053" s="405"/>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ht="15.75" customHeight="1">
      <c r="A4054" s="327" t="str">
        <f>IF(B4054&lt;&gt;"",IF(AND(B4054='IN-TC'!$S$4,OR(TH!N4054="1111",TH!O4054="1111")),TH!D4054,""),"")</f>
        <v/>
      </c>
      <c r="B4054" s="62" t="str">
        <f t="shared" ref="B4054:B4066" si="405">IF(C4054&lt;&gt;"",MONTH(C4054),"")</f>
        <v/>
      </c>
      <c r="C4054" s="63"/>
      <c r="D4054" s="63"/>
      <c r="E4054" s="63"/>
      <c r="F4054" s="71"/>
      <c r="G4054" s="816"/>
      <c r="H4054" s="71"/>
      <c r="I4054" s="405"/>
      <c r="J4054" s="405"/>
      <c r="K4054" s="398"/>
      <c r="L4054" s="405"/>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ht="15.75" customHeight="1">
      <c r="A4055" s="327" t="str">
        <f>IF(B4055&lt;&gt;"",IF(AND(B4055='IN-TC'!$S$4,OR(TH!N4055="1111",TH!O4055="1111")),TH!D4055,""),"")</f>
        <v/>
      </c>
      <c r="B4055" s="62" t="str">
        <f t="shared" si="405"/>
        <v/>
      </c>
      <c r="C4055" s="63"/>
      <c r="D4055" s="63"/>
      <c r="E4055" s="63"/>
      <c r="F4055" s="71"/>
      <c r="G4055" s="816"/>
      <c r="H4055" s="71"/>
      <c r="I4055" s="405"/>
      <c r="J4055" s="405"/>
      <c r="K4055" s="398"/>
      <c r="L4055" s="405"/>
      <c r="M4055" s="64"/>
      <c r="N4055" s="65"/>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ht="15.75" customHeight="1">
      <c r="A4056" s="327" t="str">
        <f>IF(B4056&lt;&gt;"",IF(AND(B4056='IN-TC'!$S$4,OR(TH!N4056="1111",TH!O4056="1111")),TH!D4056,""),"")</f>
        <v/>
      </c>
      <c r="B4056" s="62" t="str">
        <f t="shared" si="405"/>
        <v/>
      </c>
      <c r="C4056" s="63"/>
      <c r="D4056" s="63"/>
      <c r="E4056" s="63"/>
      <c r="F4056" s="71"/>
      <c r="G4056" s="66"/>
      <c r="H4056" s="71"/>
      <c r="I4056" s="405"/>
      <c r="J4056" s="405"/>
      <c r="K4056" s="398"/>
      <c r="L4056" s="405"/>
      <c r="M4056" s="64"/>
      <c r="N4056" s="65"/>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ht="15.75" customHeight="1">
      <c r="A4057" s="327" t="str">
        <f>IF(B4057&lt;&gt;"",IF(AND(B4057='IN-TC'!$S$4,OR(TH!N4057="1111",TH!O4057="1111")),TH!D4057,""),"")</f>
        <v/>
      </c>
      <c r="B4057" s="62" t="str">
        <f t="shared" si="405"/>
        <v/>
      </c>
      <c r="C4057" s="63"/>
      <c r="D4057" s="63"/>
      <c r="E4057" s="63"/>
      <c r="F4057" s="71"/>
      <c r="G4057" s="816"/>
      <c r="H4057" s="71"/>
      <c r="I4057" s="405"/>
      <c r="J4057" s="405"/>
      <c r="K4057" s="398"/>
      <c r="L4057" s="405"/>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ht="15.75" customHeight="1">
      <c r="A4058" s="327" t="str">
        <f>IF(B4058&lt;&gt;"",IF(AND(B4058='IN-TC'!$S$4,OR(TH!N4058="1111",TH!O4058="1111")),TH!D4058,""),"")</f>
        <v/>
      </c>
      <c r="B4058" s="62" t="str">
        <f t="shared" si="405"/>
        <v/>
      </c>
      <c r="C4058" s="63"/>
      <c r="D4058" s="63"/>
      <c r="E4058" s="63"/>
      <c r="F4058" s="477"/>
      <c r="G4058" s="66"/>
      <c r="H4058" s="71"/>
      <c r="I4058" s="405"/>
      <c r="J4058" s="405"/>
      <c r="K4058" s="398"/>
      <c r="L4058" s="985"/>
      <c r="M4058" s="64"/>
      <c r="N4058" s="65"/>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ht="15.75" customHeight="1">
      <c r="A4059" s="327" t="str">
        <f>IF(B4059&lt;&gt;"",IF(AND(B4059='IN-TC'!$S$4,OR(TH!N4059="1111",TH!O4059="1111")),TH!D4059,""),"")</f>
        <v/>
      </c>
      <c r="B4059" s="62" t="str">
        <f t="shared" si="405"/>
        <v/>
      </c>
      <c r="C4059" s="63"/>
      <c r="D4059" s="63"/>
      <c r="E4059" s="63"/>
      <c r="F4059" s="477"/>
      <c r="G4059" s="66"/>
      <c r="H4059" s="71"/>
      <c r="I4059" s="405"/>
      <c r="J4059" s="405"/>
      <c r="K4059" s="398"/>
      <c r="L4059" s="985"/>
      <c r="M4059" s="64"/>
      <c r="N4059" s="65"/>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ht="15.75" customHeight="1">
      <c r="A4060" s="327" t="str">
        <f>IF(B4060&lt;&gt;"",IF(AND(B4060='IN-TC'!$S$4,OR(TH!N4060="1111",TH!O4060="1111")),TH!D4060,""),"")</f>
        <v/>
      </c>
      <c r="B4060" s="62" t="str">
        <f t="shared" si="405"/>
        <v/>
      </c>
      <c r="C4060" s="63"/>
      <c r="D4060" s="63"/>
      <c r="E4060" s="63"/>
      <c r="F4060" s="71"/>
      <c r="G4060" s="816"/>
      <c r="H4060" s="71"/>
      <c r="I4060" s="405"/>
      <c r="J4060" s="405"/>
      <c r="K4060" s="398"/>
      <c r="L4060" s="405"/>
      <c r="M4060" s="64"/>
      <c r="N4060" s="65"/>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ht="15.75" customHeight="1">
      <c r="A4061" s="327" t="str">
        <f>IF(B4061&lt;&gt;"",IF(AND(B4061='IN-TC'!$S$4,OR(TH!N4061="1111",TH!O4061="1111")),TH!D4061,""),"")</f>
        <v/>
      </c>
      <c r="B4061" s="62" t="str">
        <f t="shared" si="405"/>
        <v/>
      </c>
      <c r="C4061" s="63"/>
      <c r="D4061" s="63"/>
      <c r="E4061" s="63"/>
      <c r="F4061" s="71"/>
      <c r="G4061" s="816"/>
      <c r="H4061" s="71"/>
      <c r="I4061" s="405"/>
      <c r="J4061" s="405"/>
      <c r="K4061" s="398"/>
      <c r="L4061" s="405"/>
      <c r="M4061" s="64"/>
      <c r="N4061" s="65"/>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ht="15.75" customHeight="1">
      <c r="A4062" s="327" t="str">
        <f>IF(B4062&lt;&gt;"",IF(AND(B4062='IN-TC'!$S$4,OR(TH!N4062="1111",TH!O4062="1111")),TH!D4062,""),"")</f>
        <v/>
      </c>
      <c r="B4062" s="62" t="str">
        <f t="shared" si="405"/>
        <v/>
      </c>
      <c r="C4062" s="63"/>
      <c r="D4062" s="63"/>
      <c r="E4062" s="63"/>
      <c r="F4062" s="71"/>
      <c r="G4062" s="66"/>
      <c r="H4062" s="71"/>
      <c r="I4062" s="405"/>
      <c r="J4062" s="405"/>
      <c r="K4062" s="398"/>
      <c r="L4062" s="405"/>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ht="15.75" customHeight="1">
      <c r="A4063" s="327" t="str">
        <f>IF(B4063&lt;&gt;"",IF(AND(B4063='IN-TC'!$S$4,OR(TH!N4063="1111",TH!O4063="1111")),TH!D4063,""),"")</f>
        <v/>
      </c>
      <c r="B4063" s="62" t="str">
        <f t="shared" si="405"/>
        <v/>
      </c>
      <c r="C4063" s="63"/>
      <c r="D4063" s="63"/>
      <c r="E4063" s="63"/>
      <c r="F4063" s="71"/>
      <c r="G4063" s="816"/>
      <c r="H4063" s="71"/>
      <c r="I4063" s="405"/>
      <c r="J4063" s="405"/>
      <c r="K4063" s="398"/>
      <c r="L4063" s="405"/>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ht="15.75" customHeight="1">
      <c r="A4064" s="327" t="str">
        <f>IF(B4064&lt;&gt;"",IF(AND(B4064='IN-TC'!$S$4,OR(TH!N4064="1111",TH!O4064="1111")),TH!D4064,""),"")</f>
        <v/>
      </c>
      <c r="B4064" s="62" t="str">
        <f t="shared" si="405"/>
        <v/>
      </c>
      <c r="C4064" s="63"/>
      <c r="D4064" s="63"/>
      <c r="E4064" s="63"/>
      <c r="F4064" s="71"/>
      <c r="G4064" s="816"/>
      <c r="H4064" s="71"/>
      <c r="I4064" s="405"/>
      <c r="J4064" s="405"/>
      <c r="K4064" s="398"/>
      <c r="L4064" s="405"/>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ht="15.75" customHeight="1">
      <c r="A4065" s="327" t="str">
        <f>IF(B4065&lt;&gt;"",IF(AND(B4065='IN-TC'!$S$4,OR(TH!N4065="1111",TH!O4065="1111")),TH!D4065,""),"")</f>
        <v/>
      </c>
      <c r="B4065" s="62" t="str">
        <f t="shared" si="405"/>
        <v/>
      </c>
      <c r="C4065" s="63"/>
      <c r="D4065" s="63"/>
      <c r="E4065" s="63"/>
      <c r="F4065" s="71"/>
      <c r="G4065" s="816"/>
      <c r="H4065" s="71"/>
      <c r="I4065" s="405"/>
      <c r="J4065" s="405"/>
      <c r="K4065" s="398"/>
      <c r="L4065" s="405"/>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ht="15.75" customHeight="1">
      <c r="A4066" s="327" t="str">
        <f>IF(B4066&lt;&gt;"",IF(AND(B4066='IN-TC'!$S$4,OR(TH!N4066="1111",TH!O4066="1111")),TH!D4066,""),"")</f>
        <v/>
      </c>
      <c r="B4066" s="62" t="str">
        <f t="shared" si="405"/>
        <v/>
      </c>
      <c r="C4066" s="63"/>
      <c r="D4066" s="63"/>
      <c r="E4066" s="63"/>
      <c r="F4066" s="71"/>
      <c r="G4066" s="816"/>
      <c r="H4066" s="71"/>
      <c r="I4066" s="405"/>
      <c r="J4066" s="405"/>
      <c r="K4066" s="398"/>
      <c r="L4066" s="405"/>
      <c r="M4066" s="64"/>
      <c r="N4066" s="65"/>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ht="15.75" customHeight="1">
      <c r="A4067" s="980"/>
      <c r="B4067" s="981"/>
      <c r="C4067" s="982"/>
      <c r="D4067" s="982"/>
      <c r="E4067" s="982"/>
      <c r="F4067" s="983"/>
      <c r="G4067" s="983"/>
      <c r="H4067" s="984"/>
      <c r="I4067" s="985"/>
      <c r="J4067" s="985"/>
      <c r="K4067" s="986"/>
      <c r="L4067" s="985"/>
      <c r="M4067" s="987"/>
      <c r="N4067" s="988"/>
      <c r="O4067" s="988"/>
      <c r="P4067" s="989"/>
      <c r="Q4067" s="989"/>
      <c r="R4067" s="989"/>
      <c r="S4067" s="989"/>
      <c r="T4067" s="989"/>
      <c r="U4067" s="989"/>
      <c r="V4067" s="989"/>
      <c r="W4067" s="989"/>
      <c r="X4067" s="989"/>
      <c r="Y4067" s="989"/>
      <c r="Z4067" s="989"/>
      <c r="AA4067" s="989"/>
      <c r="AB4067" s="989"/>
      <c r="AC4067" s="989"/>
      <c r="AD4067" s="989"/>
    </row>
    <row r="4068" spans="1:30" ht="18.75" customHeight="1">
      <c r="A4068" s="328"/>
      <c r="B4068" s="321"/>
      <c r="C4068" s="1032"/>
      <c r="D4068" s="321"/>
      <c r="E4068" s="1032"/>
      <c r="F4068" s="332"/>
      <c r="G4068" s="820"/>
      <c r="H4068" s="333"/>
      <c r="I4068" s="333"/>
      <c r="J4068" s="1011"/>
      <c r="K4068" s="1011">
        <f>SUBTOTAL(9,$K$10:$K$4066)</f>
        <v>7780188.0699999975</v>
      </c>
      <c r="L4068" s="1011"/>
      <c r="M4068" s="1011">
        <f>SUBTOTAL(9,$M$10:$M$4066)</f>
        <v>268529338871.98181</v>
      </c>
      <c r="N4068" s="1011"/>
      <c r="O4068" s="1011"/>
      <c r="P4068" s="1011">
        <f t="shared" ref="P4068:AD4068" si="406">SUBTOTAL(9,$M$10:$M$4066)</f>
        <v>268529338871.98181</v>
      </c>
      <c r="Q4068" s="1011">
        <f t="shared" si="406"/>
        <v>268529338871.98181</v>
      </c>
      <c r="R4068" s="1011">
        <f t="shared" si="406"/>
        <v>268529338871.98181</v>
      </c>
      <c r="S4068" s="1011">
        <f t="shared" si="406"/>
        <v>268529338871.98181</v>
      </c>
      <c r="T4068" s="1011">
        <f t="shared" si="406"/>
        <v>268529338871.98181</v>
      </c>
      <c r="U4068" s="1011">
        <f t="shared" si="406"/>
        <v>268529338871.98181</v>
      </c>
      <c r="V4068" s="1011">
        <f t="shared" si="406"/>
        <v>268529338871.98181</v>
      </c>
      <c r="W4068" s="1011">
        <f t="shared" si="406"/>
        <v>268529338871.98181</v>
      </c>
      <c r="X4068" s="1011">
        <f t="shared" si="406"/>
        <v>268529338871.98181</v>
      </c>
      <c r="Y4068" s="1011">
        <f t="shared" si="406"/>
        <v>268529338871.98181</v>
      </c>
      <c r="Z4068" s="1011">
        <f t="shared" si="406"/>
        <v>268529338871.98181</v>
      </c>
      <c r="AA4068" s="1011">
        <f t="shared" si="406"/>
        <v>268529338871.98181</v>
      </c>
      <c r="AB4068" s="1011">
        <f t="shared" si="406"/>
        <v>268529338871.98181</v>
      </c>
      <c r="AC4068" s="1011">
        <f t="shared" si="406"/>
        <v>268529338871.98181</v>
      </c>
      <c r="AD4068" s="1011">
        <f t="shared" si="406"/>
        <v>268529338871.98181</v>
      </c>
    </row>
  </sheetData>
  <autoFilter ref="A9:AF4066">
    <filterColumn colId="1"/>
    <filterColumn colId="13"/>
    <filterColumn colId="30"/>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42578125" style="246" customWidth="1"/>
    <col min="3" max="3" width="7.42578125" style="246" customWidth="1"/>
    <col min="4" max="4" width="8.42578125" style="246" customWidth="1"/>
    <col min="5" max="5" width="37.28515625" style="246" customWidth="1"/>
    <col min="6" max="6" width="12.7109375" style="246" customWidth="1"/>
    <col min="7" max="8" width="5.85546875" style="247" customWidth="1"/>
    <col min="9" max="9" width="4.85546875" style="246" customWidth="1"/>
    <col min="10" max="10" width="12.5703125" style="246" customWidth="1"/>
    <col min="11" max="11" width="12.28515625" style="246" customWidth="1"/>
    <col min="12" max="12" width="12.85546875" style="246" customWidth="1"/>
    <col min="13" max="13" width="12.7109375" style="246" customWidth="1"/>
    <col min="14" max="14" width="12.85546875" style="246" customWidth="1"/>
    <col min="15" max="15" width="12.7109375" style="246" customWidth="1"/>
    <col min="16" max="16" width="11.85546875" style="246" customWidth="1"/>
    <col min="17" max="17" width="5" style="246" customWidth="1"/>
    <col min="18" max="18" width="11.28515625" style="246" customWidth="1"/>
    <col min="19" max="19" width="11.42578125" style="246" customWidth="1"/>
    <col min="20" max="20" width="13.140625" style="246" customWidth="1"/>
    <col min="21" max="21" width="6" style="246" customWidth="1"/>
    <col min="22" max="22" width="13.5703125" style="246" customWidth="1"/>
    <col min="23" max="23" width="13.42578125" style="246" customWidth="1"/>
    <col min="24" max="24" width="6.5703125" style="246" customWidth="1"/>
    <col min="25" max="25" width="6.42578125" style="246" customWidth="1"/>
    <col min="26" max="26" width="9.5703125" style="246" customWidth="1"/>
    <col min="27" max="27" width="9.42578125" style="246" customWidth="1"/>
    <col min="28" max="29" width="11.28515625" style="246" customWidth="1"/>
    <col min="30" max="30" width="5.28515625" style="246" customWidth="1"/>
    <col min="31" max="31" width="15" style="246" customWidth="1"/>
    <col min="32" max="32" width="5.28515625" style="246" customWidth="1"/>
    <col min="33" max="33" width="15" style="246" customWidth="1"/>
    <col min="34" max="34" width="4.85546875" style="246" customWidth="1"/>
    <col min="35" max="35" width="13.85546875" style="246" customWidth="1"/>
    <col min="36" max="36" width="11.5703125" style="246" customWidth="1"/>
    <col min="37" max="37" width="5.7109375" style="246" customWidth="1"/>
    <col min="38" max="38" width="12.42578125" style="246" customWidth="1"/>
    <col min="39" max="39" width="10.85546875" style="246" customWidth="1"/>
    <col min="40" max="40" width="9.85546875" style="246" customWidth="1"/>
    <col min="41" max="41" width="9.7109375" style="246" customWidth="1"/>
    <col min="42" max="42" width="13.140625" style="246" customWidth="1"/>
    <col min="43" max="43" width="12.5703125" style="246" customWidth="1"/>
    <col min="44" max="45" width="14.28515625" style="246" customWidth="1"/>
    <col min="46" max="46" width="7" style="246" customWidth="1"/>
    <col min="47" max="47" width="7.5703125" style="246" customWidth="1"/>
    <col min="48" max="48" width="4.7109375" style="246" customWidth="1"/>
    <col min="49" max="49" width="9.5703125" style="246" customWidth="1"/>
    <col min="50" max="51" width="12.28515625" style="246" customWidth="1"/>
    <col min="52" max="52" width="15.7109375" style="246" customWidth="1"/>
    <col min="53" max="53" width="15.85546875" style="246" customWidth="1"/>
    <col min="54" max="16384" width="9.140625" style="246"/>
  </cols>
  <sheetData>
    <row r="1" spans="1:105" ht="12.75" customHeight="1">
      <c r="A1" s="242"/>
      <c r="B1" s="243" t="s">
        <v>121</v>
      </c>
      <c r="C1" s="244"/>
      <c r="D1" s="244"/>
      <c r="E1" s="245"/>
      <c r="I1" s="244"/>
      <c r="M1" s="1256" t="str">
        <f>'SC-I'!M1:S1</f>
        <v>Mẫu số S01-DN</v>
      </c>
      <c r="N1" s="1256"/>
      <c r="O1" s="1256"/>
      <c r="P1" s="1256"/>
      <c r="Q1" s="1256"/>
      <c r="R1" s="1256"/>
      <c r="S1" s="1256"/>
      <c r="X1" s="244"/>
      <c r="Y1" s="244"/>
      <c r="Z1" s="244"/>
      <c r="AA1" s="244"/>
      <c r="AB1" s="245"/>
      <c r="AC1" s="245"/>
      <c r="AD1" s="245"/>
      <c r="AE1" s="245"/>
      <c r="AF1" s="245"/>
      <c r="AG1" s="245"/>
      <c r="AH1" s="245"/>
      <c r="AI1" s="245"/>
      <c r="AJ1" s="245"/>
      <c r="AK1" s="245"/>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M2" s="1257" t="str">
        <f>'SC-I'!M2:S3</f>
        <v>(Ban hành theo Thông tư số 200/2014/TT-BTC  Ngày 22/12/2014 của Bộ Tài chính)</v>
      </c>
      <c r="N2" s="1257"/>
      <c r="O2" s="1257"/>
      <c r="P2" s="1257"/>
      <c r="Q2" s="1257"/>
      <c r="R2" s="1257"/>
      <c r="S2" s="1257"/>
      <c r="X2" s="248"/>
      <c r="Y2" s="248"/>
      <c r="Z2" s="248"/>
      <c r="AA2" s="248"/>
      <c r="AB2" s="249"/>
      <c r="AC2" s="249"/>
      <c r="AD2" s="249"/>
      <c r="AE2" s="249"/>
      <c r="AF2" s="249"/>
      <c r="AG2" s="249"/>
      <c r="AH2" s="249"/>
      <c r="AI2" s="249"/>
      <c r="AJ2" s="249"/>
      <c r="AK2" s="249"/>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M3" s="1257"/>
      <c r="N3" s="1257"/>
      <c r="O3" s="1257"/>
      <c r="P3" s="1257"/>
      <c r="Q3" s="1257"/>
      <c r="R3" s="1257"/>
      <c r="S3" s="1257"/>
      <c r="X3" s="248"/>
      <c r="Y3" s="248"/>
      <c r="Z3" s="248"/>
      <c r="AA3" s="248"/>
      <c r="AB3" s="249"/>
      <c r="AC3" s="249"/>
      <c r="AD3" s="249"/>
      <c r="AE3" s="249"/>
      <c r="AF3" s="249"/>
      <c r="AG3" s="249"/>
      <c r="AH3" s="249"/>
      <c r="AI3" s="249"/>
      <c r="AJ3" s="249"/>
      <c r="AK3" s="249"/>
      <c r="AL3" s="248"/>
      <c r="AM3" s="248"/>
      <c r="AN3" s="248"/>
      <c r="AO3" s="248"/>
      <c r="AP3" s="248"/>
      <c r="AQ3" s="248"/>
      <c r="AR3" s="248"/>
      <c r="AS3" s="248"/>
      <c r="AT3" s="248"/>
      <c r="AU3" s="248"/>
      <c r="AV3" s="248"/>
      <c r="AW3" s="248"/>
      <c r="AX3" s="248"/>
      <c r="AY3" s="248"/>
      <c r="AZ3" s="248"/>
      <c r="BA3" s="248"/>
    </row>
    <row r="4" spans="1:105" ht="19.5" customHeight="1">
      <c r="B4" s="1258" t="s">
        <v>112</v>
      </c>
      <c r="C4" s="1258"/>
      <c r="D4" s="1258"/>
      <c r="E4" s="1258"/>
      <c r="F4" s="1258"/>
      <c r="G4" s="1258"/>
      <c r="H4" s="1258"/>
      <c r="I4" s="1258"/>
      <c r="J4" s="1258"/>
      <c r="K4" s="1258"/>
      <c r="L4" s="1258"/>
      <c r="M4" s="1258"/>
      <c r="N4" s="1258"/>
      <c r="O4" s="1258"/>
      <c r="P4" s="1258"/>
      <c r="Q4" s="1258"/>
      <c r="R4" s="1258"/>
      <c r="S4" s="251"/>
      <c r="T4" s="251"/>
      <c r="U4" s="251"/>
      <c r="V4" s="251"/>
      <c r="W4" s="251"/>
      <c r="X4" s="252"/>
      <c r="Y4" s="252"/>
      <c r="Z4" s="253"/>
      <c r="AA4" s="253"/>
      <c r="AB4" s="251"/>
      <c r="AC4" s="251"/>
      <c r="AD4" s="251"/>
      <c r="AE4" s="251"/>
      <c r="AF4" s="251"/>
      <c r="AG4" s="251"/>
      <c r="AH4" s="251"/>
      <c r="AI4" s="251"/>
      <c r="AJ4" s="251"/>
      <c r="AK4" s="251"/>
      <c r="AL4" s="253"/>
      <c r="AM4" s="253"/>
      <c r="AN4" s="253"/>
      <c r="AO4" s="253"/>
      <c r="AP4" s="253"/>
      <c r="AQ4" s="253"/>
      <c r="AR4" s="253"/>
      <c r="AS4" s="253"/>
      <c r="AT4" s="253"/>
      <c r="AU4" s="253"/>
      <c r="AV4" s="253"/>
      <c r="AW4" s="253"/>
      <c r="AX4" s="253"/>
      <c r="AY4" s="253"/>
      <c r="AZ4" s="253"/>
      <c r="BA4" s="253"/>
    </row>
    <row r="5" spans="1:105" ht="15">
      <c r="B5" s="1259" t="s">
        <v>218</v>
      </c>
      <c r="C5" s="1259"/>
      <c r="D5" s="1259"/>
      <c r="E5" s="1259"/>
      <c r="F5" s="1259"/>
      <c r="G5" s="1259"/>
      <c r="H5" s="1259"/>
      <c r="I5" s="1259"/>
      <c r="J5" s="1259"/>
      <c r="K5" s="1259"/>
      <c r="L5" s="1259"/>
      <c r="M5" s="1259"/>
      <c r="N5" s="1259"/>
      <c r="O5" s="1259"/>
      <c r="P5" s="1259"/>
      <c r="Q5" s="1259"/>
      <c r="R5" s="1259"/>
      <c r="S5" s="254"/>
      <c r="T5" s="254"/>
      <c r="U5" s="254"/>
      <c r="V5" s="254"/>
      <c r="W5" s="254"/>
      <c r="X5" s="255"/>
      <c r="Y5" s="255"/>
      <c r="AB5" s="254"/>
      <c r="AC5" s="254"/>
      <c r="AD5" s="254"/>
      <c r="AE5" s="254"/>
      <c r="AF5" s="254"/>
      <c r="AG5" s="254"/>
      <c r="AH5" s="254"/>
      <c r="AI5" s="254"/>
      <c r="AJ5" s="254"/>
      <c r="AK5" s="254"/>
    </row>
    <row r="6" spans="1:105">
      <c r="P6" s="246" t="s">
        <v>148</v>
      </c>
    </row>
    <row r="7" spans="1:105" ht="13.5" customHeight="1">
      <c r="A7" s="1260" t="s">
        <v>37</v>
      </c>
      <c r="B7" s="1254" t="s">
        <v>22</v>
      </c>
      <c r="C7" s="1262" t="s">
        <v>1</v>
      </c>
      <c r="D7" s="1263"/>
      <c r="E7" s="1254" t="s">
        <v>0</v>
      </c>
      <c r="F7" s="1254" t="s">
        <v>113</v>
      </c>
      <c r="G7" s="1264" t="s">
        <v>114</v>
      </c>
      <c r="H7" s="1264"/>
      <c r="I7" s="1255" t="s">
        <v>37</v>
      </c>
      <c r="J7" s="1254" t="s">
        <v>191</v>
      </c>
      <c r="K7" s="1254"/>
      <c r="L7" s="1254" t="s">
        <v>192</v>
      </c>
      <c r="M7" s="1254"/>
      <c r="N7" s="1254" t="s">
        <v>266</v>
      </c>
      <c r="O7" s="1254"/>
      <c r="P7" s="1254" t="s">
        <v>652</v>
      </c>
      <c r="Q7" s="1254"/>
      <c r="R7" s="1254" t="s">
        <v>193</v>
      </c>
      <c r="S7" s="1254"/>
      <c r="T7" s="1254" t="s">
        <v>194</v>
      </c>
      <c r="U7" s="1254"/>
      <c r="V7" s="1254" t="s">
        <v>653</v>
      </c>
      <c r="W7" s="1254"/>
      <c r="X7" s="1254" t="s">
        <v>654</v>
      </c>
      <c r="Y7" s="1254"/>
      <c r="Z7" s="1254" t="s">
        <v>655</v>
      </c>
      <c r="AA7" s="1254"/>
      <c r="AB7" s="1254" t="s">
        <v>656</v>
      </c>
      <c r="AC7" s="1254"/>
      <c r="AD7" s="1254" t="s">
        <v>657</v>
      </c>
      <c r="AE7" s="1254"/>
      <c r="AF7" s="1254" t="s">
        <v>658</v>
      </c>
      <c r="AG7" s="1254"/>
      <c r="AH7" s="1254" t="s">
        <v>659</v>
      </c>
      <c r="AI7" s="1254"/>
      <c r="AJ7" s="1254" t="s">
        <v>660</v>
      </c>
      <c r="AK7" s="1254"/>
      <c r="AL7" s="1254" t="s">
        <v>661</v>
      </c>
      <c r="AM7" s="1254"/>
      <c r="AN7" s="1254" t="s">
        <v>662</v>
      </c>
      <c r="AO7" s="1254"/>
      <c r="AP7" s="1254" t="s">
        <v>663</v>
      </c>
      <c r="AQ7" s="1254"/>
      <c r="AR7" s="1254" t="s">
        <v>664</v>
      </c>
      <c r="AS7" s="1254"/>
      <c r="AT7" s="1254" t="s">
        <v>195</v>
      </c>
      <c r="AU7" s="1254"/>
      <c r="AV7" s="1254" t="s">
        <v>196</v>
      </c>
      <c r="AW7" s="1254"/>
      <c r="AX7" s="1254" t="s">
        <v>665</v>
      </c>
      <c r="AY7" s="1254"/>
      <c r="AZ7" s="1254" t="s">
        <v>666</v>
      </c>
      <c r="BA7" s="1254"/>
      <c r="BB7" s="1254" t="s">
        <v>667</v>
      </c>
      <c r="BC7" s="1254"/>
      <c r="BD7" s="1254" t="s">
        <v>197</v>
      </c>
      <c r="BE7" s="1254"/>
      <c r="BF7" s="1254" t="s">
        <v>668</v>
      </c>
      <c r="BG7" s="1254"/>
      <c r="BH7" s="1254" t="s">
        <v>198</v>
      </c>
      <c r="BI7" s="1254"/>
      <c r="BJ7" s="1254" t="s">
        <v>669</v>
      </c>
      <c r="BK7" s="1254"/>
      <c r="BL7" s="1254" t="s">
        <v>670</v>
      </c>
      <c r="BM7" s="1254"/>
      <c r="BN7" s="1254" t="s">
        <v>671</v>
      </c>
      <c r="BO7" s="1254"/>
      <c r="BP7" s="1254" t="s">
        <v>672</v>
      </c>
      <c r="BQ7" s="1254"/>
      <c r="BR7" s="1254" t="s">
        <v>199</v>
      </c>
      <c r="BS7" s="1254"/>
      <c r="BT7" s="1254" t="s">
        <v>200</v>
      </c>
      <c r="BU7" s="1254"/>
      <c r="BV7" s="1254" t="s">
        <v>261</v>
      </c>
      <c r="BW7" s="1254"/>
      <c r="BX7" s="1254" t="s">
        <v>201</v>
      </c>
      <c r="BY7" s="1254"/>
      <c r="BZ7" s="1254" t="s">
        <v>202</v>
      </c>
      <c r="CA7" s="1254"/>
      <c r="CB7" s="1254" t="s">
        <v>203</v>
      </c>
      <c r="CC7" s="1254"/>
      <c r="CD7" s="1254" t="s">
        <v>673</v>
      </c>
      <c r="CE7" s="1254"/>
      <c r="CF7" s="1254" t="s">
        <v>674</v>
      </c>
      <c r="CG7" s="1254"/>
      <c r="CH7" s="1254" t="s">
        <v>204</v>
      </c>
      <c r="CI7" s="1254"/>
      <c r="CJ7" s="1254" t="s">
        <v>675</v>
      </c>
      <c r="CK7" s="1254"/>
      <c r="CL7" s="1254" t="s">
        <v>676</v>
      </c>
      <c r="CM7" s="1254"/>
      <c r="CN7" s="1254" t="s">
        <v>205</v>
      </c>
      <c r="CO7" s="1254"/>
      <c r="CP7" s="1254" t="s">
        <v>677</v>
      </c>
      <c r="CQ7" s="1254"/>
      <c r="CR7" s="1254" t="s">
        <v>206</v>
      </c>
      <c r="CS7" s="1254"/>
      <c r="CT7" s="1254" t="s">
        <v>207</v>
      </c>
      <c r="CU7" s="1254"/>
      <c r="CV7" s="1254" t="s">
        <v>208</v>
      </c>
      <c r="CW7" s="1254"/>
      <c r="CX7" s="1254" t="s">
        <v>209</v>
      </c>
      <c r="CY7" s="1254"/>
      <c r="CZ7" s="1254" t="s">
        <v>210</v>
      </c>
      <c r="DA7" s="1254"/>
    </row>
    <row r="8" spans="1:105" ht="22.5" customHeight="1">
      <c r="A8" s="1261"/>
      <c r="B8" s="1254"/>
      <c r="C8" s="822" t="s">
        <v>17</v>
      </c>
      <c r="D8" s="821" t="s">
        <v>34</v>
      </c>
      <c r="E8" s="1254"/>
      <c r="F8" s="1254"/>
      <c r="G8" s="823" t="s">
        <v>24</v>
      </c>
      <c r="H8" s="823" t="s">
        <v>25</v>
      </c>
      <c r="I8" s="125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'SC-I'!J53</f>
        <v>1807122022.5</v>
      </c>
      <c r="K10" s="264">
        <f ca="1">'SC-I'!K53</f>
        <v>0</v>
      </c>
      <c r="L10" s="264">
        <f ca="1">'SC-I'!L53</f>
        <v>9382419</v>
      </c>
      <c r="M10" s="264">
        <f ca="1">'SC-I'!M53</f>
        <v>0</v>
      </c>
      <c r="N10" s="264">
        <f ca="1">'SC-I'!N53</f>
        <v>7381692.9499816895</v>
      </c>
      <c r="O10" s="264">
        <f ca="1">'SC-I'!O53</f>
        <v>0</v>
      </c>
      <c r="P10" s="264">
        <f ca="1">'SC-I'!P53</f>
        <v>57038792896</v>
      </c>
      <c r="Q10" s="264">
        <f ca="1">'SC-I'!Q53</f>
        <v>0</v>
      </c>
      <c r="R10" s="264">
        <f ca="1">'SC-I'!R53</f>
        <v>518470991</v>
      </c>
      <c r="S10" s="264">
        <f ca="1">'SC-I'!S53</f>
        <v>0</v>
      </c>
      <c r="T10" s="264">
        <f ca="1">'SC-I'!T53</f>
        <v>0</v>
      </c>
      <c r="U10" s="264">
        <f ca="1">'SC-I'!U53</f>
        <v>0</v>
      </c>
      <c r="V10" s="264">
        <f ca="1">'SC-I'!V53</f>
        <v>0</v>
      </c>
      <c r="W10" s="264">
        <f ca="1">'SC-I'!W53</f>
        <v>0</v>
      </c>
      <c r="X10" s="264">
        <f ca="1">'SC-I'!X53</f>
        <v>0</v>
      </c>
      <c r="Y10" s="264">
        <f ca="1">'SC-I'!Y53</f>
        <v>0</v>
      </c>
      <c r="Z10" s="264">
        <f ca="1">'SC-I'!Z53</f>
        <v>351991384</v>
      </c>
      <c r="AA10" s="264">
        <f ca="1">'SC-I'!AA53</f>
        <v>0</v>
      </c>
      <c r="AB10" s="264">
        <f ca="1">'SC-I'!AB53</f>
        <v>49990909</v>
      </c>
      <c r="AC10" s="264">
        <f ca="1">'SC-I'!AC53</f>
        <v>0</v>
      </c>
      <c r="AD10" s="264">
        <f ca="1">'SC-I'!AD53</f>
        <v>1450841000</v>
      </c>
      <c r="AE10" s="264">
        <f ca="1">'SC-I'!AE53</f>
        <v>0</v>
      </c>
      <c r="AF10" s="264">
        <f ca="1">'SC-I'!AF53</f>
        <v>3468509299</v>
      </c>
      <c r="AG10" s="264">
        <f ca="1">'SC-I'!AG53</f>
        <v>0</v>
      </c>
      <c r="AH10" s="264">
        <f ca="1">'SC-I'!AH53</f>
        <v>7770361541</v>
      </c>
      <c r="AI10" s="264">
        <f ca="1">'SC-I'!AI53</f>
        <v>0</v>
      </c>
      <c r="AJ10" s="264">
        <f ca="1">'SC-I'!AJ53</f>
        <v>3807898863</v>
      </c>
      <c r="AK10" s="264">
        <f ca="1">'SC-I'!AK53</f>
        <v>0</v>
      </c>
      <c r="AL10" s="264">
        <f ca="1">'SC-I'!AL53</f>
        <v>3790918485</v>
      </c>
      <c r="AM10" s="264">
        <f ca="1">'SC-I'!AM53</f>
        <v>0</v>
      </c>
      <c r="AN10" s="264">
        <f ca="1">'SC-I'!AN53</f>
        <v>5405781300</v>
      </c>
      <c r="AO10" s="264">
        <f ca="1">'SC-I'!AO53</f>
        <v>0</v>
      </c>
      <c r="AP10" s="264">
        <f ca="1">'SC-I'!AP53</f>
        <v>0</v>
      </c>
      <c r="AQ10" s="264">
        <f ca="1">'SC-I'!AQ53</f>
        <v>9758261933</v>
      </c>
      <c r="AR10" s="264">
        <f ca="1">'SC-I'!AR53</f>
        <v>0</v>
      </c>
      <c r="AS10" s="264">
        <f ca="1">'SC-I'!AS53</f>
        <v>720770838</v>
      </c>
      <c r="AT10" s="264">
        <f ca="1">'SC-I'!AT53</f>
        <v>0</v>
      </c>
      <c r="AU10" s="264">
        <f ca="1">'SC-I'!AU53</f>
        <v>0</v>
      </c>
      <c r="AV10" s="264">
        <f ca="1">'SC-I'!AV53</f>
        <v>0</v>
      </c>
      <c r="AW10" s="264">
        <f ca="1">'SC-I'!AW53</f>
        <v>37054109099</v>
      </c>
      <c r="AX10" s="264">
        <f ca="1">'SC-I'!AX53</f>
        <v>0</v>
      </c>
      <c r="AY10" s="264">
        <f ca="1">'SC-I'!AY53</f>
        <v>0</v>
      </c>
      <c r="AZ10" s="264">
        <f ca="1">'SC-I'!AZ53</f>
        <v>0</v>
      </c>
      <c r="BA10" s="264">
        <f ca="1">'SC-I'!BA53</f>
        <v>0</v>
      </c>
      <c r="BB10" s="264">
        <f ca="1">'SC-I'!BB53</f>
        <v>0</v>
      </c>
      <c r="BC10" s="264">
        <f ca="1">'SC-I'!BC53</f>
        <v>0</v>
      </c>
      <c r="BD10" s="264">
        <f ca="1">'SC-I'!BD53</f>
        <v>9756564</v>
      </c>
      <c r="BE10" s="264">
        <f ca="1">'SC-I'!BE53</f>
        <v>0</v>
      </c>
      <c r="BF10" s="264">
        <f ca="1">'SC-I'!BF53</f>
        <v>3389804</v>
      </c>
      <c r="BG10" s="264">
        <f ca="1">'SC-I'!BG53</f>
        <v>0</v>
      </c>
      <c r="BH10" s="264">
        <f ca="1">'SC-I'!BH53</f>
        <v>0</v>
      </c>
      <c r="BI10" s="264">
        <f ca="1">'SC-I'!BI53</f>
        <v>0</v>
      </c>
      <c r="BJ10" s="264">
        <f ca="1">'SC-I'!BJ53</f>
        <v>0</v>
      </c>
      <c r="BK10" s="264">
        <f ca="1">'SC-I'!BK53</f>
        <v>0</v>
      </c>
      <c r="BL10" s="264">
        <f ca="1">'SC-I'!BL53</f>
        <v>0</v>
      </c>
      <c r="BM10" s="264">
        <f ca="1">'SC-I'!BM53</f>
        <v>106628549</v>
      </c>
      <c r="BN10" s="264">
        <f ca="1">'SC-I'!BN53</f>
        <v>0</v>
      </c>
      <c r="BO10" s="264">
        <f ca="1">'SC-I'!BO53</f>
        <v>4469220</v>
      </c>
      <c r="BP10" s="264">
        <f ca="1">'SC-I'!BP53</f>
        <v>0</v>
      </c>
      <c r="BQ10" s="264">
        <f ca="1">'SC-I'!BQ53</f>
        <v>1986320</v>
      </c>
      <c r="BR10" s="264">
        <f ca="1">'SC-I'!BR53</f>
        <v>0</v>
      </c>
      <c r="BS10" s="264">
        <f ca="1">'SC-I'!BS53</f>
        <v>0</v>
      </c>
      <c r="BT10" s="264">
        <f ca="1">'SC-I'!BT53</f>
        <v>0</v>
      </c>
      <c r="BU10" s="264">
        <f ca="1">'SC-I'!BU53</f>
        <v>0</v>
      </c>
      <c r="BV10" s="264">
        <f ca="1">'SC-I'!BV53</f>
        <v>0</v>
      </c>
      <c r="BW10" s="264">
        <f ca="1">'SC-I'!BW53</f>
        <v>27284564849.050003</v>
      </c>
      <c r="BX10" s="264">
        <f ca="1">'SC-I'!BX53</f>
        <v>0</v>
      </c>
      <c r="BY10" s="264">
        <f ca="1">'SC-I'!BY53</f>
        <v>10000000000</v>
      </c>
      <c r="BZ10" s="264">
        <f ca="1">'SC-I'!BZ53</f>
        <v>0</v>
      </c>
      <c r="CA10" s="264">
        <f ca="1">'SC-I'!CA53</f>
        <v>635107905.00000095</v>
      </c>
      <c r="CB10" s="264">
        <f ca="1">'SC-I'!CB53</f>
        <v>107861885.00000048</v>
      </c>
      <c r="CC10" s="264">
        <f ca="1">'SC-I'!CC53</f>
        <v>0</v>
      </c>
      <c r="CD10" s="264">
        <f ca="1">'SC-I'!CD53</f>
        <v>0</v>
      </c>
      <c r="CE10" s="264">
        <f ca="1">'SC-I'!CE53</f>
        <v>0</v>
      </c>
      <c r="CF10" s="264">
        <f ca="1">'SC-I'!CF53</f>
        <v>0</v>
      </c>
      <c r="CG10" s="264">
        <f ca="1">'SC-I'!CG53</f>
        <v>0</v>
      </c>
      <c r="CH10" s="264">
        <f ca="1">'SC-I'!CH53</f>
        <v>0</v>
      </c>
      <c r="CI10" s="264">
        <f ca="1">'SC-I'!CI53</f>
        <v>0</v>
      </c>
      <c r="CJ10" s="264">
        <f ca="1">'SC-I'!CJ53</f>
        <v>0</v>
      </c>
      <c r="CK10" s="264">
        <f ca="1">'SC-I'!CK53</f>
        <v>0</v>
      </c>
      <c r="CL10" s="264">
        <f ca="1">'SC-I'!CL53</f>
        <v>0</v>
      </c>
      <c r="CM10" s="264">
        <f ca="1">'SC-I'!CM53</f>
        <v>0</v>
      </c>
      <c r="CN10" s="264">
        <f ca="1">'SC-I'!CN53</f>
        <v>0</v>
      </c>
      <c r="CO10" s="264">
        <f ca="1">'SC-I'!CO53</f>
        <v>0</v>
      </c>
      <c r="CP10" s="264">
        <f ca="1">'SC-I'!CP53</f>
        <v>0</v>
      </c>
      <c r="CQ10" s="264">
        <f ca="1">'SC-I'!CQ53</f>
        <v>0</v>
      </c>
      <c r="CR10" s="264">
        <f ca="1">'SC-I'!CR53</f>
        <v>0</v>
      </c>
      <c r="CS10" s="264">
        <f ca="1">'SC-I'!CS53</f>
        <v>0</v>
      </c>
      <c r="CT10" s="264">
        <f ca="1">'SC-I'!CT53</f>
        <v>0</v>
      </c>
      <c r="CU10" s="264">
        <f ca="1">'SC-I'!CU53</f>
        <v>0</v>
      </c>
      <c r="CV10" s="264">
        <f ca="1">'SC-I'!CV53</f>
        <v>0</v>
      </c>
      <c r="CW10" s="264">
        <f ca="1">'SC-I'!CW53</f>
        <v>0</v>
      </c>
      <c r="CX10" s="264">
        <f ca="1">'SC-I'!CX53</f>
        <v>0</v>
      </c>
      <c r="CY10" s="264">
        <f ca="1">'SC-I'!CY53</f>
        <v>0</v>
      </c>
      <c r="CZ10" s="264">
        <f ca="1">'SC-I'!CZ53</f>
        <v>0</v>
      </c>
      <c r="DA10" s="264">
        <f ca="1">'SC-I'!DA53</f>
        <v>0</v>
      </c>
    </row>
    <row r="11" spans="1:105" s="265" customFormat="1" ht="15" customHeight="1">
      <c r="A11" s="62">
        <f t="array" aca="1" ref="A11" ca="1">IF(C11&lt;&gt;0,SUM(($C$11:C11&lt;&gt;0)*1),"")</f>
        <v>1</v>
      </c>
      <c r="B11" s="266" t="str">
        <f ca="1">IF(ROWS($1:1)&gt;COUNT(Dong7),"",OFFSET(TH!C$1,SMALL(Dong7,ROWS($1:1)),))</f>
        <v/>
      </c>
      <c r="C11" s="266" t="str">
        <f ca="1">IF(ROWS($1:1)&gt;COUNT(Dong7),"",OFFSET(TH!D$1,SMALL(Dong7,ROWS($1:1)),))</f>
        <v/>
      </c>
      <c r="D11" s="266" t="str">
        <f ca="1">IF(ROWS($1:1)&gt;COUNT(Dong7),"",OFFSET(TH!E$1,SMALL(Dong7,ROWS($1:1)),))</f>
        <v/>
      </c>
      <c r="E11" s="346" t="str">
        <f ca="1">IF(ROWS($1:1)&gt;COUNT(Dong7),"",OFFSET(TH!F$1,SMALL(Dong7,ROWS($1:1)),))</f>
        <v/>
      </c>
      <c r="F11" s="317" t="str">
        <f ca="1">IF(ROWS($1:1)&gt;COUNT(Dong7),"",OFFSET(TH!M$1,SMALL(Dong7,ROWS($1:1)),))</f>
        <v/>
      </c>
      <c r="G11" s="319" t="str">
        <f ca="1">IF(ROWS($1:1)&gt;COUNT(Dong7),"",OFFSET(TH!N$1,SMALL(Dong7,ROWS($1:1)),))</f>
        <v/>
      </c>
      <c r="H11" s="319" t="str">
        <f ca="1">IF(ROWS($1:1)&gt;COUNT(Dong7),"",OFFSET(TH!O$1,SMALL(Dong7,ROWS($1:1)),))</f>
        <v/>
      </c>
      <c r="I11" s="62">
        <f t="shared" ref="I11:I21"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 customHeight="1">
      <c r="A22" s="62" t="str">
        <f t="array" ref="A22">IF(C22&lt;&gt;0,SUM(($C$11:C22&lt;&gt;0)*1),"")</f>
        <v/>
      </c>
      <c r="B22" s="266"/>
      <c r="C22" s="266"/>
      <c r="D22" s="266"/>
      <c r="E22" s="346"/>
      <c r="F22" s="317"/>
      <c r="G22" s="319"/>
      <c r="H22" s="319"/>
      <c r="I22" s="62" t="str">
        <f t="shared" ref="I22:I50" si="97">A22</f>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 customHeight="1">
      <c r="A23" s="62" t="str">
        <f t="array" ref="A23">IF(C23&lt;&gt;0,SUM(($C$11:C23&lt;&gt;0)*1),"")</f>
        <v/>
      </c>
      <c r="B23" s="266"/>
      <c r="C23" s="266"/>
      <c r="D23" s="266"/>
      <c r="E23" s="346"/>
      <c r="F23" s="317"/>
      <c r="G23" s="319"/>
      <c r="H23" s="319"/>
      <c r="I23" s="62" t="str">
        <f t="shared" si="97"/>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 customHeight="1">
      <c r="A24" s="62" t="str">
        <f t="array" ref="A24">IF(C24&lt;&gt;0,SUM(($C$11:C24&lt;&gt;0)*1),"")</f>
        <v/>
      </c>
      <c r="B24" s="266"/>
      <c r="C24" s="266"/>
      <c r="D24" s="266"/>
      <c r="E24" s="346"/>
      <c r="F24" s="317"/>
      <c r="G24" s="319"/>
      <c r="H24" s="319"/>
      <c r="I24" s="62" t="str">
        <f t="shared" si="97"/>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 customHeight="1">
      <c r="A25" s="62" t="str">
        <f t="array" ref="A25">IF(C25&lt;&gt;0,SUM(($C$11:C25&lt;&gt;0)*1),"")</f>
        <v/>
      </c>
      <c r="B25" s="266"/>
      <c r="C25" s="266"/>
      <c r="D25" s="266"/>
      <c r="E25" s="346"/>
      <c r="F25" s="317"/>
      <c r="G25" s="319"/>
      <c r="H25" s="319"/>
      <c r="I25" s="62" t="str">
        <f t="shared" si="97"/>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 customHeight="1">
      <c r="A26" s="62" t="str">
        <f t="array" ref="A26">IF(C26&lt;&gt;0,SUM(($C$11:C26&lt;&gt;0)*1),"")</f>
        <v/>
      </c>
      <c r="B26" s="266"/>
      <c r="C26" s="266"/>
      <c r="D26" s="266"/>
      <c r="E26" s="346"/>
      <c r="F26" s="317"/>
      <c r="G26" s="319"/>
      <c r="H26" s="319"/>
      <c r="I26" s="62" t="str">
        <f t="shared" si="97"/>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 customHeight="1">
      <c r="A27" s="62" t="str">
        <f t="array" ref="A27">IF(C27&lt;&gt;0,SUM(($C$11:C27&lt;&gt;0)*1),"")</f>
        <v/>
      </c>
      <c r="B27" s="266"/>
      <c r="C27" s="266"/>
      <c r="D27" s="266"/>
      <c r="E27" s="346"/>
      <c r="F27" s="317"/>
      <c r="G27" s="319"/>
      <c r="H27" s="319"/>
      <c r="I27" s="62" t="str">
        <f t="shared" si="97"/>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 customHeight="1">
      <c r="A28" s="62" t="str">
        <f t="array" ref="A28">IF(C28&lt;&gt;0,SUM(($C$11:C28&lt;&gt;0)*1),"")</f>
        <v/>
      </c>
      <c r="B28" s="266"/>
      <c r="C28" s="266"/>
      <c r="D28" s="266"/>
      <c r="E28" s="346"/>
      <c r="F28" s="317"/>
      <c r="G28" s="319"/>
      <c r="H28" s="319"/>
      <c r="I28" s="62" t="str">
        <f t="shared" si="97"/>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2</v>
      </c>
      <c r="B40" s="266">
        <v>42551</v>
      </c>
      <c r="C40" s="269" t="s">
        <v>115</v>
      </c>
      <c r="D40" s="269">
        <f t="shared" ref="D40:D50" si="98">B40</f>
        <v>42551</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v>
      </c>
      <c r="B41" s="266">
        <v>42551</v>
      </c>
      <c r="C41" s="269" t="s">
        <v>115</v>
      </c>
      <c r="D41" s="269">
        <f t="shared" si="98"/>
        <v>42551</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4</v>
      </c>
      <c r="B42" s="266">
        <v>42551</v>
      </c>
      <c r="C42" s="269" t="s">
        <v>115</v>
      </c>
      <c r="D42" s="269">
        <f t="shared" si="98"/>
        <v>42551</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5</v>
      </c>
      <c r="B43" s="266">
        <v>42551</v>
      </c>
      <c r="C43" s="269" t="s">
        <v>115</v>
      </c>
      <c r="D43" s="269">
        <f t="shared" si="98"/>
        <v>42551</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6</v>
      </c>
      <c r="B44" s="266">
        <v>42551</v>
      </c>
      <c r="C44" s="269" t="s">
        <v>115</v>
      </c>
      <c r="D44" s="269">
        <f t="shared" si="98"/>
        <v>42551</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7</v>
      </c>
      <c r="B45" s="266">
        <v>42551</v>
      </c>
      <c r="C45" s="269" t="s">
        <v>115</v>
      </c>
      <c r="D45" s="269">
        <f t="shared" si="98"/>
        <v>42551</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8</v>
      </c>
      <c r="B46" s="266">
        <v>42551</v>
      </c>
      <c r="C46" s="269" t="s">
        <v>115</v>
      </c>
      <c r="D46" s="269">
        <f t="shared" si="98"/>
        <v>42551</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9</v>
      </c>
      <c r="B47" s="266">
        <v>42551</v>
      </c>
      <c r="C47" s="269" t="s">
        <v>115</v>
      </c>
      <c r="D47" s="269">
        <f t="shared" si="98"/>
        <v>42551</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10</v>
      </c>
      <c r="B48" s="266">
        <v>42551</v>
      </c>
      <c r="C48" s="269" t="s">
        <v>115</v>
      </c>
      <c r="D48" s="269">
        <f t="shared" si="98"/>
        <v>42551</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11</v>
      </c>
      <c r="B49" s="266">
        <v>42551</v>
      </c>
      <c r="C49" s="269" t="s">
        <v>115</v>
      </c>
      <c r="D49" s="269">
        <f t="shared" si="98"/>
        <v>42551</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12</v>
      </c>
      <c r="B50" s="266">
        <v>42551</v>
      </c>
      <c r="C50" s="269" t="s">
        <v>115</v>
      </c>
      <c r="D50" s="269">
        <f t="shared" si="98"/>
        <v>42551</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 customHeight="1">
      <c r="A52" s="272"/>
      <c r="B52" s="272"/>
      <c r="C52" s="272"/>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 customHeight="1">
      <c r="A53" s="273"/>
      <c r="B53" s="273"/>
      <c r="C53" s="273"/>
      <c r="D53" s="273"/>
      <c r="E53" s="274" t="s">
        <v>214</v>
      </c>
      <c r="F53" s="273"/>
      <c r="G53" s="275"/>
      <c r="H53" s="275"/>
      <c r="I53" s="273"/>
      <c r="J53" s="295">
        <f ca="1">MAX(J10+J52-K10-K52,0)</f>
        <v>1807122022.5</v>
      </c>
      <c r="K53" s="295">
        <f ca="1">MAX(K10+K52-J10-J52,0)</f>
        <v>0</v>
      </c>
      <c r="L53" s="295">
        <f ca="1">MAX(L10+L52-M10-M52,0)</f>
        <v>9382419</v>
      </c>
      <c r="M53" s="295">
        <f ca="1">MAX(M10+M52-L10-L52,0)</f>
        <v>0</v>
      </c>
      <c r="N53" s="295">
        <f ca="1">MAX(N10+N52-O10-O52,0)</f>
        <v>7381692.9499816895</v>
      </c>
      <c r="O53" s="295">
        <f ca="1">MAX(O10+O52-N10-N52,0)</f>
        <v>0</v>
      </c>
      <c r="P53" s="295">
        <f ca="1">MAX(P10+P52-Q10-Q52,0)</f>
        <v>57038792896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351991384</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37054109099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9756564</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27284564849.050003</v>
      </c>
      <c r="BX53" s="295">
        <f ca="1">MAX(BX10+BX52-BY10-BY52,0)</f>
        <v>0</v>
      </c>
      <c r="BY53" s="295">
        <f ca="1">MAX(BY10+BY52-BX10-BX52,0)</f>
        <v>10000000000</v>
      </c>
      <c r="BZ53" s="295">
        <f ca="1">MAX(BZ10+BZ52-CA10-CA52,0)</f>
        <v>0</v>
      </c>
      <c r="CA53" s="295">
        <f ca="1">MAX(CA10+CA52-BZ10-BZ52,0)</f>
        <v>635107905.00000095</v>
      </c>
      <c r="CB53" s="295">
        <f ca="1">MAX(CB10+CB52-CC10-CC52,0)</f>
        <v>107861885.00000048</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 customHeight="1">
      <c r="A54" s="277"/>
      <c r="B54" s="277"/>
      <c r="C54" s="278"/>
      <c r="D54" s="277"/>
      <c r="E54" s="279" t="s">
        <v>215</v>
      </c>
      <c r="F54" s="277"/>
      <c r="G54" s="280"/>
      <c r="H54" s="280"/>
      <c r="I54" s="277"/>
      <c r="J54" s="277">
        <f ca="1">J52+'SC-I'!J54</f>
        <v>0</v>
      </c>
      <c r="K54" s="277">
        <f ca="1">K52+'SC-I'!K54</f>
        <v>0</v>
      </c>
      <c r="L54" s="277">
        <f ca="1">L52+'SC-I'!L54</f>
        <v>0</v>
      </c>
      <c r="M54" s="277">
        <f ca="1">M52+'SC-I'!M54</f>
        <v>0</v>
      </c>
      <c r="N54" s="277">
        <f ca="1">N52+'SC-I'!N54</f>
        <v>0</v>
      </c>
      <c r="O54" s="277">
        <f ca="1">O52+'SC-I'!O54</f>
        <v>0</v>
      </c>
      <c r="P54" s="277">
        <f ca="1">P52+'SC-I'!P54</f>
        <v>0</v>
      </c>
      <c r="Q54" s="277">
        <f ca="1">Q52+'SC-I'!Q54</f>
        <v>0</v>
      </c>
      <c r="R54" s="277">
        <f ca="1">R52+'SC-I'!R54</f>
        <v>0</v>
      </c>
      <c r="S54" s="277">
        <f ca="1">S52+'SC-I'!S54</f>
        <v>0</v>
      </c>
      <c r="T54" s="277">
        <f ca="1">T52+'SC-I'!T54</f>
        <v>0</v>
      </c>
      <c r="U54" s="277">
        <f ca="1">U52+'SC-I'!U54</f>
        <v>0</v>
      </c>
      <c r="V54" s="277">
        <f ca="1">V52+'SC-I'!V54</f>
        <v>0</v>
      </c>
      <c r="W54" s="277">
        <f ca="1">W52+'SC-I'!W54</f>
        <v>0</v>
      </c>
      <c r="X54" s="277">
        <f ca="1">X52+'SC-I'!X54</f>
        <v>0</v>
      </c>
      <c r="Y54" s="277">
        <f ca="1">Y52+'SC-I'!Y54</f>
        <v>0</v>
      </c>
      <c r="Z54" s="277">
        <f ca="1">Z52+'SC-I'!Z54</f>
        <v>0</v>
      </c>
      <c r="AA54" s="277">
        <f ca="1">AA52+'SC-I'!AA54</f>
        <v>0</v>
      </c>
      <c r="AB54" s="277">
        <f ca="1">AB52+'SC-I'!AB54</f>
        <v>0</v>
      </c>
      <c r="AC54" s="277">
        <f ca="1">AC52+'SC-I'!AC54</f>
        <v>0</v>
      </c>
      <c r="AD54" s="277">
        <f ca="1">AD52+'SC-I'!AD54</f>
        <v>0</v>
      </c>
      <c r="AE54" s="277">
        <f ca="1">AE52+'SC-I'!AE54</f>
        <v>0</v>
      </c>
      <c r="AF54" s="277">
        <f ca="1">AF52+'SC-I'!AF54</f>
        <v>0</v>
      </c>
      <c r="AG54" s="277">
        <f ca="1">AG52+'SC-I'!AG54</f>
        <v>0</v>
      </c>
      <c r="AH54" s="277">
        <f ca="1">AH52+'SC-I'!AH54</f>
        <v>0</v>
      </c>
      <c r="AI54" s="277">
        <f ca="1">AI52+'SC-I'!AI54</f>
        <v>0</v>
      </c>
      <c r="AJ54" s="277">
        <f ca="1">AJ52+'SC-I'!AJ54</f>
        <v>0</v>
      </c>
      <c r="AK54" s="277">
        <f ca="1">AK52+'SC-I'!AK54</f>
        <v>0</v>
      </c>
      <c r="AL54" s="277">
        <f ca="1">AL52+'SC-I'!AL54</f>
        <v>0</v>
      </c>
      <c r="AM54" s="277">
        <f ca="1">AM52+'SC-I'!AM54</f>
        <v>0</v>
      </c>
      <c r="AN54" s="277">
        <f ca="1">AN52+'SC-I'!AN54</f>
        <v>0</v>
      </c>
      <c r="AO54" s="277">
        <f ca="1">AO52+'SC-I'!AO54</f>
        <v>0</v>
      </c>
      <c r="AP54" s="277">
        <f ca="1">AP52+'SC-I'!AP54</f>
        <v>0</v>
      </c>
      <c r="AQ54" s="277">
        <f ca="1">AQ52+'SC-I'!AQ54</f>
        <v>0</v>
      </c>
      <c r="AR54" s="277">
        <f ca="1">AR52+'SC-I'!AR54</f>
        <v>0</v>
      </c>
      <c r="AS54" s="277">
        <f ca="1">AS52+'SC-I'!AS54</f>
        <v>0</v>
      </c>
      <c r="AT54" s="277">
        <f ca="1">AT52+'SC-I'!AT54</f>
        <v>0</v>
      </c>
      <c r="AU54" s="277">
        <f ca="1">AU52+'SC-I'!AU54</f>
        <v>0</v>
      </c>
      <c r="AV54" s="277">
        <f ca="1">AV52+'SC-I'!AV54</f>
        <v>0</v>
      </c>
      <c r="AW54" s="277">
        <f ca="1">AW52+'SC-I'!AW54</f>
        <v>0</v>
      </c>
      <c r="AX54" s="277">
        <f ca="1">AX52+'SC-I'!AX54</f>
        <v>0</v>
      </c>
      <c r="AY54" s="277">
        <f ca="1">AY52+'SC-I'!AY54</f>
        <v>0</v>
      </c>
      <c r="AZ54" s="277">
        <f ca="1">AZ52+'SC-I'!AZ54</f>
        <v>0</v>
      </c>
      <c r="BA54" s="277">
        <f ca="1">BA52+'SC-I'!BA54</f>
        <v>0</v>
      </c>
      <c r="BB54" s="277">
        <f ca="1">BB52+'SC-I'!BB54</f>
        <v>0</v>
      </c>
      <c r="BC54" s="277">
        <f ca="1">BC52+'SC-I'!BC54</f>
        <v>0</v>
      </c>
      <c r="BD54" s="277">
        <f ca="1">BD52+'SC-I'!BD54</f>
        <v>0</v>
      </c>
      <c r="BE54" s="277">
        <f ca="1">BE52+'SC-I'!BE54</f>
        <v>0</v>
      </c>
      <c r="BF54" s="277">
        <f ca="1">BF52+'SC-I'!BF54</f>
        <v>0</v>
      </c>
      <c r="BG54" s="277">
        <f ca="1">BG52+'SC-I'!BG54</f>
        <v>0</v>
      </c>
      <c r="BH54" s="277">
        <f ca="1">BH52+'SC-I'!BH54</f>
        <v>0</v>
      </c>
      <c r="BI54" s="277">
        <f ca="1">BI52+'SC-I'!BI54</f>
        <v>0</v>
      </c>
      <c r="BJ54" s="277">
        <f ca="1">BJ52+'SC-I'!BJ54</f>
        <v>0</v>
      </c>
      <c r="BK54" s="277">
        <f ca="1">BK52+'SC-I'!BK54</f>
        <v>0</v>
      </c>
      <c r="BL54" s="277">
        <f ca="1">BL52+'SC-I'!BL54</f>
        <v>0</v>
      </c>
      <c r="BM54" s="277">
        <f ca="1">BM52+'SC-I'!BM54</f>
        <v>0</v>
      </c>
      <c r="BN54" s="277">
        <f ca="1">BN52+'SC-I'!BN54</f>
        <v>0</v>
      </c>
      <c r="BO54" s="277">
        <f ca="1">BO52+'SC-I'!BO54</f>
        <v>0</v>
      </c>
      <c r="BP54" s="277">
        <f ca="1">BP52+'SC-I'!BP54</f>
        <v>0</v>
      </c>
      <c r="BQ54" s="277">
        <f ca="1">BQ52+'SC-I'!BQ54</f>
        <v>0</v>
      </c>
      <c r="BR54" s="277">
        <f ca="1">BR52+'SC-I'!BR54</f>
        <v>0</v>
      </c>
      <c r="BS54" s="277">
        <f ca="1">BS52+'SC-I'!BS54</f>
        <v>0</v>
      </c>
      <c r="BT54" s="277">
        <f ca="1">BT52+'SC-I'!BT54</f>
        <v>0</v>
      </c>
      <c r="BU54" s="277">
        <f ca="1">BU52+'SC-I'!BU54</f>
        <v>0</v>
      </c>
      <c r="BV54" s="277">
        <f ca="1">BV52+'SC-I'!BV54</f>
        <v>0</v>
      </c>
      <c r="BW54" s="277">
        <f ca="1">BW52+'SC-I'!BW54</f>
        <v>0</v>
      </c>
      <c r="BX54" s="277">
        <f ca="1">BX52+'SC-I'!BX54</f>
        <v>0</v>
      </c>
      <c r="BY54" s="277">
        <f ca="1">BY52+'SC-I'!BY54</f>
        <v>0</v>
      </c>
      <c r="BZ54" s="277">
        <f ca="1">BZ52+'SC-I'!BZ54</f>
        <v>0</v>
      </c>
      <c r="CA54" s="277">
        <f ca="1">CA52+'SC-I'!CA54</f>
        <v>107861885.00000048</v>
      </c>
      <c r="CB54" s="277">
        <f ca="1">CB52+'SC-I'!CB54</f>
        <v>107861885.00000048</v>
      </c>
      <c r="CC54" s="277">
        <f ca="1">CC52+'SC-I'!CC54</f>
        <v>0</v>
      </c>
      <c r="CD54" s="277">
        <f ca="1">CD52+'SC-I'!CD54</f>
        <v>0</v>
      </c>
      <c r="CE54" s="277">
        <f ca="1">CE52+'SC-I'!CE54</f>
        <v>0</v>
      </c>
      <c r="CF54" s="277">
        <f ca="1">CF52+'SC-I'!CF54</f>
        <v>0</v>
      </c>
      <c r="CG54" s="277">
        <f ca="1">CG52+'SC-I'!CG54</f>
        <v>0</v>
      </c>
      <c r="CH54" s="277">
        <f ca="1">CH52+'SC-I'!CH54</f>
        <v>0</v>
      </c>
      <c r="CI54" s="277">
        <f ca="1">CI52+'SC-I'!CI54</f>
        <v>0</v>
      </c>
      <c r="CJ54" s="277">
        <f ca="1">CJ52+'SC-I'!CJ54</f>
        <v>0</v>
      </c>
      <c r="CK54" s="277">
        <f ca="1">CK52+'SC-I'!CK54</f>
        <v>0</v>
      </c>
      <c r="CL54" s="277">
        <f ca="1">CL52+'SC-I'!CL54</f>
        <v>0</v>
      </c>
      <c r="CM54" s="277">
        <f ca="1">CM52+'SC-I'!CM54</f>
        <v>0</v>
      </c>
      <c r="CN54" s="277">
        <f ca="1">CN52+'SC-I'!CN54</f>
        <v>0</v>
      </c>
      <c r="CO54" s="277">
        <f ca="1">CO52+'SC-I'!CO54</f>
        <v>0</v>
      </c>
      <c r="CP54" s="277">
        <f ca="1">CP52+'SC-I'!CP54</f>
        <v>0</v>
      </c>
      <c r="CQ54" s="277">
        <f ca="1">CQ52+'SC-I'!CQ54</f>
        <v>0</v>
      </c>
      <c r="CR54" s="277">
        <f ca="1">CR52+'SC-I'!CR54</f>
        <v>0</v>
      </c>
      <c r="CS54" s="277">
        <f ca="1">CS52+'SC-I'!CS54</f>
        <v>0</v>
      </c>
      <c r="CT54" s="277">
        <f ca="1">CT52+'SC-I'!CT54</f>
        <v>0</v>
      </c>
      <c r="CU54" s="277">
        <f ca="1">CU52+'SC-I'!CU54</f>
        <v>0</v>
      </c>
      <c r="CV54" s="277">
        <f ca="1">CV52+'SC-I'!CV54</f>
        <v>0</v>
      </c>
      <c r="CW54" s="277">
        <f ca="1">CW52+'SC-I'!CW54</f>
        <v>0</v>
      </c>
      <c r="CX54" s="277">
        <f ca="1">CX52+'SC-I'!CX54</f>
        <v>0</v>
      </c>
      <c r="CY54" s="277">
        <f ca="1">CY52+'SC-I'!CY54</f>
        <v>0</v>
      </c>
      <c r="CZ54" s="277">
        <f ca="1">CZ52+'SC-I'!CZ54</f>
        <v>0</v>
      </c>
      <c r="DA54" s="277">
        <f ca="1">DA52+'SC-I'!DA54</f>
        <v>0</v>
      </c>
    </row>
    <row r="55" spans="1:105" ht="12" customHeight="1">
      <c r="B55" s="282"/>
      <c r="C55" s="283"/>
      <c r="D55" s="283"/>
      <c r="E55" s="283"/>
      <c r="F55" s="283"/>
      <c r="G55" s="284"/>
      <c r="H55" s="284"/>
      <c r="I55" s="283"/>
      <c r="J55" s="283"/>
      <c r="K55" s="283"/>
    </row>
    <row r="56" spans="1:105">
      <c r="M56" s="285"/>
      <c r="O56" s="285"/>
      <c r="Q56" s="285"/>
      <c r="R56" s="285"/>
      <c r="S56" s="285"/>
      <c r="T56" s="285"/>
      <c r="U56" s="285"/>
      <c r="V56" s="285"/>
      <c r="AM56" s="287"/>
      <c r="AN56" s="286" t="s">
        <v>229</v>
      </c>
      <c r="AO56" s="287"/>
      <c r="AP56" s="287"/>
      <c r="AQ56" s="287"/>
      <c r="AR56" s="288"/>
      <c r="AS56" s="288"/>
      <c r="AT56" s="287"/>
    </row>
    <row r="57" spans="1:105">
      <c r="M57" s="285"/>
      <c r="O57" s="285"/>
      <c r="Q57" s="285"/>
      <c r="R57" s="285"/>
      <c r="S57" s="285"/>
      <c r="T57" s="285"/>
      <c r="U57" s="285"/>
      <c r="V57" s="285"/>
      <c r="AM57" s="287"/>
      <c r="AN57" s="289" t="s">
        <v>219</v>
      </c>
      <c r="AO57" s="287"/>
      <c r="AP57" s="287"/>
      <c r="AQ57" s="287"/>
      <c r="AR57" s="288"/>
      <c r="AS57" s="288"/>
      <c r="AT57" s="287"/>
    </row>
    <row r="58" spans="1:105">
      <c r="M58" s="285"/>
      <c r="O58" s="285"/>
      <c r="Q58" s="285"/>
      <c r="R58" s="285"/>
      <c r="S58" s="285"/>
      <c r="T58" s="285"/>
      <c r="U58" s="285"/>
      <c r="V58" s="285"/>
      <c r="AL58" s="287"/>
      <c r="AM58" s="287"/>
      <c r="AN58" s="287"/>
      <c r="AO58" s="287"/>
      <c r="AP58" s="287"/>
      <c r="AQ58" s="287"/>
      <c r="AR58" s="287"/>
      <c r="AS58" s="287"/>
      <c r="AT58" s="288"/>
    </row>
    <row r="59" spans="1:105">
      <c r="M59" s="285"/>
      <c r="O59" s="285"/>
      <c r="Q59" s="285"/>
      <c r="R59" s="285"/>
      <c r="S59" s="285"/>
      <c r="T59" s="285"/>
      <c r="U59" s="285"/>
      <c r="V59" s="285"/>
      <c r="AL59" s="287"/>
      <c r="AM59" s="287"/>
      <c r="AN59" s="287"/>
      <c r="AO59" s="291" t="s">
        <v>11</v>
      </c>
      <c r="AQ59" s="287"/>
      <c r="AR59" s="287"/>
      <c r="AS59" s="287"/>
      <c r="AT59" s="288"/>
      <c r="AZ59" s="290" t="str">
        <f>"Ngày 30 tháng 06 năm 2015 "</f>
        <v xml:space="preserve">Ngày 30 tháng 06 năm 2015 </v>
      </c>
    </row>
    <row r="60" spans="1:105">
      <c r="M60" s="285"/>
      <c r="O60" s="285"/>
      <c r="Q60" s="285"/>
      <c r="R60" s="285"/>
      <c r="S60" s="285"/>
      <c r="T60" s="285"/>
      <c r="U60" s="285"/>
      <c r="V60" s="285"/>
      <c r="AL60" s="287"/>
      <c r="AN60" s="287"/>
      <c r="AO60" s="293" t="s">
        <v>13</v>
      </c>
      <c r="AQ60" s="287"/>
      <c r="AR60" s="287"/>
      <c r="AS60" s="292" t="s">
        <v>12</v>
      </c>
      <c r="AT60" s="288"/>
      <c r="AZ60" s="291" t="s">
        <v>131</v>
      </c>
    </row>
    <row r="61" spans="1:105">
      <c r="M61" s="285"/>
      <c r="O61" s="285"/>
      <c r="Q61" s="285"/>
      <c r="R61" s="285"/>
      <c r="S61" s="285"/>
      <c r="T61" s="285"/>
      <c r="U61" s="285"/>
      <c r="V61" s="285"/>
      <c r="AL61" s="287"/>
      <c r="AN61" s="287"/>
      <c r="AO61" s="287"/>
      <c r="AQ61" s="287"/>
      <c r="AR61" s="287"/>
      <c r="AS61" s="294" t="s">
        <v>13</v>
      </c>
      <c r="AT61" s="288"/>
      <c r="AZ61" s="293" t="s">
        <v>161</v>
      </c>
    </row>
    <row r="62" spans="1:105">
      <c r="M62" s="285"/>
      <c r="O62" s="285"/>
      <c r="Q62" s="285"/>
      <c r="R62" s="285"/>
      <c r="S62" s="285"/>
      <c r="T62" s="285"/>
      <c r="U62" s="285"/>
      <c r="V62" s="285"/>
      <c r="AL62" s="287"/>
      <c r="AN62" s="287"/>
      <c r="AO62" s="287"/>
      <c r="AP62" s="287"/>
      <c r="AQ62" s="287"/>
      <c r="AR62" s="287"/>
      <c r="AS62" s="287"/>
      <c r="AT62" s="288"/>
      <c r="AZ62" s="287"/>
    </row>
    <row r="63" spans="1:105">
      <c r="M63" s="285"/>
      <c r="O63" s="285"/>
      <c r="Q63" s="285"/>
      <c r="R63" s="285"/>
      <c r="S63" s="285"/>
      <c r="T63" s="285"/>
      <c r="U63" s="285"/>
      <c r="V63" s="285"/>
      <c r="AZ63" s="287"/>
    </row>
    <row r="64" spans="1:105">
      <c r="M64" s="285"/>
      <c r="O64" s="285"/>
      <c r="Q64" s="285"/>
      <c r="R64" s="285"/>
      <c r="S64" s="285"/>
      <c r="T64" s="285"/>
      <c r="U64" s="285"/>
      <c r="V64" s="285"/>
    </row>
    <row r="65" spans="13:22">
      <c r="M65" s="285"/>
      <c r="O65" s="285"/>
      <c r="Q65" s="285"/>
      <c r="R65" s="285"/>
      <c r="S65" s="285"/>
      <c r="T65" s="285"/>
      <c r="U65" s="285"/>
      <c r="V65" s="285"/>
    </row>
    <row r="66" spans="13:22">
      <c r="M66" s="285"/>
      <c r="O66" s="285"/>
      <c r="Q66" s="285"/>
      <c r="R66" s="285"/>
      <c r="S66" s="285"/>
      <c r="T66" s="285"/>
      <c r="U66" s="285"/>
      <c r="V66" s="285"/>
    </row>
    <row r="67" spans="13:22">
      <c r="M67" s="285"/>
      <c r="O67" s="285"/>
      <c r="Q67" s="285"/>
      <c r="R67" s="285"/>
      <c r="S67" s="285"/>
      <c r="T67" s="285"/>
      <c r="U67" s="285"/>
      <c r="V67" s="285"/>
    </row>
    <row r="68" spans="13:22">
      <c r="M68" s="285"/>
      <c r="O68" s="285"/>
      <c r="Q68" s="285"/>
      <c r="R68" s="285"/>
      <c r="S68" s="285"/>
      <c r="T68" s="285"/>
      <c r="U68" s="285"/>
      <c r="V68" s="285"/>
    </row>
    <row r="69" spans="13:22">
      <c r="M69" s="285"/>
      <c r="O69" s="285"/>
      <c r="Q69" s="285"/>
      <c r="R69" s="285"/>
      <c r="S69" s="285"/>
      <c r="T69" s="285"/>
      <c r="U69" s="285"/>
      <c r="V69" s="285"/>
    </row>
    <row r="70" spans="13:22">
      <c r="M70" s="285"/>
      <c r="O70" s="285"/>
      <c r="Q70" s="285"/>
      <c r="R70" s="285"/>
      <c r="S70" s="285"/>
      <c r="T70" s="285"/>
      <c r="U70" s="285"/>
      <c r="V70" s="285"/>
    </row>
    <row r="71" spans="13:22">
      <c r="M71" s="285"/>
      <c r="O71" s="285"/>
      <c r="Q71" s="285"/>
      <c r="R71" s="285"/>
      <c r="S71" s="285"/>
      <c r="T71" s="285"/>
      <c r="U71" s="285"/>
      <c r="V71" s="285"/>
    </row>
    <row r="72" spans="13:22">
      <c r="M72" s="285"/>
      <c r="O72" s="285"/>
      <c r="Q72" s="285"/>
      <c r="R72" s="285"/>
      <c r="S72" s="285"/>
      <c r="T72" s="285"/>
      <c r="U72" s="285"/>
      <c r="V72" s="285"/>
    </row>
    <row r="73" spans="13:22">
      <c r="M73" s="285"/>
      <c r="O73" s="285"/>
      <c r="Q73" s="285"/>
      <c r="R73" s="285"/>
      <c r="S73" s="285"/>
      <c r="T73" s="285"/>
      <c r="U73" s="285"/>
      <c r="V73" s="285"/>
    </row>
    <row r="74" spans="13:22">
      <c r="M74" s="285"/>
      <c r="O74" s="285"/>
      <c r="Q74" s="285"/>
      <c r="R74" s="285"/>
      <c r="S74" s="285"/>
      <c r="T74" s="285"/>
      <c r="U74" s="285"/>
      <c r="V74" s="285"/>
    </row>
    <row r="75" spans="13:22">
      <c r="M75" s="285"/>
      <c r="O75" s="285"/>
      <c r="Q75" s="285"/>
      <c r="R75" s="285"/>
      <c r="S75" s="285"/>
      <c r="T75" s="285"/>
      <c r="U75" s="285"/>
      <c r="V75" s="285"/>
    </row>
    <row r="76" spans="13:22">
      <c r="M76" s="285"/>
      <c r="O76" s="285"/>
      <c r="Q76" s="285"/>
      <c r="R76" s="285"/>
      <c r="S76" s="285"/>
      <c r="T76" s="285"/>
      <c r="U76" s="285"/>
      <c r="V76" s="285"/>
    </row>
    <row r="77" spans="13:22">
      <c r="M77" s="285"/>
      <c r="O77" s="285"/>
      <c r="Q77" s="285"/>
      <c r="R77" s="285"/>
      <c r="S77" s="285"/>
      <c r="T77" s="285"/>
      <c r="U77" s="285"/>
      <c r="V77" s="285"/>
    </row>
    <row r="78" spans="13:22">
      <c r="M78" s="285"/>
      <c r="O78" s="285"/>
      <c r="Q78" s="285"/>
      <c r="R78" s="285"/>
      <c r="S78" s="285"/>
      <c r="T78" s="285"/>
      <c r="U78" s="285"/>
      <c r="V78" s="285"/>
    </row>
    <row r="79" spans="13:22">
      <c r="M79" s="285"/>
      <c r="O79" s="285"/>
      <c r="Q79" s="285"/>
      <c r="R79" s="285"/>
      <c r="S79" s="285"/>
      <c r="T79" s="285"/>
      <c r="U79" s="285"/>
      <c r="V79" s="285"/>
    </row>
    <row r="80" spans="13:22">
      <c r="M80" s="285"/>
      <c r="O80" s="285"/>
      <c r="Q80" s="285"/>
      <c r="R80" s="285"/>
      <c r="S80" s="285"/>
      <c r="T80" s="285"/>
      <c r="U80" s="285"/>
      <c r="V80" s="285"/>
    </row>
    <row r="81" spans="13:22">
      <c r="M81" s="285"/>
      <c r="O81" s="285"/>
      <c r="Q81" s="285"/>
      <c r="R81" s="285"/>
      <c r="S81" s="285"/>
      <c r="T81" s="285"/>
      <c r="U81" s="285"/>
      <c r="V81" s="285"/>
    </row>
    <row r="82" spans="13:22">
      <c r="M82" s="285"/>
      <c r="O82" s="285"/>
      <c r="Q82" s="285"/>
      <c r="R82" s="285"/>
      <c r="S82" s="285"/>
      <c r="T82" s="285"/>
      <c r="U82" s="285"/>
      <c r="V82" s="285"/>
    </row>
    <row r="83" spans="13:22">
      <c r="M83" s="285"/>
      <c r="O83" s="285"/>
      <c r="Q83" s="285"/>
      <c r="R83" s="285"/>
      <c r="S83" s="285"/>
      <c r="T83" s="285"/>
      <c r="U83" s="285"/>
      <c r="V83" s="285"/>
    </row>
    <row r="84" spans="13:22">
      <c r="M84" s="285"/>
      <c r="O84" s="285"/>
      <c r="Q84" s="285"/>
      <c r="R84" s="285"/>
      <c r="S84" s="285"/>
      <c r="T84" s="285"/>
      <c r="U84" s="285"/>
      <c r="V84" s="285"/>
    </row>
    <row r="85" spans="13:22">
      <c r="M85" s="285"/>
      <c r="O85" s="285"/>
      <c r="Q85" s="285"/>
      <c r="R85" s="285"/>
      <c r="S85" s="285"/>
      <c r="T85" s="285"/>
      <c r="U85" s="285"/>
      <c r="V85" s="285"/>
    </row>
    <row r="86" spans="13:22">
      <c r="M86" s="285"/>
      <c r="O86" s="285"/>
      <c r="Q86" s="285"/>
      <c r="R86" s="285"/>
      <c r="S86" s="285"/>
      <c r="T86" s="285"/>
      <c r="U86" s="285"/>
      <c r="V86" s="285"/>
    </row>
    <row r="87" spans="13:22">
      <c r="M87" s="285"/>
      <c r="O87" s="285"/>
      <c r="Q87" s="285"/>
      <c r="R87" s="285"/>
      <c r="S87" s="285"/>
      <c r="T87" s="285"/>
      <c r="U87" s="285"/>
      <c r="V87" s="285"/>
    </row>
    <row r="88" spans="13:22">
      <c r="M88" s="285"/>
      <c r="O88" s="285"/>
      <c r="Q88" s="285"/>
      <c r="R88" s="285"/>
      <c r="S88" s="285"/>
      <c r="T88" s="285"/>
      <c r="U88" s="285"/>
      <c r="V88" s="285"/>
    </row>
    <row r="89" spans="13:22">
      <c r="M89" s="285"/>
      <c r="O89" s="285"/>
      <c r="Q89" s="285"/>
      <c r="R89" s="285"/>
      <c r="S89" s="285"/>
      <c r="T89" s="285"/>
      <c r="U89" s="285"/>
      <c r="V89" s="285"/>
    </row>
    <row r="90" spans="13:22">
      <c r="M90" s="285"/>
      <c r="O90" s="285"/>
      <c r="Q90" s="285"/>
      <c r="R90" s="285"/>
      <c r="S90" s="285"/>
      <c r="T90" s="285"/>
      <c r="U90" s="285"/>
      <c r="V90" s="285"/>
    </row>
    <row r="91" spans="13:22">
      <c r="M91" s="285"/>
      <c r="O91" s="285"/>
      <c r="Q91" s="285"/>
      <c r="R91" s="285"/>
      <c r="S91" s="285"/>
      <c r="T91" s="285"/>
      <c r="U91" s="285"/>
      <c r="V91" s="285"/>
    </row>
    <row r="92" spans="13:22">
      <c r="M92" s="285"/>
      <c r="O92" s="285"/>
      <c r="Q92" s="285"/>
      <c r="R92" s="285"/>
      <c r="S92" s="285"/>
      <c r="T92" s="285"/>
      <c r="U92" s="285"/>
      <c r="V92" s="285"/>
    </row>
    <row r="93" spans="13:22">
      <c r="M93" s="285"/>
      <c r="O93" s="285"/>
      <c r="Q93" s="285"/>
      <c r="R93" s="285"/>
      <c r="S93" s="285"/>
      <c r="T93" s="285"/>
      <c r="U93" s="285"/>
      <c r="V93" s="285"/>
    </row>
    <row r="94" spans="13:22">
      <c r="M94" s="285"/>
      <c r="O94" s="285"/>
      <c r="Q94" s="285"/>
      <c r="R94" s="285"/>
      <c r="S94" s="285"/>
      <c r="T94" s="285"/>
      <c r="U94" s="285"/>
      <c r="V94" s="285"/>
    </row>
    <row r="95" spans="13:22">
      <c r="M95" s="285"/>
      <c r="O95" s="285"/>
      <c r="Q95" s="285"/>
      <c r="R95" s="285"/>
      <c r="S95" s="285"/>
      <c r="T95" s="285"/>
      <c r="U95" s="285"/>
      <c r="V95" s="285"/>
    </row>
    <row r="96" spans="13:22">
      <c r="M96" s="285"/>
      <c r="O96" s="285"/>
      <c r="Q96" s="285"/>
      <c r="R96" s="285"/>
      <c r="S96" s="285"/>
      <c r="T96" s="285"/>
      <c r="U96" s="285"/>
      <c r="V96" s="285"/>
    </row>
    <row r="97" spans="13:22">
      <c r="M97" s="285"/>
      <c r="O97" s="285"/>
      <c r="Q97" s="285"/>
      <c r="R97" s="285"/>
      <c r="S97" s="285"/>
      <c r="T97" s="285"/>
      <c r="U97" s="285"/>
      <c r="V97" s="285"/>
    </row>
    <row r="98" spans="13:22">
      <c r="M98" s="285"/>
      <c r="O98" s="285"/>
      <c r="Q98" s="285"/>
      <c r="R98" s="285"/>
      <c r="S98" s="285"/>
      <c r="T98" s="285"/>
      <c r="U98" s="285"/>
      <c r="V98" s="285"/>
    </row>
    <row r="99" spans="13:22">
      <c r="M99" s="285"/>
      <c r="O99" s="285"/>
      <c r="Q99" s="285"/>
      <c r="R99" s="285"/>
      <c r="S99" s="285"/>
      <c r="T99" s="285"/>
      <c r="U99" s="285"/>
      <c r="V99" s="285"/>
    </row>
    <row r="100" spans="13:22">
      <c r="M100" s="285"/>
      <c r="O100" s="285"/>
      <c r="Q100" s="285"/>
      <c r="R100" s="285"/>
      <c r="S100" s="285"/>
      <c r="T100" s="285"/>
      <c r="U100" s="285"/>
      <c r="V100" s="285"/>
    </row>
    <row r="101" spans="13:22">
      <c r="M101" s="285"/>
      <c r="O101" s="285"/>
      <c r="Q101" s="285"/>
      <c r="R101" s="285"/>
      <c r="S101" s="285"/>
      <c r="T101" s="285"/>
      <c r="U101" s="285"/>
      <c r="V101" s="285"/>
    </row>
    <row r="102" spans="13:22">
      <c r="M102" s="285"/>
      <c r="O102" s="285"/>
      <c r="Q102" s="285"/>
      <c r="R102" s="285"/>
      <c r="S102" s="285"/>
      <c r="T102" s="285"/>
      <c r="U102" s="285"/>
      <c r="V102" s="285"/>
    </row>
    <row r="103" spans="13:22">
      <c r="M103" s="285"/>
      <c r="O103" s="285"/>
      <c r="Q103" s="285"/>
      <c r="R103" s="285"/>
      <c r="S103" s="285"/>
      <c r="T103" s="285"/>
      <c r="U103" s="285"/>
      <c r="V103" s="285"/>
    </row>
    <row r="104" spans="13:22">
      <c r="M104" s="285"/>
      <c r="O104" s="285"/>
      <c r="Q104" s="285"/>
      <c r="R104" s="285"/>
      <c r="S104" s="285"/>
      <c r="T104" s="285"/>
      <c r="U104" s="285"/>
      <c r="V104" s="285"/>
    </row>
    <row r="105" spans="13:22">
      <c r="M105" s="285"/>
      <c r="O105" s="285"/>
      <c r="Q105" s="285"/>
      <c r="R105" s="285"/>
      <c r="S105" s="285"/>
      <c r="T105" s="285"/>
      <c r="U105" s="285"/>
      <c r="V105" s="285"/>
    </row>
    <row r="106" spans="13:22">
      <c r="M106" s="285"/>
      <c r="O106" s="285"/>
      <c r="Q106" s="285"/>
      <c r="R106" s="285"/>
      <c r="S106" s="285"/>
      <c r="T106" s="285"/>
      <c r="U106" s="285"/>
      <c r="V106" s="285"/>
    </row>
    <row r="107" spans="13:22">
      <c r="M107" s="285"/>
      <c r="O107" s="285"/>
      <c r="Q107" s="285"/>
      <c r="R107" s="285"/>
      <c r="S107" s="285"/>
      <c r="T107" s="285"/>
      <c r="U107" s="285"/>
      <c r="V107" s="285"/>
    </row>
    <row r="108" spans="13:22">
      <c r="M108" s="285"/>
      <c r="O108" s="285"/>
      <c r="Q108" s="285"/>
      <c r="R108" s="285"/>
      <c r="S108" s="285"/>
      <c r="T108" s="285"/>
      <c r="U108" s="285"/>
      <c r="V108" s="285"/>
    </row>
    <row r="109" spans="13:22">
      <c r="M109" s="285"/>
      <c r="O109" s="285"/>
      <c r="Q109" s="285"/>
      <c r="R109" s="285"/>
      <c r="S109" s="285"/>
      <c r="T109" s="285"/>
      <c r="U109" s="285"/>
      <c r="V109" s="285"/>
    </row>
    <row r="110" spans="13:22">
      <c r="M110" s="285"/>
      <c r="O110" s="285"/>
      <c r="Q110" s="285"/>
      <c r="R110" s="285"/>
      <c r="S110" s="285"/>
      <c r="T110" s="285"/>
      <c r="U110" s="285"/>
      <c r="V110" s="285"/>
    </row>
    <row r="111" spans="13:22">
      <c r="M111" s="285"/>
      <c r="O111" s="285"/>
      <c r="Q111" s="285"/>
      <c r="R111" s="285"/>
      <c r="S111" s="285"/>
      <c r="T111" s="285"/>
      <c r="U111" s="285"/>
      <c r="V111" s="285"/>
    </row>
    <row r="112" spans="13:22">
      <c r="M112" s="285"/>
      <c r="O112" s="285"/>
      <c r="Q112" s="285"/>
      <c r="R112" s="285"/>
      <c r="S112" s="285"/>
      <c r="T112" s="285"/>
      <c r="U112" s="285"/>
      <c r="V112" s="285"/>
    </row>
    <row r="113" spans="13:22">
      <c r="M113" s="285"/>
      <c r="O113" s="285"/>
      <c r="Q113" s="285"/>
      <c r="R113" s="285"/>
      <c r="S113" s="285"/>
      <c r="T113" s="285"/>
      <c r="U113" s="285"/>
      <c r="V113" s="285"/>
    </row>
    <row r="114" spans="13:22">
      <c r="M114" s="285"/>
      <c r="O114" s="285"/>
      <c r="Q114" s="285"/>
      <c r="R114" s="285"/>
      <c r="S114" s="285"/>
      <c r="T114" s="285"/>
      <c r="U114" s="285"/>
      <c r="V114" s="285"/>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5703125" style="246" customWidth="1"/>
    <col min="3" max="3" width="7.42578125" style="246" customWidth="1"/>
    <col min="4" max="4" width="9" style="246" customWidth="1"/>
    <col min="5" max="5" width="40" style="246" customWidth="1"/>
    <col min="6" max="6" width="14.140625" style="246" customWidth="1"/>
    <col min="7" max="8" width="5.85546875" style="247" customWidth="1"/>
    <col min="9" max="9" width="4.85546875" style="246" customWidth="1"/>
    <col min="10" max="10" width="13" style="246" customWidth="1"/>
    <col min="11" max="11" width="12" style="246" customWidth="1"/>
    <col min="12" max="12" width="13.28515625" style="246" customWidth="1"/>
    <col min="13" max="13" width="13.5703125" style="246" customWidth="1"/>
    <col min="14" max="14" width="13.28515625" style="246" customWidth="1"/>
    <col min="15" max="15" width="13.5703125" style="246" customWidth="1"/>
    <col min="16" max="16" width="11.7109375" style="246" customWidth="1"/>
    <col min="17" max="17" width="6.140625" style="246" customWidth="1"/>
    <col min="18" max="18" width="8.140625" style="246" customWidth="1"/>
    <col min="19" max="19" width="7.28515625" style="246" customWidth="1"/>
    <col min="20" max="20" width="12.7109375" style="246" customWidth="1"/>
    <col min="21" max="21" width="7.140625" style="246" customWidth="1"/>
    <col min="22" max="22" width="13.85546875" style="246" customWidth="1"/>
    <col min="23" max="23" width="5.85546875" style="246" customWidth="1"/>
    <col min="24" max="24" width="7.140625" style="246" customWidth="1"/>
    <col min="25" max="25" width="6" style="246" customWidth="1"/>
    <col min="26" max="26" width="11.28515625" style="246" customWidth="1"/>
    <col min="27" max="28" width="11.5703125" style="246" customWidth="1"/>
    <col min="29" max="29" width="12" style="246" customWidth="1"/>
    <col min="30" max="30" width="6.5703125" style="246" customWidth="1"/>
    <col min="31" max="31" width="15.7109375" style="246" customWidth="1"/>
    <col min="32" max="32" width="13" style="246" customWidth="1"/>
    <col min="33" max="33" width="6.42578125" style="246" customWidth="1"/>
    <col min="34" max="34" width="6.28515625" style="246" customWidth="1"/>
    <col min="35" max="36" width="12.5703125" style="246" customWidth="1"/>
    <col min="37" max="37" width="6.28515625" style="246" customWidth="1"/>
    <col min="38" max="38" width="14.42578125" style="246" customWidth="1"/>
    <col min="39" max="39" width="7" style="246" customWidth="1"/>
    <col min="40" max="40" width="12.5703125" style="246" customWidth="1"/>
    <col min="41" max="41" width="6.140625" style="246" customWidth="1"/>
    <col min="42" max="42" width="5.28515625" style="246" customWidth="1"/>
    <col min="43" max="43" width="12.5703125" style="246" customWidth="1"/>
    <col min="44" max="44" width="4.85546875" style="246" customWidth="1"/>
    <col min="45" max="45" width="12.5703125" style="246" customWidth="1"/>
    <col min="46" max="46" width="10.140625" style="246" customWidth="1"/>
    <col min="47" max="47" width="11.85546875" style="246" customWidth="1"/>
    <col min="48" max="48" width="9.140625" style="246" customWidth="1"/>
    <col min="49" max="49" width="10.7109375" style="246" customWidth="1"/>
    <col min="50" max="53" width="7.28515625" style="246" customWidth="1"/>
    <col min="54" max="71" width="9.140625" style="246"/>
    <col min="72" max="72" width="5.5703125" style="246" customWidth="1"/>
    <col min="73" max="73" width="12.5703125" style="246" customWidth="1"/>
    <col min="74" max="74" width="5.5703125" style="246" customWidth="1"/>
    <col min="75" max="75" width="12.5703125" style="246" customWidth="1"/>
    <col min="76" max="76" width="6.42578125" style="246" customWidth="1"/>
    <col min="77" max="77" width="13" style="246" customWidth="1"/>
    <col min="78" max="103" width="9.140625" style="246"/>
    <col min="104" max="105" width="12.85546875" style="246" customWidth="1"/>
    <col min="106" max="16384" width="9.140625" style="246"/>
  </cols>
  <sheetData>
    <row r="1" spans="1:105" ht="12.75" customHeight="1">
      <c r="A1" s="242"/>
      <c r="B1" s="243" t="s">
        <v>121</v>
      </c>
      <c r="C1" s="244"/>
      <c r="D1" s="244"/>
      <c r="E1" s="245"/>
      <c r="I1" s="244"/>
      <c r="M1" s="1256" t="s">
        <v>189</v>
      </c>
      <c r="N1" s="1256"/>
      <c r="O1" s="1256"/>
      <c r="P1" s="1256"/>
      <c r="Q1" s="1256"/>
      <c r="R1" s="1256"/>
      <c r="S1" s="1256"/>
      <c r="X1" s="244"/>
      <c r="Y1" s="244"/>
      <c r="Z1" s="245"/>
      <c r="AA1" s="245"/>
      <c r="AB1" s="245"/>
      <c r="AC1" s="245"/>
      <c r="AD1" s="245"/>
      <c r="AE1" s="245"/>
      <c r="AF1" s="245"/>
      <c r="AG1" s="245"/>
      <c r="AH1" s="245"/>
      <c r="AI1" s="245"/>
      <c r="AJ1" s="245"/>
      <c r="AK1" s="245"/>
      <c r="AL1" s="245"/>
      <c r="AM1" s="245"/>
      <c r="AN1" s="245"/>
      <c r="AO1" s="245"/>
      <c r="AP1" s="245"/>
      <c r="AQ1" s="245"/>
      <c r="AR1" s="245"/>
      <c r="AS1" s="245"/>
      <c r="AT1" s="244"/>
      <c r="AU1" s="244"/>
      <c r="AV1" s="244"/>
      <c r="AW1" s="244"/>
      <c r="AX1" s="244"/>
      <c r="AY1" s="244"/>
      <c r="AZ1" s="244"/>
      <c r="BA1" s="244"/>
    </row>
    <row r="2" spans="1:105" ht="12.75" customHeight="1">
      <c r="A2" s="242"/>
      <c r="B2" s="243" t="s">
        <v>178</v>
      </c>
      <c r="C2" s="244"/>
      <c r="D2" s="244"/>
      <c r="E2" s="244"/>
      <c r="I2" s="248"/>
      <c r="M2" s="1257" t="s">
        <v>144</v>
      </c>
      <c r="N2" s="1257"/>
      <c r="O2" s="1257"/>
      <c r="P2" s="1257"/>
      <c r="Q2" s="1257"/>
      <c r="R2" s="1257"/>
      <c r="S2" s="1257"/>
      <c r="X2" s="248"/>
      <c r="Y2" s="248"/>
      <c r="Z2" s="249"/>
      <c r="AA2" s="249"/>
      <c r="AB2" s="249"/>
      <c r="AC2" s="249"/>
      <c r="AD2" s="249"/>
      <c r="AE2" s="249"/>
      <c r="AF2" s="249"/>
      <c r="AG2" s="249"/>
      <c r="AH2" s="249"/>
      <c r="AI2" s="249"/>
      <c r="AJ2" s="249"/>
      <c r="AK2" s="249"/>
      <c r="AL2" s="249"/>
      <c r="AM2" s="249"/>
      <c r="AN2" s="249"/>
      <c r="AO2" s="249"/>
      <c r="AP2" s="249"/>
      <c r="AQ2" s="249"/>
      <c r="AR2" s="249"/>
      <c r="AS2" s="249"/>
      <c r="AT2" s="248"/>
      <c r="AU2" s="248"/>
      <c r="AV2" s="248"/>
      <c r="AW2" s="248"/>
      <c r="AX2" s="248"/>
      <c r="AY2" s="248"/>
      <c r="AZ2" s="248"/>
      <c r="BA2" s="248"/>
    </row>
    <row r="3" spans="1:105" ht="10.5" customHeight="1">
      <c r="A3" s="244"/>
      <c r="B3" s="244"/>
      <c r="C3" s="244"/>
      <c r="D3" s="244"/>
      <c r="E3" s="244"/>
      <c r="F3" s="248"/>
      <c r="G3" s="250"/>
      <c r="H3" s="250"/>
      <c r="I3" s="248"/>
      <c r="M3" s="1257"/>
      <c r="N3" s="1257"/>
      <c r="O3" s="1257"/>
      <c r="P3" s="1257"/>
      <c r="Q3" s="1257"/>
      <c r="R3" s="1257"/>
      <c r="S3" s="1257"/>
      <c r="X3" s="248"/>
      <c r="Y3" s="248"/>
      <c r="Z3" s="249"/>
      <c r="AA3" s="249"/>
      <c r="AB3" s="249"/>
      <c r="AC3" s="249"/>
      <c r="AD3" s="249"/>
      <c r="AE3" s="249"/>
      <c r="AF3" s="249"/>
      <c r="AG3" s="249"/>
      <c r="AH3" s="249"/>
      <c r="AI3" s="249"/>
      <c r="AJ3" s="249"/>
      <c r="AK3" s="249"/>
      <c r="AL3" s="249"/>
      <c r="AM3" s="249"/>
      <c r="AN3" s="249"/>
      <c r="AO3" s="249"/>
      <c r="AP3" s="249"/>
      <c r="AQ3" s="249"/>
      <c r="AR3" s="249"/>
      <c r="AS3" s="249"/>
      <c r="AT3" s="248"/>
      <c r="AU3" s="248"/>
      <c r="AV3" s="248"/>
      <c r="AW3" s="248"/>
      <c r="AX3" s="248"/>
      <c r="AY3" s="248"/>
      <c r="AZ3" s="248"/>
      <c r="BA3" s="248"/>
    </row>
    <row r="4" spans="1:105" ht="19.5" customHeight="1">
      <c r="B4" s="1258" t="s">
        <v>112</v>
      </c>
      <c r="C4" s="1258"/>
      <c r="D4" s="1258"/>
      <c r="E4" s="1258"/>
      <c r="F4" s="1258"/>
      <c r="G4" s="1258"/>
      <c r="H4" s="1258"/>
      <c r="I4" s="1258"/>
      <c r="J4" s="1258"/>
      <c r="K4" s="1258"/>
      <c r="L4" s="1258"/>
      <c r="M4" s="1258"/>
      <c r="N4" s="1258"/>
      <c r="O4" s="1258"/>
      <c r="P4" s="1258"/>
      <c r="Q4" s="1258"/>
      <c r="R4" s="1258"/>
      <c r="S4" s="251"/>
      <c r="T4" s="251"/>
      <c r="U4" s="251"/>
      <c r="V4" s="251"/>
      <c r="W4" s="251"/>
      <c r="X4" s="252"/>
      <c r="Y4" s="252"/>
      <c r="Z4" s="251"/>
      <c r="AA4" s="251"/>
      <c r="AB4" s="251"/>
      <c r="AC4" s="251"/>
      <c r="AD4" s="251"/>
      <c r="AE4" s="251"/>
      <c r="AF4" s="251"/>
      <c r="AG4" s="251"/>
      <c r="AH4" s="251"/>
      <c r="AI4" s="251"/>
      <c r="AJ4" s="251"/>
      <c r="AK4" s="251"/>
      <c r="AL4" s="251"/>
      <c r="AM4" s="251"/>
      <c r="AN4" s="251"/>
      <c r="AO4" s="251"/>
      <c r="AP4" s="251"/>
      <c r="AQ4" s="251"/>
      <c r="AR4" s="251"/>
      <c r="AS4" s="251"/>
      <c r="AT4" s="253"/>
      <c r="AU4" s="253"/>
      <c r="AV4" s="253"/>
      <c r="AW4" s="253"/>
      <c r="AX4" s="253"/>
      <c r="AY4" s="253"/>
      <c r="AZ4" s="253"/>
      <c r="BA4" s="253"/>
    </row>
    <row r="5" spans="1:105" ht="15">
      <c r="B5" s="1259" t="s">
        <v>190</v>
      </c>
      <c r="C5" s="1259"/>
      <c r="D5" s="1259"/>
      <c r="E5" s="1259"/>
      <c r="F5" s="1259"/>
      <c r="G5" s="1259"/>
      <c r="H5" s="1259"/>
      <c r="I5" s="1259"/>
      <c r="J5" s="1259"/>
      <c r="K5" s="1259"/>
      <c r="L5" s="1259"/>
      <c r="M5" s="1259"/>
      <c r="N5" s="1259"/>
      <c r="O5" s="1259"/>
      <c r="P5" s="1259"/>
      <c r="Q5" s="1259"/>
      <c r="R5" s="1259"/>
      <c r="S5" s="254"/>
      <c r="T5" s="254"/>
      <c r="U5" s="254"/>
      <c r="V5" s="254"/>
      <c r="W5" s="254"/>
      <c r="X5" s="255"/>
      <c r="Y5" s="255"/>
      <c r="Z5" s="254"/>
      <c r="AA5" s="254"/>
      <c r="AB5" s="254"/>
      <c r="AC5" s="254"/>
      <c r="AD5" s="254"/>
      <c r="AE5" s="254"/>
      <c r="AF5" s="254"/>
      <c r="AG5" s="254"/>
      <c r="AH5" s="254"/>
      <c r="AI5" s="254"/>
      <c r="AJ5" s="254"/>
      <c r="AK5" s="254"/>
      <c r="AL5" s="254"/>
      <c r="AM5" s="254"/>
      <c r="AN5" s="254"/>
      <c r="AO5" s="254"/>
      <c r="AP5" s="254"/>
      <c r="AQ5" s="254"/>
      <c r="AR5" s="254"/>
      <c r="AS5" s="254"/>
    </row>
    <row r="6" spans="1:105">
      <c r="P6" s="246" t="s">
        <v>148</v>
      </c>
    </row>
    <row r="7" spans="1:105" ht="13.5" customHeight="1">
      <c r="A7" s="1260" t="s">
        <v>37</v>
      </c>
      <c r="B7" s="1254" t="s">
        <v>22</v>
      </c>
      <c r="C7" s="1262" t="s">
        <v>1</v>
      </c>
      <c r="D7" s="1263"/>
      <c r="E7" s="1254" t="s">
        <v>0</v>
      </c>
      <c r="F7" s="1254" t="s">
        <v>113</v>
      </c>
      <c r="G7" s="1264" t="s">
        <v>114</v>
      </c>
      <c r="H7" s="1264"/>
      <c r="I7" s="1255" t="s">
        <v>37</v>
      </c>
      <c r="J7" s="1254" t="s">
        <v>191</v>
      </c>
      <c r="K7" s="1254"/>
      <c r="L7" s="1254" t="s">
        <v>192</v>
      </c>
      <c r="M7" s="1254"/>
      <c r="N7" s="1254" t="s">
        <v>266</v>
      </c>
      <c r="O7" s="1254"/>
      <c r="P7" s="1254" t="s">
        <v>652</v>
      </c>
      <c r="Q7" s="1254"/>
      <c r="R7" s="1254" t="s">
        <v>193</v>
      </c>
      <c r="S7" s="1254"/>
      <c r="T7" s="1254" t="s">
        <v>194</v>
      </c>
      <c r="U7" s="1254"/>
      <c r="V7" s="1254" t="s">
        <v>653</v>
      </c>
      <c r="W7" s="1254"/>
      <c r="X7" s="1254" t="s">
        <v>654</v>
      </c>
      <c r="Y7" s="1254"/>
      <c r="Z7" s="1254" t="s">
        <v>655</v>
      </c>
      <c r="AA7" s="1254"/>
      <c r="AB7" s="1254" t="s">
        <v>656</v>
      </c>
      <c r="AC7" s="1254"/>
      <c r="AD7" s="1254" t="s">
        <v>657</v>
      </c>
      <c r="AE7" s="1254"/>
      <c r="AF7" s="1254" t="s">
        <v>658</v>
      </c>
      <c r="AG7" s="1254"/>
      <c r="AH7" s="1254" t="s">
        <v>659</v>
      </c>
      <c r="AI7" s="1254"/>
      <c r="AJ7" s="1254" t="s">
        <v>660</v>
      </c>
      <c r="AK7" s="1254"/>
      <c r="AL7" s="1254" t="s">
        <v>661</v>
      </c>
      <c r="AM7" s="1254"/>
      <c r="AN7" s="1254" t="s">
        <v>662</v>
      </c>
      <c r="AO7" s="1254"/>
      <c r="AP7" s="1254" t="s">
        <v>663</v>
      </c>
      <c r="AQ7" s="1254"/>
      <c r="AR7" s="1254" t="s">
        <v>664</v>
      </c>
      <c r="AS7" s="1254"/>
      <c r="AT7" s="1254" t="s">
        <v>195</v>
      </c>
      <c r="AU7" s="1254"/>
      <c r="AV7" s="1254" t="s">
        <v>196</v>
      </c>
      <c r="AW7" s="1254"/>
      <c r="AX7" s="1254" t="s">
        <v>665</v>
      </c>
      <c r="AY7" s="1254"/>
      <c r="AZ7" s="1254" t="s">
        <v>666</v>
      </c>
      <c r="BA7" s="1254"/>
      <c r="BB7" s="1254" t="s">
        <v>667</v>
      </c>
      <c r="BC7" s="1254"/>
      <c r="BD7" s="1254" t="s">
        <v>197</v>
      </c>
      <c r="BE7" s="1254"/>
      <c r="BF7" s="1254" t="s">
        <v>668</v>
      </c>
      <c r="BG7" s="1254"/>
      <c r="BH7" s="1254" t="s">
        <v>198</v>
      </c>
      <c r="BI7" s="1254"/>
      <c r="BJ7" s="1254" t="s">
        <v>669</v>
      </c>
      <c r="BK7" s="1254"/>
      <c r="BL7" s="1254" t="s">
        <v>670</v>
      </c>
      <c r="BM7" s="1254"/>
      <c r="BN7" s="1254" t="s">
        <v>671</v>
      </c>
      <c r="BO7" s="1254"/>
      <c r="BP7" s="1254" t="s">
        <v>672</v>
      </c>
      <c r="BQ7" s="1254"/>
      <c r="BR7" s="1254" t="s">
        <v>199</v>
      </c>
      <c r="BS7" s="1254"/>
      <c r="BT7" s="1254" t="s">
        <v>200</v>
      </c>
      <c r="BU7" s="1254"/>
      <c r="BV7" s="1254" t="s">
        <v>261</v>
      </c>
      <c r="BW7" s="1254"/>
      <c r="BX7" s="1254" t="s">
        <v>201</v>
      </c>
      <c r="BY7" s="1254"/>
      <c r="BZ7" s="1254" t="s">
        <v>202</v>
      </c>
      <c r="CA7" s="1254"/>
      <c r="CB7" s="1254" t="s">
        <v>203</v>
      </c>
      <c r="CC7" s="1254"/>
      <c r="CD7" s="1254" t="s">
        <v>673</v>
      </c>
      <c r="CE7" s="1254"/>
      <c r="CF7" s="1254" t="s">
        <v>674</v>
      </c>
      <c r="CG7" s="1254"/>
      <c r="CH7" s="1254" t="s">
        <v>204</v>
      </c>
      <c r="CI7" s="1254"/>
      <c r="CJ7" s="1254" t="s">
        <v>675</v>
      </c>
      <c r="CK7" s="1254"/>
      <c r="CL7" s="1254" t="s">
        <v>676</v>
      </c>
      <c r="CM7" s="1254"/>
      <c r="CN7" s="1254" t="s">
        <v>205</v>
      </c>
      <c r="CO7" s="1254"/>
      <c r="CP7" s="1254" t="s">
        <v>677</v>
      </c>
      <c r="CQ7" s="1254"/>
      <c r="CR7" s="1254" t="s">
        <v>206</v>
      </c>
      <c r="CS7" s="1254"/>
      <c r="CT7" s="1254" t="s">
        <v>207</v>
      </c>
      <c r="CU7" s="1254"/>
      <c r="CV7" s="1254" t="s">
        <v>208</v>
      </c>
      <c r="CW7" s="1254"/>
      <c r="CX7" s="1254" t="s">
        <v>209</v>
      </c>
      <c r="CY7" s="1254"/>
      <c r="CZ7" s="1254" t="s">
        <v>210</v>
      </c>
      <c r="DA7" s="1254"/>
    </row>
    <row r="8" spans="1:105" ht="22.5" customHeight="1">
      <c r="A8" s="1261"/>
      <c r="B8" s="1254"/>
      <c r="C8" s="794" t="s">
        <v>17</v>
      </c>
      <c r="D8" s="793" t="s">
        <v>34</v>
      </c>
      <c r="E8" s="1254"/>
      <c r="F8" s="1254"/>
      <c r="G8" s="795" t="s">
        <v>24</v>
      </c>
      <c r="H8" s="795" t="s">
        <v>25</v>
      </c>
      <c r="I8" s="1255"/>
      <c r="J8" s="793" t="s">
        <v>24</v>
      </c>
      <c r="K8" s="793" t="s">
        <v>25</v>
      </c>
      <c r="L8" s="793" t="s">
        <v>24</v>
      </c>
      <c r="M8" s="793" t="s">
        <v>25</v>
      </c>
      <c r="N8" s="793" t="s">
        <v>24</v>
      </c>
      <c r="O8" s="793" t="s">
        <v>25</v>
      </c>
      <c r="P8" s="793" t="s">
        <v>24</v>
      </c>
      <c r="Q8" s="793" t="s">
        <v>25</v>
      </c>
      <c r="R8" s="793" t="s">
        <v>24</v>
      </c>
      <c r="S8" s="793" t="s">
        <v>25</v>
      </c>
      <c r="T8" s="793" t="s">
        <v>24</v>
      </c>
      <c r="U8" s="793" t="s">
        <v>25</v>
      </c>
      <c r="V8" s="793" t="s">
        <v>24</v>
      </c>
      <c r="W8" s="793" t="s">
        <v>25</v>
      </c>
      <c r="X8" s="793" t="s">
        <v>24</v>
      </c>
      <c r="Y8" s="793" t="s">
        <v>25</v>
      </c>
      <c r="Z8" s="793" t="s">
        <v>24</v>
      </c>
      <c r="AA8" s="793" t="s">
        <v>25</v>
      </c>
      <c r="AB8" s="793" t="s">
        <v>24</v>
      </c>
      <c r="AC8" s="793" t="s">
        <v>25</v>
      </c>
      <c r="AD8" s="793" t="s">
        <v>24</v>
      </c>
      <c r="AE8" s="793" t="s">
        <v>25</v>
      </c>
      <c r="AF8" s="793" t="s">
        <v>24</v>
      </c>
      <c r="AG8" s="793" t="s">
        <v>25</v>
      </c>
      <c r="AH8" s="793" t="s">
        <v>24</v>
      </c>
      <c r="AI8" s="793" t="s">
        <v>25</v>
      </c>
      <c r="AJ8" s="793" t="s">
        <v>24</v>
      </c>
      <c r="AK8" s="793" t="s">
        <v>25</v>
      </c>
      <c r="AL8" s="793" t="s">
        <v>24</v>
      </c>
      <c r="AM8" s="793" t="s">
        <v>25</v>
      </c>
      <c r="AN8" s="793" t="s">
        <v>24</v>
      </c>
      <c r="AO8" s="793" t="s">
        <v>25</v>
      </c>
      <c r="AP8" s="793" t="s">
        <v>24</v>
      </c>
      <c r="AQ8" s="793" t="s">
        <v>25</v>
      </c>
      <c r="AR8" s="793" t="s">
        <v>24</v>
      </c>
      <c r="AS8" s="793" t="s">
        <v>25</v>
      </c>
      <c r="AT8" s="793" t="s">
        <v>24</v>
      </c>
      <c r="AU8" s="793" t="s">
        <v>25</v>
      </c>
      <c r="AV8" s="793" t="s">
        <v>24</v>
      </c>
      <c r="AW8" s="793" t="s">
        <v>25</v>
      </c>
      <c r="AX8" s="793" t="s">
        <v>24</v>
      </c>
      <c r="AY8" s="793" t="s">
        <v>25</v>
      </c>
      <c r="AZ8" s="793" t="s">
        <v>24</v>
      </c>
      <c r="BA8" s="793" t="s">
        <v>25</v>
      </c>
      <c r="BB8" s="793" t="s">
        <v>24</v>
      </c>
      <c r="BC8" s="793" t="s">
        <v>25</v>
      </c>
      <c r="BD8" s="793" t="s">
        <v>24</v>
      </c>
      <c r="BE8" s="793" t="s">
        <v>25</v>
      </c>
      <c r="BF8" s="793" t="s">
        <v>24</v>
      </c>
      <c r="BG8" s="793" t="s">
        <v>25</v>
      </c>
      <c r="BH8" s="793" t="s">
        <v>24</v>
      </c>
      <c r="BI8" s="793" t="s">
        <v>25</v>
      </c>
      <c r="BJ8" s="793" t="s">
        <v>24</v>
      </c>
      <c r="BK8" s="793" t="s">
        <v>25</v>
      </c>
      <c r="BL8" s="793" t="s">
        <v>24</v>
      </c>
      <c r="BM8" s="793" t="s">
        <v>25</v>
      </c>
      <c r="BN8" s="793" t="s">
        <v>24</v>
      </c>
      <c r="BO8" s="793" t="s">
        <v>25</v>
      </c>
      <c r="BP8" s="793" t="s">
        <v>24</v>
      </c>
      <c r="BQ8" s="793" t="s">
        <v>25</v>
      </c>
      <c r="BR8" s="793" t="s">
        <v>24</v>
      </c>
      <c r="BS8" s="793" t="s">
        <v>25</v>
      </c>
      <c r="BT8" s="793" t="s">
        <v>24</v>
      </c>
      <c r="BU8" s="793" t="s">
        <v>25</v>
      </c>
      <c r="BV8" s="793" t="s">
        <v>24</v>
      </c>
      <c r="BW8" s="793" t="s">
        <v>25</v>
      </c>
      <c r="BX8" s="793" t="s">
        <v>24</v>
      </c>
      <c r="BY8" s="793" t="s">
        <v>25</v>
      </c>
      <c r="BZ8" s="793" t="s">
        <v>24</v>
      </c>
      <c r="CA8" s="793" t="s">
        <v>25</v>
      </c>
      <c r="CB8" s="793" t="s">
        <v>24</v>
      </c>
      <c r="CC8" s="793" t="s">
        <v>25</v>
      </c>
      <c r="CD8" s="793" t="s">
        <v>24</v>
      </c>
      <c r="CE8" s="793" t="s">
        <v>25</v>
      </c>
      <c r="CF8" s="793" t="s">
        <v>24</v>
      </c>
      <c r="CG8" s="793" t="s">
        <v>25</v>
      </c>
      <c r="CH8" s="793" t="s">
        <v>24</v>
      </c>
      <c r="CI8" s="793" t="s">
        <v>25</v>
      </c>
      <c r="CJ8" s="793" t="s">
        <v>24</v>
      </c>
      <c r="CK8" s="793" t="s">
        <v>25</v>
      </c>
      <c r="CL8" s="793" t="s">
        <v>24</v>
      </c>
      <c r="CM8" s="793" t="s">
        <v>25</v>
      </c>
      <c r="CN8" s="793" t="s">
        <v>24</v>
      </c>
      <c r="CO8" s="793" t="s">
        <v>25</v>
      </c>
      <c r="CP8" s="793" t="s">
        <v>24</v>
      </c>
      <c r="CQ8" s="793" t="s">
        <v>25</v>
      </c>
      <c r="CR8" s="793" t="s">
        <v>24</v>
      </c>
      <c r="CS8" s="793" t="s">
        <v>25</v>
      </c>
      <c r="CT8" s="793" t="s">
        <v>24</v>
      </c>
      <c r="CU8" s="793" t="s">
        <v>25</v>
      </c>
      <c r="CV8" s="793" t="s">
        <v>24</v>
      </c>
      <c r="CW8" s="793" t="s">
        <v>25</v>
      </c>
      <c r="CX8" s="793" t="s">
        <v>24</v>
      </c>
      <c r="CY8" s="793" t="s">
        <v>25</v>
      </c>
      <c r="CZ8" s="793" t="s">
        <v>24</v>
      </c>
      <c r="DA8" s="793"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CDPS!C10</f>
        <v>1807122022.5</v>
      </c>
      <c r="K10" s="264">
        <f>CDPS!D10</f>
        <v>0</v>
      </c>
      <c r="L10" s="264">
        <f>CDPS!C12</f>
        <v>9382419</v>
      </c>
      <c r="M10" s="264">
        <f>CDPS!D12</f>
        <v>0</v>
      </c>
      <c r="N10" s="264">
        <f>CDPS!C13</f>
        <v>7381692.9499816895</v>
      </c>
      <c r="O10" s="264">
        <f>CDPS!D13</f>
        <v>0</v>
      </c>
      <c r="P10" s="264">
        <f>CDPS!C15</f>
        <v>57038792896</v>
      </c>
      <c r="Q10" s="264">
        <f>CDPS!D15</f>
        <v>0</v>
      </c>
      <c r="R10" s="264">
        <f>CDPS!C16</f>
        <v>518470991</v>
      </c>
      <c r="S10" s="264">
        <f>CDPS!D16</f>
        <v>0</v>
      </c>
      <c r="T10" s="264">
        <f>CDPS!C18</f>
        <v>0</v>
      </c>
      <c r="U10" s="264">
        <f>CDPS!D18</f>
        <v>0</v>
      </c>
      <c r="V10" s="264">
        <f>CDPS!C20</f>
        <v>0</v>
      </c>
      <c r="W10" s="264">
        <f>CDPS!D20</f>
        <v>0</v>
      </c>
      <c r="X10" s="264">
        <f>CDPS!C21</f>
        <v>0</v>
      </c>
      <c r="Y10" s="264">
        <f>CDPS!D21</f>
        <v>0</v>
      </c>
      <c r="Z10" s="264">
        <f>CDPS!C22</f>
        <v>351991384</v>
      </c>
      <c r="AA10" s="264">
        <f>CDPS!D22</f>
        <v>0</v>
      </c>
      <c r="AB10" s="264">
        <f>CDPS!C24</f>
        <v>49990909</v>
      </c>
      <c r="AC10" s="264">
        <f>CDPS!D24</f>
        <v>0</v>
      </c>
      <c r="AD10" s="264">
        <f>CDPS!C25</f>
        <v>1450841000</v>
      </c>
      <c r="AE10" s="264">
        <f>CDPS!D25</f>
        <v>0</v>
      </c>
      <c r="AF10" s="264">
        <f>CDPS!C26</f>
        <v>3468509299</v>
      </c>
      <c r="AG10" s="264">
        <f>CDPS!D26</f>
        <v>0</v>
      </c>
      <c r="AH10" s="264">
        <f>CDPS!C27</f>
        <v>7770361541</v>
      </c>
      <c r="AI10" s="264">
        <f>CDPS!D27</f>
        <v>0</v>
      </c>
      <c r="AJ10" s="264">
        <f>CDPS!C28</f>
        <v>3807898863</v>
      </c>
      <c r="AK10" s="264">
        <f>CDPS!D28</f>
        <v>0</v>
      </c>
      <c r="AL10" s="264">
        <f>CDPS!C29</f>
        <v>3790918485</v>
      </c>
      <c r="AM10" s="264">
        <f>CDPS!D29</f>
        <v>0</v>
      </c>
      <c r="AN10" s="264">
        <f>CDPS!C31</f>
        <v>5405781300</v>
      </c>
      <c r="AO10" s="264">
        <f>CDPS!D31</f>
        <v>0</v>
      </c>
      <c r="AP10" s="264">
        <f>CDPS!C33</f>
        <v>0</v>
      </c>
      <c r="AQ10" s="264">
        <f>CDPS!D33</f>
        <v>9758261933</v>
      </c>
      <c r="AR10" s="264">
        <f>CDPS!C34</f>
        <v>0</v>
      </c>
      <c r="AS10" s="264">
        <f>CDPS!D34</f>
        <v>720770838</v>
      </c>
      <c r="AT10" s="264">
        <f>CDPS!C36</f>
        <v>0</v>
      </c>
      <c r="AU10" s="264">
        <f>CDPS!D36</f>
        <v>0</v>
      </c>
      <c r="AV10" s="264">
        <f>CDPS!C38</f>
        <v>0</v>
      </c>
      <c r="AW10" s="264">
        <f>CDPS!D38</f>
        <v>37054109099</v>
      </c>
      <c r="AX10" s="264"/>
      <c r="AY10" s="264"/>
      <c r="AZ10" s="264"/>
      <c r="BA10" s="264"/>
      <c r="BB10" s="264"/>
      <c r="BC10" s="264"/>
      <c r="BD10" s="264">
        <f>CDPS!C42</f>
        <v>9756564</v>
      </c>
      <c r="BE10" s="264">
        <f>CDPS!D42</f>
        <v>0</v>
      </c>
      <c r="BF10" s="264">
        <f>CDPS!C43</f>
        <v>3389804</v>
      </c>
      <c r="BG10" s="264">
        <f>CDPS!D43</f>
        <v>0</v>
      </c>
      <c r="BH10" s="264">
        <f>CDPS!C44</f>
        <v>0</v>
      </c>
      <c r="BI10" s="264">
        <f>CDPS!D44</f>
        <v>0</v>
      </c>
      <c r="BJ10" s="264">
        <f>CDPS!C47</f>
        <v>0</v>
      </c>
      <c r="BK10" s="264">
        <f>CDPS!D47</f>
        <v>0</v>
      </c>
      <c r="BL10" s="264">
        <f>CDPS!C49</f>
        <v>0</v>
      </c>
      <c r="BM10" s="264">
        <f>CDPS!D49</f>
        <v>106628549</v>
      </c>
      <c r="BN10" s="264">
        <f>CDPS!C50</f>
        <v>0</v>
      </c>
      <c r="BO10" s="264">
        <f>CDPS!D50</f>
        <v>4469220</v>
      </c>
      <c r="BP10" s="264">
        <f>CDPS!C51</f>
        <v>0</v>
      </c>
      <c r="BQ10" s="264">
        <f>CDPS!D51</f>
        <v>1986320</v>
      </c>
      <c r="BR10" s="264">
        <f>CDPS!C52</f>
        <v>0</v>
      </c>
      <c r="BS10" s="264">
        <f>CDPS!D52</f>
        <v>0</v>
      </c>
      <c r="BT10" s="264">
        <f>CDPS!C54</f>
        <v>0</v>
      </c>
      <c r="BU10" s="264">
        <f>CDPS!D54</f>
        <v>0</v>
      </c>
      <c r="BV10" s="264">
        <f>CDPS!C55</f>
        <v>0</v>
      </c>
      <c r="BW10" s="264">
        <f>CDPS!D55</f>
        <v>27284564849.050003</v>
      </c>
      <c r="BX10" s="264">
        <f>CDPS!C57</f>
        <v>0</v>
      </c>
      <c r="BY10" s="264">
        <f>CDPS!D57</f>
        <v>10000000000</v>
      </c>
      <c r="BZ10" s="264">
        <f>CDPS!C59</f>
        <v>0</v>
      </c>
      <c r="CA10" s="264">
        <f>CDPS!D59</f>
        <v>527246020.00000048</v>
      </c>
      <c r="CB10" s="264">
        <f>CDPS!C60</f>
        <v>0</v>
      </c>
      <c r="CC10" s="264">
        <f>CDPS!D60</f>
        <v>0</v>
      </c>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row>
    <row r="11" spans="1:105" s="265" customFormat="1" ht="12.75" customHeight="1">
      <c r="A11" s="62">
        <f t="array" aca="1" ref="A11" ca="1">IF(C11&lt;&gt;0,SUM(($C$11:C11&lt;&gt;0)*1),"")</f>
        <v>1</v>
      </c>
      <c r="B11" s="266" t="str">
        <f ca="1">IF(ROWS($1:1)&gt;COUNT(Dong6),"",OFFSET(TH!C$1,SMALL(Dong6,ROWS($1:1)),))</f>
        <v/>
      </c>
      <c r="C11" s="266" t="str">
        <f ca="1">IF(ROWS($1:1)&gt;COUNT(Dong6),"",OFFSET(TH!D$1,SMALL(Dong6,ROWS($1:1)),))</f>
        <v/>
      </c>
      <c r="D11" s="266" t="str">
        <f ca="1">IF(ROWS($1:1)&gt;COUNT(Dong6),"",OFFSET(TH!E$1,SMALL(Dong6,ROWS($1:1)),))</f>
        <v/>
      </c>
      <c r="E11" s="316" t="str">
        <f ca="1">IF(ROWS($1:1)&gt;COUNT(Dong6),"",OFFSET(TH!F$1,SMALL(Dong6,ROWS($1:1)),))</f>
        <v/>
      </c>
      <c r="F11" s="317" t="str">
        <f ca="1">IF(ROWS($1:1)&gt;COUNT(Dong6),"",OFFSET(TH!M$1,SMALL(Dong6,ROWS($1:1)),))</f>
        <v/>
      </c>
      <c r="G11" s="318" t="str">
        <f ca="1">IF(ROWS($1:1)&gt;COUNT(Dong6),"",OFFSET(TH!N$1,SMALL(Dong6,ROWS($1:1)),))</f>
        <v/>
      </c>
      <c r="H11" s="318" t="str">
        <f ca="1">IF(ROWS($1:1)&gt;COUNT(Dong6),"",OFFSET(TH!O$1,SMALL(Dong6,ROWS($1:1)),))</f>
        <v/>
      </c>
      <c r="I11" s="62">
        <f t="shared" ref="I11:I34" ca="1" si="0">A11</f>
        <v>1</v>
      </c>
      <c r="J11" s="268">
        <f ca="1">IF($G11="1111",$F11,0)</f>
        <v>0</v>
      </c>
      <c r="K11" s="268">
        <f ca="1">IF($H11="1111",$F11,0)</f>
        <v>0</v>
      </c>
      <c r="L11" s="268">
        <f t="shared" ref="L11:L51" ca="1" si="1">IF($G11="1121",$F11,0)</f>
        <v>0</v>
      </c>
      <c r="M11" s="268">
        <f t="shared" ref="M11:M51" ca="1" si="2">IF($H11="1121",$F11,0)</f>
        <v>0</v>
      </c>
      <c r="N11" s="268">
        <f t="shared" ref="N11:N51" ca="1" si="3">IF($G11="1122",$F11,0)</f>
        <v>0</v>
      </c>
      <c r="O11" s="268">
        <f t="shared" ref="O11:O51" ca="1" si="4">IF($H11="1122",$F11,0)</f>
        <v>0</v>
      </c>
      <c r="P11" s="268">
        <f t="shared" ref="P11:P51" ca="1" si="5">IF($G11="131",$F11,0)</f>
        <v>0</v>
      </c>
      <c r="Q11" s="268">
        <f t="shared" ref="Q11:Q51" ca="1" si="6">IF($H11="131",$F11,0)</f>
        <v>0</v>
      </c>
      <c r="R11" s="268">
        <f t="shared" ref="R11:R51" ca="1" si="7">IF($G11="1331",$F11,0)</f>
        <v>0</v>
      </c>
      <c r="S11" s="268">
        <f t="shared" ref="S11:S51" ca="1" si="8">IF($H11="1331",$F11,0)</f>
        <v>0</v>
      </c>
      <c r="T11" s="268">
        <f t="shared" ref="T11:T51" ca="1" si="9">IF($G11="1388",$F11,0)</f>
        <v>0</v>
      </c>
      <c r="U11" s="268">
        <f t="shared" ref="U11:U51" ca="1" si="10">IF($H11="1388",$F11,0)</f>
        <v>0</v>
      </c>
      <c r="V11" s="268">
        <f t="shared" ref="V11:V51" ca="1" si="11">IF($G11="141",$F11,0)</f>
        <v>0</v>
      </c>
      <c r="W11" s="268">
        <f t="shared" ref="W11:W51" ca="1" si="12">IF($H11="141",$F11,0)</f>
        <v>0</v>
      </c>
      <c r="X11" s="268">
        <f t="shared" ref="X11:X51" ca="1" si="13">IF($G11="1521",$F11,0)</f>
        <v>0</v>
      </c>
      <c r="Y11" s="268">
        <f t="shared" ref="Y11:Y51" ca="1" si="14">IF($H11="1521",$F11,0)</f>
        <v>0</v>
      </c>
      <c r="Z11" s="268">
        <f t="shared" ref="Z11:Z51" ca="1" si="15">IF($G11="1522",$F11,0)</f>
        <v>0</v>
      </c>
      <c r="AA11" s="268">
        <f t="shared" ref="AA11:AA51" ca="1" si="16">IF($H11="1522",$F11,0)</f>
        <v>0</v>
      </c>
      <c r="AB11" s="268">
        <f ca="1">IF($G11="153",$F11,0)</f>
        <v>0</v>
      </c>
      <c r="AC11" s="268">
        <f ca="1">IF($H11="153",$F11,0)</f>
        <v>0</v>
      </c>
      <c r="AD11" s="268">
        <f t="shared" ref="AD11:AD51" ca="1" si="17">IF($G11="154",$F11,0)</f>
        <v>0</v>
      </c>
      <c r="AE11" s="268">
        <f t="shared" ref="AE11:AE51" ca="1" si="18">IF($H11="154",$F11,0)</f>
        <v>0</v>
      </c>
      <c r="AF11" s="268">
        <f t="shared" ref="AF11:AF51" ca="1" si="19">IF($G11="155",$F11,0)</f>
        <v>0</v>
      </c>
      <c r="AG11" s="268">
        <f t="shared" ref="AG11:AG51"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1" ca="1" si="21">IF($G11="2141",$F11,0)</f>
        <v>0</v>
      </c>
      <c r="AQ11" s="268">
        <f t="shared" ref="AQ11:AQ51" ca="1" si="22">IF($H11="2141",$F11,0)</f>
        <v>0</v>
      </c>
      <c r="AR11" s="268">
        <f t="shared" ref="AR11:AR51" ca="1" si="23">IF($G11="2143",$F11,0)</f>
        <v>0</v>
      </c>
      <c r="AS11" s="268">
        <f t="shared" ref="AS11:AS51" ca="1" si="24">IF($H11="2143",$F11,0)</f>
        <v>0</v>
      </c>
      <c r="AT11" s="268">
        <f ca="1">IF($G11="2412",$F11,0)</f>
        <v>0</v>
      </c>
      <c r="AU11" s="268">
        <f ca="1">IF($H11="2412",$F11,0)</f>
        <v>0</v>
      </c>
      <c r="AV11" s="268">
        <f t="shared" ref="AV11:AV51" ca="1" si="25">IF($G11="331",$F11,0)</f>
        <v>0</v>
      </c>
      <c r="AW11" s="268">
        <f t="shared" ref="AW11:AW51" ca="1" si="26">IF($H11="331",$F11,0)</f>
        <v>0</v>
      </c>
      <c r="AX11" s="268">
        <f t="shared" ref="AX11:AX51" ca="1" si="27">IF($G11="33311",$F11,0)</f>
        <v>0</v>
      </c>
      <c r="AY11" s="268">
        <f t="shared" ref="AY11:AY51" ca="1" si="28">IF($H11="33311",$F11,0)</f>
        <v>0</v>
      </c>
      <c r="AZ11" s="268">
        <f t="shared" ref="AZ11:AZ51" ca="1" si="29">IF($G11="33312",$F11,0)</f>
        <v>0</v>
      </c>
      <c r="BA11" s="268">
        <f t="shared" ref="BA11:BA51" ca="1" si="30">IF($H11="33312",$F11,0)</f>
        <v>0</v>
      </c>
      <c r="BB11" s="268">
        <f t="shared" ref="BB11:BB51" ca="1" si="31">IF($G11="3333",$F11,0)</f>
        <v>0</v>
      </c>
      <c r="BC11" s="268">
        <f t="shared" ref="BC11:BC51" ca="1" si="32">IF($H11="3333",$F11,0)</f>
        <v>0</v>
      </c>
      <c r="BD11" s="268">
        <f t="shared" ref="BD11:BD51" ca="1" si="33">IF($G11="3334",$F11,0)</f>
        <v>0</v>
      </c>
      <c r="BE11" s="268">
        <f t="shared" ref="BE11:BE51" ca="1" si="34">IF($H11="3334",$F11,0)</f>
        <v>0</v>
      </c>
      <c r="BF11" s="268">
        <f t="shared" ref="BF11:BF51" ca="1" si="35">IF($G11="3335",$F11,0)</f>
        <v>0</v>
      </c>
      <c r="BG11" s="268">
        <f t="shared" ref="BG11:BG51" ca="1" si="36">IF($H11="3335",$F11,0)</f>
        <v>0</v>
      </c>
      <c r="BH11" s="268">
        <f ca="1">IF($G11="33382",$F11,0)</f>
        <v>0</v>
      </c>
      <c r="BI11" s="268">
        <f ca="1">IF($H11="33382",$F11,0)</f>
        <v>0</v>
      </c>
      <c r="BJ11" s="268">
        <f t="shared" ref="BJ11:BJ51" ca="1" si="37">IF($G11="3341",$F11,0)</f>
        <v>0</v>
      </c>
      <c r="BK11" s="268">
        <f t="shared" ref="BK11:BK51" ca="1" si="38">IF($H11="3341",$F11,0)</f>
        <v>0</v>
      </c>
      <c r="BL11" s="268">
        <f t="shared" ref="BL11:BL51" ca="1" si="39">IF($G11="3383",$F11,0)</f>
        <v>0</v>
      </c>
      <c r="BM11" s="268">
        <f t="shared" ref="BM11:BM51" ca="1" si="40">IF($H11="3383",$F11,0)</f>
        <v>0</v>
      </c>
      <c r="BN11" s="268">
        <f t="shared" ref="BN11:BN51" ca="1" si="41">IF($G11="3384",$F11,0)</f>
        <v>0</v>
      </c>
      <c r="BO11" s="268">
        <f t="shared" ref="BO11:BO51" ca="1" si="42">IF($H11="3384",$F11,0)</f>
        <v>0</v>
      </c>
      <c r="BP11" s="268">
        <f ca="1">IF($G11="3386",$F11,0)</f>
        <v>0</v>
      </c>
      <c r="BQ11" s="268">
        <f ca="1">IF($H11="3386",$F11,0)</f>
        <v>0</v>
      </c>
      <c r="BR11" s="268">
        <f t="shared" ref="BR11:BR51" ca="1" si="43">IF($G11="3388",$F11,0)</f>
        <v>0</v>
      </c>
      <c r="BS11" s="268">
        <f t="shared" ref="BS11:BS51" ca="1" si="44">IF($H11="3388",$F11,0)</f>
        <v>0</v>
      </c>
      <c r="BT11" s="268">
        <f ca="1">IF($G11="3411",$F11,0)</f>
        <v>0</v>
      </c>
      <c r="BU11" s="268">
        <f ca="1">IF($H11="3411",$F11,0)</f>
        <v>0</v>
      </c>
      <c r="BV11" s="268">
        <f ca="1">IF($G11="3412",$F11,0)</f>
        <v>0</v>
      </c>
      <c r="BW11" s="268">
        <f ca="1">IF($H11="3412",$F11,0)</f>
        <v>0</v>
      </c>
      <c r="BX11" s="268">
        <f t="shared" ref="BX11:BX51" ca="1" si="45">IF($G11="4111",$F11,0)</f>
        <v>0</v>
      </c>
      <c r="BY11" s="268">
        <f t="shared" ref="BY11:BY51" ca="1" si="46">IF($H11="4111",$F11,0)</f>
        <v>0</v>
      </c>
      <c r="BZ11" s="268">
        <f t="shared" ref="BZ11:BZ51" ca="1" si="47">IF($G11="4211",$F11,0)</f>
        <v>0</v>
      </c>
      <c r="CA11" s="268">
        <f t="shared" ref="CA11:CA51" ca="1" si="48">IF($H11="4211",$F11,0)</f>
        <v>0</v>
      </c>
      <c r="CB11" s="268">
        <f t="shared" ref="CB11:CB51" ca="1" si="49">IF($G11="4212",$F11,0)</f>
        <v>0</v>
      </c>
      <c r="CC11" s="268">
        <f t="shared" ref="CC11:CC51" ca="1" si="50">IF($H11="4212",$F11,0)</f>
        <v>0</v>
      </c>
      <c r="CD11" s="268">
        <f ca="1">IF($G11="5112N",$F11,0)</f>
        <v>0</v>
      </c>
      <c r="CE11" s="268">
        <f ca="1">IF($H11="5112N",$F11,0)</f>
        <v>0</v>
      </c>
      <c r="CF11" s="268">
        <f ca="1">IF($G11="5112X",$F11,0)</f>
        <v>0</v>
      </c>
      <c r="CG11" s="268">
        <f ca="1">IF($H11="5112X",$F11,0)</f>
        <v>0</v>
      </c>
      <c r="CH11" s="268">
        <f t="shared" ref="CH11:CH51" ca="1" si="51">IF($G11="515",$F11,0)</f>
        <v>0</v>
      </c>
      <c r="CI11" s="268">
        <f t="shared" ref="CI11:CI51" ca="1" si="52">IF($H11="515",$F11,0)</f>
        <v>0</v>
      </c>
      <c r="CJ11" s="268">
        <f ca="1">IF($G11="5213",$F11,0)</f>
        <v>0</v>
      </c>
      <c r="CK11" s="268">
        <f ca="1">IF($H11="5213",$F11,0)</f>
        <v>0</v>
      </c>
      <c r="CL11" s="268">
        <f t="shared" ref="CL11:CL51" ca="1" si="53">IF($G11="632",$F11,0)</f>
        <v>0</v>
      </c>
      <c r="CM11" s="268">
        <f t="shared" ref="CM11:CM51" ca="1" si="54">IF($H11="632",$F11,0)</f>
        <v>0</v>
      </c>
      <c r="CN11" s="268">
        <f t="shared" ref="CN11:CN51" ca="1" si="55">IF($G11="635",$F11,0)</f>
        <v>0</v>
      </c>
      <c r="CO11" s="268">
        <f t="shared" ref="CO11:CO51" ca="1" si="56">IF($H11="635",$F11,0)</f>
        <v>0</v>
      </c>
      <c r="CP11" s="268">
        <f ca="1">IF($G11="641",$F11,0)</f>
        <v>0</v>
      </c>
      <c r="CQ11" s="268">
        <f ca="1">IF($H11="641",$F11,0)</f>
        <v>0</v>
      </c>
      <c r="CR11" s="268">
        <f ca="1">IF($G11="642",$F11,0)</f>
        <v>0</v>
      </c>
      <c r="CS11" s="268">
        <f ca="1">IF($H11="642",$F11,0)</f>
        <v>0</v>
      </c>
      <c r="CT11" s="268">
        <f t="shared" ref="CT11:CT51" ca="1" si="57">IF($G11="711",$F11,0)</f>
        <v>0</v>
      </c>
      <c r="CU11" s="268">
        <f t="shared" ref="CU11:CU51" ca="1" si="58">IF($H11="711",$F11,0)</f>
        <v>0</v>
      </c>
      <c r="CV11" s="268">
        <f t="shared" ref="CV11:CV51" ca="1" si="59">IF($G11="811",$F11,0)</f>
        <v>0</v>
      </c>
      <c r="CW11" s="268">
        <f t="shared" ref="CW11:CW51" ca="1" si="60">IF($H11="811",$F11,0)</f>
        <v>0</v>
      </c>
      <c r="CX11" s="268">
        <f ca="1">IF($G11="821",$F11,0)</f>
        <v>0</v>
      </c>
      <c r="CY11" s="268">
        <f ca="1">IF($H11="821",$F11,0)</f>
        <v>0</v>
      </c>
      <c r="CZ11" s="268">
        <f ca="1">IF($G11="911",$F11,0)</f>
        <v>0</v>
      </c>
      <c r="DA11" s="268">
        <f ca="1">IF($H11="911",$F11,0)</f>
        <v>0</v>
      </c>
    </row>
    <row r="12" spans="1:105" s="265" customFormat="1" ht="15" customHeight="1">
      <c r="A12" s="62">
        <f t="array" aca="1" ref="A12" ca="1">IF(C12&lt;&gt;0,SUM(($C$11:C12&lt;&gt;0)*1),"")</f>
        <v>2</v>
      </c>
      <c r="B12" s="266" t="str">
        <f ca="1">IF(ROWS($1:2)&gt;COUNT(Dong6),"",OFFSET(TH!C$1,SMALL(Dong6,ROWS($1:2)),))</f>
        <v/>
      </c>
      <c r="C12" s="266" t="str">
        <f ca="1">IF(ROWS($1:2)&gt;COUNT(Dong6),"",OFFSET(TH!D$1,SMALL(Dong6,ROWS($1:2)),))</f>
        <v/>
      </c>
      <c r="D12" s="266" t="str">
        <f ca="1">IF(ROWS($1:2)&gt;COUNT(Dong6),"",OFFSET(TH!E$1,SMALL(Dong6,ROWS($1:2)),))</f>
        <v/>
      </c>
      <c r="E12" s="316" t="str">
        <f ca="1">IF(ROWS($1:2)&gt;COUNT(Dong6),"",OFFSET(TH!F$1,SMALL(Dong6,ROWS($1:2)),))</f>
        <v/>
      </c>
      <c r="F12" s="317" t="str">
        <f ca="1">IF(ROWS($1:2)&gt;COUNT(Dong6),"",OFFSET(TH!M$1,SMALL(Dong6,ROWS($1:2)),))</f>
        <v/>
      </c>
      <c r="G12" s="318" t="str">
        <f ca="1">IF(ROWS($1:2)&gt;COUNT(Dong6),"",OFFSET(TH!N$1,SMALL(Dong6,ROWS($1:2)),))</f>
        <v/>
      </c>
      <c r="H12" s="318" t="str">
        <f ca="1">IF(ROWS($1:2)&gt;COUNT(Dong6),"",OFFSET(TH!O$1,SMALL(Dong6,ROWS($1:2)),))</f>
        <v/>
      </c>
      <c r="I12" s="62">
        <f t="shared" ca="1" si="0"/>
        <v>2</v>
      </c>
      <c r="J12" s="268">
        <f t="shared" ref="J12:J51" ca="1" si="61">IF($G12="1111",$F12,0)</f>
        <v>0</v>
      </c>
      <c r="K12" s="268">
        <f t="shared" ref="K12:K51" ca="1" si="62">IF($H12="1111",$F12,0)</f>
        <v>0</v>
      </c>
      <c r="L12" s="268">
        <f t="shared" ca="1" si="1"/>
        <v>0</v>
      </c>
      <c r="M12" s="268">
        <f t="shared" ca="1" si="2"/>
        <v>0</v>
      </c>
      <c r="N12" s="268">
        <f t="shared" ca="1" si="3"/>
        <v>0</v>
      </c>
      <c r="O12" s="268">
        <f t="shared" ca="1" si="4"/>
        <v>0</v>
      </c>
      <c r="P12" s="268">
        <f t="shared" ca="1" si="5"/>
        <v>0</v>
      </c>
      <c r="Q12" s="268">
        <f t="shared" ca="1" si="6"/>
        <v>0</v>
      </c>
      <c r="R12" s="268">
        <f t="shared" ca="1" si="7"/>
        <v>0</v>
      </c>
      <c r="S12" s="268">
        <f t="shared" ca="1" si="8"/>
        <v>0</v>
      </c>
      <c r="T12" s="268">
        <f t="shared" ca="1" si="9"/>
        <v>0</v>
      </c>
      <c r="U12" s="268">
        <f t="shared" ca="1" si="10"/>
        <v>0</v>
      </c>
      <c r="V12" s="268">
        <f t="shared" ca="1" si="11"/>
        <v>0</v>
      </c>
      <c r="W12" s="268">
        <f t="shared" ca="1" si="12"/>
        <v>0</v>
      </c>
      <c r="X12" s="268">
        <f t="shared" ca="1" si="13"/>
        <v>0</v>
      </c>
      <c r="Y12" s="268">
        <f t="shared" ca="1" si="14"/>
        <v>0</v>
      </c>
      <c r="Z12" s="268">
        <f t="shared" ca="1" si="15"/>
        <v>0</v>
      </c>
      <c r="AA12" s="268">
        <f t="shared" ca="1" si="16"/>
        <v>0</v>
      </c>
      <c r="AB12" s="268">
        <f t="shared" ref="AB12:AB51" ca="1" si="63">IF($G12="153",$F12,0)</f>
        <v>0</v>
      </c>
      <c r="AC12" s="268">
        <f t="shared" ref="AC12:AC51" ca="1" si="64">IF($H12="153",$F12,0)</f>
        <v>0</v>
      </c>
      <c r="AD12" s="268">
        <f t="shared" ca="1" si="17"/>
        <v>0</v>
      </c>
      <c r="AE12" s="268">
        <f t="shared" ca="1" si="18"/>
        <v>0</v>
      </c>
      <c r="AF12" s="268">
        <f t="shared" ca="1" si="19"/>
        <v>0</v>
      </c>
      <c r="AG12" s="268">
        <f t="shared" ca="1" si="20"/>
        <v>0</v>
      </c>
      <c r="AH12" s="268">
        <f t="shared" ref="AH12:AH51" ca="1" si="65">IF($G12="2111",$F12,0)</f>
        <v>0</v>
      </c>
      <c r="AI12" s="268">
        <f t="shared" ref="AI12:AI51" ca="1" si="66">IF($H12="2111",$F12,0)</f>
        <v>0</v>
      </c>
      <c r="AJ12" s="268">
        <f t="shared" ref="AJ12:AJ51" ca="1" si="67">IF($G12="2112",$F12,0)</f>
        <v>0</v>
      </c>
      <c r="AK12" s="268">
        <f t="shared" ref="AK12:AK51" ca="1" si="68">IF($H12="2112",$F12,0)</f>
        <v>0</v>
      </c>
      <c r="AL12" s="268">
        <f t="shared" ref="AL12:AL51" ca="1" si="69">IF($G12="2113",$F12,0)</f>
        <v>0</v>
      </c>
      <c r="AM12" s="268">
        <f t="shared" ref="AM12:AM51" ca="1" si="70">IF($H12="2113",$F12,0)</f>
        <v>0</v>
      </c>
      <c r="AN12" s="268">
        <f t="shared" ref="AN12:AN51" ca="1" si="71">IF($G12="2131",$F12,0)</f>
        <v>0</v>
      </c>
      <c r="AO12" s="268">
        <f t="shared" ref="AO12:AO51" ca="1" si="72">IF($H12="2131",$F12,0)</f>
        <v>0</v>
      </c>
      <c r="AP12" s="268">
        <f t="shared" ca="1" si="21"/>
        <v>0</v>
      </c>
      <c r="AQ12" s="268">
        <f t="shared" ca="1" si="22"/>
        <v>0</v>
      </c>
      <c r="AR12" s="268">
        <f t="shared" ca="1" si="23"/>
        <v>0</v>
      </c>
      <c r="AS12" s="268">
        <f t="shared" ca="1" si="24"/>
        <v>0</v>
      </c>
      <c r="AT12" s="268">
        <f t="shared" ref="AT12:AT38" ca="1" si="73">IF($G12="2412",$F12,0)</f>
        <v>0</v>
      </c>
      <c r="AU12" s="268">
        <f t="shared" ref="AU12:AU38" ca="1" si="74">IF($H12="2412",$F12,0)</f>
        <v>0</v>
      </c>
      <c r="AV12" s="268">
        <f t="shared" ca="1" si="25"/>
        <v>0</v>
      </c>
      <c r="AW12" s="268">
        <f t="shared" ca="1" si="26"/>
        <v>0</v>
      </c>
      <c r="AX12" s="268">
        <f t="shared" ca="1" si="27"/>
        <v>0</v>
      </c>
      <c r="AY12" s="268">
        <f t="shared" ca="1" si="28"/>
        <v>0</v>
      </c>
      <c r="AZ12" s="268">
        <f t="shared" ca="1" si="29"/>
        <v>0</v>
      </c>
      <c r="BA12" s="268">
        <f t="shared" ca="1" si="30"/>
        <v>0</v>
      </c>
      <c r="BB12" s="268">
        <f t="shared" ca="1" si="31"/>
        <v>0</v>
      </c>
      <c r="BC12" s="268">
        <f t="shared" ca="1" si="32"/>
        <v>0</v>
      </c>
      <c r="BD12" s="268">
        <f t="shared" ca="1" si="33"/>
        <v>0</v>
      </c>
      <c r="BE12" s="268">
        <f t="shared" ca="1" si="34"/>
        <v>0</v>
      </c>
      <c r="BF12" s="268">
        <f t="shared" ca="1" si="35"/>
        <v>0</v>
      </c>
      <c r="BG12" s="268">
        <f t="shared" ca="1" si="36"/>
        <v>0</v>
      </c>
      <c r="BH12" s="268">
        <f t="shared" ref="BH12:BH51" ca="1" si="75">IF($G12="33382",$F12,0)</f>
        <v>0</v>
      </c>
      <c r="BI12" s="268">
        <f t="shared" ref="BI12:BI51" ca="1" si="76">IF($H12="33382",$F12,0)</f>
        <v>0</v>
      </c>
      <c r="BJ12" s="268">
        <f t="shared" ca="1" si="37"/>
        <v>0</v>
      </c>
      <c r="BK12" s="268">
        <f t="shared" ca="1" si="38"/>
        <v>0</v>
      </c>
      <c r="BL12" s="268">
        <f t="shared" ca="1" si="39"/>
        <v>0</v>
      </c>
      <c r="BM12" s="268">
        <f t="shared" ca="1" si="40"/>
        <v>0</v>
      </c>
      <c r="BN12" s="268">
        <f t="shared" ca="1" si="41"/>
        <v>0</v>
      </c>
      <c r="BO12" s="268">
        <f t="shared" ca="1" si="42"/>
        <v>0</v>
      </c>
      <c r="BP12" s="268">
        <f t="shared" ref="BP12:BP51" ca="1" si="77">IF($G12="3386",$F12,0)</f>
        <v>0</v>
      </c>
      <c r="BQ12" s="268">
        <f t="shared" ref="BQ12:BQ51" ca="1" si="78">IF($H12="3386",$F12,0)</f>
        <v>0</v>
      </c>
      <c r="BR12" s="268">
        <f t="shared" ca="1" si="43"/>
        <v>0</v>
      </c>
      <c r="BS12" s="268">
        <f t="shared" ca="1" si="44"/>
        <v>0</v>
      </c>
      <c r="BT12" s="268">
        <f t="shared" ref="BT12:BT51" ca="1" si="79">IF($G12="3411",$F12,0)</f>
        <v>0</v>
      </c>
      <c r="BU12" s="268">
        <f t="shared" ref="BU12:BU51" ca="1" si="80">IF($H12="3411",$F12,0)</f>
        <v>0</v>
      </c>
      <c r="BV12" s="268">
        <f t="shared" ref="BV12:BV38" ca="1" si="81">IF($G12="3412",$F12,0)</f>
        <v>0</v>
      </c>
      <c r="BW12" s="268">
        <f t="shared" ref="BW12:BW38" ca="1" si="82">IF($H12="3412",$F12,0)</f>
        <v>0</v>
      </c>
      <c r="BX12" s="268">
        <f t="shared" ca="1" si="45"/>
        <v>0</v>
      </c>
      <c r="BY12" s="268">
        <f t="shared" ca="1" si="46"/>
        <v>0</v>
      </c>
      <c r="BZ12" s="268">
        <f t="shared" ca="1" si="47"/>
        <v>0</v>
      </c>
      <c r="CA12" s="268">
        <f t="shared" ca="1" si="48"/>
        <v>0</v>
      </c>
      <c r="CB12" s="268">
        <f t="shared" ca="1" si="49"/>
        <v>0</v>
      </c>
      <c r="CC12" s="268">
        <f t="shared" ca="1" si="50"/>
        <v>0</v>
      </c>
      <c r="CD12" s="268">
        <f t="shared" ref="CD12:CD51" ca="1" si="83">IF($G12="5112N",$F12,0)</f>
        <v>0</v>
      </c>
      <c r="CE12" s="268">
        <f t="shared" ref="CE12:CE51" ca="1" si="84">IF($H12="5112N",$F12,0)</f>
        <v>0</v>
      </c>
      <c r="CF12" s="268">
        <f t="shared" ref="CF12:CF51" ca="1" si="85">IF($G12="5112X",$F12,0)</f>
        <v>0</v>
      </c>
      <c r="CG12" s="268">
        <f t="shared" ref="CG12:CG51" ca="1" si="86">IF($H12="5112X",$F12,0)</f>
        <v>0</v>
      </c>
      <c r="CH12" s="268">
        <f t="shared" ca="1" si="51"/>
        <v>0</v>
      </c>
      <c r="CI12" s="268">
        <f t="shared" ca="1" si="52"/>
        <v>0</v>
      </c>
      <c r="CJ12" s="268">
        <f t="shared" ref="CJ12:CJ51" ca="1" si="87">IF($G12="5213",$F12,0)</f>
        <v>0</v>
      </c>
      <c r="CK12" s="268">
        <f t="shared" ref="CK12:CK51" ca="1" si="88">IF($H12="5213",$F12,0)</f>
        <v>0</v>
      </c>
      <c r="CL12" s="268">
        <f t="shared" ca="1" si="53"/>
        <v>0</v>
      </c>
      <c r="CM12" s="268">
        <f t="shared" ca="1" si="54"/>
        <v>0</v>
      </c>
      <c r="CN12" s="268">
        <f t="shared" ca="1" si="55"/>
        <v>0</v>
      </c>
      <c r="CO12" s="268">
        <f t="shared" ca="1" si="56"/>
        <v>0</v>
      </c>
      <c r="CP12" s="268">
        <f t="shared" ref="CP12:CP51" ca="1" si="89">IF($G12="641",$F12,0)</f>
        <v>0</v>
      </c>
      <c r="CQ12" s="268">
        <f t="shared" ref="CQ12:CQ51" ca="1" si="90">IF($H12="641",$F12,0)</f>
        <v>0</v>
      </c>
      <c r="CR12" s="268">
        <f t="shared" ref="CR12:CR51" ca="1" si="91">IF($G12="642",$F12,0)</f>
        <v>0</v>
      </c>
      <c r="CS12" s="268">
        <f t="shared" ref="CS12:CS51" ca="1" si="92">IF($H12="642",$F12,0)</f>
        <v>0</v>
      </c>
      <c r="CT12" s="268">
        <f t="shared" ca="1" si="57"/>
        <v>0</v>
      </c>
      <c r="CU12" s="268">
        <f t="shared" ca="1" si="58"/>
        <v>0</v>
      </c>
      <c r="CV12" s="268">
        <f t="shared" ca="1" si="59"/>
        <v>0</v>
      </c>
      <c r="CW12" s="268">
        <f t="shared" ca="1" si="60"/>
        <v>0</v>
      </c>
      <c r="CX12" s="268">
        <f t="shared" ref="CX12:CX51" ca="1" si="93">IF($G12="821",$F12,0)</f>
        <v>0</v>
      </c>
      <c r="CY12" s="268">
        <f t="shared" ref="CY12:CY51" ca="1" si="94">IF($H12="821",$F12,0)</f>
        <v>0</v>
      </c>
      <c r="CZ12" s="268">
        <f t="shared" ref="CZ12:CZ51" ca="1" si="95">IF($G12="911",$F12,0)</f>
        <v>0</v>
      </c>
      <c r="DA12" s="268">
        <f t="shared" ref="DA12:DA51" ca="1" si="96">IF($H12="911",$F12,0)</f>
        <v>0</v>
      </c>
    </row>
    <row r="13" spans="1:105" s="265" customFormat="1" ht="15" customHeight="1">
      <c r="A13" s="62">
        <f t="array" aca="1" ref="A13" ca="1">IF(C13&lt;&gt;0,SUM(($C$11:C13&lt;&gt;0)*1),"")</f>
        <v>3</v>
      </c>
      <c r="B13" s="266" t="str">
        <f ca="1">IF(ROWS($1:3)&gt;COUNT(Dong6),"",OFFSET(TH!C$1,SMALL(Dong6,ROWS($1:3)),))</f>
        <v/>
      </c>
      <c r="C13" s="266" t="str">
        <f ca="1">IF(ROWS($1:3)&gt;COUNT(Dong6),"",OFFSET(TH!D$1,SMALL(Dong6,ROWS($1:3)),))</f>
        <v/>
      </c>
      <c r="D13" s="266" t="str">
        <f ca="1">IF(ROWS($1:3)&gt;COUNT(Dong6),"",OFFSET(TH!E$1,SMALL(Dong6,ROWS($1:3)),))</f>
        <v/>
      </c>
      <c r="E13" s="316" t="str">
        <f ca="1">IF(ROWS($1:3)&gt;COUNT(Dong6),"",OFFSET(TH!F$1,SMALL(Dong6,ROWS($1:3)),))</f>
        <v/>
      </c>
      <c r="F13" s="317" t="str">
        <f ca="1">IF(ROWS($1:3)&gt;COUNT(Dong6),"",OFFSET(TH!M$1,SMALL(Dong6,ROWS($1:3)),))</f>
        <v/>
      </c>
      <c r="G13" s="318" t="str">
        <f ca="1">IF(ROWS($1:3)&gt;COUNT(Dong6),"",OFFSET(TH!N$1,SMALL(Dong6,ROWS($1:3)),))</f>
        <v/>
      </c>
      <c r="H13" s="318" t="str">
        <f ca="1">IF(ROWS($1:3)&gt;COUNT(Dong6),"",OFFSET(TH!O$1,SMALL(Dong6,ROWS($1:3)),))</f>
        <v/>
      </c>
      <c r="I13" s="62">
        <f t="shared" ca="1" si="0"/>
        <v>3</v>
      </c>
      <c r="J13" s="268">
        <f t="shared" ca="1" si="61"/>
        <v>0</v>
      </c>
      <c r="K13" s="268">
        <f t="shared" ca="1" si="62"/>
        <v>0</v>
      </c>
      <c r="L13" s="268">
        <f t="shared" ca="1" si="1"/>
        <v>0</v>
      </c>
      <c r="M13" s="268">
        <f t="shared" ca="1" si="2"/>
        <v>0</v>
      </c>
      <c r="N13" s="268">
        <f t="shared" ca="1" si="3"/>
        <v>0</v>
      </c>
      <c r="O13" s="268">
        <f t="shared" ca="1" si="4"/>
        <v>0</v>
      </c>
      <c r="P13" s="268">
        <f t="shared" ca="1" si="5"/>
        <v>0</v>
      </c>
      <c r="Q13" s="268">
        <f t="shared" ca="1" si="6"/>
        <v>0</v>
      </c>
      <c r="R13" s="268">
        <f t="shared" ca="1" si="7"/>
        <v>0</v>
      </c>
      <c r="S13" s="268">
        <f t="shared" ca="1" si="8"/>
        <v>0</v>
      </c>
      <c r="T13" s="268">
        <f t="shared" ca="1" si="9"/>
        <v>0</v>
      </c>
      <c r="U13" s="268">
        <f t="shared" ca="1" si="10"/>
        <v>0</v>
      </c>
      <c r="V13" s="268">
        <f t="shared" ca="1" si="11"/>
        <v>0</v>
      </c>
      <c r="W13" s="268">
        <f t="shared" ca="1" si="12"/>
        <v>0</v>
      </c>
      <c r="X13" s="268">
        <f t="shared" ca="1" si="13"/>
        <v>0</v>
      </c>
      <c r="Y13" s="268">
        <f t="shared" ca="1" si="14"/>
        <v>0</v>
      </c>
      <c r="Z13" s="268">
        <f t="shared" ca="1" si="15"/>
        <v>0</v>
      </c>
      <c r="AA13" s="268">
        <f t="shared" ca="1" si="16"/>
        <v>0</v>
      </c>
      <c r="AB13" s="268">
        <f t="shared" ca="1" si="63"/>
        <v>0</v>
      </c>
      <c r="AC13" s="268">
        <f t="shared" ca="1" si="64"/>
        <v>0</v>
      </c>
      <c r="AD13" s="268">
        <f t="shared" ca="1" si="17"/>
        <v>0</v>
      </c>
      <c r="AE13" s="268">
        <f t="shared" ca="1" si="18"/>
        <v>0</v>
      </c>
      <c r="AF13" s="268">
        <f t="shared" ca="1" si="19"/>
        <v>0</v>
      </c>
      <c r="AG13" s="268">
        <f t="shared" ca="1" si="20"/>
        <v>0</v>
      </c>
      <c r="AH13" s="268">
        <f t="shared" ca="1" si="65"/>
        <v>0</v>
      </c>
      <c r="AI13" s="268">
        <f t="shared" ca="1" si="66"/>
        <v>0</v>
      </c>
      <c r="AJ13" s="268">
        <f t="shared" ca="1" si="67"/>
        <v>0</v>
      </c>
      <c r="AK13" s="268">
        <f t="shared" ca="1" si="68"/>
        <v>0</v>
      </c>
      <c r="AL13" s="268">
        <f t="shared" ca="1" si="69"/>
        <v>0</v>
      </c>
      <c r="AM13" s="268">
        <f t="shared" ca="1" si="70"/>
        <v>0</v>
      </c>
      <c r="AN13" s="268">
        <f t="shared" ca="1" si="71"/>
        <v>0</v>
      </c>
      <c r="AO13" s="268">
        <f t="shared" ca="1" si="72"/>
        <v>0</v>
      </c>
      <c r="AP13" s="268">
        <f t="shared" ca="1" si="21"/>
        <v>0</v>
      </c>
      <c r="AQ13" s="268">
        <f t="shared" ca="1" si="22"/>
        <v>0</v>
      </c>
      <c r="AR13" s="268">
        <f t="shared" ca="1" si="23"/>
        <v>0</v>
      </c>
      <c r="AS13" s="268">
        <f t="shared" ca="1" si="24"/>
        <v>0</v>
      </c>
      <c r="AT13" s="268">
        <f t="shared" ca="1" si="73"/>
        <v>0</v>
      </c>
      <c r="AU13" s="268">
        <f t="shared" ca="1" si="74"/>
        <v>0</v>
      </c>
      <c r="AV13" s="268">
        <f t="shared" ca="1" si="25"/>
        <v>0</v>
      </c>
      <c r="AW13" s="268">
        <f t="shared" ca="1" si="26"/>
        <v>0</v>
      </c>
      <c r="AX13" s="268">
        <f t="shared" ca="1" si="27"/>
        <v>0</v>
      </c>
      <c r="AY13" s="268">
        <f t="shared" ca="1" si="28"/>
        <v>0</v>
      </c>
      <c r="AZ13" s="268">
        <f t="shared" ca="1" si="29"/>
        <v>0</v>
      </c>
      <c r="BA13" s="268">
        <f t="shared" ca="1" si="30"/>
        <v>0</v>
      </c>
      <c r="BB13" s="268">
        <f t="shared" ca="1" si="31"/>
        <v>0</v>
      </c>
      <c r="BC13" s="268">
        <f t="shared" ca="1" si="32"/>
        <v>0</v>
      </c>
      <c r="BD13" s="268">
        <f t="shared" ca="1" si="33"/>
        <v>0</v>
      </c>
      <c r="BE13" s="268">
        <f t="shared" ca="1" si="34"/>
        <v>0</v>
      </c>
      <c r="BF13" s="268">
        <f t="shared" ca="1" si="35"/>
        <v>0</v>
      </c>
      <c r="BG13" s="268">
        <f t="shared" ca="1" si="36"/>
        <v>0</v>
      </c>
      <c r="BH13" s="268">
        <f t="shared" ca="1" si="75"/>
        <v>0</v>
      </c>
      <c r="BI13" s="268">
        <f t="shared" ca="1" si="76"/>
        <v>0</v>
      </c>
      <c r="BJ13" s="268">
        <f t="shared" ca="1" si="37"/>
        <v>0</v>
      </c>
      <c r="BK13" s="268">
        <f t="shared" ca="1" si="38"/>
        <v>0</v>
      </c>
      <c r="BL13" s="268">
        <f t="shared" ca="1" si="39"/>
        <v>0</v>
      </c>
      <c r="BM13" s="268">
        <f t="shared" ca="1" si="40"/>
        <v>0</v>
      </c>
      <c r="BN13" s="268">
        <f t="shared" ca="1" si="41"/>
        <v>0</v>
      </c>
      <c r="BO13" s="268">
        <f t="shared" ca="1" si="42"/>
        <v>0</v>
      </c>
      <c r="BP13" s="268">
        <f t="shared" ca="1" si="77"/>
        <v>0</v>
      </c>
      <c r="BQ13" s="268">
        <f t="shared" ca="1" si="78"/>
        <v>0</v>
      </c>
      <c r="BR13" s="268">
        <f t="shared" ca="1" si="43"/>
        <v>0</v>
      </c>
      <c r="BS13" s="268">
        <f t="shared" ca="1" si="44"/>
        <v>0</v>
      </c>
      <c r="BT13" s="268">
        <f t="shared" ca="1" si="79"/>
        <v>0</v>
      </c>
      <c r="BU13" s="268">
        <f t="shared" ca="1" si="80"/>
        <v>0</v>
      </c>
      <c r="BV13" s="268">
        <f t="shared" ca="1" si="81"/>
        <v>0</v>
      </c>
      <c r="BW13" s="268">
        <f t="shared" ca="1" si="82"/>
        <v>0</v>
      </c>
      <c r="BX13" s="268">
        <f t="shared" ca="1" si="45"/>
        <v>0</v>
      </c>
      <c r="BY13" s="268">
        <f t="shared" ca="1" si="46"/>
        <v>0</v>
      </c>
      <c r="BZ13" s="268">
        <f t="shared" ca="1" si="47"/>
        <v>0</v>
      </c>
      <c r="CA13" s="268">
        <f t="shared" ca="1" si="48"/>
        <v>0</v>
      </c>
      <c r="CB13" s="268">
        <f t="shared" ca="1" si="49"/>
        <v>0</v>
      </c>
      <c r="CC13" s="268">
        <f t="shared" ca="1" si="50"/>
        <v>0</v>
      </c>
      <c r="CD13" s="268">
        <f t="shared" ca="1" si="83"/>
        <v>0</v>
      </c>
      <c r="CE13" s="268">
        <f t="shared" ca="1" si="84"/>
        <v>0</v>
      </c>
      <c r="CF13" s="268">
        <f t="shared" ca="1" si="85"/>
        <v>0</v>
      </c>
      <c r="CG13" s="268">
        <f t="shared" ca="1" si="86"/>
        <v>0</v>
      </c>
      <c r="CH13" s="268">
        <f t="shared" ca="1" si="51"/>
        <v>0</v>
      </c>
      <c r="CI13" s="268">
        <f t="shared" ca="1" si="52"/>
        <v>0</v>
      </c>
      <c r="CJ13" s="268">
        <f t="shared" ca="1" si="87"/>
        <v>0</v>
      </c>
      <c r="CK13" s="268">
        <f t="shared" ca="1" si="88"/>
        <v>0</v>
      </c>
      <c r="CL13" s="268">
        <f t="shared" ca="1" si="53"/>
        <v>0</v>
      </c>
      <c r="CM13" s="268">
        <f t="shared" ca="1" si="54"/>
        <v>0</v>
      </c>
      <c r="CN13" s="268">
        <f t="shared" ca="1" si="55"/>
        <v>0</v>
      </c>
      <c r="CO13" s="268">
        <f t="shared" ca="1" si="56"/>
        <v>0</v>
      </c>
      <c r="CP13" s="268">
        <f t="shared" ca="1" si="89"/>
        <v>0</v>
      </c>
      <c r="CQ13" s="268">
        <f t="shared" ca="1" si="90"/>
        <v>0</v>
      </c>
      <c r="CR13" s="268">
        <f t="shared" ca="1" si="91"/>
        <v>0</v>
      </c>
      <c r="CS13" s="268">
        <f t="shared" ca="1" si="92"/>
        <v>0</v>
      </c>
      <c r="CT13" s="268">
        <f t="shared" ca="1" si="57"/>
        <v>0</v>
      </c>
      <c r="CU13" s="268">
        <f t="shared" ca="1" si="58"/>
        <v>0</v>
      </c>
      <c r="CV13" s="268">
        <f t="shared" ca="1" si="59"/>
        <v>0</v>
      </c>
      <c r="CW13" s="268">
        <f t="shared" ca="1" si="60"/>
        <v>0</v>
      </c>
      <c r="CX13" s="268">
        <f t="shared" ca="1" si="93"/>
        <v>0</v>
      </c>
      <c r="CY13" s="268">
        <f t="shared" ca="1" si="94"/>
        <v>0</v>
      </c>
      <c r="CZ13" s="268">
        <f t="shared" ca="1" si="95"/>
        <v>0</v>
      </c>
      <c r="DA13" s="268">
        <f t="shared" ca="1" si="96"/>
        <v>0</v>
      </c>
    </row>
    <row r="14" spans="1:105" s="265" customFormat="1" ht="15" customHeight="1">
      <c r="A14" s="62">
        <f t="array" aca="1" ref="A14" ca="1">IF(C14&lt;&gt;0,SUM(($C$11:C14&lt;&gt;0)*1),"")</f>
        <v>4</v>
      </c>
      <c r="B14" s="266" t="str">
        <f ca="1">IF(ROWS($1:4)&gt;COUNT(Dong6),"",OFFSET(TH!C$1,SMALL(Dong6,ROWS($1:4)),))</f>
        <v/>
      </c>
      <c r="C14" s="266" t="str">
        <f ca="1">IF(ROWS($1:4)&gt;COUNT(Dong6),"",OFFSET(TH!D$1,SMALL(Dong6,ROWS($1:4)),))</f>
        <v/>
      </c>
      <c r="D14" s="266" t="str">
        <f ca="1">IF(ROWS($1:4)&gt;COUNT(Dong6),"",OFFSET(TH!E$1,SMALL(Dong6,ROWS($1:4)),))</f>
        <v/>
      </c>
      <c r="E14" s="316" t="str">
        <f ca="1">IF(ROWS($1:4)&gt;COUNT(Dong6),"",OFFSET(TH!F$1,SMALL(Dong6,ROWS($1:4)),))</f>
        <v/>
      </c>
      <c r="F14" s="317" t="str">
        <f ca="1">IF(ROWS($1:4)&gt;COUNT(Dong6),"",OFFSET(TH!M$1,SMALL(Dong6,ROWS($1:4)),))</f>
        <v/>
      </c>
      <c r="G14" s="318" t="str">
        <f ca="1">IF(ROWS($1:4)&gt;COUNT(Dong6),"",OFFSET(TH!N$1,SMALL(Dong6,ROWS($1:4)),))</f>
        <v/>
      </c>
      <c r="H14" s="318" t="str">
        <f ca="1">IF(ROWS($1:4)&gt;COUNT(Dong6),"",OFFSET(TH!O$1,SMALL(Dong6,ROWS($1:4)),))</f>
        <v/>
      </c>
      <c r="I14" s="62">
        <f t="shared" ca="1" si="0"/>
        <v>4</v>
      </c>
      <c r="J14" s="268">
        <f t="shared" ca="1" si="61"/>
        <v>0</v>
      </c>
      <c r="K14" s="268">
        <f t="shared" ca="1" si="62"/>
        <v>0</v>
      </c>
      <c r="L14" s="268">
        <f t="shared" ca="1" si="1"/>
        <v>0</v>
      </c>
      <c r="M14" s="268">
        <f t="shared" ca="1" si="2"/>
        <v>0</v>
      </c>
      <c r="N14" s="268">
        <f t="shared" ca="1" si="3"/>
        <v>0</v>
      </c>
      <c r="O14" s="268">
        <f t="shared" ca="1" si="4"/>
        <v>0</v>
      </c>
      <c r="P14" s="268">
        <f t="shared" ca="1" si="5"/>
        <v>0</v>
      </c>
      <c r="Q14" s="268">
        <f t="shared" ca="1" si="6"/>
        <v>0</v>
      </c>
      <c r="R14" s="268">
        <f t="shared" ca="1" si="7"/>
        <v>0</v>
      </c>
      <c r="S14" s="268">
        <f t="shared" ca="1" si="8"/>
        <v>0</v>
      </c>
      <c r="T14" s="268">
        <f t="shared" ca="1" si="9"/>
        <v>0</v>
      </c>
      <c r="U14" s="268">
        <f t="shared" ca="1" si="10"/>
        <v>0</v>
      </c>
      <c r="V14" s="268">
        <f t="shared" ca="1" si="11"/>
        <v>0</v>
      </c>
      <c r="W14" s="268">
        <f t="shared" ca="1" si="12"/>
        <v>0</v>
      </c>
      <c r="X14" s="268">
        <f t="shared" ca="1" si="13"/>
        <v>0</v>
      </c>
      <c r="Y14" s="268">
        <f t="shared" ca="1" si="14"/>
        <v>0</v>
      </c>
      <c r="Z14" s="268">
        <f t="shared" ca="1" si="15"/>
        <v>0</v>
      </c>
      <c r="AA14" s="268">
        <f t="shared" ca="1" si="16"/>
        <v>0</v>
      </c>
      <c r="AB14" s="268">
        <f t="shared" ca="1" si="63"/>
        <v>0</v>
      </c>
      <c r="AC14" s="268">
        <f t="shared" ca="1" si="64"/>
        <v>0</v>
      </c>
      <c r="AD14" s="268">
        <f t="shared" ca="1" si="17"/>
        <v>0</v>
      </c>
      <c r="AE14" s="268">
        <f t="shared" ca="1" si="18"/>
        <v>0</v>
      </c>
      <c r="AF14" s="268">
        <f t="shared" ca="1" si="19"/>
        <v>0</v>
      </c>
      <c r="AG14" s="268">
        <f t="shared" ca="1" si="20"/>
        <v>0</v>
      </c>
      <c r="AH14" s="268">
        <f t="shared" ca="1" si="65"/>
        <v>0</v>
      </c>
      <c r="AI14" s="268">
        <f t="shared" ca="1" si="66"/>
        <v>0</v>
      </c>
      <c r="AJ14" s="268">
        <f t="shared" ca="1" si="67"/>
        <v>0</v>
      </c>
      <c r="AK14" s="268">
        <f t="shared" ca="1" si="68"/>
        <v>0</v>
      </c>
      <c r="AL14" s="268">
        <f t="shared" ca="1" si="69"/>
        <v>0</v>
      </c>
      <c r="AM14" s="268">
        <f t="shared" ca="1" si="70"/>
        <v>0</v>
      </c>
      <c r="AN14" s="268">
        <f t="shared" ca="1" si="71"/>
        <v>0</v>
      </c>
      <c r="AO14" s="268">
        <f t="shared" ca="1" si="72"/>
        <v>0</v>
      </c>
      <c r="AP14" s="268">
        <f t="shared" ca="1" si="21"/>
        <v>0</v>
      </c>
      <c r="AQ14" s="268">
        <f t="shared" ca="1" si="22"/>
        <v>0</v>
      </c>
      <c r="AR14" s="268">
        <f t="shared" ca="1" si="23"/>
        <v>0</v>
      </c>
      <c r="AS14" s="268">
        <f t="shared" ca="1" si="24"/>
        <v>0</v>
      </c>
      <c r="AT14" s="268">
        <f t="shared" ca="1" si="73"/>
        <v>0</v>
      </c>
      <c r="AU14" s="268">
        <f t="shared" ca="1" si="74"/>
        <v>0</v>
      </c>
      <c r="AV14" s="268">
        <f t="shared" ca="1" si="25"/>
        <v>0</v>
      </c>
      <c r="AW14" s="268">
        <f t="shared" ca="1" si="26"/>
        <v>0</v>
      </c>
      <c r="AX14" s="268">
        <f t="shared" ca="1" si="27"/>
        <v>0</v>
      </c>
      <c r="AY14" s="268">
        <f t="shared" ca="1" si="28"/>
        <v>0</v>
      </c>
      <c r="AZ14" s="268">
        <f t="shared" ca="1" si="29"/>
        <v>0</v>
      </c>
      <c r="BA14" s="268">
        <f t="shared" ca="1" si="30"/>
        <v>0</v>
      </c>
      <c r="BB14" s="268">
        <f t="shared" ca="1" si="31"/>
        <v>0</v>
      </c>
      <c r="BC14" s="268">
        <f t="shared" ca="1" si="32"/>
        <v>0</v>
      </c>
      <c r="BD14" s="268">
        <f t="shared" ca="1" si="33"/>
        <v>0</v>
      </c>
      <c r="BE14" s="268">
        <f t="shared" ca="1" si="34"/>
        <v>0</v>
      </c>
      <c r="BF14" s="268">
        <f t="shared" ca="1" si="35"/>
        <v>0</v>
      </c>
      <c r="BG14" s="268">
        <f t="shared" ca="1" si="36"/>
        <v>0</v>
      </c>
      <c r="BH14" s="268">
        <f t="shared" ca="1" si="75"/>
        <v>0</v>
      </c>
      <c r="BI14" s="268">
        <f t="shared" ca="1" si="76"/>
        <v>0</v>
      </c>
      <c r="BJ14" s="268">
        <f t="shared" ca="1" si="37"/>
        <v>0</v>
      </c>
      <c r="BK14" s="268">
        <f t="shared" ca="1" si="38"/>
        <v>0</v>
      </c>
      <c r="BL14" s="268">
        <f t="shared" ca="1" si="39"/>
        <v>0</v>
      </c>
      <c r="BM14" s="268">
        <f t="shared" ca="1" si="40"/>
        <v>0</v>
      </c>
      <c r="BN14" s="268">
        <f t="shared" ca="1" si="41"/>
        <v>0</v>
      </c>
      <c r="BO14" s="268">
        <f t="shared" ca="1" si="42"/>
        <v>0</v>
      </c>
      <c r="BP14" s="268">
        <f t="shared" ca="1" si="77"/>
        <v>0</v>
      </c>
      <c r="BQ14" s="268">
        <f t="shared" ca="1" si="78"/>
        <v>0</v>
      </c>
      <c r="BR14" s="268">
        <f t="shared" ca="1" si="43"/>
        <v>0</v>
      </c>
      <c r="BS14" s="268">
        <f t="shared" ca="1" si="44"/>
        <v>0</v>
      </c>
      <c r="BT14" s="268">
        <f t="shared" ca="1" si="79"/>
        <v>0</v>
      </c>
      <c r="BU14" s="268">
        <f t="shared" ca="1" si="80"/>
        <v>0</v>
      </c>
      <c r="BV14" s="268">
        <f t="shared" ca="1" si="81"/>
        <v>0</v>
      </c>
      <c r="BW14" s="268">
        <f t="shared" ca="1" si="82"/>
        <v>0</v>
      </c>
      <c r="BX14" s="268">
        <f t="shared" ca="1" si="45"/>
        <v>0</v>
      </c>
      <c r="BY14" s="268">
        <f t="shared" ca="1" si="46"/>
        <v>0</v>
      </c>
      <c r="BZ14" s="268">
        <f t="shared" ca="1" si="47"/>
        <v>0</v>
      </c>
      <c r="CA14" s="268">
        <f t="shared" ca="1" si="48"/>
        <v>0</v>
      </c>
      <c r="CB14" s="268">
        <f t="shared" ca="1" si="49"/>
        <v>0</v>
      </c>
      <c r="CC14" s="268">
        <f t="shared" ca="1" si="50"/>
        <v>0</v>
      </c>
      <c r="CD14" s="268">
        <f t="shared" ca="1" si="83"/>
        <v>0</v>
      </c>
      <c r="CE14" s="268">
        <f t="shared" ca="1" si="84"/>
        <v>0</v>
      </c>
      <c r="CF14" s="268">
        <f t="shared" ca="1" si="85"/>
        <v>0</v>
      </c>
      <c r="CG14" s="268">
        <f t="shared" ca="1" si="86"/>
        <v>0</v>
      </c>
      <c r="CH14" s="268">
        <f t="shared" ca="1" si="51"/>
        <v>0</v>
      </c>
      <c r="CI14" s="268">
        <f t="shared" ca="1" si="52"/>
        <v>0</v>
      </c>
      <c r="CJ14" s="268">
        <f t="shared" ca="1" si="87"/>
        <v>0</v>
      </c>
      <c r="CK14" s="268">
        <f t="shared" ca="1" si="88"/>
        <v>0</v>
      </c>
      <c r="CL14" s="268">
        <f t="shared" ca="1" si="53"/>
        <v>0</v>
      </c>
      <c r="CM14" s="268">
        <f t="shared" ca="1" si="54"/>
        <v>0</v>
      </c>
      <c r="CN14" s="268">
        <f t="shared" ca="1" si="55"/>
        <v>0</v>
      </c>
      <c r="CO14" s="268">
        <f t="shared" ca="1" si="56"/>
        <v>0</v>
      </c>
      <c r="CP14" s="268">
        <f t="shared" ca="1" si="89"/>
        <v>0</v>
      </c>
      <c r="CQ14" s="268">
        <f t="shared" ca="1" si="90"/>
        <v>0</v>
      </c>
      <c r="CR14" s="268">
        <f t="shared" ca="1" si="91"/>
        <v>0</v>
      </c>
      <c r="CS14" s="268">
        <f t="shared" ca="1" si="92"/>
        <v>0</v>
      </c>
      <c r="CT14" s="268">
        <f t="shared" ca="1" si="57"/>
        <v>0</v>
      </c>
      <c r="CU14" s="268">
        <f t="shared" ca="1" si="58"/>
        <v>0</v>
      </c>
      <c r="CV14" s="268">
        <f t="shared" ca="1" si="59"/>
        <v>0</v>
      </c>
      <c r="CW14" s="268">
        <f t="shared" ca="1" si="60"/>
        <v>0</v>
      </c>
      <c r="CX14" s="268">
        <f t="shared" ca="1" si="93"/>
        <v>0</v>
      </c>
      <c r="CY14" s="268">
        <f t="shared" ca="1" si="94"/>
        <v>0</v>
      </c>
      <c r="CZ14" s="268">
        <f t="shared" ca="1" si="95"/>
        <v>0</v>
      </c>
      <c r="DA14" s="268">
        <f t="shared" ca="1" si="96"/>
        <v>0</v>
      </c>
    </row>
    <row r="15" spans="1:105" s="265" customFormat="1" ht="15" customHeight="1">
      <c r="A15" s="62">
        <f t="array" aca="1" ref="A15" ca="1">IF(C15&lt;&gt;0,SUM(($C$11:C15&lt;&gt;0)*1),"")</f>
        <v>5</v>
      </c>
      <c r="B15" s="266" t="str">
        <f ca="1">IF(ROWS($1:5)&gt;COUNT(Dong6),"",OFFSET(TH!C$1,SMALL(Dong6,ROWS($1:5)),))</f>
        <v/>
      </c>
      <c r="C15" s="266" t="str">
        <f ca="1">IF(ROWS($1:5)&gt;COUNT(Dong6),"",OFFSET(TH!D$1,SMALL(Dong6,ROWS($1:5)),))</f>
        <v/>
      </c>
      <c r="D15" s="266" t="str">
        <f ca="1">IF(ROWS($1:5)&gt;COUNT(Dong6),"",OFFSET(TH!E$1,SMALL(Dong6,ROWS($1:5)),))</f>
        <v/>
      </c>
      <c r="E15" s="316" t="str">
        <f ca="1">IF(ROWS($1:5)&gt;COUNT(Dong6),"",OFFSET(TH!F$1,SMALL(Dong6,ROWS($1:5)),))</f>
        <v/>
      </c>
      <c r="F15" s="317" t="str">
        <f ca="1">IF(ROWS($1:5)&gt;COUNT(Dong6),"",OFFSET(TH!M$1,SMALL(Dong6,ROWS($1:5)),))</f>
        <v/>
      </c>
      <c r="G15" s="318" t="str">
        <f ca="1">IF(ROWS($1:5)&gt;COUNT(Dong6),"",OFFSET(TH!N$1,SMALL(Dong6,ROWS($1:5)),))</f>
        <v/>
      </c>
      <c r="H15" s="318" t="str">
        <f ca="1">IF(ROWS($1:5)&gt;COUNT(Dong6),"",OFFSET(TH!O$1,SMALL(Dong6,ROWS($1:5)),))</f>
        <v/>
      </c>
      <c r="I15" s="62">
        <f t="shared" ca="1" si="0"/>
        <v>5</v>
      </c>
      <c r="J15" s="268">
        <f t="shared" ca="1" si="61"/>
        <v>0</v>
      </c>
      <c r="K15" s="268">
        <f t="shared" ca="1" si="62"/>
        <v>0</v>
      </c>
      <c r="L15" s="268">
        <f t="shared" ca="1" si="1"/>
        <v>0</v>
      </c>
      <c r="M15" s="268">
        <f t="shared" ca="1" si="2"/>
        <v>0</v>
      </c>
      <c r="N15" s="268">
        <f t="shared" ca="1" si="3"/>
        <v>0</v>
      </c>
      <c r="O15" s="268">
        <f t="shared" ca="1" si="4"/>
        <v>0</v>
      </c>
      <c r="P15" s="268">
        <f t="shared" ca="1" si="5"/>
        <v>0</v>
      </c>
      <c r="Q15" s="268">
        <f t="shared" ca="1" si="6"/>
        <v>0</v>
      </c>
      <c r="R15" s="268">
        <f t="shared" ca="1" si="7"/>
        <v>0</v>
      </c>
      <c r="S15" s="268">
        <f t="shared" ca="1" si="8"/>
        <v>0</v>
      </c>
      <c r="T15" s="268">
        <f t="shared" ca="1" si="9"/>
        <v>0</v>
      </c>
      <c r="U15" s="268">
        <f t="shared" ca="1" si="10"/>
        <v>0</v>
      </c>
      <c r="V15" s="268">
        <f t="shared" ca="1" si="11"/>
        <v>0</v>
      </c>
      <c r="W15" s="268">
        <f t="shared" ca="1" si="12"/>
        <v>0</v>
      </c>
      <c r="X15" s="268">
        <f t="shared" ca="1" si="13"/>
        <v>0</v>
      </c>
      <c r="Y15" s="268">
        <f t="shared" ca="1" si="14"/>
        <v>0</v>
      </c>
      <c r="Z15" s="268">
        <f t="shared" ca="1" si="15"/>
        <v>0</v>
      </c>
      <c r="AA15" s="268">
        <f t="shared" ca="1" si="16"/>
        <v>0</v>
      </c>
      <c r="AB15" s="268">
        <f t="shared" ca="1" si="63"/>
        <v>0</v>
      </c>
      <c r="AC15" s="268">
        <f t="shared" ca="1" si="64"/>
        <v>0</v>
      </c>
      <c r="AD15" s="268">
        <f t="shared" ca="1" si="17"/>
        <v>0</v>
      </c>
      <c r="AE15" s="268">
        <f t="shared" ca="1" si="18"/>
        <v>0</v>
      </c>
      <c r="AF15" s="268">
        <f t="shared" ca="1" si="19"/>
        <v>0</v>
      </c>
      <c r="AG15" s="268">
        <f t="shared" ca="1" si="20"/>
        <v>0</v>
      </c>
      <c r="AH15" s="268">
        <f t="shared" ca="1" si="65"/>
        <v>0</v>
      </c>
      <c r="AI15" s="268">
        <f t="shared" ca="1" si="66"/>
        <v>0</v>
      </c>
      <c r="AJ15" s="268">
        <f t="shared" ca="1" si="67"/>
        <v>0</v>
      </c>
      <c r="AK15" s="268">
        <f t="shared" ca="1" si="68"/>
        <v>0</v>
      </c>
      <c r="AL15" s="268">
        <f t="shared" ca="1" si="69"/>
        <v>0</v>
      </c>
      <c r="AM15" s="268">
        <f t="shared" ca="1" si="70"/>
        <v>0</v>
      </c>
      <c r="AN15" s="268">
        <f t="shared" ca="1" si="71"/>
        <v>0</v>
      </c>
      <c r="AO15" s="268">
        <f t="shared" ca="1" si="72"/>
        <v>0</v>
      </c>
      <c r="AP15" s="268">
        <f t="shared" ca="1" si="21"/>
        <v>0</v>
      </c>
      <c r="AQ15" s="268">
        <f t="shared" ca="1" si="22"/>
        <v>0</v>
      </c>
      <c r="AR15" s="268">
        <f t="shared" ca="1" si="23"/>
        <v>0</v>
      </c>
      <c r="AS15" s="268">
        <f t="shared" ca="1" si="24"/>
        <v>0</v>
      </c>
      <c r="AT15" s="268">
        <f t="shared" ca="1" si="73"/>
        <v>0</v>
      </c>
      <c r="AU15" s="268">
        <f t="shared" ca="1" si="74"/>
        <v>0</v>
      </c>
      <c r="AV15" s="268">
        <f t="shared" ca="1" si="25"/>
        <v>0</v>
      </c>
      <c r="AW15" s="268">
        <f t="shared" ca="1" si="26"/>
        <v>0</v>
      </c>
      <c r="AX15" s="268">
        <f t="shared" ca="1" si="27"/>
        <v>0</v>
      </c>
      <c r="AY15" s="268">
        <f t="shared" ca="1" si="28"/>
        <v>0</v>
      </c>
      <c r="AZ15" s="268">
        <f t="shared" ca="1" si="29"/>
        <v>0</v>
      </c>
      <c r="BA15" s="268">
        <f t="shared" ca="1" si="30"/>
        <v>0</v>
      </c>
      <c r="BB15" s="268">
        <f t="shared" ca="1" si="31"/>
        <v>0</v>
      </c>
      <c r="BC15" s="268">
        <f t="shared" ca="1" si="32"/>
        <v>0</v>
      </c>
      <c r="BD15" s="268">
        <f t="shared" ca="1" si="33"/>
        <v>0</v>
      </c>
      <c r="BE15" s="268">
        <f t="shared" ca="1" si="34"/>
        <v>0</v>
      </c>
      <c r="BF15" s="268">
        <f t="shared" ca="1" si="35"/>
        <v>0</v>
      </c>
      <c r="BG15" s="268">
        <f t="shared" ca="1" si="36"/>
        <v>0</v>
      </c>
      <c r="BH15" s="268">
        <f t="shared" ca="1" si="75"/>
        <v>0</v>
      </c>
      <c r="BI15" s="268">
        <f t="shared" ca="1" si="76"/>
        <v>0</v>
      </c>
      <c r="BJ15" s="268">
        <f t="shared" ca="1" si="37"/>
        <v>0</v>
      </c>
      <c r="BK15" s="268">
        <f t="shared" ca="1" si="38"/>
        <v>0</v>
      </c>
      <c r="BL15" s="268">
        <f t="shared" ca="1" si="39"/>
        <v>0</v>
      </c>
      <c r="BM15" s="268">
        <f t="shared" ca="1" si="40"/>
        <v>0</v>
      </c>
      <c r="BN15" s="268">
        <f t="shared" ca="1" si="41"/>
        <v>0</v>
      </c>
      <c r="BO15" s="268">
        <f t="shared" ca="1" si="42"/>
        <v>0</v>
      </c>
      <c r="BP15" s="268">
        <f t="shared" ca="1" si="77"/>
        <v>0</v>
      </c>
      <c r="BQ15" s="268">
        <f t="shared" ca="1" si="78"/>
        <v>0</v>
      </c>
      <c r="BR15" s="268">
        <f t="shared" ca="1" si="43"/>
        <v>0</v>
      </c>
      <c r="BS15" s="268">
        <f t="shared" ca="1" si="44"/>
        <v>0</v>
      </c>
      <c r="BT15" s="268">
        <f t="shared" ca="1" si="79"/>
        <v>0</v>
      </c>
      <c r="BU15" s="268">
        <f t="shared" ca="1" si="80"/>
        <v>0</v>
      </c>
      <c r="BV15" s="268">
        <f t="shared" ca="1" si="81"/>
        <v>0</v>
      </c>
      <c r="BW15" s="268">
        <f t="shared" ca="1" si="82"/>
        <v>0</v>
      </c>
      <c r="BX15" s="268">
        <f t="shared" ca="1" si="45"/>
        <v>0</v>
      </c>
      <c r="BY15" s="268">
        <f t="shared" ca="1" si="46"/>
        <v>0</v>
      </c>
      <c r="BZ15" s="268">
        <f t="shared" ca="1" si="47"/>
        <v>0</v>
      </c>
      <c r="CA15" s="268">
        <f t="shared" ca="1" si="48"/>
        <v>0</v>
      </c>
      <c r="CB15" s="268">
        <f t="shared" ca="1" si="49"/>
        <v>0</v>
      </c>
      <c r="CC15" s="268">
        <f t="shared" ca="1" si="50"/>
        <v>0</v>
      </c>
      <c r="CD15" s="268">
        <f t="shared" ca="1" si="83"/>
        <v>0</v>
      </c>
      <c r="CE15" s="268">
        <f t="shared" ca="1" si="84"/>
        <v>0</v>
      </c>
      <c r="CF15" s="268">
        <f t="shared" ca="1" si="85"/>
        <v>0</v>
      </c>
      <c r="CG15" s="268">
        <f t="shared" ca="1" si="86"/>
        <v>0</v>
      </c>
      <c r="CH15" s="268">
        <f t="shared" ca="1" si="51"/>
        <v>0</v>
      </c>
      <c r="CI15" s="268">
        <f t="shared" ca="1" si="52"/>
        <v>0</v>
      </c>
      <c r="CJ15" s="268">
        <f t="shared" ca="1" si="87"/>
        <v>0</v>
      </c>
      <c r="CK15" s="268">
        <f t="shared" ca="1" si="88"/>
        <v>0</v>
      </c>
      <c r="CL15" s="268">
        <f t="shared" ca="1" si="53"/>
        <v>0</v>
      </c>
      <c r="CM15" s="268">
        <f t="shared" ca="1" si="54"/>
        <v>0</v>
      </c>
      <c r="CN15" s="268">
        <f t="shared" ca="1" si="55"/>
        <v>0</v>
      </c>
      <c r="CO15" s="268">
        <f t="shared" ca="1" si="56"/>
        <v>0</v>
      </c>
      <c r="CP15" s="268">
        <f t="shared" ca="1" si="89"/>
        <v>0</v>
      </c>
      <c r="CQ15" s="268">
        <f t="shared" ca="1" si="90"/>
        <v>0</v>
      </c>
      <c r="CR15" s="268">
        <f t="shared" ca="1" si="91"/>
        <v>0</v>
      </c>
      <c r="CS15" s="268">
        <f t="shared" ca="1" si="92"/>
        <v>0</v>
      </c>
      <c r="CT15" s="268">
        <f t="shared" ca="1" si="57"/>
        <v>0</v>
      </c>
      <c r="CU15" s="268">
        <f t="shared" ca="1" si="58"/>
        <v>0</v>
      </c>
      <c r="CV15" s="268">
        <f t="shared" ca="1" si="59"/>
        <v>0</v>
      </c>
      <c r="CW15" s="268">
        <f t="shared" ca="1" si="60"/>
        <v>0</v>
      </c>
      <c r="CX15" s="268">
        <f t="shared" ca="1" si="93"/>
        <v>0</v>
      </c>
      <c r="CY15" s="268">
        <f t="shared" ca="1" si="94"/>
        <v>0</v>
      </c>
      <c r="CZ15" s="268">
        <f t="shared" ca="1" si="95"/>
        <v>0</v>
      </c>
      <c r="DA15" s="268">
        <f t="shared" ca="1" si="96"/>
        <v>0</v>
      </c>
    </row>
    <row r="16" spans="1:105" s="265" customFormat="1" ht="15" customHeight="1">
      <c r="A16" s="62">
        <f t="array" aca="1" ref="A16" ca="1">IF(C16&lt;&gt;0,SUM(($C$11:C16&lt;&gt;0)*1),"")</f>
        <v>6</v>
      </c>
      <c r="B16" s="266" t="str">
        <f ca="1">IF(ROWS($1:6)&gt;COUNT(Dong6),"",OFFSET(TH!C$1,SMALL(Dong6,ROWS($1:6)),))</f>
        <v/>
      </c>
      <c r="C16" s="266" t="str">
        <f ca="1">IF(ROWS($1:6)&gt;COUNT(Dong6),"",OFFSET(TH!D$1,SMALL(Dong6,ROWS($1:6)),))</f>
        <v/>
      </c>
      <c r="D16" s="266" t="str">
        <f ca="1">IF(ROWS($1:6)&gt;COUNT(Dong6),"",OFFSET(TH!E$1,SMALL(Dong6,ROWS($1:6)),))</f>
        <v/>
      </c>
      <c r="E16" s="316" t="str">
        <f ca="1">IF(ROWS($1:6)&gt;COUNT(Dong6),"",OFFSET(TH!F$1,SMALL(Dong6,ROWS($1:6)),))</f>
        <v/>
      </c>
      <c r="F16" s="317" t="str">
        <f ca="1">IF(ROWS($1:6)&gt;COUNT(Dong6),"",OFFSET(TH!M$1,SMALL(Dong6,ROWS($1:6)),))</f>
        <v/>
      </c>
      <c r="G16" s="318" t="str">
        <f ca="1">IF(ROWS($1:6)&gt;COUNT(Dong6),"",OFFSET(TH!N$1,SMALL(Dong6,ROWS($1:6)),))</f>
        <v/>
      </c>
      <c r="H16" s="318" t="str">
        <f ca="1">IF(ROWS($1:6)&gt;COUNT(Dong6),"",OFFSET(TH!O$1,SMALL(Dong6,ROWS($1:6)),))</f>
        <v/>
      </c>
      <c r="I16" s="62">
        <f t="shared" ca="1" si="0"/>
        <v>6</v>
      </c>
      <c r="J16" s="268">
        <f t="shared" ca="1" si="61"/>
        <v>0</v>
      </c>
      <c r="K16" s="268">
        <f t="shared" ca="1" si="62"/>
        <v>0</v>
      </c>
      <c r="L16" s="268">
        <f t="shared" ca="1" si="1"/>
        <v>0</v>
      </c>
      <c r="M16" s="268">
        <f t="shared" ca="1" si="2"/>
        <v>0</v>
      </c>
      <c r="N16" s="268">
        <f t="shared" ca="1" si="3"/>
        <v>0</v>
      </c>
      <c r="O16" s="268">
        <f t="shared" ca="1" si="4"/>
        <v>0</v>
      </c>
      <c r="P16" s="268">
        <f t="shared" ca="1" si="5"/>
        <v>0</v>
      </c>
      <c r="Q16" s="268">
        <f t="shared" ca="1" si="6"/>
        <v>0</v>
      </c>
      <c r="R16" s="268">
        <f t="shared" ca="1" si="7"/>
        <v>0</v>
      </c>
      <c r="S16" s="268">
        <f t="shared" ca="1" si="8"/>
        <v>0</v>
      </c>
      <c r="T16" s="268">
        <f t="shared" ca="1" si="9"/>
        <v>0</v>
      </c>
      <c r="U16" s="268">
        <f t="shared" ca="1" si="10"/>
        <v>0</v>
      </c>
      <c r="V16" s="268">
        <f t="shared" ca="1" si="11"/>
        <v>0</v>
      </c>
      <c r="W16" s="268">
        <f t="shared" ca="1" si="12"/>
        <v>0</v>
      </c>
      <c r="X16" s="268">
        <f t="shared" ca="1" si="13"/>
        <v>0</v>
      </c>
      <c r="Y16" s="268">
        <f t="shared" ca="1" si="14"/>
        <v>0</v>
      </c>
      <c r="Z16" s="268">
        <f t="shared" ca="1" si="15"/>
        <v>0</v>
      </c>
      <c r="AA16" s="268">
        <f t="shared" ca="1" si="16"/>
        <v>0</v>
      </c>
      <c r="AB16" s="268">
        <f t="shared" ca="1" si="63"/>
        <v>0</v>
      </c>
      <c r="AC16" s="268">
        <f t="shared" ca="1" si="64"/>
        <v>0</v>
      </c>
      <c r="AD16" s="268">
        <f t="shared" ca="1" si="17"/>
        <v>0</v>
      </c>
      <c r="AE16" s="268">
        <f t="shared" ca="1" si="18"/>
        <v>0</v>
      </c>
      <c r="AF16" s="268">
        <f t="shared" ca="1" si="19"/>
        <v>0</v>
      </c>
      <c r="AG16" s="268">
        <f t="shared" ca="1" si="20"/>
        <v>0</v>
      </c>
      <c r="AH16" s="268">
        <f t="shared" ca="1" si="65"/>
        <v>0</v>
      </c>
      <c r="AI16" s="268">
        <f t="shared" ca="1" si="66"/>
        <v>0</v>
      </c>
      <c r="AJ16" s="268">
        <f t="shared" ca="1" si="67"/>
        <v>0</v>
      </c>
      <c r="AK16" s="268">
        <f t="shared" ca="1" si="68"/>
        <v>0</v>
      </c>
      <c r="AL16" s="268">
        <f t="shared" ca="1" si="69"/>
        <v>0</v>
      </c>
      <c r="AM16" s="268">
        <f t="shared" ca="1" si="70"/>
        <v>0</v>
      </c>
      <c r="AN16" s="268">
        <f t="shared" ca="1" si="71"/>
        <v>0</v>
      </c>
      <c r="AO16" s="268">
        <f t="shared" ca="1" si="72"/>
        <v>0</v>
      </c>
      <c r="AP16" s="268">
        <f t="shared" ca="1" si="21"/>
        <v>0</v>
      </c>
      <c r="AQ16" s="268">
        <f t="shared" ca="1" si="22"/>
        <v>0</v>
      </c>
      <c r="AR16" s="268">
        <f t="shared" ca="1" si="23"/>
        <v>0</v>
      </c>
      <c r="AS16" s="268">
        <f t="shared" ca="1" si="24"/>
        <v>0</v>
      </c>
      <c r="AT16" s="268">
        <f t="shared" ca="1" si="73"/>
        <v>0</v>
      </c>
      <c r="AU16" s="268">
        <f t="shared" ca="1" si="74"/>
        <v>0</v>
      </c>
      <c r="AV16" s="268">
        <f t="shared" ca="1" si="25"/>
        <v>0</v>
      </c>
      <c r="AW16" s="268">
        <f t="shared" ca="1" si="26"/>
        <v>0</v>
      </c>
      <c r="AX16" s="268">
        <f t="shared" ca="1" si="27"/>
        <v>0</v>
      </c>
      <c r="AY16" s="268">
        <f t="shared" ca="1" si="28"/>
        <v>0</v>
      </c>
      <c r="AZ16" s="268">
        <f t="shared" ca="1" si="29"/>
        <v>0</v>
      </c>
      <c r="BA16" s="268">
        <f t="shared" ca="1" si="30"/>
        <v>0</v>
      </c>
      <c r="BB16" s="268">
        <f t="shared" ca="1" si="31"/>
        <v>0</v>
      </c>
      <c r="BC16" s="268">
        <f t="shared" ca="1" si="32"/>
        <v>0</v>
      </c>
      <c r="BD16" s="268">
        <f t="shared" ca="1" si="33"/>
        <v>0</v>
      </c>
      <c r="BE16" s="268">
        <f t="shared" ca="1" si="34"/>
        <v>0</v>
      </c>
      <c r="BF16" s="268">
        <f t="shared" ca="1" si="35"/>
        <v>0</v>
      </c>
      <c r="BG16" s="268">
        <f t="shared" ca="1" si="36"/>
        <v>0</v>
      </c>
      <c r="BH16" s="268">
        <f t="shared" ca="1" si="75"/>
        <v>0</v>
      </c>
      <c r="BI16" s="268">
        <f t="shared" ca="1" si="76"/>
        <v>0</v>
      </c>
      <c r="BJ16" s="268">
        <f t="shared" ca="1" si="37"/>
        <v>0</v>
      </c>
      <c r="BK16" s="268">
        <f t="shared" ca="1" si="38"/>
        <v>0</v>
      </c>
      <c r="BL16" s="268">
        <f t="shared" ca="1" si="39"/>
        <v>0</v>
      </c>
      <c r="BM16" s="268">
        <f t="shared" ca="1" si="40"/>
        <v>0</v>
      </c>
      <c r="BN16" s="268">
        <f t="shared" ca="1" si="41"/>
        <v>0</v>
      </c>
      <c r="BO16" s="268">
        <f t="shared" ca="1" si="42"/>
        <v>0</v>
      </c>
      <c r="BP16" s="268">
        <f t="shared" ca="1" si="77"/>
        <v>0</v>
      </c>
      <c r="BQ16" s="268">
        <f t="shared" ca="1" si="78"/>
        <v>0</v>
      </c>
      <c r="BR16" s="268">
        <f t="shared" ca="1" si="43"/>
        <v>0</v>
      </c>
      <c r="BS16" s="268">
        <f t="shared" ca="1" si="44"/>
        <v>0</v>
      </c>
      <c r="BT16" s="268">
        <f t="shared" ca="1" si="79"/>
        <v>0</v>
      </c>
      <c r="BU16" s="268">
        <f t="shared" ca="1" si="80"/>
        <v>0</v>
      </c>
      <c r="BV16" s="268">
        <f t="shared" ca="1" si="81"/>
        <v>0</v>
      </c>
      <c r="BW16" s="268">
        <f t="shared" ca="1" si="82"/>
        <v>0</v>
      </c>
      <c r="BX16" s="268">
        <f t="shared" ca="1" si="45"/>
        <v>0</v>
      </c>
      <c r="BY16" s="268">
        <f t="shared" ca="1" si="46"/>
        <v>0</v>
      </c>
      <c r="BZ16" s="268">
        <f t="shared" ca="1" si="47"/>
        <v>0</v>
      </c>
      <c r="CA16" s="268">
        <f t="shared" ca="1" si="48"/>
        <v>0</v>
      </c>
      <c r="CB16" s="268">
        <f t="shared" ca="1" si="49"/>
        <v>0</v>
      </c>
      <c r="CC16" s="268">
        <f t="shared" ca="1" si="50"/>
        <v>0</v>
      </c>
      <c r="CD16" s="268">
        <f t="shared" ca="1" si="83"/>
        <v>0</v>
      </c>
      <c r="CE16" s="268">
        <f t="shared" ca="1" si="84"/>
        <v>0</v>
      </c>
      <c r="CF16" s="268">
        <f t="shared" ca="1" si="85"/>
        <v>0</v>
      </c>
      <c r="CG16" s="268">
        <f t="shared" ca="1" si="86"/>
        <v>0</v>
      </c>
      <c r="CH16" s="268">
        <f t="shared" ca="1" si="51"/>
        <v>0</v>
      </c>
      <c r="CI16" s="268">
        <f t="shared" ca="1" si="52"/>
        <v>0</v>
      </c>
      <c r="CJ16" s="268">
        <f t="shared" ca="1" si="87"/>
        <v>0</v>
      </c>
      <c r="CK16" s="268">
        <f t="shared" ca="1" si="88"/>
        <v>0</v>
      </c>
      <c r="CL16" s="268">
        <f t="shared" ca="1" si="53"/>
        <v>0</v>
      </c>
      <c r="CM16" s="268">
        <f t="shared" ca="1" si="54"/>
        <v>0</v>
      </c>
      <c r="CN16" s="268">
        <f t="shared" ca="1" si="55"/>
        <v>0</v>
      </c>
      <c r="CO16" s="268">
        <f t="shared" ca="1" si="56"/>
        <v>0</v>
      </c>
      <c r="CP16" s="268">
        <f t="shared" ca="1" si="89"/>
        <v>0</v>
      </c>
      <c r="CQ16" s="268">
        <f t="shared" ca="1" si="90"/>
        <v>0</v>
      </c>
      <c r="CR16" s="268">
        <f t="shared" ca="1" si="91"/>
        <v>0</v>
      </c>
      <c r="CS16" s="268">
        <f t="shared" ca="1" si="92"/>
        <v>0</v>
      </c>
      <c r="CT16" s="268">
        <f t="shared" ca="1" si="57"/>
        <v>0</v>
      </c>
      <c r="CU16" s="268">
        <f t="shared" ca="1" si="58"/>
        <v>0</v>
      </c>
      <c r="CV16" s="268">
        <f t="shared" ca="1" si="59"/>
        <v>0</v>
      </c>
      <c r="CW16" s="268">
        <f t="shared" ca="1" si="60"/>
        <v>0</v>
      </c>
      <c r="CX16" s="268">
        <f t="shared" ca="1" si="93"/>
        <v>0</v>
      </c>
      <c r="CY16" s="268">
        <f t="shared" ca="1" si="94"/>
        <v>0</v>
      </c>
      <c r="CZ16" s="268">
        <f t="shared" ca="1" si="95"/>
        <v>0</v>
      </c>
      <c r="DA16" s="268">
        <f t="shared" ca="1" si="96"/>
        <v>0</v>
      </c>
    </row>
    <row r="17" spans="1:105" s="265" customFormat="1" ht="15" customHeight="1">
      <c r="A17" s="62">
        <f t="array" aca="1" ref="A17" ca="1">IF(C17&lt;&gt;0,SUM(($C$11:C17&lt;&gt;0)*1),"")</f>
        <v>7</v>
      </c>
      <c r="B17" s="266" t="str">
        <f ca="1">IF(ROWS($1:7)&gt;COUNT(Dong6),"",OFFSET(TH!C$1,SMALL(Dong6,ROWS($1:7)),))</f>
        <v/>
      </c>
      <c r="C17" s="266" t="str">
        <f ca="1">IF(ROWS($1:7)&gt;COUNT(Dong6),"",OFFSET(TH!D$1,SMALL(Dong6,ROWS($1:7)),))</f>
        <v/>
      </c>
      <c r="D17" s="266" t="str">
        <f ca="1">IF(ROWS($1:7)&gt;COUNT(Dong6),"",OFFSET(TH!E$1,SMALL(Dong6,ROWS($1:7)),))</f>
        <v/>
      </c>
      <c r="E17" s="316" t="str">
        <f ca="1">IF(ROWS($1:7)&gt;COUNT(Dong6),"",OFFSET(TH!F$1,SMALL(Dong6,ROWS($1:7)),))</f>
        <v/>
      </c>
      <c r="F17" s="317" t="str">
        <f ca="1">IF(ROWS($1:7)&gt;COUNT(Dong6),"",OFFSET(TH!M$1,SMALL(Dong6,ROWS($1:7)),))</f>
        <v/>
      </c>
      <c r="G17" s="318" t="str">
        <f ca="1">IF(ROWS($1:7)&gt;COUNT(Dong6),"",OFFSET(TH!N$1,SMALL(Dong6,ROWS($1:7)),))</f>
        <v/>
      </c>
      <c r="H17" s="318" t="str">
        <f ca="1">IF(ROWS($1:7)&gt;COUNT(Dong6),"",OFFSET(TH!O$1,SMALL(Dong6,ROWS($1:7)),))</f>
        <v/>
      </c>
      <c r="I17" s="62">
        <f t="shared" ca="1" si="0"/>
        <v>7</v>
      </c>
      <c r="J17" s="268">
        <f t="shared" ca="1" si="61"/>
        <v>0</v>
      </c>
      <c r="K17" s="268">
        <f t="shared" ca="1" si="62"/>
        <v>0</v>
      </c>
      <c r="L17" s="268">
        <f t="shared" ca="1" si="1"/>
        <v>0</v>
      </c>
      <c r="M17" s="268">
        <f t="shared" ca="1" si="2"/>
        <v>0</v>
      </c>
      <c r="N17" s="268">
        <f t="shared" ca="1" si="3"/>
        <v>0</v>
      </c>
      <c r="O17" s="268">
        <f t="shared" ca="1" si="4"/>
        <v>0</v>
      </c>
      <c r="P17" s="268">
        <f t="shared" ca="1" si="5"/>
        <v>0</v>
      </c>
      <c r="Q17" s="268">
        <f t="shared" ca="1" si="6"/>
        <v>0</v>
      </c>
      <c r="R17" s="268">
        <f t="shared" ca="1" si="7"/>
        <v>0</v>
      </c>
      <c r="S17" s="268">
        <f t="shared" ca="1" si="8"/>
        <v>0</v>
      </c>
      <c r="T17" s="268">
        <f t="shared" ca="1" si="9"/>
        <v>0</v>
      </c>
      <c r="U17" s="268">
        <f t="shared" ca="1" si="10"/>
        <v>0</v>
      </c>
      <c r="V17" s="268">
        <f t="shared" ca="1" si="11"/>
        <v>0</v>
      </c>
      <c r="W17" s="268">
        <f t="shared" ca="1" si="12"/>
        <v>0</v>
      </c>
      <c r="X17" s="268">
        <f t="shared" ca="1" si="13"/>
        <v>0</v>
      </c>
      <c r="Y17" s="268">
        <f t="shared" ca="1" si="14"/>
        <v>0</v>
      </c>
      <c r="Z17" s="268">
        <f t="shared" ca="1" si="15"/>
        <v>0</v>
      </c>
      <c r="AA17" s="268">
        <f t="shared" ca="1" si="16"/>
        <v>0</v>
      </c>
      <c r="AB17" s="268">
        <f t="shared" ca="1" si="63"/>
        <v>0</v>
      </c>
      <c r="AC17" s="268">
        <f t="shared" ca="1" si="64"/>
        <v>0</v>
      </c>
      <c r="AD17" s="268">
        <f t="shared" ca="1" si="17"/>
        <v>0</v>
      </c>
      <c r="AE17" s="268">
        <f t="shared" ca="1" si="18"/>
        <v>0</v>
      </c>
      <c r="AF17" s="268">
        <f t="shared" ca="1" si="19"/>
        <v>0</v>
      </c>
      <c r="AG17" s="268">
        <f t="shared" ca="1" si="20"/>
        <v>0</v>
      </c>
      <c r="AH17" s="268">
        <f t="shared" ca="1" si="65"/>
        <v>0</v>
      </c>
      <c r="AI17" s="268">
        <f t="shared" ca="1" si="66"/>
        <v>0</v>
      </c>
      <c r="AJ17" s="268">
        <f t="shared" ca="1" si="67"/>
        <v>0</v>
      </c>
      <c r="AK17" s="268">
        <f t="shared" ca="1" si="68"/>
        <v>0</v>
      </c>
      <c r="AL17" s="268">
        <f t="shared" ca="1" si="69"/>
        <v>0</v>
      </c>
      <c r="AM17" s="268">
        <f t="shared" ca="1" si="70"/>
        <v>0</v>
      </c>
      <c r="AN17" s="268">
        <f t="shared" ca="1" si="71"/>
        <v>0</v>
      </c>
      <c r="AO17" s="268">
        <f t="shared" ca="1" si="72"/>
        <v>0</v>
      </c>
      <c r="AP17" s="268">
        <f t="shared" ca="1" si="21"/>
        <v>0</v>
      </c>
      <c r="AQ17" s="268">
        <f t="shared" ca="1" si="22"/>
        <v>0</v>
      </c>
      <c r="AR17" s="268">
        <f t="shared" ca="1" si="23"/>
        <v>0</v>
      </c>
      <c r="AS17" s="268">
        <f t="shared" ca="1" si="24"/>
        <v>0</v>
      </c>
      <c r="AT17" s="268">
        <f t="shared" ca="1" si="73"/>
        <v>0</v>
      </c>
      <c r="AU17" s="268">
        <f t="shared" ca="1" si="74"/>
        <v>0</v>
      </c>
      <c r="AV17" s="268">
        <f t="shared" ca="1" si="25"/>
        <v>0</v>
      </c>
      <c r="AW17" s="268">
        <f t="shared" ca="1" si="26"/>
        <v>0</v>
      </c>
      <c r="AX17" s="268">
        <f t="shared" ca="1" si="27"/>
        <v>0</v>
      </c>
      <c r="AY17" s="268">
        <f t="shared" ca="1" si="28"/>
        <v>0</v>
      </c>
      <c r="AZ17" s="268">
        <f t="shared" ca="1" si="29"/>
        <v>0</v>
      </c>
      <c r="BA17" s="268">
        <f t="shared" ca="1" si="30"/>
        <v>0</v>
      </c>
      <c r="BB17" s="268">
        <f t="shared" ca="1" si="31"/>
        <v>0</v>
      </c>
      <c r="BC17" s="268">
        <f t="shared" ca="1" si="32"/>
        <v>0</v>
      </c>
      <c r="BD17" s="268">
        <f t="shared" ca="1" si="33"/>
        <v>0</v>
      </c>
      <c r="BE17" s="268">
        <f t="shared" ca="1" si="34"/>
        <v>0</v>
      </c>
      <c r="BF17" s="268">
        <f t="shared" ca="1" si="35"/>
        <v>0</v>
      </c>
      <c r="BG17" s="268">
        <f t="shared" ca="1" si="36"/>
        <v>0</v>
      </c>
      <c r="BH17" s="268">
        <f t="shared" ca="1" si="75"/>
        <v>0</v>
      </c>
      <c r="BI17" s="268">
        <f t="shared" ca="1" si="76"/>
        <v>0</v>
      </c>
      <c r="BJ17" s="268">
        <f t="shared" ca="1" si="37"/>
        <v>0</v>
      </c>
      <c r="BK17" s="268">
        <f t="shared" ca="1" si="38"/>
        <v>0</v>
      </c>
      <c r="BL17" s="268">
        <f t="shared" ca="1" si="39"/>
        <v>0</v>
      </c>
      <c r="BM17" s="268">
        <f t="shared" ca="1" si="40"/>
        <v>0</v>
      </c>
      <c r="BN17" s="268">
        <f t="shared" ca="1" si="41"/>
        <v>0</v>
      </c>
      <c r="BO17" s="268">
        <f t="shared" ca="1" si="42"/>
        <v>0</v>
      </c>
      <c r="BP17" s="268">
        <f t="shared" ca="1" si="77"/>
        <v>0</v>
      </c>
      <c r="BQ17" s="268">
        <f t="shared" ca="1" si="78"/>
        <v>0</v>
      </c>
      <c r="BR17" s="268">
        <f t="shared" ca="1" si="43"/>
        <v>0</v>
      </c>
      <c r="BS17" s="268">
        <f t="shared" ca="1" si="44"/>
        <v>0</v>
      </c>
      <c r="BT17" s="268">
        <f t="shared" ca="1" si="79"/>
        <v>0</v>
      </c>
      <c r="BU17" s="268">
        <f t="shared" ca="1" si="80"/>
        <v>0</v>
      </c>
      <c r="BV17" s="268">
        <f t="shared" ca="1" si="81"/>
        <v>0</v>
      </c>
      <c r="BW17" s="268">
        <f t="shared" ca="1" si="82"/>
        <v>0</v>
      </c>
      <c r="BX17" s="268">
        <f t="shared" ca="1" si="45"/>
        <v>0</v>
      </c>
      <c r="BY17" s="268">
        <f t="shared" ca="1" si="46"/>
        <v>0</v>
      </c>
      <c r="BZ17" s="268">
        <f t="shared" ca="1" si="47"/>
        <v>0</v>
      </c>
      <c r="CA17" s="268">
        <f t="shared" ca="1" si="48"/>
        <v>0</v>
      </c>
      <c r="CB17" s="268">
        <f t="shared" ca="1" si="49"/>
        <v>0</v>
      </c>
      <c r="CC17" s="268">
        <f t="shared" ca="1" si="50"/>
        <v>0</v>
      </c>
      <c r="CD17" s="268">
        <f t="shared" ca="1" si="83"/>
        <v>0</v>
      </c>
      <c r="CE17" s="268">
        <f t="shared" ca="1" si="84"/>
        <v>0</v>
      </c>
      <c r="CF17" s="268">
        <f t="shared" ca="1" si="85"/>
        <v>0</v>
      </c>
      <c r="CG17" s="268">
        <f t="shared" ca="1" si="86"/>
        <v>0</v>
      </c>
      <c r="CH17" s="268">
        <f t="shared" ca="1" si="51"/>
        <v>0</v>
      </c>
      <c r="CI17" s="268">
        <f t="shared" ca="1" si="52"/>
        <v>0</v>
      </c>
      <c r="CJ17" s="268">
        <f t="shared" ca="1" si="87"/>
        <v>0</v>
      </c>
      <c r="CK17" s="268">
        <f t="shared" ca="1" si="88"/>
        <v>0</v>
      </c>
      <c r="CL17" s="268">
        <f t="shared" ca="1" si="53"/>
        <v>0</v>
      </c>
      <c r="CM17" s="268">
        <f t="shared" ca="1" si="54"/>
        <v>0</v>
      </c>
      <c r="CN17" s="268">
        <f t="shared" ca="1" si="55"/>
        <v>0</v>
      </c>
      <c r="CO17" s="268">
        <f t="shared" ca="1" si="56"/>
        <v>0</v>
      </c>
      <c r="CP17" s="268">
        <f t="shared" ca="1" si="89"/>
        <v>0</v>
      </c>
      <c r="CQ17" s="268">
        <f t="shared" ca="1" si="90"/>
        <v>0</v>
      </c>
      <c r="CR17" s="268">
        <f t="shared" ca="1" si="91"/>
        <v>0</v>
      </c>
      <c r="CS17" s="268">
        <f t="shared" ca="1" si="92"/>
        <v>0</v>
      </c>
      <c r="CT17" s="268">
        <f t="shared" ca="1" si="57"/>
        <v>0</v>
      </c>
      <c r="CU17" s="268">
        <f t="shared" ca="1" si="58"/>
        <v>0</v>
      </c>
      <c r="CV17" s="268">
        <f t="shared" ca="1" si="59"/>
        <v>0</v>
      </c>
      <c r="CW17" s="268">
        <f t="shared" ca="1" si="60"/>
        <v>0</v>
      </c>
      <c r="CX17" s="268">
        <f t="shared" ca="1" si="93"/>
        <v>0</v>
      </c>
      <c r="CY17" s="268">
        <f t="shared" ca="1" si="94"/>
        <v>0</v>
      </c>
      <c r="CZ17" s="268">
        <f t="shared" ca="1" si="95"/>
        <v>0</v>
      </c>
      <c r="DA17" s="268">
        <f t="shared" ca="1" si="96"/>
        <v>0</v>
      </c>
    </row>
    <row r="18" spans="1:105" s="265" customFormat="1" ht="15" customHeight="1">
      <c r="A18" s="62">
        <f t="array" aca="1" ref="A18" ca="1">IF(C18&lt;&gt;0,SUM(($C$11:C18&lt;&gt;0)*1),"")</f>
        <v>8</v>
      </c>
      <c r="B18" s="266" t="str">
        <f ca="1">IF(ROWS($1:8)&gt;COUNT(Dong6),"",OFFSET(TH!C$1,SMALL(Dong6,ROWS($1:8)),))</f>
        <v/>
      </c>
      <c r="C18" s="266" t="str">
        <f ca="1">IF(ROWS($1:8)&gt;COUNT(Dong6),"",OFFSET(TH!D$1,SMALL(Dong6,ROWS($1:8)),))</f>
        <v/>
      </c>
      <c r="D18" s="266" t="str">
        <f ca="1">IF(ROWS($1:8)&gt;COUNT(Dong6),"",OFFSET(TH!E$1,SMALL(Dong6,ROWS($1:8)),))</f>
        <v/>
      </c>
      <c r="E18" s="316" t="str">
        <f ca="1">IF(ROWS($1:8)&gt;COUNT(Dong6),"",OFFSET(TH!F$1,SMALL(Dong6,ROWS($1:8)),))</f>
        <v/>
      </c>
      <c r="F18" s="317" t="str">
        <f ca="1">IF(ROWS($1:8)&gt;COUNT(Dong6),"",OFFSET(TH!M$1,SMALL(Dong6,ROWS($1:8)),))</f>
        <v/>
      </c>
      <c r="G18" s="318" t="str">
        <f ca="1">IF(ROWS($1:8)&gt;COUNT(Dong6),"",OFFSET(TH!N$1,SMALL(Dong6,ROWS($1:8)),))</f>
        <v/>
      </c>
      <c r="H18" s="318" t="str">
        <f ca="1">IF(ROWS($1:8)&gt;COUNT(Dong6),"",OFFSET(TH!O$1,SMALL(Dong6,ROWS($1:8)),))</f>
        <v/>
      </c>
      <c r="I18" s="62">
        <f t="shared" ca="1" si="0"/>
        <v>8</v>
      </c>
      <c r="J18" s="268">
        <f t="shared" ca="1" si="61"/>
        <v>0</v>
      </c>
      <c r="K18" s="268">
        <f t="shared" ca="1" si="62"/>
        <v>0</v>
      </c>
      <c r="L18" s="268">
        <f t="shared" ca="1" si="1"/>
        <v>0</v>
      </c>
      <c r="M18" s="268">
        <f t="shared" ca="1" si="2"/>
        <v>0</v>
      </c>
      <c r="N18" s="268">
        <f t="shared" ca="1" si="3"/>
        <v>0</v>
      </c>
      <c r="O18" s="268">
        <f t="shared" ca="1" si="4"/>
        <v>0</v>
      </c>
      <c r="P18" s="268">
        <f t="shared" ca="1" si="5"/>
        <v>0</v>
      </c>
      <c r="Q18" s="268">
        <f t="shared" ca="1" si="6"/>
        <v>0</v>
      </c>
      <c r="R18" s="268">
        <f t="shared" ca="1" si="7"/>
        <v>0</v>
      </c>
      <c r="S18" s="268">
        <f t="shared" ca="1" si="8"/>
        <v>0</v>
      </c>
      <c r="T18" s="268">
        <f t="shared" ca="1" si="9"/>
        <v>0</v>
      </c>
      <c r="U18" s="268">
        <f t="shared" ca="1" si="10"/>
        <v>0</v>
      </c>
      <c r="V18" s="268">
        <f t="shared" ca="1" si="11"/>
        <v>0</v>
      </c>
      <c r="W18" s="268">
        <f t="shared" ca="1" si="12"/>
        <v>0</v>
      </c>
      <c r="X18" s="268">
        <f t="shared" ca="1" si="13"/>
        <v>0</v>
      </c>
      <c r="Y18" s="268">
        <f t="shared" ca="1" si="14"/>
        <v>0</v>
      </c>
      <c r="Z18" s="268">
        <f t="shared" ca="1" si="15"/>
        <v>0</v>
      </c>
      <c r="AA18" s="268">
        <f t="shared" ca="1" si="16"/>
        <v>0</v>
      </c>
      <c r="AB18" s="268">
        <f t="shared" ca="1" si="63"/>
        <v>0</v>
      </c>
      <c r="AC18" s="268">
        <f t="shared" ca="1" si="64"/>
        <v>0</v>
      </c>
      <c r="AD18" s="268">
        <f t="shared" ca="1" si="17"/>
        <v>0</v>
      </c>
      <c r="AE18" s="268">
        <f t="shared" ca="1" si="18"/>
        <v>0</v>
      </c>
      <c r="AF18" s="268">
        <f t="shared" ca="1" si="19"/>
        <v>0</v>
      </c>
      <c r="AG18" s="268">
        <f t="shared" ca="1" si="20"/>
        <v>0</v>
      </c>
      <c r="AH18" s="268">
        <f t="shared" ca="1" si="65"/>
        <v>0</v>
      </c>
      <c r="AI18" s="268">
        <f t="shared" ca="1" si="66"/>
        <v>0</v>
      </c>
      <c r="AJ18" s="268">
        <f t="shared" ca="1" si="67"/>
        <v>0</v>
      </c>
      <c r="AK18" s="268">
        <f t="shared" ca="1" si="68"/>
        <v>0</v>
      </c>
      <c r="AL18" s="268">
        <f t="shared" ca="1" si="69"/>
        <v>0</v>
      </c>
      <c r="AM18" s="268">
        <f t="shared" ca="1" si="70"/>
        <v>0</v>
      </c>
      <c r="AN18" s="268">
        <f t="shared" ca="1" si="71"/>
        <v>0</v>
      </c>
      <c r="AO18" s="268">
        <f t="shared" ca="1" si="72"/>
        <v>0</v>
      </c>
      <c r="AP18" s="268">
        <f t="shared" ca="1" si="21"/>
        <v>0</v>
      </c>
      <c r="AQ18" s="268">
        <f t="shared" ca="1" si="22"/>
        <v>0</v>
      </c>
      <c r="AR18" s="268">
        <f t="shared" ca="1" si="23"/>
        <v>0</v>
      </c>
      <c r="AS18" s="268">
        <f t="shared" ca="1" si="24"/>
        <v>0</v>
      </c>
      <c r="AT18" s="268">
        <f t="shared" ca="1" si="73"/>
        <v>0</v>
      </c>
      <c r="AU18" s="268">
        <f t="shared" ca="1" si="74"/>
        <v>0</v>
      </c>
      <c r="AV18" s="268">
        <f t="shared" ca="1" si="25"/>
        <v>0</v>
      </c>
      <c r="AW18" s="268">
        <f t="shared" ca="1" si="26"/>
        <v>0</v>
      </c>
      <c r="AX18" s="268">
        <f t="shared" ca="1" si="27"/>
        <v>0</v>
      </c>
      <c r="AY18" s="268">
        <f t="shared" ca="1" si="28"/>
        <v>0</v>
      </c>
      <c r="AZ18" s="268">
        <f t="shared" ca="1" si="29"/>
        <v>0</v>
      </c>
      <c r="BA18" s="268">
        <f t="shared" ca="1" si="30"/>
        <v>0</v>
      </c>
      <c r="BB18" s="268">
        <f t="shared" ca="1" si="31"/>
        <v>0</v>
      </c>
      <c r="BC18" s="268">
        <f t="shared" ca="1" si="32"/>
        <v>0</v>
      </c>
      <c r="BD18" s="268">
        <f t="shared" ca="1" si="33"/>
        <v>0</v>
      </c>
      <c r="BE18" s="268">
        <f t="shared" ca="1" si="34"/>
        <v>0</v>
      </c>
      <c r="BF18" s="268">
        <f t="shared" ca="1" si="35"/>
        <v>0</v>
      </c>
      <c r="BG18" s="268">
        <f t="shared" ca="1" si="36"/>
        <v>0</v>
      </c>
      <c r="BH18" s="268">
        <f t="shared" ca="1" si="75"/>
        <v>0</v>
      </c>
      <c r="BI18" s="268">
        <f t="shared" ca="1" si="76"/>
        <v>0</v>
      </c>
      <c r="BJ18" s="268">
        <f t="shared" ca="1" si="37"/>
        <v>0</v>
      </c>
      <c r="BK18" s="268">
        <f t="shared" ca="1" si="38"/>
        <v>0</v>
      </c>
      <c r="BL18" s="268">
        <f t="shared" ca="1" si="39"/>
        <v>0</v>
      </c>
      <c r="BM18" s="268">
        <f t="shared" ca="1" si="40"/>
        <v>0</v>
      </c>
      <c r="BN18" s="268">
        <f t="shared" ca="1" si="41"/>
        <v>0</v>
      </c>
      <c r="BO18" s="268">
        <f t="shared" ca="1" si="42"/>
        <v>0</v>
      </c>
      <c r="BP18" s="268">
        <f t="shared" ca="1" si="77"/>
        <v>0</v>
      </c>
      <c r="BQ18" s="268">
        <f t="shared" ca="1" si="78"/>
        <v>0</v>
      </c>
      <c r="BR18" s="268">
        <f t="shared" ca="1" si="43"/>
        <v>0</v>
      </c>
      <c r="BS18" s="268">
        <f t="shared" ca="1" si="44"/>
        <v>0</v>
      </c>
      <c r="BT18" s="268">
        <f t="shared" ca="1" si="79"/>
        <v>0</v>
      </c>
      <c r="BU18" s="268">
        <f t="shared" ca="1" si="80"/>
        <v>0</v>
      </c>
      <c r="BV18" s="268">
        <f t="shared" ca="1" si="81"/>
        <v>0</v>
      </c>
      <c r="BW18" s="268">
        <f t="shared" ca="1" si="82"/>
        <v>0</v>
      </c>
      <c r="BX18" s="268">
        <f t="shared" ca="1" si="45"/>
        <v>0</v>
      </c>
      <c r="BY18" s="268">
        <f t="shared" ca="1" si="46"/>
        <v>0</v>
      </c>
      <c r="BZ18" s="268">
        <f t="shared" ca="1" si="47"/>
        <v>0</v>
      </c>
      <c r="CA18" s="268">
        <f t="shared" ca="1" si="48"/>
        <v>0</v>
      </c>
      <c r="CB18" s="268">
        <f t="shared" ca="1" si="49"/>
        <v>0</v>
      </c>
      <c r="CC18" s="268">
        <f t="shared" ca="1" si="50"/>
        <v>0</v>
      </c>
      <c r="CD18" s="268">
        <f t="shared" ca="1" si="83"/>
        <v>0</v>
      </c>
      <c r="CE18" s="268">
        <f t="shared" ca="1" si="84"/>
        <v>0</v>
      </c>
      <c r="CF18" s="268">
        <f t="shared" ca="1" si="85"/>
        <v>0</v>
      </c>
      <c r="CG18" s="268">
        <f t="shared" ca="1" si="86"/>
        <v>0</v>
      </c>
      <c r="CH18" s="268">
        <f t="shared" ca="1" si="51"/>
        <v>0</v>
      </c>
      <c r="CI18" s="268">
        <f t="shared" ca="1" si="52"/>
        <v>0</v>
      </c>
      <c r="CJ18" s="268">
        <f t="shared" ca="1" si="87"/>
        <v>0</v>
      </c>
      <c r="CK18" s="268">
        <f t="shared" ca="1" si="88"/>
        <v>0</v>
      </c>
      <c r="CL18" s="268">
        <f t="shared" ca="1" si="53"/>
        <v>0</v>
      </c>
      <c r="CM18" s="268">
        <f t="shared" ca="1" si="54"/>
        <v>0</v>
      </c>
      <c r="CN18" s="268">
        <f t="shared" ca="1" si="55"/>
        <v>0</v>
      </c>
      <c r="CO18" s="268">
        <f t="shared" ca="1" si="56"/>
        <v>0</v>
      </c>
      <c r="CP18" s="268">
        <f t="shared" ca="1" si="89"/>
        <v>0</v>
      </c>
      <c r="CQ18" s="268">
        <f t="shared" ca="1" si="90"/>
        <v>0</v>
      </c>
      <c r="CR18" s="268">
        <f t="shared" ca="1" si="91"/>
        <v>0</v>
      </c>
      <c r="CS18" s="268">
        <f t="shared" ca="1" si="92"/>
        <v>0</v>
      </c>
      <c r="CT18" s="268">
        <f t="shared" ca="1" si="57"/>
        <v>0</v>
      </c>
      <c r="CU18" s="268">
        <f t="shared" ca="1" si="58"/>
        <v>0</v>
      </c>
      <c r="CV18" s="268">
        <f t="shared" ca="1" si="59"/>
        <v>0</v>
      </c>
      <c r="CW18" s="268">
        <f t="shared" ca="1" si="60"/>
        <v>0</v>
      </c>
      <c r="CX18" s="268">
        <f t="shared" ca="1" si="93"/>
        <v>0</v>
      </c>
      <c r="CY18" s="268">
        <f t="shared" ca="1" si="94"/>
        <v>0</v>
      </c>
      <c r="CZ18" s="268">
        <f t="shared" ca="1" si="95"/>
        <v>0</v>
      </c>
      <c r="DA18" s="268">
        <f t="shared" ca="1" si="96"/>
        <v>0</v>
      </c>
    </row>
    <row r="19" spans="1:105" s="265" customFormat="1" ht="15" customHeight="1">
      <c r="A19" s="62">
        <f t="array" aca="1" ref="A19" ca="1">IF(C19&lt;&gt;0,SUM(($C$11:C19&lt;&gt;0)*1),"")</f>
        <v>9</v>
      </c>
      <c r="B19" s="266" t="str">
        <f ca="1">IF(ROWS($1:9)&gt;COUNT(Dong6),"",OFFSET(TH!C$1,SMALL(Dong6,ROWS($1:9)),))</f>
        <v/>
      </c>
      <c r="C19" s="266" t="str">
        <f ca="1">IF(ROWS($1:9)&gt;COUNT(Dong6),"",OFFSET(TH!D$1,SMALL(Dong6,ROWS($1:9)),))</f>
        <v/>
      </c>
      <c r="D19" s="266" t="str">
        <f ca="1">IF(ROWS($1:9)&gt;COUNT(Dong6),"",OFFSET(TH!E$1,SMALL(Dong6,ROWS($1:9)),))</f>
        <v/>
      </c>
      <c r="E19" s="316" t="str">
        <f ca="1">IF(ROWS($1:9)&gt;COUNT(Dong6),"",OFFSET(TH!F$1,SMALL(Dong6,ROWS($1:9)),))</f>
        <v/>
      </c>
      <c r="F19" s="317" t="str">
        <f ca="1">IF(ROWS($1:9)&gt;COUNT(Dong6),"",OFFSET(TH!M$1,SMALL(Dong6,ROWS($1:9)),))</f>
        <v/>
      </c>
      <c r="G19" s="318" t="str">
        <f ca="1">IF(ROWS($1:9)&gt;COUNT(Dong6),"",OFFSET(TH!N$1,SMALL(Dong6,ROWS($1:9)),))</f>
        <v/>
      </c>
      <c r="H19" s="318" t="str">
        <f ca="1">IF(ROWS($1:9)&gt;COUNT(Dong6),"",OFFSET(TH!O$1,SMALL(Dong6,ROWS($1:9)),))</f>
        <v/>
      </c>
      <c r="I19" s="62">
        <f t="shared" ca="1" si="0"/>
        <v>9</v>
      </c>
      <c r="J19" s="268">
        <f t="shared" ca="1" si="61"/>
        <v>0</v>
      </c>
      <c r="K19" s="268">
        <f t="shared" ca="1" si="62"/>
        <v>0</v>
      </c>
      <c r="L19" s="268">
        <f t="shared" ca="1" si="1"/>
        <v>0</v>
      </c>
      <c r="M19" s="268">
        <f t="shared" ca="1" si="2"/>
        <v>0</v>
      </c>
      <c r="N19" s="268">
        <f t="shared" ca="1" si="3"/>
        <v>0</v>
      </c>
      <c r="O19" s="268">
        <f t="shared" ca="1" si="4"/>
        <v>0</v>
      </c>
      <c r="P19" s="268">
        <f t="shared" ca="1" si="5"/>
        <v>0</v>
      </c>
      <c r="Q19" s="268">
        <f t="shared" ca="1" si="6"/>
        <v>0</v>
      </c>
      <c r="R19" s="268">
        <f t="shared" ca="1" si="7"/>
        <v>0</v>
      </c>
      <c r="S19" s="268">
        <f t="shared" ca="1" si="8"/>
        <v>0</v>
      </c>
      <c r="T19" s="268">
        <f t="shared" ca="1" si="9"/>
        <v>0</v>
      </c>
      <c r="U19" s="268">
        <f t="shared" ca="1" si="10"/>
        <v>0</v>
      </c>
      <c r="V19" s="268">
        <f t="shared" ca="1" si="11"/>
        <v>0</v>
      </c>
      <c r="W19" s="268">
        <f t="shared" ca="1" si="12"/>
        <v>0</v>
      </c>
      <c r="X19" s="268">
        <f t="shared" ca="1" si="13"/>
        <v>0</v>
      </c>
      <c r="Y19" s="268">
        <f t="shared" ca="1" si="14"/>
        <v>0</v>
      </c>
      <c r="Z19" s="268">
        <f t="shared" ca="1" si="15"/>
        <v>0</v>
      </c>
      <c r="AA19" s="268">
        <f t="shared" ca="1" si="16"/>
        <v>0</v>
      </c>
      <c r="AB19" s="268">
        <f t="shared" ca="1" si="63"/>
        <v>0</v>
      </c>
      <c r="AC19" s="268">
        <f t="shared" ca="1" si="64"/>
        <v>0</v>
      </c>
      <c r="AD19" s="268">
        <f t="shared" ca="1" si="17"/>
        <v>0</v>
      </c>
      <c r="AE19" s="268">
        <f t="shared" ca="1" si="18"/>
        <v>0</v>
      </c>
      <c r="AF19" s="268">
        <f t="shared" ca="1" si="19"/>
        <v>0</v>
      </c>
      <c r="AG19" s="268">
        <f t="shared" ca="1" si="20"/>
        <v>0</v>
      </c>
      <c r="AH19" s="268">
        <f t="shared" ca="1" si="65"/>
        <v>0</v>
      </c>
      <c r="AI19" s="268">
        <f t="shared" ca="1" si="66"/>
        <v>0</v>
      </c>
      <c r="AJ19" s="268">
        <f t="shared" ca="1" si="67"/>
        <v>0</v>
      </c>
      <c r="AK19" s="268">
        <f t="shared" ca="1" si="68"/>
        <v>0</v>
      </c>
      <c r="AL19" s="268">
        <f t="shared" ca="1" si="69"/>
        <v>0</v>
      </c>
      <c r="AM19" s="268">
        <f t="shared" ca="1" si="70"/>
        <v>0</v>
      </c>
      <c r="AN19" s="268">
        <f t="shared" ca="1" si="71"/>
        <v>0</v>
      </c>
      <c r="AO19" s="268">
        <f t="shared" ca="1" si="72"/>
        <v>0</v>
      </c>
      <c r="AP19" s="268">
        <f t="shared" ca="1" si="21"/>
        <v>0</v>
      </c>
      <c r="AQ19" s="268">
        <f t="shared" ca="1" si="22"/>
        <v>0</v>
      </c>
      <c r="AR19" s="268">
        <f t="shared" ca="1" si="23"/>
        <v>0</v>
      </c>
      <c r="AS19" s="268">
        <f t="shared" ca="1" si="24"/>
        <v>0</v>
      </c>
      <c r="AT19" s="268">
        <f t="shared" ca="1" si="73"/>
        <v>0</v>
      </c>
      <c r="AU19" s="268">
        <f t="shared" ca="1" si="74"/>
        <v>0</v>
      </c>
      <c r="AV19" s="268">
        <f t="shared" ca="1" si="25"/>
        <v>0</v>
      </c>
      <c r="AW19" s="268">
        <f t="shared" ca="1" si="26"/>
        <v>0</v>
      </c>
      <c r="AX19" s="268">
        <f t="shared" ca="1" si="27"/>
        <v>0</v>
      </c>
      <c r="AY19" s="268">
        <f t="shared" ca="1" si="28"/>
        <v>0</v>
      </c>
      <c r="AZ19" s="268">
        <f t="shared" ca="1" si="29"/>
        <v>0</v>
      </c>
      <c r="BA19" s="268">
        <f t="shared" ca="1" si="30"/>
        <v>0</v>
      </c>
      <c r="BB19" s="268">
        <f t="shared" ca="1" si="31"/>
        <v>0</v>
      </c>
      <c r="BC19" s="268">
        <f t="shared" ca="1" si="32"/>
        <v>0</v>
      </c>
      <c r="BD19" s="268">
        <f t="shared" ca="1" si="33"/>
        <v>0</v>
      </c>
      <c r="BE19" s="268">
        <f t="shared" ca="1" si="34"/>
        <v>0</v>
      </c>
      <c r="BF19" s="268">
        <f t="shared" ca="1" si="35"/>
        <v>0</v>
      </c>
      <c r="BG19" s="268">
        <f t="shared" ca="1" si="36"/>
        <v>0</v>
      </c>
      <c r="BH19" s="268">
        <f t="shared" ca="1" si="75"/>
        <v>0</v>
      </c>
      <c r="BI19" s="268">
        <f t="shared" ca="1" si="76"/>
        <v>0</v>
      </c>
      <c r="BJ19" s="268">
        <f t="shared" ca="1" si="37"/>
        <v>0</v>
      </c>
      <c r="BK19" s="268">
        <f t="shared" ca="1" si="38"/>
        <v>0</v>
      </c>
      <c r="BL19" s="268">
        <f t="shared" ca="1" si="39"/>
        <v>0</v>
      </c>
      <c r="BM19" s="268">
        <f t="shared" ca="1" si="40"/>
        <v>0</v>
      </c>
      <c r="BN19" s="268">
        <f t="shared" ca="1" si="41"/>
        <v>0</v>
      </c>
      <c r="BO19" s="268">
        <f t="shared" ca="1" si="42"/>
        <v>0</v>
      </c>
      <c r="BP19" s="268">
        <f t="shared" ca="1" si="77"/>
        <v>0</v>
      </c>
      <c r="BQ19" s="268">
        <f t="shared" ca="1" si="78"/>
        <v>0</v>
      </c>
      <c r="BR19" s="268">
        <f t="shared" ca="1" si="43"/>
        <v>0</v>
      </c>
      <c r="BS19" s="268">
        <f t="shared" ca="1" si="44"/>
        <v>0</v>
      </c>
      <c r="BT19" s="268">
        <f t="shared" ca="1" si="79"/>
        <v>0</v>
      </c>
      <c r="BU19" s="268">
        <f t="shared" ca="1" si="80"/>
        <v>0</v>
      </c>
      <c r="BV19" s="268">
        <f t="shared" ca="1" si="81"/>
        <v>0</v>
      </c>
      <c r="BW19" s="268">
        <f t="shared" ca="1" si="82"/>
        <v>0</v>
      </c>
      <c r="BX19" s="268">
        <f t="shared" ca="1" si="45"/>
        <v>0</v>
      </c>
      <c r="BY19" s="268">
        <f t="shared" ca="1" si="46"/>
        <v>0</v>
      </c>
      <c r="BZ19" s="268">
        <f t="shared" ca="1" si="47"/>
        <v>0</v>
      </c>
      <c r="CA19" s="268">
        <f t="shared" ca="1" si="48"/>
        <v>0</v>
      </c>
      <c r="CB19" s="268">
        <f t="shared" ca="1" si="49"/>
        <v>0</v>
      </c>
      <c r="CC19" s="268">
        <f t="shared" ca="1" si="50"/>
        <v>0</v>
      </c>
      <c r="CD19" s="268">
        <f t="shared" ca="1" si="83"/>
        <v>0</v>
      </c>
      <c r="CE19" s="268">
        <f t="shared" ca="1" si="84"/>
        <v>0</v>
      </c>
      <c r="CF19" s="268">
        <f t="shared" ca="1" si="85"/>
        <v>0</v>
      </c>
      <c r="CG19" s="268">
        <f t="shared" ca="1" si="86"/>
        <v>0</v>
      </c>
      <c r="CH19" s="268">
        <f t="shared" ca="1" si="51"/>
        <v>0</v>
      </c>
      <c r="CI19" s="268">
        <f t="shared" ca="1" si="52"/>
        <v>0</v>
      </c>
      <c r="CJ19" s="268">
        <f t="shared" ca="1" si="87"/>
        <v>0</v>
      </c>
      <c r="CK19" s="268">
        <f t="shared" ca="1" si="88"/>
        <v>0</v>
      </c>
      <c r="CL19" s="268">
        <f t="shared" ca="1" si="53"/>
        <v>0</v>
      </c>
      <c r="CM19" s="268">
        <f t="shared" ca="1" si="54"/>
        <v>0</v>
      </c>
      <c r="CN19" s="268">
        <f t="shared" ca="1" si="55"/>
        <v>0</v>
      </c>
      <c r="CO19" s="268">
        <f t="shared" ca="1" si="56"/>
        <v>0</v>
      </c>
      <c r="CP19" s="268">
        <f t="shared" ca="1" si="89"/>
        <v>0</v>
      </c>
      <c r="CQ19" s="268">
        <f t="shared" ca="1" si="90"/>
        <v>0</v>
      </c>
      <c r="CR19" s="268">
        <f t="shared" ca="1" si="91"/>
        <v>0</v>
      </c>
      <c r="CS19" s="268">
        <f t="shared" ca="1" si="92"/>
        <v>0</v>
      </c>
      <c r="CT19" s="268">
        <f t="shared" ca="1" si="57"/>
        <v>0</v>
      </c>
      <c r="CU19" s="268">
        <f t="shared" ca="1" si="58"/>
        <v>0</v>
      </c>
      <c r="CV19" s="268">
        <f t="shared" ca="1" si="59"/>
        <v>0</v>
      </c>
      <c r="CW19" s="268">
        <f t="shared" ca="1" si="60"/>
        <v>0</v>
      </c>
      <c r="CX19" s="268">
        <f t="shared" ca="1" si="93"/>
        <v>0</v>
      </c>
      <c r="CY19" s="268">
        <f t="shared" ca="1" si="94"/>
        <v>0</v>
      </c>
      <c r="CZ19" s="268">
        <f t="shared" ca="1" si="95"/>
        <v>0</v>
      </c>
      <c r="DA19" s="268">
        <f t="shared" ca="1" si="96"/>
        <v>0</v>
      </c>
    </row>
    <row r="20" spans="1:105" s="265" customFormat="1" ht="15" customHeight="1">
      <c r="A20" s="62">
        <f t="array" aca="1" ref="A20" ca="1">IF(C20&lt;&gt;0,SUM(($C$11:C20&lt;&gt;0)*1),"")</f>
        <v>10</v>
      </c>
      <c r="B20" s="266" t="str">
        <f ca="1">IF(ROWS($1:10)&gt;COUNT(Dong6),"",OFFSET(TH!C$1,SMALL(Dong6,ROWS($1:10)),))</f>
        <v/>
      </c>
      <c r="C20" s="266" t="str">
        <f ca="1">IF(ROWS($1:10)&gt;COUNT(Dong6),"",OFFSET(TH!D$1,SMALL(Dong6,ROWS($1:10)),))</f>
        <v/>
      </c>
      <c r="D20" s="266" t="str">
        <f ca="1">IF(ROWS($1:10)&gt;COUNT(Dong6),"",OFFSET(TH!E$1,SMALL(Dong6,ROWS($1:10)),))</f>
        <v/>
      </c>
      <c r="E20" s="316" t="str">
        <f ca="1">IF(ROWS($1:10)&gt;COUNT(Dong6),"",OFFSET(TH!F$1,SMALL(Dong6,ROWS($1:10)),))</f>
        <v/>
      </c>
      <c r="F20" s="317" t="str">
        <f ca="1">IF(ROWS($1:10)&gt;COUNT(Dong6),"",OFFSET(TH!M$1,SMALL(Dong6,ROWS($1:10)),))</f>
        <v/>
      </c>
      <c r="G20" s="318" t="str">
        <f ca="1">IF(ROWS($1:10)&gt;COUNT(Dong6),"",OFFSET(TH!N$1,SMALL(Dong6,ROWS($1:10)),))</f>
        <v/>
      </c>
      <c r="H20" s="318" t="str">
        <f ca="1">IF(ROWS($1:10)&gt;COUNT(Dong6),"",OFFSET(TH!O$1,SMALL(Dong6,ROWS($1:10)),))</f>
        <v/>
      </c>
      <c r="I20" s="62">
        <f t="shared" ca="1" si="0"/>
        <v>10</v>
      </c>
      <c r="J20" s="268">
        <f t="shared" ca="1" si="61"/>
        <v>0</v>
      </c>
      <c r="K20" s="268">
        <f t="shared" ca="1" si="62"/>
        <v>0</v>
      </c>
      <c r="L20" s="268">
        <f t="shared" ca="1" si="1"/>
        <v>0</v>
      </c>
      <c r="M20" s="268">
        <f t="shared" ca="1" si="2"/>
        <v>0</v>
      </c>
      <c r="N20" s="268">
        <f t="shared" ca="1" si="3"/>
        <v>0</v>
      </c>
      <c r="O20" s="268">
        <f t="shared" ca="1" si="4"/>
        <v>0</v>
      </c>
      <c r="P20" s="268">
        <f t="shared" ca="1" si="5"/>
        <v>0</v>
      </c>
      <c r="Q20" s="268">
        <f t="shared" ca="1" si="6"/>
        <v>0</v>
      </c>
      <c r="R20" s="268">
        <f t="shared" ca="1" si="7"/>
        <v>0</v>
      </c>
      <c r="S20" s="268">
        <f t="shared" ca="1" si="8"/>
        <v>0</v>
      </c>
      <c r="T20" s="268">
        <f t="shared" ca="1" si="9"/>
        <v>0</v>
      </c>
      <c r="U20" s="268">
        <f t="shared" ca="1" si="10"/>
        <v>0</v>
      </c>
      <c r="V20" s="268">
        <f t="shared" ca="1" si="11"/>
        <v>0</v>
      </c>
      <c r="W20" s="268">
        <f t="shared" ca="1" si="12"/>
        <v>0</v>
      </c>
      <c r="X20" s="268">
        <f t="shared" ca="1" si="13"/>
        <v>0</v>
      </c>
      <c r="Y20" s="268">
        <f t="shared" ca="1" si="14"/>
        <v>0</v>
      </c>
      <c r="Z20" s="268">
        <f t="shared" ca="1" si="15"/>
        <v>0</v>
      </c>
      <c r="AA20" s="268">
        <f t="shared" ca="1" si="16"/>
        <v>0</v>
      </c>
      <c r="AB20" s="268">
        <f t="shared" ca="1" si="63"/>
        <v>0</v>
      </c>
      <c r="AC20" s="268">
        <f t="shared" ca="1" si="64"/>
        <v>0</v>
      </c>
      <c r="AD20" s="268">
        <f t="shared" ca="1" si="17"/>
        <v>0</v>
      </c>
      <c r="AE20" s="268">
        <f t="shared" ca="1" si="18"/>
        <v>0</v>
      </c>
      <c r="AF20" s="268">
        <f t="shared" ca="1" si="19"/>
        <v>0</v>
      </c>
      <c r="AG20" s="268">
        <f t="shared" ca="1" si="20"/>
        <v>0</v>
      </c>
      <c r="AH20" s="268">
        <f t="shared" ca="1" si="65"/>
        <v>0</v>
      </c>
      <c r="AI20" s="268">
        <f t="shared" ca="1" si="66"/>
        <v>0</v>
      </c>
      <c r="AJ20" s="268">
        <f t="shared" ca="1" si="67"/>
        <v>0</v>
      </c>
      <c r="AK20" s="268">
        <f t="shared" ca="1" si="68"/>
        <v>0</v>
      </c>
      <c r="AL20" s="268">
        <f t="shared" ca="1" si="69"/>
        <v>0</v>
      </c>
      <c r="AM20" s="268">
        <f t="shared" ca="1" si="70"/>
        <v>0</v>
      </c>
      <c r="AN20" s="268">
        <f t="shared" ca="1" si="71"/>
        <v>0</v>
      </c>
      <c r="AO20" s="268">
        <f t="shared" ca="1" si="72"/>
        <v>0</v>
      </c>
      <c r="AP20" s="268">
        <f t="shared" ca="1" si="21"/>
        <v>0</v>
      </c>
      <c r="AQ20" s="268">
        <f t="shared" ca="1" si="22"/>
        <v>0</v>
      </c>
      <c r="AR20" s="268">
        <f t="shared" ca="1" si="23"/>
        <v>0</v>
      </c>
      <c r="AS20" s="268">
        <f t="shared" ca="1" si="24"/>
        <v>0</v>
      </c>
      <c r="AT20" s="268">
        <f t="shared" ca="1" si="73"/>
        <v>0</v>
      </c>
      <c r="AU20" s="268">
        <f t="shared" ca="1" si="74"/>
        <v>0</v>
      </c>
      <c r="AV20" s="268">
        <f t="shared" ca="1" si="25"/>
        <v>0</v>
      </c>
      <c r="AW20" s="268">
        <f t="shared" ca="1" si="26"/>
        <v>0</v>
      </c>
      <c r="AX20" s="268">
        <f t="shared" ca="1" si="27"/>
        <v>0</v>
      </c>
      <c r="AY20" s="268">
        <f t="shared" ca="1" si="28"/>
        <v>0</v>
      </c>
      <c r="AZ20" s="268">
        <f t="shared" ca="1" si="29"/>
        <v>0</v>
      </c>
      <c r="BA20" s="268">
        <f t="shared" ca="1" si="30"/>
        <v>0</v>
      </c>
      <c r="BB20" s="268">
        <f t="shared" ca="1" si="31"/>
        <v>0</v>
      </c>
      <c r="BC20" s="268">
        <f t="shared" ca="1" si="32"/>
        <v>0</v>
      </c>
      <c r="BD20" s="268">
        <f t="shared" ca="1" si="33"/>
        <v>0</v>
      </c>
      <c r="BE20" s="268">
        <f t="shared" ca="1" si="34"/>
        <v>0</v>
      </c>
      <c r="BF20" s="268">
        <f t="shared" ca="1" si="35"/>
        <v>0</v>
      </c>
      <c r="BG20" s="268">
        <f t="shared" ca="1" si="36"/>
        <v>0</v>
      </c>
      <c r="BH20" s="268">
        <f t="shared" ca="1" si="75"/>
        <v>0</v>
      </c>
      <c r="BI20" s="268">
        <f t="shared" ca="1" si="76"/>
        <v>0</v>
      </c>
      <c r="BJ20" s="268">
        <f t="shared" ca="1" si="37"/>
        <v>0</v>
      </c>
      <c r="BK20" s="268">
        <f t="shared" ca="1" si="38"/>
        <v>0</v>
      </c>
      <c r="BL20" s="268">
        <f t="shared" ca="1" si="39"/>
        <v>0</v>
      </c>
      <c r="BM20" s="268">
        <f t="shared" ca="1" si="40"/>
        <v>0</v>
      </c>
      <c r="BN20" s="268">
        <f t="shared" ca="1" si="41"/>
        <v>0</v>
      </c>
      <c r="BO20" s="268">
        <f t="shared" ca="1" si="42"/>
        <v>0</v>
      </c>
      <c r="BP20" s="268">
        <f t="shared" ca="1" si="77"/>
        <v>0</v>
      </c>
      <c r="BQ20" s="268">
        <f t="shared" ca="1" si="78"/>
        <v>0</v>
      </c>
      <c r="BR20" s="268">
        <f t="shared" ca="1" si="43"/>
        <v>0</v>
      </c>
      <c r="BS20" s="268">
        <f t="shared" ca="1" si="44"/>
        <v>0</v>
      </c>
      <c r="BT20" s="268">
        <f t="shared" ca="1" si="79"/>
        <v>0</v>
      </c>
      <c r="BU20" s="268">
        <f t="shared" ca="1" si="80"/>
        <v>0</v>
      </c>
      <c r="BV20" s="268">
        <f t="shared" ca="1" si="81"/>
        <v>0</v>
      </c>
      <c r="BW20" s="268">
        <f t="shared" ca="1" si="82"/>
        <v>0</v>
      </c>
      <c r="BX20" s="268">
        <f t="shared" ca="1" si="45"/>
        <v>0</v>
      </c>
      <c r="BY20" s="268">
        <f t="shared" ca="1" si="46"/>
        <v>0</v>
      </c>
      <c r="BZ20" s="268">
        <f t="shared" ca="1" si="47"/>
        <v>0</v>
      </c>
      <c r="CA20" s="268">
        <f t="shared" ca="1" si="48"/>
        <v>0</v>
      </c>
      <c r="CB20" s="268">
        <f t="shared" ca="1" si="49"/>
        <v>0</v>
      </c>
      <c r="CC20" s="268">
        <f t="shared" ca="1" si="50"/>
        <v>0</v>
      </c>
      <c r="CD20" s="268">
        <f t="shared" ca="1" si="83"/>
        <v>0</v>
      </c>
      <c r="CE20" s="268">
        <f t="shared" ca="1" si="84"/>
        <v>0</v>
      </c>
      <c r="CF20" s="268">
        <f t="shared" ca="1" si="85"/>
        <v>0</v>
      </c>
      <c r="CG20" s="268">
        <f t="shared" ca="1" si="86"/>
        <v>0</v>
      </c>
      <c r="CH20" s="268">
        <f t="shared" ca="1" si="51"/>
        <v>0</v>
      </c>
      <c r="CI20" s="268">
        <f t="shared" ca="1" si="52"/>
        <v>0</v>
      </c>
      <c r="CJ20" s="268">
        <f t="shared" ca="1" si="87"/>
        <v>0</v>
      </c>
      <c r="CK20" s="268">
        <f t="shared" ca="1" si="88"/>
        <v>0</v>
      </c>
      <c r="CL20" s="268">
        <f t="shared" ca="1" si="53"/>
        <v>0</v>
      </c>
      <c r="CM20" s="268">
        <f t="shared" ca="1" si="54"/>
        <v>0</v>
      </c>
      <c r="CN20" s="268">
        <f t="shared" ca="1" si="55"/>
        <v>0</v>
      </c>
      <c r="CO20" s="268">
        <f t="shared" ca="1" si="56"/>
        <v>0</v>
      </c>
      <c r="CP20" s="268">
        <f t="shared" ca="1" si="89"/>
        <v>0</v>
      </c>
      <c r="CQ20" s="268">
        <f t="shared" ca="1" si="90"/>
        <v>0</v>
      </c>
      <c r="CR20" s="268">
        <f t="shared" ca="1" si="91"/>
        <v>0</v>
      </c>
      <c r="CS20" s="268">
        <f t="shared" ca="1" si="92"/>
        <v>0</v>
      </c>
      <c r="CT20" s="268">
        <f t="shared" ca="1" si="57"/>
        <v>0</v>
      </c>
      <c r="CU20" s="268">
        <f t="shared" ca="1" si="58"/>
        <v>0</v>
      </c>
      <c r="CV20" s="268">
        <f t="shared" ca="1" si="59"/>
        <v>0</v>
      </c>
      <c r="CW20" s="268">
        <f t="shared" ca="1" si="60"/>
        <v>0</v>
      </c>
      <c r="CX20" s="268">
        <f t="shared" ca="1" si="93"/>
        <v>0</v>
      </c>
      <c r="CY20" s="268">
        <f t="shared" ca="1" si="94"/>
        <v>0</v>
      </c>
      <c r="CZ20" s="268">
        <f t="shared" ca="1" si="95"/>
        <v>0</v>
      </c>
      <c r="DA20" s="268">
        <f t="shared" ca="1" si="96"/>
        <v>0</v>
      </c>
    </row>
    <row r="21" spans="1:105" s="265" customFormat="1" ht="15" customHeight="1">
      <c r="A21" s="62">
        <f t="array" aca="1" ref="A21" ca="1">IF(C21&lt;&gt;0,SUM(($C$11:C21&lt;&gt;0)*1),"")</f>
        <v>11</v>
      </c>
      <c r="B21" s="266" t="str">
        <f ca="1">IF(ROWS($1:11)&gt;COUNT(Dong6),"",OFFSET(TH!C$1,SMALL(Dong6,ROWS($1:11)),))</f>
        <v/>
      </c>
      <c r="C21" s="266" t="str">
        <f ca="1">IF(ROWS($1:11)&gt;COUNT(Dong6),"",OFFSET(TH!D$1,SMALL(Dong6,ROWS($1:11)),))</f>
        <v/>
      </c>
      <c r="D21" s="266" t="str">
        <f ca="1">IF(ROWS($1:11)&gt;COUNT(Dong6),"",OFFSET(TH!E$1,SMALL(Dong6,ROWS($1:11)),))</f>
        <v/>
      </c>
      <c r="E21" s="316" t="str">
        <f ca="1">IF(ROWS($1:11)&gt;COUNT(Dong6),"",OFFSET(TH!F$1,SMALL(Dong6,ROWS($1:11)),))</f>
        <v/>
      </c>
      <c r="F21" s="317" t="str">
        <f ca="1">IF(ROWS($1:11)&gt;COUNT(Dong6),"",OFFSET(TH!M$1,SMALL(Dong6,ROWS($1:11)),))</f>
        <v/>
      </c>
      <c r="G21" s="318" t="str">
        <f ca="1">IF(ROWS($1:11)&gt;COUNT(Dong6),"",OFFSET(TH!N$1,SMALL(Dong6,ROWS($1:11)),))</f>
        <v/>
      </c>
      <c r="H21" s="318" t="str">
        <f ca="1">IF(ROWS($1:11)&gt;COUNT(Dong6),"",OFFSET(TH!O$1,SMALL(Dong6,ROWS($1:11)),))</f>
        <v/>
      </c>
      <c r="I21" s="62">
        <f t="shared" ca="1" si="0"/>
        <v>11</v>
      </c>
      <c r="J21" s="268">
        <f t="shared" ca="1" si="61"/>
        <v>0</v>
      </c>
      <c r="K21" s="268">
        <f t="shared" ca="1" si="62"/>
        <v>0</v>
      </c>
      <c r="L21" s="268">
        <f t="shared" ca="1" si="1"/>
        <v>0</v>
      </c>
      <c r="M21" s="268">
        <f t="shared" ca="1" si="2"/>
        <v>0</v>
      </c>
      <c r="N21" s="268">
        <f t="shared" ca="1" si="3"/>
        <v>0</v>
      </c>
      <c r="O21" s="268">
        <f t="shared" ca="1" si="4"/>
        <v>0</v>
      </c>
      <c r="P21" s="268">
        <f t="shared" ca="1" si="5"/>
        <v>0</v>
      </c>
      <c r="Q21" s="268">
        <f t="shared" ca="1" si="6"/>
        <v>0</v>
      </c>
      <c r="R21" s="268">
        <f t="shared" ca="1" si="7"/>
        <v>0</v>
      </c>
      <c r="S21" s="268">
        <f t="shared" ca="1" si="8"/>
        <v>0</v>
      </c>
      <c r="T21" s="268">
        <f t="shared" ca="1" si="9"/>
        <v>0</v>
      </c>
      <c r="U21" s="268">
        <f t="shared" ca="1" si="10"/>
        <v>0</v>
      </c>
      <c r="V21" s="268">
        <f t="shared" ca="1" si="11"/>
        <v>0</v>
      </c>
      <c r="W21" s="268">
        <f t="shared" ca="1" si="12"/>
        <v>0</v>
      </c>
      <c r="X21" s="268">
        <f t="shared" ca="1" si="13"/>
        <v>0</v>
      </c>
      <c r="Y21" s="268">
        <f t="shared" ca="1" si="14"/>
        <v>0</v>
      </c>
      <c r="Z21" s="268">
        <f t="shared" ca="1" si="15"/>
        <v>0</v>
      </c>
      <c r="AA21" s="268">
        <f t="shared" ca="1" si="16"/>
        <v>0</v>
      </c>
      <c r="AB21" s="268">
        <f t="shared" ca="1" si="63"/>
        <v>0</v>
      </c>
      <c r="AC21" s="268">
        <f t="shared" ca="1" si="64"/>
        <v>0</v>
      </c>
      <c r="AD21" s="268">
        <f t="shared" ca="1" si="17"/>
        <v>0</v>
      </c>
      <c r="AE21" s="268">
        <f t="shared" ca="1" si="18"/>
        <v>0</v>
      </c>
      <c r="AF21" s="268">
        <f t="shared" ca="1" si="19"/>
        <v>0</v>
      </c>
      <c r="AG21" s="268">
        <f t="shared" ca="1" si="20"/>
        <v>0</v>
      </c>
      <c r="AH21" s="268">
        <f t="shared" ca="1" si="65"/>
        <v>0</v>
      </c>
      <c r="AI21" s="268">
        <f t="shared" ca="1" si="66"/>
        <v>0</v>
      </c>
      <c r="AJ21" s="268">
        <f t="shared" ca="1" si="67"/>
        <v>0</v>
      </c>
      <c r="AK21" s="268">
        <f t="shared" ca="1" si="68"/>
        <v>0</v>
      </c>
      <c r="AL21" s="268">
        <f t="shared" ca="1" si="69"/>
        <v>0</v>
      </c>
      <c r="AM21" s="268">
        <f t="shared" ca="1" si="70"/>
        <v>0</v>
      </c>
      <c r="AN21" s="268">
        <f t="shared" ca="1" si="71"/>
        <v>0</v>
      </c>
      <c r="AO21" s="268">
        <f t="shared" ca="1" si="72"/>
        <v>0</v>
      </c>
      <c r="AP21" s="268">
        <f t="shared" ca="1" si="21"/>
        <v>0</v>
      </c>
      <c r="AQ21" s="268">
        <f t="shared" ca="1" si="22"/>
        <v>0</v>
      </c>
      <c r="AR21" s="268">
        <f t="shared" ca="1" si="23"/>
        <v>0</v>
      </c>
      <c r="AS21" s="268">
        <f t="shared" ca="1" si="24"/>
        <v>0</v>
      </c>
      <c r="AT21" s="268">
        <f t="shared" ca="1" si="73"/>
        <v>0</v>
      </c>
      <c r="AU21" s="268">
        <f t="shared" ca="1" si="74"/>
        <v>0</v>
      </c>
      <c r="AV21" s="268">
        <f t="shared" ca="1" si="25"/>
        <v>0</v>
      </c>
      <c r="AW21" s="268">
        <f t="shared" ca="1" si="26"/>
        <v>0</v>
      </c>
      <c r="AX21" s="268">
        <f t="shared" ca="1" si="27"/>
        <v>0</v>
      </c>
      <c r="AY21" s="268">
        <f t="shared" ca="1" si="28"/>
        <v>0</v>
      </c>
      <c r="AZ21" s="268">
        <f t="shared" ca="1" si="29"/>
        <v>0</v>
      </c>
      <c r="BA21" s="268">
        <f t="shared" ca="1" si="30"/>
        <v>0</v>
      </c>
      <c r="BB21" s="268">
        <f t="shared" ca="1" si="31"/>
        <v>0</v>
      </c>
      <c r="BC21" s="268">
        <f t="shared" ca="1" si="32"/>
        <v>0</v>
      </c>
      <c r="BD21" s="268">
        <f t="shared" ca="1" si="33"/>
        <v>0</v>
      </c>
      <c r="BE21" s="268">
        <f t="shared" ca="1" si="34"/>
        <v>0</v>
      </c>
      <c r="BF21" s="268">
        <f t="shared" ca="1" si="35"/>
        <v>0</v>
      </c>
      <c r="BG21" s="268">
        <f t="shared" ca="1" si="36"/>
        <v>0</v>
      </c>
      <c r="BH21" s="268">
        <f t="shared" ca="1" si="75"/>
        <v>0</v>
      </c>
      <c r="BI21" s="268">
        <f t="shared" ca="1" si="76"/>
        <v>0</v>
      </c>
      <c r="BJ21" s="268">
        <f t="shared" ca="1" si="37"/>
        <v>0</v>
      </c>
      <c r="BK21" s="268">
        <f t="shared" ca="1" si="38"/>
        <v>0</v>
      </c>
      <c r="BL21" s="268">
        <f t="shared" ca="1" si="39"/>
        <v>0</v>
      </c>
      <c r="BM21" s="268">
        <f t="shared" ca="1" si="40"/>
        <v>0</v>
      </c>
      <c r="BN21" s="268">
        <f t="shared" ca="1" si="41"/>
        <v>0</v>
      </c>
      <c r="BO21" s="268">
        <f t="shared" ca="1" si="42"/>
        <v>0</v>
      </c>
      <c r="BP21" s="268">
        <f t="shared" ca="1" si="77"/>
        <v>0</v>
      </c>
      <c r="BQ21" s="268">
        <f t="shared" ca="1" si="78"/>
        <v>0</v>
      </c>
      <c r="BR21" s="268">
        <f t="shared" ca="1" si="43"/>
        <v>0</v>
      </c>
      <c r="BS21" s="268">
        <f t="shared" ca="1" si="44"/>
        <v>0</v>
      </c>
      <c r="BT21" s="268">
        <f t="shared" ca="1" si="79"/>
        <v>0</v>
      </c>
      <c r="BU21" s="268">
        <f t="shared" ca="1" si="80"/>
        <v>0</v>
      </c>
      <c r="BV21" s="268">
        <f t="shared" ca="1" si="81"/>
        <v>0</v>
      </c>
      <c r="BW21" s="268">
        <f t="shared" ca="1" si="82"/>
        <v>0</v>
      </c>
      <c r="BX21" s="268">
        <f t="shared" ca="1" si="45"/>
        <v>0</v>
      </c>
      <c r="BY21" s="268">
        <f t="shared" ca="1" si="46"/>
        <v>0</v>
      </c>
      <c r="BZ21" s="268">
        <f t="shared" ca="1" si="47"/>
        <v>0</v>
      </c>
      <c r="CA21" s="268">
        <f t="shared" ca="1" si="48"/>
        <v>0</v>
      </c>
      <c r="CB21" s="268">
        <f t="shared" ca="1" si="49"/>
        <v>0</v>
      </c>
      <c r="CC21" s="268">
        <f t="shared" ca="1" si="50"/>
        <v>0</v>
      </c>
      <c r="CD21" s="268">
        <f t="shared" ca="1" si="83"/>
        <v>0</v>
      </c>
      <c r="CE21" s="268">
        <f t="shared" ca="1" si="84"/>
        <v>0</v>
      </c>
      <c r="CF21" s="268">
        <f t="shared" ca="1" si="85"/>
        <v>0</v>
      </c>
      <c r="CG21" s="268">
        <f t="shared" ca="1" si="86"/>
        <v>0</v>
      </c>
      <c r="CH21" s="268">
        <f t="shared" ca="1" si="51"/>
        <v>0</v>
      </c>
      <c r="CI21" s="268">
        <f t="shared" ca="1" si="52"/>
        <v>0</v>
      </c>
      <c r="CJ21" s="268">
        <f t="shared" ca="1" si="87"/>
        <v>0</v>
      </c>
      <c r="CK21" s="268">
        <f t="shared" ca="1" si="88"/>
        <v>0</v>
      </c>
      <c r="CL21" s="268">
        <f t="shared" ca="1" si="53"/>
        <v>0</v>
      </c>
      <c r="CM21" s="268">
        <f t="shared" ca="1" si="54"/>
        <v>0</v>
      </c>
      <c r="CN21" s="268">
        <f t="shared" ca="1" si="55"/>
        <v>0</v>
      </c>
      <c r="CO21" s="268">
        <f t="shared" ca="1" si="56"/>
        <v>0</v>
      </c>
      <c r="CP21" s="268">
        <f t="shared" ca="1" si="89"/>
        <v>0</v>
      </c>
      <c r="CQ21" s="268">
        <f t="shared" ca="1" si="90"/>
        <v>0</v>
      </c>
      <c r="CR21" s="268">
        <f t="shared" ca="1" si="91"/>
        <v>0</v>
      </c>
      <c r="CS21" s="268">
        <f t="shared" ca="1" si="92"/>
        <v>0</v>
      </c>
      <c r="CT21" s="268">
        <f t="shared" ca="1" si="57"/>
        <v>0</v>
      </c>
      <c r="CU21" s="268">
        <f t="shared" ca="1" si="58"/>
        <v>0</v>
      </c>
      <c r="CV21" s="268">
        <f t="shared" ca="1" si="59"/>
        <v>0</v>
      </c>
      <c r="CW21" s="268">
        <f t="shared" ca="1" si="60"/>
        <v>0</v>
      </c>
      <c r="CX21" s="268">
        <f t="shared" ca="1" si="93"/>
        <v>0</v>
      </c>
      <c r="CY21" s="268">
        <f t="shared" ca="1" si="94"/>
        <v>0</v>
      </c>
      <c r="CZ21" s="268">
        <f t="shared" ca="1" si="95"/>
        <v>0</v>
      </c>
      <c r="DA21" s="268">
        <f t="shared" ca="1" si="96"/>
        <v>0</v>
      </c>
    </row>
    <row r="22" spans="1:105" s="265" customFormat="1" ht="15" customHeight="1">
      <c r="A22" s="62">
        <f t="array" aca="1" ref="A22" ca="1">IF(C22&lt;&gt;0,SUM(($C$11:C22&lt;&gt;0)*1),"")</f>
        <v>12</v>
      </c>
      <c r="B22" s="266" t="str">
        <f ca="1">IF(ROWS($1:12)&gt;COUNT(Dong6),"",OFFSET(TH!C$1,SMALL(Dong6,ROWS($1:12)),))</f>
        <v/>
      </c>
      <c r="C22" s="266" t="str">
        <f ca="1">IF(ROWS($1:12)&gt;COUNT(Dong6),"",OFFSET(TH!D$1,SMALL(Dong6,ROWS($1:12)),))</f>
        <v/>
      </c>
      <c r="D22" s="266" t="str">
        <f ca="1">IF(ROWS($1:12)&gt;COUNT(Dong6),"",OFFSET(TH!E$1,SMALL(Dong6,ROWS($1:12)),))</f>
        <v/>
      </c>
      <c r="E22" s="316" t="str">
        <f ca="1">IF(ROWS($1:12)&gt;COUNT(Dong6),"",OFFSET(TH!F$1,SMALL(Dong6,ROWS($1:12)),))</f>
        <v/>
      </c>
      <c r="F22" s="317" t="str">
        <f ca="1">IF(ROWS($1:12)&gt;COUNT(Dong6),"",OFFSET(TH!M$1,SMALL(Dong6,ROWS($1:12)),))</f>
        <v/>
      </c>
      <c r="G22" s="318" t="str">
        <f ca="1">IF(ROWS($1:12)&gt;COUNT(Dong6),"",OFFSET(TH!N$1,SMALL(Dong6,ROWS($1:12)),))</f>
        <v/>
      </c>
      <c r="H22" s="318" t="str">
        <f ca="1">IF(ROWS($1:12)&gt;COUNT(Dong6),"",OFFSET(TH!O$1,SMALL(Dong6,ROWS($1:12)),))</f>
        <v/>
      </c>
      <c r="I22" s="62">
        <f t="shared" ca="1" si="0"/>
        <v>12</v>
      </c>
      <c r="J22" s="268">
        <f t="shared" ca="1" si="61"/>
        <v>0</v>
      </c>
      <c r="K22" s="268">
        <f t="shared" ca="1" si="62"/>
        <v>0</v>
      </c>
      <c r="L22" s="268">
        <f t="shared" ca="1" si="1"/>
        <v>0</v>
      </c>
      <c r="M22" s="268">
        <f t="shared" ca="1" si="2"/>
        <v>0</v>
      </c>
      <c r="N22" s="268">
        <f t="shared" ca="1" si="3"/>
        <v>0</v>
      </c>
      <c r="O22" s="268">
        <f t="shared" ca="1" si="4"/>
        <v>0</v>
      </c>
      <c r="P22" s="268">
        <f t="shared" ca="1" si="5"/>
        <v>0</v>
      </c>
      <c r="Q22" s="268">
        <f t="shared" ca="1" si="6"/>
        <v>0</v>
      </c>
      <c r="R22" s="268">
        <f t="shared" ca="1" si="7"/>
        <v>0</v>
      </c>
      <c r="S22" s="268">
        <f t="shared" ca="1" si="8"/>
        <v>0</v>
      </c>
      <c r="T22" s="268">
        <f t="shared" ca="1" si="9"/>
        <v>0</v>
      </c>
      <c r="U22" s="268">
        <f t="shared" ca="1" si="10"/>
        <v>0</v>
      </c>
      <c r="V22" s="268">
        <f t="shared" ca="1" si="11"/>
        <v>0</v>
      </c>
      <c r="W22" s="268">
        <f t="shared" ca="1" si="12"/>
        <v>0</v>
      </c>
      <c r="X22" s="268">
        <f t="shared" ca="1" si="13"/>
        <v>0</v>
      </c>
      <c r="Y22" s="268">
        <f t="shared" ca="1" si="14"/>
        <v>0</v>
      </c>
      <c r="Z22" s="268">
        <f t="shared" ca="1" si="15"/>
        <v>0</v>
      </c>
      <c r="AA22" s="268">
        <f t="shared" ca="1" si="16"/>
        <v>0</v>
      </c>
      <c r="AB22" s="268">
        <f t="shared" ca="1" si="63"/>
        <v>0</v>
      </c>
      <c r="AC22" s="268">
        <f t="shared" ca="1" si="64"/>
        <v>0</v>
      </c>
      <c r="AD22" s="268">
        <f t="shared" ca="1" si="17"/>
        <v>0</v>
      </c>
      <c r="AE22" s="268">
        <f t="shared" ca="1" si="18"/>
        <v>0</v>
      </c>
      <c r="AF22" s="268">
        <f t="shared" ca="1" si="19"/>
        <v>0</v>
      </c>
      <c r="AG22" s="268">
        <f t="shared" ca="1" si="20"/>
        <v>0</v>
      </c>
      <c r="AH22" s="268">
        <f t="shared" ca="1" si="65"/>
        <v>0</v>
      </c>
      <c r="AI22" s="268">
        <f t="shared" ca="1" si="66"/>
        <v>0</v>
      </c>
      <c r="AJ22" s="268">
        <f t="shared" ca="1" si="67"/>
        <v>0</v>
      </c>
      <c r="AK22" s="268">
        <f t="shared" ca="1" si="68"/>
        <v>0</v>
      </c>
      <c r="AL22" s="268">
        <f t="shared" ca="1" si="69"/>
        <v>0</v>
      </c>
      <c r="AM22" s="268">
        <f t="shared" ca="1" si="70"/>
        <v>0</v>
      </c>
      <c r="AN22" s="268">
        <f t="shared" ca="1" si="71"/>
        <v>0</v>
      </c>
      <c r="AO22" s="268">
        <f t="shared" ca="1" si="72"/>
        <v>0</v>
      </c>
      <c r="AP22" s="268">
        <f t="shared" ca="1" si="21"/>
        <v>0</v>
      </c>
      <c r="AQ22" s="268">
        <f t="shared" ca="1" si="22"/>
        <v>0</v>
      </c>
      <c r="AR22" s="268">
        <f t="shared" ca="1" si="23"/>
        <v>0</v>
      </c>
      <c r="AS22" s="268">
        <f t="shared" ca="1" si="24"/>
        <v>0</v>
      </c>
      <c r="AT22" s="268">
        <f t="shared" ca="1" si="73"/>
        <v>0</v>
      </c>
      <c r="AU22" s="268">
        <f t="shared" ca="1" si="74"/>
        <v>0</v>
      </c>
      <c r="AV22" s="268">
        <f t="shared" ca="1" si="25"/>
        <v>0</v>
      </c>
      <c r="AW22" s="268">
        <f t="shared" ca="1" si="26"/>
        <v>0</v>
      </c>
      <c r="AX22" s="268">
        <f t="shared" ca="1" si="27"/>
        <v>0</v>
      </c>
      <c r="AY22" s="268">
        <f t="shared" ca="1" si="28"/>
        <v>0</v>
      </c>
      <c r="AZ22" s="268">
        <f t="shared" ca="1" si="29"/>
        <v>0</v>
      </c>
      <c r="BA22" s="268">
        <f t="shared" ca="1" si="30"/>
        <v>0</v>
      </c>
      <c r="BB22" s="268">
        <f t="shared" ca="1" si="31"/>
        <v>0</v>
      </c>
      <c r="BC22" s="268">
        <f t="shared" ca="1" si="32"/>
        <v>0</v>
      </c>
      <c r="BD22" s="268">
        <f t="shared" ca="1" si="33"/>
        <v>0</v>
      </c>
      <c r="BE22" s="268">
        <f t="shared" ca="1" si="34"/>
        <v>0</v>
      </c>
      <c r="BF22" s="268">
        <f t="shared" ca="1" si="35"/>
        <v>0</v>
      </c>
      <c r="BG22" s="268">
        <f t="shared" ca="1" si="36"/>
        <v>0</v>
      </c>
      <c r="BH22" s="268">
        <f t="shared" ca="1" si="75"/>
        <v>0</v>
      </c>
      <c r="BI22" s="268">
        <f t="shared" ca="1" si="76"/>
        <v>0</v>
      </c>
      <c r="BJ22" s="268">
        <f t="shared" ca="1" si="37"/>
        <v>0</v>
      </c>
      <c r="BK22" s="268">
        <f t="shared" ca="1" si="38"/>
        <v>0</v>
      </c>
      <c r="BL22" s="268">
        <f t="shared" ca="1" si="39"/>
        <v>0</v>
      </c>
      <c r="BM22" s="268">
        <f t="shared" ca="1" si="40"/>
        <v>0</v>
      </c>
      <c r="BN22" s="268">
        <f t="shared" ca="1" si="41"/>
        <v>0</v>
      </c>
      <c r="BO22" s="268">
        <f t="shared" ca="1" si="42"/>
        <v>0</v>
      </c>
      <c r="BP22" s="268">
        <f t="shared" ca="1" si="77"/>
        <v>0</v>
      </c>
      <c r="BQ22" s="268">
        <f t="shared" ca="1" si="78"/>
        <v>0</v>
      </c>
      <c r="BR22" s="268">
        <f t="shared" ca="1" si="43"/>
        <v>0</v>
      </c>
      <c r="BS22" s="268">
        <f t="shared" ca="1" si="44"/>
        <v>0</v>
      </c>
      <c r="BT22" s="268">
        <f t="shared" ca="1" si="79"/>
        <v>0</v>
      </c>
      <c r="BU22" s="268">
        <f t="shared" ca="1" si="80"/>
        <v>0</v>
      </c>
      <c r="BV22" s="268">
        <f t="shared" ca="1" si="81"/>
        <v>0</v>
      </c>
      <c r="BW22" s="268">
        <f t="shared" ca="1" si="82"/>
        <v>0</v>
      </c>
      <c r="BX22" s="268">
        <f t="shared" ca="1" si="45"/>
        <v>0</v>
      </c>
      <c r="BY22" s="268">
        <f t="shared" ca="1" si="46"/>
        <v>0</v>
      </c>
      <c r="BZ22" s="268">
        <f t="shared" ca="1" si="47"/>
        <v>0</v>
      </c>
      <c r="CA22" s="268">
        <f t="shared" ca="1" si="48"/>
        <v>0</v>
      </c>
      <c r="CB22" s="268">
        <f t="shared" ca="1" si="49"/>
        <v>0</v>
      </c>
      <c r="CC22" s="268">
        <f t="shared" ca="1" si="50"/>
        <v>0</v>
      </c>
      <c r="CD22" s="268">
        <f t="shared" ca="1" si="83"/>
        <v>0</v>
      </c>
      <c r="CE22" s="268">
        <f t="shared" ca="1" si="84"/>
        <v>0</v>
      </c>
      <c r="CF22" s="268">
        <f t="shared" ca="1" si="85"/>
        <v>0</v>
      </c>
      <c r="CG22" s="268">
        <f t="shared" ca="1" si="86"/>
        <v>0</v>
      </c>
      <c r="CH22" s="268">
        <f t="shared" ca="1" si="51"/>
        <v>0</v>
      </c>
      <c r="CI22" s="268">
        <f t="shared" ca="1" si="52"/>
        <v>0</v>
      </c>
      <c r="CJ22" s="268">
        <f t="shared" ca="1" si="87"/>
        <v>0</v>
      </c>
      <c r="CK22" s="268">
        <f t="shared" ca="1" si="88"/>
        <v>0</v>
      </c>
      <c r="CL22" s="268">
        <f t="shared" ca="1" si="53"/>
        <v>0</v>
      </c>
      <c r="CM22" s="268">
        <f t="shared" ca="1" si="54"/>
        <v>0</v>
      </c>
      <c r="CN22" s="268">
        <f t="shared" ca="1" si="55"/>
        <v>0</v>
      </c>
      <c r="CO22" s="268">
        <f t="shared" ca="1" si="56"/>
        <v>0</v>
      </c>
      <c r="CP22" s="268">
        <f t="shared" ca="1" si="89"/>
        <v>0</v>
      </c>
      <c r="CQ22" s="268">
        <f t="shared" ca="1" si="90"/>
        <v>0</v>
      </c>
      <c r="CR22" s="268">
        <f t="shared" ca="1" si="91"/>
        <v>0</v>
      </c>
      <c r="CS22" s="268">
        <f t="shared" ca="1" si="92"/>
        <v>0</v>
      </c>
      <c r="CT22" s="268">
        <f t="shared" ca="1" si="57"/>
        <v>0</v>
      </c>
      <c r="CU22" s="268">
        <f t="shared" ca="1" si="58"/>
        <v>0</v>
      </c>
      <c r="CV22" s="268">
        <f t="shared" ca="1" si="59"/>
        <v>0</v>
      </c>
      <c r="CW22" s="268">
        <f t="shared" ca="1" si="60"/>
        <v>0</v>
      </c>
      <c r="CX22" s="268">
        <f t="shared" ca="1" si="93"/>
        <v>0</v>
      </c>
      <c r="CY22" s="268">
        <f t="shared" ca="1" si="94"/>
        <v>0</v>
      </c>
      <c r="CZ22" s="268">
        <f t="shared" ca="1" si="95"/>
        <v>0</v>
      </c>
      <c r="DA22" s="268">
        <f t="shared" ca="1" si="96"/>
        <v>0</v>
      </c>
    </row>
    <row r="23" spans="1:105" s="265" customFormat="1" ht="15" customHeight="1">
      <c r="A23" s="62">
        <f t="array" aca="1" ref="A23" ca="1">IF(C23&lt;&gt;0,SUM(($C$11:C23&lt;&gt;0)*1),"")</f>
        <v>13</v>
      </c>
      <c r="B23" s="266" t="str">
        <f ca="1">IF(ROWS($1:13)&gt;COUNT(Dong6),"",OFFSET(TH!C$1,SMALL(Dong6,ROWS($1:13)),))</f>
        <v/>
      </c>
      <c r="C23" s="266" t="str">
        <f ca="1">IF(ROWS($1:13)&gt;COUNT(Dong6),"",OFFSET(TH!D$1,SMALL(Dong6,ROWS($1:13)),))</f>
        <v/>
      </c>
      <c r="D23" s="266" t="str">
        <f ca="1">IF(ROWS($1:13)&gt;COUNT(Dong6),"",OFFSET(TH!E$1,SMALL(Dong6,ROWS($1:13)),))</f>
        <v/>
      </c>
      <c r="E23" s="316" t="str">
        <f ca="1">IF(ROWS($1:13)&gt;COUNT(Dong6),"",OFFSET(TH!F$1,SMALL(Dong6,ROWS($1:13)),))</f>
        <v/>
      </c>
      <c r="F23" s="317" t="str">
        <f ca="1">IF(ROWS($1:13)&gt;COUNT(Dong6),"",OFFSET(TH!M$1,SMALL(Dong6,ROWS($1:13)),))</f>
        <v/>
      </c>
      <c r="G23" s="318" t="str">
        <f ca="1">IF(ROWS($1:13)&gt;COUNT(Dong6),"",OFFSET(TH!N$1,SMALL(Dong6,ROWS($1:13)),))</f>
        <v/>
      </c>
      <c r="H23" s="318" t="str">
        <f ca="1">IF(ROWS($1:13)&gt;COUNT(Dong6),"",OFFSET(TH!O$1,SMALL(Dong6,ROWS($1:13)),))</f>
        <v/>
      </c>
      <c r="I23" s="62">
        <f t="shared" ca="1" si="0"/>
        <v>13</v>
      </c>
      <c r="J23" s="268">
        <f t="shared" ca="1" si="61"/>
        <v>0</v>
      </c>
      <c r="K23" s="268">
        <f t="shared" ca="1" si="62"/>
        <v>0</v>
      </c>
      <c r="L23" s="268">
        <f t="shared" ca="1" si="1"/>
        <v>0</v>
      </c>
      <c r="M23" s="268">
        <f t="shared" ca="1" si="2"/>
        <v>0</v>
      </c>
      <c r="N23" s="268">
        <f t="shared" ca="1" si="3"/>
        <v>0</v>
      </c>
      <c r="O23" s="268">
        <f t="shared" ca="1" si="4"/>
        <v>0</v>
      </c>
      <c r="P23" s="268">
        <f t="shared" ca="1" si="5"/>
        <v>0</v>
      </c>
      <c r="Q23" s="268">
        <f t="shared" ca="1" si="6"/>
        <v>0</v>
      </c>
      <c r="R23" s="268">
        <f t="shared" ca="1" si="7"/>
        <v>0</v>
      </c>
      <c r="S23" s="268">
        <f t="shared" ca="1" si="8"/>
        <v>0</v>
      </c>
      <c r="T23" s="268">
        <f t="shared" ca="1" si="9"/>
        <v>0</v>
      </c>
      <c r="U23" s="268">
        <f t="shared" ca="1" si="10"/>
        <v>0</v>
      </c>
      <c r="V23" s="268">
        <f t="shared" ca="1" si="11"/>
        <v>0</v>
      </c>
      <c r="W23" s="268">
        <f t="shared" ca="1" si="12"/>
        <v>0</v>
      </c>
      <c r="X23" s="268">
        <f t="shared" ca="1" si="13"/>
        <v>0</v>
      </c>
      <c r="Y23" s="268">
        <f t="shared" ca="1" si="14"/>
        <v>0</v>
      </c>
      <c r="Z23" s="268">
        <f t="shared" ca="1" si="15"/>
        <v>0</v>
      </c>
      <c r="AA23" s="268">
        <f t="shared" ca="1" si="16"/>
        <v>0</v>
      </c>
      <c r="AB23" s="268">
        <f t="shared" ca="1" si="63"/>
        <v>0</v>
      </c>
      <c r="AC23" s="268">
        <f t="shared" ca="1" si="64"/>
        <v>0</v>
      </c>
      <c r="AD23" s="268">
        <f t="shared" ca="1" si="17"/>
        <v>0</v>
      </c>
      <c r="AE23" s="268">
        <f t="shared" ca="1" si="18"/>
        <v>0</v>
      </c>
      <c r="AF23" s="268">
        <f t="shared" ca="1" si="19"/>
        <v>0</v>
      </c>
      <c r="AG23" s="268">
        <f t="shared" ca="1" si="20"/>
        <v>0</v>
      </c>
      <c r="AH23" s="268">
        <f t="shared" ca="1" si="65"/>
        <v>0</v>
      </c>
      <c r="AI23" s="268">
        <f t="shared" ca="1" si="66"/>
        <v>0</v>
      </c>
      <c r="AJ23" s="268">
        <f t="shared" ca="1" si="67"/>
        <v>0</v>
      </c>
      <c r="AK23" s="268">
        <f t="shared" ca="1" si="68"/>
        <v>0</v>
      </c>
      <c r="AL23" s="268">
        <f t="shared" ca="1" si="69"/>
        <v>0</v>
      </c>
      <c r="AM23" s="268">
        <f t="shared" ca="1" si="70"/>
        <v>0</v>
      </c>
      <c r="AN23" s="268">
        <f t="shared" ca="1" si="71"/>
        <v>0</v>
      </c>
      <c r="AO23" s="268">
        <f t="shared" ca="1" si="72"/>
        <v>0</v>
      </c>
      <c r="AP23" s="268">
        <f t="shared" ca="1" si="21"/>
        <v>0</v>
      </c>
      <c r="AQ23" s="268">
        <f t="shared" ca="1" si="22"/>
        <v>0</v>
      </c>
      <c r="AR23" s="268">
        <f t="shared" ca="1" si="23"/>
        <v>0</v>
      </c>
      <c r="AS23" s="268">
        <f t="shared" ca="1" si="24"/>
        <v>0</v>
      </c>
      <c r="AT23" s="268">
        <f t="shared" ca="1" si="73"/>
        <v>0</v>
      </c>
      <c r="AU23" s="268">
        <f t="shared" ca="1" si="74"/>
        <v>0</v>
      </c>
      <c r="AV23" s="268">
        <f t="shared" ca="1" si="25"/>
        <v>0</v>
      </c>
      <c r="AW23" s="268">
        <f t="shared" ca="1" si="26"/>
        <v>0</v>
      </c>
      <c r="AX23" s="268">
        <f t="shared" ca="1" si="27"/>
        <v>0</v>
      </c>
      <c r="AY23" s="268">
        <f t="shared" ca="1" si="28"/>
        <v>0</v>
      </c>
      <c r="AZ23" s="268">
        <f t="shared" ca="1" si="29"/>
        <v>0</v>
      </c>
      <c r="BA23" s="268">
        <f t="shared" ca="1" si="30"/>
        <v>0</v>
      </c>
      <c r="BB23" s="268">
        <f t="shared" ca="1" si="31"/>
        <v>0</v>
      </c>
      <c r="BC23" s="268">
        <f t="shared" ca="1" si="32"/>
        <v>0</v>
      </c>
      <c r="BD23" s="268">
        <f t="shared" ca="1" si="33"/>
        <v>0</v>
      </c>
      <c r="BE23" s="268">
        <f t="shared" ca="1" si="34"/>
        <v>0</v>
      </c>
      <c r="BF23" s="268">
        <f t="shared" ca="1" si="35"/>
        <v>0</v>
      </c>
      <c r="BG23" s="268">
        <f t="shared" ca="1" si="36"/>
        <v>0</v>
      </c>
      <c r="BH23" s="268">
        <f t="shared" ca="1" si="75"/>
        <v>0</v>
      </c>
      <c r="BI23" s="268">
        <f t="shared" ca="1" si="76"/>
        <v>0</v>
      </c>
      <c r="BJ23" s="268">
        <f t="shared" ca="1" si="37"/>
        <v>0</v>
      </c>
      <c r="BK23" s="268">
        <f t="shared" ca="1" si="38"/>
        <v>0</v>
      </c>
      <c r="BL23" s="268">
        <f t="shared" ca="1" si="39"/>
        <v>0</v>
      </c>
      <c r="BM23" s="268">
        <f t="shared" ca="1" si="40"/>
        <v>0</v>
      </c>
      <c r="BN23" s="268">
        <f t="shared" ca="1" si="41"/>
        <v>0</v>
      </c>
      <c r="BO23" s="268">
        <f t="shared" ca="1" si="42"/>
        <v>0</v>
      </c>
      <c r="BP23" s="268">
        <f t="shared" ca="1" si="77"/>
        <v>0</v>
      </c>
      <c r="BQ23" s="268">
        <f t="shared" ca="1" si="78"/>
        <v>0</v>
      </c>
      <c r="BR23" s="268">
        <f t="shared" ca="1" si="43"/>
        <v>0</v>
      </c>
      <c r="BS23" s="268">
        <f t="shared" ca="1" si="44"/>
        <v>0</v>
      </c>
      <c r="BT23" s="268">
        <f t="shared" ca="1" si="79"/>
        <v>0</v>
      </c>
      <c r="BU23" s="268">
        <f t="shared" ca="1" si="80"/>
        <v>0</v>
      </c>
      <c r="BV23" s="268">
        <f t="shared" ca="1" si="81"/>
        <v>0</v>
      </c>
      <c r="BW23" s="268">
        <f t="shared" ca="1" si="82"/>
        <v>0</v>
      </c>
      <c r="BX23" s="268">
        <f t="shared" ca="1" si="45"/>
        <v>0</v>
      </c>
      <c r="BY23" s="268">
        <f t="shared" ca="1" si="46"/>
        <v>0</v>
      </c>
      <c r="BZ23" s="268">
        <f t="shared" ca="1" si="47"/>
        <v>0</v>
      </c>
      <c r="CA23" s="268">
        <f t="shared" ca="1" si="48"/>
        <v>0</v>
      </c>
      <c r="CB23" s="268">
        <f t="shared" ca="1" si="49"/>
        <v>0</v>
      </c>
      <c r="CC23" s="268">
        <f t="shared" ca="1" si="50"/>
        <v>0</v>
      </c>
      <c r="CD23" s="268">
        <f t="shared" ca="1" si="83"/>
        <v>0</v>
      </c>
      <c r="CE23" s="268">
        <f t="shared" ca="1" si="84"/>
        <v>0</v>
      </c>
      <c r="CF23" s="268">
        <f t="shared" ca="1" si="85"/>
        <v>0</v>
      </c>
      <c r="CG23" s="268">
        <f t="shared" ca="1" si="86"/>
        <v>0</v>
      </c>
      <c r="CH23" s="268">
        <f t="shared" ca="1" si="51"/>
        <v>0</v>
      </c>
      <c r="CI23" s="268">
        <f t="shared" ca="1" si="52"/>
        <v>0</v>
      </c>
      <c r="CJ23" s="268">
        <f t="shared" ca="1" si="87"/>
        <v>0</v>
      </c>
      <c r="CK23" s="268">
        <f t="shared" ca="1" si="88"/>
        <v>0</v>
      </c>
      <c r="CL23" s="268">
        <f t="shared" ca="1" si="53"/>
        <v>0</v>
      </c>
      <c r="CM23" s="268">
        <f t="shared" ca="1" si="54"/>
        <v>0</v>
      </c>
      <c r="CN23" s="268">
        <f t="shared" ca="1" si="55"/>
        <v>0</v>
      </c>
      <c r="CO23" s="268">
        <f t="shared" ca="1" si="56"/>
        <v>0</v>
      </c>
      <c r="CP23" s="268">
        <f t="shared" ca="1" si="89"/>
        <v>0</v>
      </c>
      <c r="CQ23" s="268">
        <f t="shared" ca="1" si="90"/>
        <v>0</v>
      </c>
      <c r="CR23" s="268">
        <f t="shared" ca="1" si="91"/>
        <v>0</v>
      </c>
      <c r="CS23" s="268">
        <f t="shared" ca="1" si="92"/>
        <v>0</v>
      </c>
      <c r="CT23" s="268">
        <f t="shared" ca="1" si="57"/>
        <v>0</v>
      </c>
      <c r="CU23" s="268">
        <f t="shared" ca="1" si="58"/>
        <v>0</v>
      </c>
      <c r="CV23" s="268">
        <f t="shared" ca="1" si="59"/>
        <v>0</v>
      </c>
      <c r="CW23" s="268">
        <f t="shared" ca="1" si="60"/>
        <v>0</v>
      </c>
      <c r="CX23" s="268">
        <f t="shared" ca="1" si="93"/>
        <v>0</v>
      </c>
      <c r="CY23" s="268">
        <f t="shared" ca="1" si="94"/>
        <v>0</v>
      </c>
      <c r="CZ23" s="268">
        <f t="shared" ca="1" si="95"/>
        <v>0</v>
      </c>
      <c r="DA23" s="268">
        <f t="shared" ca="1" si="96"/>
        <v>0</v>
      </c>
    </row>
    <row r="24" spans="1:105" s="265" customFormat="1" ht="15" customHeight="1">
      <c r="A24" s="62">
        <f t="array" aca="1" ref="A24" ca="1">IF(C24&lt;&gt;0,SUM(($C$11:C24&lt;&gt;0)*1),"")</f>
        <v>14</v>
      </c>
      <c r="B24" s="266" t="str">
        <f ca="1">IF(ROWS($1:14)&gt;COUNT(Dong6),"",OFFSET(TH!C$1,SMALL(Dong6,ROWS($1:14)),))</f>
        <v/>
      </c>
      <c r="C24" s="266" t="str">
        <f ca="1">IF(ROWS($1:14)&gt;COUNT(Dong6),"",OFFSET(TH!D$1,SMALL(Dong6,ROWS($1:14)),))</f>
        <v/>
      </c>
      <c r="D24" s="266" t="str">
        <f ca="1">IF(ROWS($1:14)&gt;COUNT(Dong6),"",OFFSET(TH!E$1,SMALL(Dong6,ROWS($1:14)),))</f>
        <v/>
      </c>
      <c r="E24" s="316" t="str">
        <f ca="1">IF(ROWS($1:14)&gt;COUNT(Dong6),"",OFFSET(TH!F$1,SMALL(Dong6,ROWS($1:14)),))</f>
        <v/>
      </c>
      <c r="F24" s="317" t="str">
        <f ca="1">IF(ROWS($1:14)&gt;COUNT(Dong6),"",OFFSET(TH!M$1,SMALL(Dong6,ROWS($1:14)),))</f>
        <v/>
      </c>
      <c r="G24" s="318" t="str">
        <f ca="1">IF(ROWS($1:14)&gt;COUNT(Dong6),"",OFFSET(TH!N$1,SMALL(Dong6,ROWS($1:14)),))</f>
        <v/>
      </c>
      <c r="H24" s="318" t="str">
        <f ca="1">IF(ROWS($1:14)&gt;COUNT(Dong6),"",OFFSET(TH!O$1,SMALL(Dong6,ROWS($1:14)),))</f>
        <v/>
      </c>
      <c r="I24" s="62">
        <f t="shared" ca="1" si="0"/>
        <v>14</v>
      </c>
      <c r="J24" s="268">
        <f t="shared" ca="1" si="61"/>
        <v>0</v>
      </c>
      <c r="K24" s="268">
        <f t="shared" ca="1" si="62"/>
        <v>0</v>
      </c>
      <c r="L24" s="268">
        <f t="shared" ca="1" si="1"/>
        <v>0</v>
      </c>
      <c r="M24" s="268">
        <f t="shared" ca="1" si="2"/>
        <v>0</v>
      </c>
      <c r="N24" s="268">
        <f t="shared" ca="1" si="3"/>
        <v>0</v>
      </c>
      <c r="O24" s="268">
        <f t="shared" ca="1" si="4"/>
        <v>0</v>
      </c>
      <c r="P24" s="268">
        <f t="shared" ca="1" si="5"/>
        <v>0</v>
      </c>
      <c r="Q24" s="268">
        <f t="shared" ca="1" si="6"/>
        <v>0</v>
      </c>
      <c r="R24" s="268">
        <f t="shared" ca="1" si="7"/>
        <v>0</v>
      </c>
      <c r="S24" s="268">
        <f t="shared" ca="1" si="8"/>
        <v>0</v>
      </c>
      <c r="T24" s="268">
        <f t="shared" ca="1" si="9"/>
        <v>0</v>
      </c>
      <c r="U24" s="268">
        <f t="shared" ca="1" si="10"/>
        <v>0</v>
      </c>
      <c r="V24" s="268">
        <f t="shared" ca="1" si="11"/>
        <v>0</v>
      </c>
      <c r="W24" s="268">
        <f t="shared" ca="1" si="12"/>
        <v>0</v>
      </c>
      <c r="X24" s="268">
        <f t="shared" ca="1" si="13"/>
        <v>0</v>
      </c>
      <c r="Y24" s="268">
        <f t="shared" ca="1" si="14"/>
        <v>0</v>
      </c>
      <c r="Z24" s="268">
        <f t="shared" ca="1" si="15"/>
        <v>0</v>
      </c>
      <c r="AA24" s="268">
        <f t="shared" ca="1" si="16"/>
        <v>0</v>
      </c>
      <c r="AB24" s="268">
        <f t="shared" ca="1" si="63"/>
        <v>0</v>
      </c>
      <c r="AC24" s="268">
        <f t="shared" ca="1" si="64"/>
        <v>0</v>
      </c>
      <c r="AD24" s="268">
        <f t="shared" ca="1" si="17"/>
        <v>0</v>
      </c>
      <c r="AE24" s="268">
        <f t="shared" ca="1" si="18"/>
        <v>0</v>
      </c>
      <c r="AF24" s="268">
        <f t="shared" ca="1" si="19"/>
        <v>0</v>
      </c>
      <c r="AG24" s="268">
        <f t="shared" ca="1" si="20"/>
        <v>0</v>
      </c>
      <c r="AH24" s="268">
        <f t="shared" ca="1" si="65"/>
        <v>0</v>
      </c>
      <c r="AI24" s="268">
        <f t="shared" ca="1" si="66"/>
        <v>0</v>
      </c>
      <c r="AJ24" s="268">
        <f t="shared" ca="1" si="67"/>
        <v>0</v>
      </c>
      <c r="AK24" s="268">
        <f t="shared" ca="1" si="68"/>
        <v>0</v>
      </c>
      <c r="AL24" s="268">
        <f t="shared" ca="1" si="69"/>
        <v>0</v>
      </c>
      <c r="AM24" s="268">
        <f t="shared" ca="1" si="70"/>
        <v>0</v>
      </c>
      <c r="AN24" s="268">
        <f t="shared" ca="1" si="71"/>
        <v>0</v>
      </c>
      <c r="AO24" s="268">
        <f t="shared" ca="1" si="72"/>
        <v>0</v>
      </c>
      <c r="AP24" s="268">
        <f t="shared" ca="1" si="21"/>
        <v>0</v>
      </c>
      <c r="AQ24" s="268">
        <f t="shared" ca="1" si="22"/>
        <v>0</v>
      </c>
      <c r="AR24" s="268">
        <f t="shared" ca="1" si="23"/>
        <v>0</v>
      </c>
      <c r="AS24" s="268">
        <f t="shared" ca="1" si="24"/>
        <v>0</v>
      </c>
      <c r="AT24" s="268">
        <f t="shared" ca="1" si="73"/>
        <v>0</v>
      </c>
      <c r="AU24" s="268">
        <f t="shared" ca="1" si="74"/>
        <v>0</v>
      </c>
      <c r="AV24" s="268">
        <f t="shared" ca="1" si="25"/>
        <v>0</v>
      </c>
      <c r="AW24" s="268">
        <f t="shared" ca="1" si="26"/>
        <v>0</v>
      </c>
      <c r="AX24" s="268">
        <f t="shared" ca="1" si="27"/>
        <v>0</v>
      </c>
      <c r="AY24" s="268">
        <f t="shared" ca="1" si="28"/>
        <v>0</v>
      </c>
      <c r="AZ24" s="268">
        <f t="shared" ca="1" si="29"/>
        <v>0</v>
      </c>
      <c r="BA24" s="268">
        <f t="shared" ca="1" si="30"/>
        <v>0</v>
      </c>
      <c r="BB24" s="268">
        <f t="shared" ca="1" si="31"/>
        <v>0</v>
      </c>
      <c r="BC24" s="268">
        <f t="shared" ca="1" si="32"/>
        <v>0</v>
      </c>
      <c r="BD24" s="268">
        <f t="shared" ca="1" si="33"/>
        <v>0</v>
      </c>
      <c r="BE24" s="268">
        <f t="shared" ca="1" si="34"/>
        <v>0</v>
      </c>
      <c r="BF24" s="268">
        <f t="shared" ca="1" si="35"/>
        <v>0</v>
      </c>
      <c r="BG24" s="268">
        <f t="shared" ca="1" si="36"/>
        <v>0</v>
      </c>
      <c r="BH24" s="268">
        <f t="shared" ca="1" si="75"/>
        <v>0</v>
      </c>
      <c r="BI24" s="268">
        <f t="shared" ca="1" si="76"/>
        <v>0</v>
      </c>
      <c r="BJ24" s="268">
        <f t="shared" ca="1" si="37"/>
        <v>0</v>
      </c>
      <c r="BK24" s="268">
        <f t="shared" ca="1" si="38"/>
        <v>0</v>
      </c>
      <c r="BL24" s="268">
        <f t="shared" ca="1" si="39"/>
        <v>0</v>
      </c>
      <c r="BM24" s="268">
        <f t="shared" ca="1" si="40"/>
        <v>0</v>
      </c>
      <c r="BN24" s="268">
        <f t="shared" ca="1" si="41"/>
        <v>0</v>
      </c>
      <c r="BO24" s="268">
        <f t="shared" ca="1" si="42"/>
        <v>0</v>
      </c>
      <c r="BP24" s="268">
        <f t="shared" ca="1" si="77"/>
        <v>0</v>
      </c>
      <c r="BQ24" s="268">
        <f t="shared" ca="1" si="78"/>
        <v>0</v>
      </c>
      <c r="BR24" s="268">
        <f t="shared" ca="1" si="43"/>
        <v>0</v>
      </c>
      <c r="BS24" s="268">
        <f t="shared" ca="1" si="44"/>
        <v>0</v>
      </c>
      <c r="BT24" s="268">
        <f t="shared" ca="1" si="79"/>
        <v>0</v>
      </c>
      <c r="BU24" s="268">
        <f t="shared" ca="1" si="80"/>
        <v>0</v>
      </c>
      <c r="BV24" s="268">
        <f t="shared" ca="1" si="81"/>
        <v>0</v>
      </c>
      <c r="BW24" s="268">
        <f t="shared" ca="1" si="82"/>
        <v>0</v>
      </c>
      <c r="BX24" s="268">
        <f t="shared" ca="1" si="45"/>
        <v>0</v>
      </c>
      <c r="BY24" s="268">
        <f t="shared" ca="1" si="46"/>
        <v>0</v>
      </c>
      <c r="BZ24" s="268">
        <f t="shared" ca="1" si="47"/>
        <v>0</v>
      </c>
      <c r="CA24" s="268">
        <f t="shared" ca="1" si="48"/>
        <v>0</v>
      </c>
      <c r="CB24" s="268">
        <f t="shared" ca="1" si="49"/>
        <v>0</v>
      </c>
      <c r="CC24" s="268">
        <f t="shared" ca="1" si="50"/>
        <v>0</v>
      </c>
      <c r="CD24" s="268">
        <f t="shared" ca="1" si="83"/>
        <v>0</v>
      </c>
      <c r="CE24" s="268">
        <f t="shared" ca="1" si="84"/>
        <v>0</v>
      </c>
      <c r="CF24" s="268">
        <f t="shared" ca="1" si="85"/>
        <v>0</v>
      </c>
      <c r="CG24" s="268">
        <f t="shared" ca="1" si="86"/>
        <v>0</v>
      </c>
      <c r="CH24" s="268">
        <f t="shared" ca="1" si="51"/>
        <v>0</v>
      </c>
      <c r="CI24" s="268">
        <f t="shared" ca="1" si="52"/>
        <v>0</v>
      </c>
      <c r="CJ24" s="268">
        <f t="shared" ca="1" si="87"/>
        <v>0</v>
      </c>
      <c r="CK24" s="268">
        <f t="shared" ca="1" si="88"/>
        <v>0</v>
      </c>
      <c r="CL24" s="268">
        <f t="shared" ca="1" si="53"/>
        <v>0</v>
      </c>
      <c r="CM24" s="268">
        <f t="shared" ca="1" si="54"/>
        <v>0</v>
      </c>
      <c r="CN24" s="268">
        <f t="shared" ca="1" si="55"/>
        <v>0</v>
      </c>
      <c r="CO24" s="268">
        <f t="shared" ca="1" si="56"/>
        <v>0</v>
      </c>
      <c r="CP24" s="268">
        <f t="shared" ca="1" si="89"/>
        <v>0</v>
      </c>
      <c r="CQ24" s="268">
        <f t="shared" ca="1" si="90"/>
        <v>0</v>
      </c>
      <c r="CR24" s="268">
        <f t="shared" ca="1" si="91"/>
        <v>0</v>
      </c>
      <c r="CS24" s="268">
        <f t="shared" ca="1" si="92"/>
        <v>0</v>
      </c>
      <c r="CT24" s="268">
        <f t="shared" ca="1" si="57"/>
        <v>0</v>
      </c>
      <c r="CU24" s="268">
        <f t="shared" ca="1" si="58"/>
        <v>0</v>
      </c>
      <c r="CV24" s="268">
        <f t="shared" ca="1" si="59"/>
        <v>0</v>
      </c>
      <c r="CW24" s="268">
        <f t="shared" ca="1" si="60"/>
        <v>0</v>
      </c>
      <c r="CX24" s="268">
        <f t="shared" ca="1" si="93"/>
        <v>0</v>
      </c>
      <c r="CY24" s="268">
        <f t="shared" ca="1" si="94"/>
        <v>0</v>
      </c>
      <c r="CZ24" s="268">
        <f t="shared" ca="1" si="95"/>
        <v>0</v>
      </c>
      <c r="DA24" s="268">
        <f t="shared" ca="1" si="96"/>
        <v>0</v>
      </c>
    </row>
    <row r="25" spans="1:105" s="265" customFormat="1" ht="15" customHeight="1">
      <c r="A25" s="62">
        <f t="array" aca="1" ref="A25" ca="1">IF(C25&lt;&gt;0,SUM(($C$11:C25&lt;&gt;0)*1),"")</f>
        <v>15</v>
      </c>
      <c r="B25" s="266" t="str">
        <f ca="1">IF(ROWS($1:15)&gt;COUNT(Dong6),"",OFFSET(TH!C$1,SMALL(Dong6,ROWS($1:15)),))</f>
        <v/>
      </c>
      <c r="C25" s="266" t="str">
        <f ca="1">IF(ROWS($1:15)&gt;COUNT(Dong6),"",OFFSET(TH!D$1,SMALL(Dong6,ROWS($1:15)),))</f>
        <v/>
      </c>
      <c r="D25" s="266" t="str">
        <f ca="1">IF(ROWS($1:15)&gt;COUNT(Dong6),"",OFFSET(TH!E$1,SMALL(Dong6,ROWS($1:15)),))</f>
        <v/>
      </c>
      <c r="E25" s="316" t="str">
        <f ca="1">IF(ROWS($1:15)&gt;COUNT(Dong6),"",OFFSET(TH!F$1,SMALL(Dong6,ROWS($1:15)),))</f>
        <v/>
      </c>
      <c r="F25" s="317" t="str">
        <f ca="1">IF(ROWS($1:15)&gt;COUNT(Dong6),"",OFFSET(TH!M$1,SMALL(Dong6,ROWS($1:15)),))</f>
        <v/>
      </c>
      <c r="G25" s="318" t="str">
        <f ca="1">IF(ROWS($1:15)&gt;COUNT(Dong6),"",OFFSET(TH!N$1,SMALL(Dong6,ROWS($1:15)),))</f>
        <v/>
      </c>
      <c r="H25" s="318" t="str">
        <f ca="1">IF(ROWS($1:15)&gt;COUNT(Dong6),"",OFFSET(TH!O$1,SMALL(Dong6,ROWS($1:15)),))</f>
        <v/>
      </c>
      <c r="I25" s="62">
        <f t="shared" ca="1" si="0"/>
        <v>15</v>
      </c>
      <c r="J25" s="268">
        <f t="shared" ca="1" si="61"/>
        <v>0</v>
      </c>
      <c r="K25" s="268">
        <f t="shared" ca="1" si="62"/>
        <v>0</v>
      </c>
      <c r="L25" s="268">
        <f t="shared" ca="1" si="1"/>
        <v>0</v>
      </c>
      <c r="M25" s="268">
        <f t="shared" ca="1" si="2"/>
        <v>0</v>
      </c>
      <c r="N25" s="268">
        <f t="shared" ca="1" si="3"/>
        <v>0</v>
      </c>
      <c r="O25" s="268">
        <f t="shared" ca="1" si="4"/>
        <v>0</v>
      </c>
      <c r="P25" s="268">
        <f t="shared" ca="1" si="5"/>
        <v>0</v>
      </c>
      <c r="Q25" s="268">
        <f t="shared" ca="1" si="6"/>
        <v>0</v>
      </c>
      <c r="R25" s="268">
        <f t="shared" ca="1" si="7"/>
        <v>0</v>
      </c>
      <c r="S25" s="268">
        <f t="shared" ca="1" si="8"/>
        <v>0</v>
      </c>
      <c r="T25" s="268">
        <f t="shared" ca="1" si="9"/>
        <v>0</v>
      </c>
      <c r="U25" s="268">
        <f t="shared" ca="1" si="10"/>
        <v>0</v>
      </c>
      <c r="V25" s="268">
        <f t="shared" ca="1" si="11"/>
        <v>0</v>
      </c>
      <c r="W25" s="268">
        <f t="shared" ca="1" si="12"/>
        <v>0</v>
      </c>
      <c r="X25" s="268">
        <f t="shared" ca="1" si="13"/>
        <v>0</v>
      </c>
      <c r="Y25" s="268">
        <f t="shared" ca="1" si="14"/>
        <v>0</v>
      </c>
      <c r="Z25" s="268">
        <f t="shared" ca="1" si="15"/>
        <v>0</v>
      </c>
      <c r="AA25" s="268">
        <f t="shared" ca="1" si="16"/>
        <v>0</v>
      </c>
      <c r="AB25" s="268">
        <f t="shared" ca="1" si="63"/>
        <v>0</v>
      </c>
      <c r="AC25" s="268">
        <f t="shared" ca="1" si="64"/>
        <v>0</v>
      </c>
      <c r="AD25" s="268">
        <f t="shared" ca="1" si="17"/>
        <v>0</v>
      </c>
      <c r="AE25" s="268">
        <f t="shared" ca="1" si="18"/>
        <v>0</v>
      </c>
      <c r="AF25" s="268">
        <f t="shared" ca="1" si="19"/>
        <v>0</v>
      </c>
      <c r="AG25" s="268">
        <f t="shared" ca="1" si="20"/>
        <v>0</v>
      </c>
      <c r="AH25" s="268">
        <f t="shared" ca="1" si="65"/>
        <v>0</v>
      </c>
      <c r="AI25" s="268">
        <f t="shared" ca="1" si="66"/>
        <v>0</v>
      </c>
      <c r="AJ25" s="268">
        <f t="shared" ca="1" si="67"/>
        <v>0</v>
      </c>
      <c r="AK25" s="268">
        <f t="shared" ca="1" si="68"/>
        <v>0</v>
      </c>
      <c r="AL25" s="268">
        <f t="shared" ca="1" si="69"/>
        <v>0</v>
      </c>
      <c r="AM25" s="268">
        <f t="shared" ca="1" si="70"/>
        <v>0</v>
      </c>
      <c r="AN25" s="268">
        <f t="shared" ca="1" si="71"/>
        <v>0</v>
      </c>
      <c r="AO25" s="268">
        <f t="shared" ca="1" si="72"/>
        <v>0</v>
      </c>
      <c r="AP25" s="268">
        <f t="shared" ca="1" si="21"/>
        <v>0</v>
      </c>
      <c r="AQ25" s="268">
        <f t="shared" ca="1" si="22"/>
        <v>0</v>
      </c>
      <c r="AR25" s="268">
        <f t="shared" ca="1" si="23"/>
        <v>0</v>
      </c>
      <c r="AS25" s="268">
        <f t="shared" ca="1" si="24"/>
        <v>0</v>
      </c>
      <c r="AT25" s="268">
        <f t="shared" ca="1" si="73"/>
        <v>0</v>
      </c>
      <c r="AU25" s="268">
        <f t="shared" ca="1" si="74"/>
        <v>0</v>
      </c>
      <c r="AV25" s="268">
        <f t="shared" ca="1" si="25"/>
        <v>0</v>
      </c>
      <c r="AW25" s="268">
        <f t="shared" ca="1" si="26"/>
        <v>0</v>
      </c>
      <c r="AX25" s="268">
        <f t="shared" ca="1" si="27"/>
        <v>0</v>
      </c>
      <c r="AY25" s="268">
        <f t="shared" ca="1" si="28"/>
        <v>0</v>
      </c>
      <c r="AZ25" s="268">
        <f t="shared" ca="1" si="29"/>
        <v>0</v>
      </c>
      <c r="BA25" s="268">
        <f t="shared" ca="1" si="30"/>
        <v>0</v>
      </c>
      <c r="BB25" s="268">
        <f t="shared" ca="1" si="31"/>
        <v>0</v>
      </c>
      <c r="BC25" s="268">
        <f t="shared" ca="1" si="32"/>
        <v>0</v>
      </c>
      <c r="BD25" s="268">
        <f t="shared" ca="1" si="33"/>
        <v>0</v>
      </c>
      <c r="BE25" s="268">
        <f t="shared" ca="1" si="34"/>
        <v>0</v>
      </c>
      <c r="BF25" s="268">
        <f t="shared" ca="1" si="35"/>
        <v>0</v>
      </c>
      <c r="BG25" s="268">
        <f t="shared" ca="1" si="36"/>
        <v>0</v>
      </c>
      <c r="BH25" s="268">
        <f t="shared" ca="1" si="75"/>
        <v>0</v>
      </c>
      <c r="BI25" s="268">
        <f t="shared" ca="1" si="76"/>
        <v>0</v>
      </c>
      <c r="BJ25" s="268">
        <f t="shared" ca="1" si="37"/>
        <v>0</v>
      </c>
      <c r="BK25" s="268">
        <f t="shared" ca="1" si="38"/>
        <v>0</v>
      </c>
      <c r="BL25" s="268">
        <f t="shared" ca="1" si="39"/>
        <v>0</v>
      </c>
      <c r="BM25" s="268">
        <f t="shared" ca="1" si="40"/>
        <v>0</v>
      </c>
      <c r="BN25" s="268">
        <f t="shared" ca="1" si="41"/>
        <v>0</v>
      </c>
      <c r="BO25" s="268">
        <f t="shared" ca="1" si="42"/>
        <v>0</v>
      </c>
      <c r="BP25" s="268">
        <f t="shared" ca="1" si="77"/>
        <v>0</v>
      </c>
      <c r="BQ25" s="268">
        <f t="shared" ca="1" si="78"/>
        <v>0</v>
      </c>
      <c r="BR25" s="268">
        <f t="shared" ca="1" si="43"/>
        <v>0</v>
      </c>
      <c r="BS25" s="268">
        <f t="shared" ca="1" si="44"/>
        <v>0</v>
      </c>
      <c r="BT25" s="268">
        <f t="shared" ca="1" si="79"/>
        <v>0</v>
      </c>
      <c r="BU25" s="268">
        <f t="shared" ca="1" si="80"/>
        <v>0</v>
      </c>
      <c r="BV25" s="268">
        <f t="shared" ca="1" si="81"/>
        <v>0</v>
      </c>
      <c r="BW25" s="268">
        <f t="shared" ca="1" si="82"/>
        <v>0</v>
      </c>
      <c r="BX25" s="268">
        <f t="shared" ca="1" si="45"/>
        <v>0</v>
      </c>
      <c r="BY25" s="268">
        <f t="shared" ca="1" si="46"/>
        <v>0</v>
      </c>
      <c r="BZ25" s="268">
        <f t="shared" ca="1" si="47"/>
        <v>0</v>
      </c>
      <c r="CA25" s="268">
        <f t="shared" ca="1" si="48"/>
        <v>0</v>
      </c>
      <c r="CB25" s="268">
        <f t="shared" ca="1" si="49"/>
        <v>0</v>
      </c>
      <c r="CC25" s="268">
        <f t="shared" ca="1" si="50"/>
        <v>0</v>
      </c>
      <c r="CD25" s="268">
        <f t="shared" ca="1" si="83"/>
        <v>0</v>
      </c>
      <c r="CE25" s="268">
        <f t="shared" ca="1" si="84"/>
        <v>0</v>
      </c>
      <c r="CF25" s="268">
        <f t="shared" ca="1" si="85"/>
        <v>0</v>
      </c>
      <c r="CG25" s="268">
        <f t="shared" ca="1" si="86"/>
        <v>0</v>
      </c>
      <c r="CH25" s="268">
        <f t="shared" ca="1" si="51"/>
        <v>0</v>
      </c>
      <c r="CI25" s="268">
        <f t="shared" ca="1" si="52"/>
        <v>0</v>
      </c>
      <c r="CJ25" s="268">
        <f t="shared" ca="1" si="87"/>
        <v>0</v>
      </c>
      <c r="CK25" s="268">
        <f t="shared" ca="1" si="88"/>
        <v>0</v>
      </c>
      <c r="CL25" s="268">
        <f t="shared" ca="1" si="53"/>
        <v>0</v>
      </c>
      <c r="CM25" s="268">
        <f t="shared" ca="1" si="54"/>
        <v>0</v>
      </c>
      <c r="CN25" s="268">
        <f t="shared" ca="1" si="55"/>
        <v>0</v>
      </c>
      <c r="CO25" s="268">
        <f t="shared" ca="1" si="56"/>
        <v>0</v>
      </c>
      <c r="CP25" s="268">
        <f t="shared" ca="1" si="89"/>
        <v>0</v>
      </c>
      <c r="CQ25" s="268">
        <f t="shared" ca="1" si="90"/>
        <v>0</v>
      </c>
      <c r="CR25" s="268">
        <f t="shared" ca="1" si="91"/>
        <v>0</v>
      </c>
      <c r="CS25" s="268">
        <f t="shared" ca="1" si="92"/>
        <v>0</v>
      </c>
      <c r="CT25" s="268">
        <f t="shared" ca="1" si="57"/>
        <v>0</v>
      </c>
      <c r="CU25" s="268">
        <f t="shared" ca="1" si="58"/>
        <v>0</v>
      </c>
      <c r="CV25" s="268">
        <f t="shared" ca="1" si="59"/>
        <v>0</v>
      </c>
      <c r="CW25" s="268">
        <f t="shared" ca="1" si="60"/>
        <v>0</v>
      </c>
      <c r="CX25" s="268">
        <f t="shared" ca="1" si="93"/>
        <v>0</v>
      </c>
      <c r="CY25" s="268">
        <f t="shared" ca="1" si="94"/>
        <v>0</v>
      </c>
      <c r="CZ25" s="268">
        <f t="shared" ca="1" si="95"/>
        <v>0</v>
      </c>
      <c r="DA25" s="268">
        <f t="shared" ca="1" si="96"/>
        <v>0</v>
      </c>
    </row>
    <row r="26" spans="1:105" s="265" customFormat="1" ht="15" customHeight="1">
      <c r="A26" s="62">
        <f t="array" aca="1" ref="A26" ca="1">IF(C26&lt;&gt;0,SUM(($C$11:C26&lt;&gt;0)*1),"")</f>
        <v>16</v>
      </c>
      <c r="B26" s="266" t="str">
        <f ca="1">IF(ROWS($1:16)&gt;COUNT(Dong6),"",OFFSET(TH!C$1,SMALL(Dong6,ROWS($1:16)),))</f>
        <v/>
      </c>
      <c r="C26" s="266" t="str">
        <f ca="1">IF(ROWS($1:16)&gt;COUNT(Dong6),"",OFFSET(TH!D$1,SMALL(Dong6,ROWS($1:16)),))</f>
        <v/>
      </c>
      <c r="D26" s="266" t="str">
        <f ca="1">IF(ROWS($1:16)&gt;COUNT(Dong6),"",OFFSET(TH!E$1,SMALL(Dong6,ROWS($1:16)),))</f>
        <v/>
      </c>
      <c r="E26" s="316" t="str">
        <f ca="1">IF(ROWS($1:16)&gt;COUNT(Dong6),"",OFFSET(TH!F$1,SMALL(Dong6,ROWS($1:16)),))</f>
        <v/>
      </c>
      <c r="F26" s="317" t="str">
        <f ca="1">IF(ROWS($1:16)&gt;COUNT(Dong6),"",OFFSET(TH!M$1,SMALL(Dong6,ROWS($1:16)),))</f>
        <v/>
      </c>
      <c r="G26" s="318" t="str">
        <f ca="1">IF(ROWS($1:16)&gt;COUNT(Dong6),"",OFFSET(TH!N$1,SMALL(Dong6,ROWS($1:16)),))</f>
        <v/>
      </c>
      <c r="H26" s="318" t="str">
        <f ca="1">IF(ROWS($1:16)&gt;COUNT(Dong6),"",OFFSET(TH!O$1,SMALL(Dong6,ROWS($1:16)),))</f>
        <v/>
      </c>
      <c r="I26" s="62">
        <f t="shared" ca="1" si="0"/>
        <v>16</v>
      </c>
      <c r="J26" s="268">
        <f t="shared" ca="1" si="61"/>
        <v>0</v>
      </c>
      <c r="K26" s="268">
        <f t="shared" ca="1" si="62"/>
        <v>0</v>
      </c>
      <c r="L26" s="268">
        <f t="shared" ca="1" si="1"/>
        <v>0</v>
      </c>
      <c r="M26" s="268">
        <f t="shared" ca="1" si="2"/>
        <v>0</v>
      </c>
      <c r="N26" s="268">
        <f t="shared" ca="1" si="3"/>
        <v>0</v>
      </c>
      <c r="O26" s="268">
        <f t="shared" ca="1" si="4"/>
        <v>0</v>
      </c>
      <c r="P26" s="268">
        <f t="shared" ca="1" si="5"/>
        <v>0</v>
      </c>
      <c r="Q26" s="268">
        <f t="shared" ca="1" si="6"/>
        <v>0</v>
      </c>
      <c r="R26" s="268">
        <f t="shared" ca="1" si="7"/>
        <v>0</v>
      </c>
      <c r="S26" s="268">
        <f t="shared" ca="1" si="8"/>
        <v>0</v>
      </c>
      <c r="T26" s="268">
        <f t="shared" ca="1" si="9"/>
        <v>0</v>
      </c>
      <c r="U26" s="268">
        <f t="shared" ca="1" si="10"/>
        <v>0</v>
      </c>
      <c r="V26" s="268">
        <f t="shared" ca="1" si="11"/>
        <v>0</v>
      </c>
      <c r="W26" s="268">
        <f t="shared" ca="1" si="12"/>
        <v>0</v>
      </c>
      <c r="X26" s="268">
        <f t="shared" ca="1" si="13"/>
        <v>0</v>
      </c>
      <c r="Y26" s="268">
        <f t="shared" ca="1" si="14"/>
        <v>0</v>
      </c>
      <c r="Z26" s="268">
        <f t="shared" ca="1" si="15"/>
        <v>0</v>
      </c>
      <c r="AA26" s="268">
        <f t="shared" ca="1" si="16"/>
        <v>0</v>
      </c>
      <c r="AB26" s="268">
        <f t="shared" ca="1" si="63"/>
        <v>0</v>
      </c>
      <c r="AC26" s="268">
        <f t="shared" ca="1" si="64"/>
        <v>0</v>
      </c>
      <c r="AD26" s="268">
        <f t="shared" ca="1" si="17"/>
        <v>0</v>
      </c>
      <c r="AE26" s="268">
        <f t="shared" ca="1" si="18"/>
        <v>0</v>
      </c>
      <c r="AF26" s="268">
        <f t="shared" ca="1" si="19"/>
        <v>0</v>
      </c>
      <c r="AG26" s="268">
        <f t="shared" ca="1" si="20"/>
        <v>0</v>
      </c>
      <c r="AH26" s="268">
        <f t="shared" ca="1" si="65"/>
        <v>0</v>
      </c>
      <c r="AI26" s="268">
        <f t="shared" ca="1" si="66"/>
        <v>0</v>
      </c>
      <c r="AJ26" s="268">
        <f t="shared" ca="1" si="67"/>
        <v>0</v>
      </c>
      <c r="AK26" s="268">
        <f t="shared" ca="1" si="68"/>
        <v>0</v>
      </c>
      <c r="AL26" s="268">
        <f t="shared" ca="1" si="69"/>
        <v>0</v>
      </c>
      <c r="AM26" s="268">
        <f t="shared" ca="1" si="70"/>
        <v>0</v>
      </c>
      <c r="AN26" s="268">
        <f t="shared" ca="1" si="71"/>
        <v>0</v>
      </c>
      <c r="AO26" s="268">
        <f t="shared" ca="1" si="72"/>
        <v>0</v>
      </c>
      <c r="AP26" s="268">
        <f t="shared" ca="1" si="21"/>
        <v>0</v>
      </c>
      <c r="AQ26" s="268">
        <f t="shared" ca="1" si="22"/>
        <v>0</v>
      </c>
      <c r="AR26" s="268">
        <f t="shared" ca="1" si="23"/>
        <v>0</v>
      </c>
      <c r="AS26" s="268">
        <f t="shared" ca="1" si="24"/>
        <v>0</v>
      </c>
      <c r="AT26" s="268">
        <f t="shared" ca="1" si="73"/>
        <v>0</v>
      </c>
      <c r="AU26" s="268">
        <f t="shared" ca="1" si="74"/>
        <v>0</v>
      </c>
      <c r="AV26" s="268">
        <f t="shared" ca="1" si="25"/>
        <v>0</v>
      </c>
      <c r="AW26" s="268">
        <f t="shared" ca="1" si="26"/>
        <v>0</v>
      </c>
      <c r="AX26" s="268">
        <f t="shared" ca="1" si="27"/>
        <v>0</v>
      </c>
      <c r="AY26" s="268">
        <f t="shared" ca="1" si="28"/>
        <v>0</v>
      </c>
      <c r="AZ26" s="268">
        <f t="shared" ca="1" si="29"/>
        <v>0</v>
      </c>
      <c r="BA26" s="268">
        <f t="shared" ca="1" si="30"/>
        <v>0</v>
      </c>
      <c r="BB26" s="268">
        <f t="shared" ca="1" si="31"/>
        <v>0</v>
      </c>
      <c r="BC26" s="268">
        <f t="shared" ca="1" si="32"/>
        <v>0</v>
      </c>
      <c r="BD26" s="268">
        <f t="shared" ca="1" si="33"/>
        <v>0</v>
      </c>
      <c r="BE26" s="268">
        <f t="shared" ca="1" si="34"/>
        <v>0</v>
      </c>
      <c r="BF26" s="268">
        <f t="shared" ca="1" si="35"/>
        <v>0</v>
      </c>
      <c r="BG26" s="268">
        <f t="shared" ca="1" si="36"/>
        <v>0</v>
      </c>
      <c r="BH26" s="268">
        <f t="shared" ca="1" si="75"/>
        <v>0</v>
      </c>
      <c r="BI26" s="268">
        <f t="shared" ca="1" si="76"/>
        <v>0</v>
      </c>
      <c r="BJ26" s="268">
        <f t="shared" ca="1" si="37"/>
        <v>0</v>
      </c>
      <c r="BK26" s="268">
        <f t="shared" ca="1" si="38"/>
        <v>0</v>
      </c>
      <c r="BL26" s="268">
        <f t="shared" ca="1" si="39"/>
        <v>0</v>
      </c>
      <c r="BM26" s="268">
        <f t="shared" ca="1" si="40"/>
        <v>0</v>
      </c>
      <c r="BN26" s="268">
        <f t="shared" ca="1" si="41"/>
        <v>0</v>
      </c>
      <c r="BO26" s="268">
        <f t="shared" ca="1" si="42"/>
        <v>0</v>
      </c>
      <c r="BP26" s="268">
        <f t="shared" ca="1" si="77"/>
        <v>0</v>
      </c>
      <c r="BQ26" s="268">
        <f t="shared" ca="1" si="78"/>
        <v>0</v>
      </c>
      <c r="BR26" s="268">
        <f t="shared" ca="1" si="43"/>
        <v>0</v>
      </c>
      <c r="BS26" s="268">
        <f t="shared" ca="1" si="44"/>
        <v>0</v>
      </c>
      <c r="BT26" s="268">
        <f t="shared" ca="1" si="79"/>
        <v>0</v>
      </c>
      <c r="BU26" s="268">
        <f t="shared" ca="1" si="80"/>
        <v>0</v>
      </c>
      <c r="BV26" s="268">
        <f t="shared" ca="1" si="81"/>
        <v>0</v>
      </c>
      <c r="BW26" s="268">
        <f t="shared" ca="1" si="82"/>
        <v>0</v>
      </c>
      <c r="BX26" s="268">
        <f t="shared" ca="1" si="45"/>
        <v>0</v>
      </c>
      <c r="BY26" s="268">
        <f t="shared" ca="1" si="46"/>
        <v>0</v>
      </c>
      <c r="BZ26" s="268">
        <f t="shared" ca="1" si="47"/>
        <v>0</v>
      </c>
      <c r="CA26" s="268">
        <f t="shared" ca="1" si="48"/>
        <v>0</v>
      </c>
      <c r="CB26" s="268">
        <f t="shared" ca="1" si="49"/>
        <v>0</v>
      </c>
      <c r="CC26" s="268">
        <f t="shared" ca="1" si="50"/>
        <v>0</v>
      </c>
      <c r="CD26" s="268">
        <f t="shared" ca="1" si="83"/>
        <v>0</v>
      </c>
      <c r="CE26" s="268">
        <f t="shared" ca="1" si="84"/>
        <v>0</v>
      </c>
      <c r="CF26" s="268">
        <f t="shared" ca="1" si="85"/>
        <v>0</v>
      </c>
      <c r="CG26" s="268">
        <f t="shared" ca="1" si="86"/>
        <v>0</v>
      </c>
      <c r="CH26" s="268">
        <f t="shared" ca="1" si="51"/>
        <v>0</v>
      </c>
      <c r="CI26" s="268">
        <f t="shared" ca="1" si="52"/>
        <v>0</v>
      </c>
      <c r="CJ26" s="268">
        <f t="shared" ca="1" si="87"/>
        <v>0</v>
      </c>
      <c r="CK26" s="268">
        <f t="shared" ca="1" si="88"/>
        <v>0</v>
      </c>
      <c r="CL26" s="268">
        <f t="shared" ca="1" si="53"/>
        <v>0</v>
      </c>
      <c r="CM26" s="268">
        <f t="shared" ca="1" si="54"/>
        <v>0</v>
      </c>
      <c r="CN26" s="268">
        <f t="shared" ca="1" si="55"/>
        <v>0</v>
      </c>
      <c r="CO26" s="268">
        <f t="shared" ca="1" si="56"/>
        <v>0</v>
      </c>
      <c r="CP26" s="268">
        <f t="shared" ca="1" si="89"/>
        <v>0</v>
      </c>
      <c r="CQ26" s="268">
        <f t="shared" ca="1" si="90"/>
        <v>0</v>
      </c>
      <c r="CR26" s="268">
        <f t="shared" ca="1" si="91"/>
        <v>0</v>
      </c>
      <c r="CS26" s="268">
        <f t="shared" ca="1" si="92"/>
        <v>0</v>
      </c>
      <c r="CT26" s="268">
        <f t="shared" ca="1" si="57"/>
        <v>0</v>
      </c>
      <c r="CU26" s="268">
        <f t="shared" ca="1" si="58"/>
        <v>0</v>
      </c>
      <c r="CV26" s="268">
        <f t="shared" ca="1" si="59"/>
        <v>0</v>
      </c>
      <c r="CW26" s="268">
        <f t="shared" ca="1" si="60"/>
        <v>0</v>
      </c>
      <c r="CX26" s="268">
        <f t="shared" ca="1" si="93"/>
        <v>0</v>
      </c>
      <c r="CY26" s="268">
        <f t="shared" ca="1" si="94"/>
        <v>0</v>
      </c>
      <c r="CZ26" s="268">
        <f t="shared" ca="1" si="95"/>
        <v>0</v>
      </c>
      <c r="DA26" s="268">
        <f t="shared" ca="1" si="96"/>
        <v>0</v>
      </c>
    </row>
    <row r="27" spans="1:105" s="265" customFormat="1" ht="15" customHeight="1">
      <c r="A27" s="62">
        <f t="array" aca="1" ref="A27" ca="1">IF(C27&lt;&gt;0,SUM(($C$11:C27&lt;&gt;0)*1),"")</f>
        <v>17</v>
      </c>
      <c r="B27" s="266" t="str">
        <f ca="1">IF(ROWS($1:17)&gt;COUNT(Dong6),"",OFFSET(TH!C$1,SMALL(Dong6,ROWS($1:17)),))</f>
        <v/>
      </c>
      <c r="C27" s="266" t="str">
        <f ca="1">IF(ROWS($1:17)&gt;COUNT(Dong6),"",OFFSET(TH!D$1,SMALL(Dong6,ROWS($1:17)),))</f>
        <v/>
      </c>
      <c r="D27" s="266" t="str">
        <f ca="1">IF(ROWS($1:17)&gt;COUNT(Dong6),"",OFFSET(TH!E$1,SMALL(Dong6,ROWS($1:17)),))</f>
        <v/>
      </c>
      <c r="E27" s="316" t="str">
        <f ca="1">IF(ROWS($1:17)&gt;COUNT(Dong6),"",OFFSET(TH!F$1,SMALL(Dong6,ROWS($1:17)),))</f>
        <v/>
      </c>
      <c r="F27" s="317" t="str">
        <f ca="1">IF(ROWS($1:17)&gt;COUNT(Dong6),"",OFFSET(TH!M$1,SMALL(Dong6,ROWS($1:17)),))</f>
        <v/>
      </c>
      <c r="G27" s="318" t="str">
        <f ca="1">IF(ROWS($1:17)&gt;COUNT(Dong6),"",OFFSET(TH!N$1,SMALL(Dong6,ROWS($1:17)),))</f>
        <v/>
      </c>
      <c r="H27" s="318" t="str">
        <f ca="1">IF(ROWS($1:17)&gt;COUNT(Dong6),"",OFFSET(TH!O$1,SMALL(Dong6,ROWS($1:17)),))</f>
        <v/>
      </c>
      <c r="I27" s="62">
        <f t="shared" ca="1" si="0"/>
        <v>17</v>
      </c>
      <c r="J27" s="268">
        <f t="shared" ca="1" si="61"/>
        <v>0</v>
      </c>
      <c r="K27" s="268">
        <f t="shared" ca="1" si="62"/>
        <v>0</v>
      </c>
      <c r="L27" s="268">
        <f t="shared" ca="1" si="1"/>
        <v>0</v>
      </c>
      <c r="M27" s="268">
        <f t="shared" ca="1" si="2"/>
        <v>0</v>
      </c>
      <c r="N27" s="268">
        <f t="shared" ca="1" si="3"/>
        <v>0</v>
      </c>
      <c r="O27" s="268">
        <f t="shared" ca="1" si="4"/>
        <v>0</v>
      </c>
      <c r="P27" s="268">
        <f t="shared" ca="1" si="5"/>
        <v>0</v>
      </c>
      <c r="Q27" s="268">
        <f t="shared" ca="1" si="6"/>
        <v>0</v>
      </c>
      <c r="R27" s="268">
        <f t="shared" ca="1" si="7"/>
        <v>0</v>
      </c>
      <c r="S27" s="268">
        <f t="shared" ca="1" si="8"/>
        <v>0</v>
      </c>
      <c r="T27" s="268">
        <f t="shared" ca="1" si="9"/>
        <v>0</v>
      </c>
      <c r="U27" s="268">
        <f t="shared" ca="1" si="10"/>
        <v>0</v>
      </c>
      <c r="V27" s="268">
        <f t="shared" ca="1" si="11"/>
        <v>0</v>
      </c>
      <c r="W27" s="268">
        <f t="shared" ca="1" si="12"/>
        <v>0</v>
      </c>
      <c r="X27" s="268">
        <f t="shared" ca="1" si="13"/>
        <v>0</v>
      </c>
      <c r="Y27" s="268">
        <f t="shared" ca="1" si="14"/>
        <v>0</v>
      </c>
      <c r="Z27" s="268">
        <f t="shared" ca="1" si="15"/>
        <v>0</v>
      </c>
      <c r="AA27" s="268">
        <f t="shared" ca="1" si="16"/>
        <v>0</v>
      </c>
      <c r="AB27" s="268">
        <f t="shared" ca="1" si="63"/>
        <v>0</v>
      </c>
      <c r="AC27" s="268">
        <f t="shared" ca="1" si="64"/>
        <v>0</v>
      </c>
      <c r="AD27" s="268">
        <f t="shared" ca="1" si="17"/>
        <v>0</v>
      </c>
      <c r="AE27" s="268">
        <f t="shared" ca="1" si="18"/>
        <v>0</v>
      </c>
      <c r="AF27" s="268">
        <f t="shared" ca="1" si="19"/>
        <v>0</v>
      </c>
      <c r="AG27" s="268">
        <f t="shared" ca="1" si="20"/>
        <v>0</v>
      </c>
      <c r="AH27" s="268">
        <f t="shared" ca="1" si="65"/>
        <v>0</v>
      </c>
      <c r="AI27" s="268">
        <f t="shared" ca="1" si="66"/>
        <v>0</v>
      </c>
      <c r="AJ27" s="268">
        <f t="shared" ca="1" si="67"/>
        <v>0</v>
      </c>
      <c r="AK27" s="268">
        <f t="shared" ca="1" si="68"/>
        <v>0</v>
      </c>
      <c r="AL27" s="268">
        <f t="shared" ca="1" si="69"/>
        <v>0</v>
      </c>
      <c r="AM27" s="268">
        <f t="shared" ca="1" si="70"/>
        <v>0</v>
      </c>
      <c r="AN27" s="268">
        <f t="shared" ca="1" si="71"/>
        <v>0</v>
      </c>
      <c r="AO27" s="268">
        <f t="shared" ca="1" si="72"/>
        <v>0</v>
      </c>
      <c r="AP27" s="268">
        <f t="shared" ca="1" si="21"/>
        <v>0</v>
      </c>
      <c r="AQ27" s="268">
        <f t="shared" ca="1" si="22"/>
        <v>0</v>
      </c>
      <c r="AR27" s="268">
        <f t="shared" ca="1" si="23"/>
        <v>0</v>
      </c>
      <c r="AS27" s="268">
        <f t="shared" ca="1" si="24"/>
        <v>0</v>
      </c>
      <c r="AT27" s="268">
        <f t="shared" ca="1" si="73"/>
        <v>0</v>
      </c>
      <c r="AU27" s="268">
        <f t="shared" ca="1" si="74"/>
        <v>0</v>
      </c>
      <c r="AV27" s="268">
        <f t="shared" ca="1" si="25"/>
        <v>0</v>
      </c>
      <c r="AW27" s="268">
        <f t="shared" ca="1" si="26"/>
        <v>0</v>
      </c>
      <c r="AX27" s="268">
        <f t="shared" ca="1" si="27"/>
        <v>0</v>
      </c>
      <c r="AY27" s="268">
        <f t="shared" ca="1" si="28"/>
        <v>0</v>
      </c>
      <c r="AZ27" s="268">
        <f t="shared" ca="1" si="29"/>
        <v>0</v>
      </c>
      <c r="BA27" s="268">
        <f t="shared" ca="1" si="30"/>
        <v>0</v>
      </c>
      <c r="BB27" s="268">
        <f t="shared" ca="1" si="31"/>
        <v>0</v>
      </c>
      <c r="BC27" s="268">
        <f t="shared" ca="1" si="32"/>
        <v>0</v>
      </c>
      <c r="BD27" s="268">
        <f t="shared" ca="1" si="33"/>
        <v>0</v>
      </c>
      <c r="BE27" s="268">
        <f t="shared" ca="1" si="34"/>
        <v>0</v>
      </c>
      <c r="BF27" s="268">
        <f t="shared" ca="1" si="35"/>
        <v>0</v>
      </c>
      <c r="BG27" s="268">
        <f t="shared" ca="1" si="36"/>
        <v>0</v>
      </c>
      <c r="BH27" s="268">
        <f t="shared" ca="1" si="75"/>
        <v>0</v>
      </c>
      <c r="BI27" s="268">
        <f t="shared" ca="1" si="76"/>
        <v>0</v>
      </c>
      <c r="BJ27" s="268">
        <f t="shared" ca="1" si="37"/>
        <v>0</v>
      </c>
      <c r="BK27" s="268">
        <f t="shared" ca="1" si="38"/>
        <v>0</v>
      </c>
      <c r="BL27" s="268">
        <f t="shared" ca="1" si="39"/>
        <v>0</v>
      </c>
      <c r="BM27" s="268">
        <f t="shared" ca="1" si="40"/>
        <v>0</v>
      </c>
      <c r="BN27" s="268">
        <f t="shared" ca="1" si="41"/>
        <v>0</v>
      </c>
      <c r="BO27" s="268">
        <f t="shared" ca="1" si="42"/>
        <v>0</v>
      </c>
      <c r="BP27" s="268">
        <f t="shared" ca="1" si="77"/>
        <v>0</v>
      </c>
      <c r="BQ27" s="268">
        <f t="shared" ca="1" si="78"/>
        <v>0</v>
      </c>
      <c r="BR27" s="268">
        <f t="shared" ca="1" si="43"/>
        <v>0</v>
      </c>
      <c r="BS27" s="268">
        <f t="shared" ca="1" si="44"/>
        <v>0</v>
      </c>
      <c r="BT27" s="268">
        <f t="shared" ca="1" si="79"/>
        <v>0</v>
      </c>
      <c r="BU27" s="268">
        <f t="shared" ca="1" si="80"/>
        <v>0</v>
      </c>
      <c r="BV27" s="268">
        <f t="shared" ca="1" si="81"/>
        <v>0</v>
      </c>
      <c r="BW27" s="268">
        <f t="shared" ca="1" si="82"/>
        <v>0</v>
      </c>
      <c r="BX27" s="268">
        <f t="shared" ca="1" si="45"/>
        <v>0</v>
      </c>
      <c r="BY27" s="268">
        <f t="shared" ca="1" si="46"/>
        <v>0</v>
      </c>
      <c r="BZ27" s="268">
        <f t="shared" ca="1" si="47"/>
        <v>0</v>
      </c>
      <c r="CA27" s="268">
        <f t="shared" ca="1" si="48"/>
        <v>0</v>
      </c>
      <c r="CB27" s="268">
        <f t="shared" ca="1" si="49"/>
        <v>0</v>
      </c>
      <c r="CC27" s="268">
        <f t="shared" ca="1" si="50"/>
        <v>0</v>
      </c>
      <c r="CD27" s="268">
        <f t="shared" ca="1" si="83"/>
        <v>0</v>
      </c>
      <c r="CE27" s="268">
        <f t="shared" ca="1" si="84"/>
        <v>0</v>
      </c>
      <c r="CF27" s="268">
        <f t="shared" ca="1" si="85"/>
        <v>0</v>
      </c>
      <c r="CG27" s="268">
        <f t="shared" ca="1" si="86"/>
        <v>0</v>
      </c>
      <c r="CH27" s="268">
        <f t="shared" ca="1" si="51"/>
        <v>0</v>
      </c>
      <c r="CI27" s="268">
        <f t="shared" ca="1" si="52"/>
        <v>0</v>
      </c>
      <c r="CJ27" s="268">
        <f t="shared" ca="1" si="87"/>
        <v>0</v>
      </c>
      <c r="CK27" s="268">
        <f t="shared" ca="1" si="88"/>
        <v>0</v>
      </c>
      <c r="CL27" s="268">
        <f t="shared" ca="1" si="53"/>
        <v>0</v>
      </c>
      <c r="CM27" s="268">
        <f t="shared" ca="1" si="54"/>
        <v>0</v>
      </c>
      <c r="CN27" s="268">
        <f t="shared" ca="1" si="55"/>
        <v>0</v>
      </c>
      <c r="CO27" s="268">
        <f t="shared" ca="1" si="56"/>
        <v>0</v>
      </c>
      <c r="CP27" s="268">
        <f t="shared" ca="1" si="89"/>
        <v>0</v>
      </c>
      <c r="CQ27" s="268">
        <f t="shared" ca="1" si="90"/>
        <v>0</v>
      </c>
      <c r="CR27" s="268">
        <f t="shared" ca="1" si="91"/>
        <v>0</v>
      </c>
      <c r="CS27" s="268">
        <f t="shared" ca="1" si="92"/>
        <v>0</v>
      </c>
      <c r="CT27" s="268">
        <f t="shared" ca="1" si="57"/>
        <v>0</v>
      </c>
      <c r="CU27" s="268">
        <f t="shared" ca="1" si="58"/>
        <v>0</v>
      </c>
      <c r="CV27" s="268">
        <f t="shared" ca="1" si="59"/>
        <v>0</v>
      </c>
      <c r="CW27" s="268">
        <f t="shared" ca="1" si="60"/>
        <v>0</v>
      </c>
      <c r="CX27" s="268">
        <f t="shared" ca="1" si="93"/>
        <v>0</v>
      </c>
      <c r="CY27" s="268">
        <f t="shared" ca="1" si="94"/>
        <v>0</v>
      </c>
      <c r="CZ27" s="268">
        <f t="shared" ca="1" si="95"/>
        <v>0</v>
      </c>
      <c r="DA27" s="268">
        <f t="shared" ca="1" si="96"/>
        <v>0</v>
      </c>
    </row>
    <row r="28" spans="1:105" s="265" customFormat="1" ht="15" customHeight="1">
      <c r="A28" s="62">
        <f t="array" aca="1" ref="A28" ca="1">IF(C28&lt;&gt;0,SUM(($C$11:C28&lt;&gt;0)*1),"")</f>
        <v>18</v>
      </c>
      <c r="B28" s="266" t="str">
        <f ca="1">IF(ROWS($1:18)&gt;COUNT(Dong6),"",OFFSET(TH!C$1,SMALL(Dong6,ROWS($1:18)),))</f>
        <v/>
      </c>
      <c r="C28" s="266" t="str">
        <f ca="1">IF(ROWS($1:18)&gt;COUNT(Dong6),"",OFFSET(TH!D$1,SMALL(Dong6,ROWS($1:18)),))</f>
        <v/>
      </c>
      <c r="D28" s="266" t="str">
        <f ca="1">IF(ROWS($1:18)&gt;COUNT(Dong6),"",OFFSET(TH!E$1,SMALL(Dong6,ROWS($1:18)),))</f>
        <v/>
      </c>
      <c r="E28" s="316" t="str">
        <f ca="1">IF(ROWS($1:18)&gt;COUNT(Dong6),"",OFFSET(TH!F$1,SMALL(Dong6,ROWS($1:18)),))</f>
        <v/>
      </c>
      <c r="F28" s="317" t="str">
        <f ca="1">IF(ROWS($1:18)&gt;COUNT(Dong6),"",OFFSET(TH!M$1,SMALL(Dong6,ROWS($1:18)),))</f>
        <v/>
      </c>
      <c r="G28" s="318" t="str">
        <f ca="1">IF(ROWS($1:18)&gt;COUNT(Dong6),"",OFFSET(TH!N$1,SMALL(Dong6,ROWS($1:18)),))</f>
        <v/>
      </c>
      <c r="H28" s="318" t="str">
        <f ca="1">IF(ROWS($1:18)&gt;COUNT(Dong6),"",OFFSET(TH!O$1,SMALL(Dong6,ROWS($1:18)),))</f>
        <v/>
      </c>
      <c r="I28" s="62">
        <f t="shared" ca="1" si="0"/>
        <v>18</v>
      </c>
      <c r="J28" s="268">
        <f t="shared" ca="1" si="61"/>
        <v>0</v>
      </c>
      <c r="K28" s="268">
        <f t="shared" ca="1" si="62"/>
        <v>0</v>
      </c>
      <c r="L28" s="268">
        <f t="shared" ca="1" si="1"/>
        <v>0</v>
      </c>
      <c r="M28" s="268">
        <f t="shared" ca="1" si="2"/>
        <v>0</v>
      </c>
      <c r="N28" s="268">
        <f t="shared" ca="1" si="3"/>
        <v>0</v>
      </c>
      <c r="O28" s="268">
        <f t="shared" ca="1" si="4"/>
        <v>0</v>
      </c>
      <c r="P28" s="268">
        <f t="shared" ca="1" si="5"/>
        <v>0</v>
      </c>
      <c r="Q28" s="268">
        <f t="shared" ca="1" si="6"/>
        <v>0</v>
      </c>
      <c r="R28" s="268">
        <f t="shared" ca="1" si="7"/>
        <v>0</v>
      </c>
      <c r="S28" s="268">
        <f t="shared" ca="1" si="8"/>
        <v>0</v>
      </c>
      <c r="T28" s="268">
        <f t="shared" ca="1" si="9"/>
        <v>0</v>
      </c>
      <c r="U28" s="268">
        <f t="shared" ca="1" si="10"/>
        <v>0</v>
      </c>
      <c r="V28" s="268">
        <f t="shared" ca="1" si="11"/>
        <v>0</v>
      </c>
      <c r="W28" s="268">
        <f t="shared" ca="1" si="12"/>
        <v>0</v>
      </c>
      <c r="X28" s="268">
        <f t="shared" ca="1" si="13"/>
        <v>0</v>
      </c>
      <c r="Y28" s="268">
        <f t="shared" ca="1" si="14"/>
        <v>0</v>
      </c>
      <c r="Z28" s="268">
        <f t="shared" ca="1" si="15"/>
        <v>0</v>
      </c>
      <c r="AA28" s="268">
        <f t="shared" ca="1" si="16"/>
        <v>0</v>
      </c>
      <c r="AB28" s="268">
        <f t="shared" ca="1" si="63"/>
        <v>0</v>
      </c>
      <c r="AC28" s="268">
        <f t="shared" ca="1" si="64"/>
        <v>0</v>
      </c>
      <c r="AD28" s="268">
        <f t="shared" ca="1" si="17"/>
        <v>0</v>
      </c>
      <c r="AE28" s="268">
        <f t="shared" ca="1" si="18"/>
        <v>0</v>
      </c>
      <c r="AF28" s="268">
        <f t="shared" ca="1" si="19"/>
        <v>0</v>
      </c>
      <c r="AG28" s="268">
        <f t="shared" ca="1" si="20"/>
        <v>0</v>
      </c>
      <c r="AH28" s="268">
        <f t="shared" ca="1" si="65"/>
        <v>0</v>
      </c>
      <c r="AI28" s="268">
        <f t="shared" ca="1" si="66"/>
        <v>0</v>
      </c>
      <c r="AJ28" s="268">
        <f t="shared" ca="1" si="67"/>
        <v>0</v>
      </c>
      <c r="AK28" s="268">
        <f t="shared" ca="1" si="68"/>
        <v>0</v>
      </c>
      <c r="AL28" s="268">
        <f t="shared" ca="1" si="69"/>
        <v>0</v>
      </c>
      <c r="AM28" s="268">
        <f t="shared" ca="1" si="70"/>
        <v>0</v>
      </c>
      <c r="AN28" s="268">
        <f t="shared" ca="1" si="71"/>
        <v>0</v>
      </c>
      <c r="AO28" s="268">
        <f t="shared" ca="1" si="72"/>
        <v>0</v>
      </c>
      <c r="AP28" s="268">
        <f t="shared" ca="1" si="21"/>
        <v>0</v>
      </c>
      <c r="AQ28" s="268">
        <f t="shared" ca="1" si="22"/>
        <v>0</v>
      </c>
      <c r="AR28" s="268">
        <f t="shared" ca="1" si="23"/>
        <v>0</v>
      </c>
      <c r="AS28" s="268">
        <f t="shared" ca="1" si="24"/>
        <v>0</v>
      </c>
      <c r="AT28" s="268">
        <f t="shared" ca="1" si="73"/>
        <v>0</v>
      </c>
      <c r="AU28" s="268">
        <f t="shared" ca="1" si="74"/>
        <v>0</v>
      </c>
      <c r="AV28" s="268">
        <f t="shared" ca="1" si="25"/>
        <v>0</v>
      </c>
      <c r="AW28" s="268">
        <f t="shared" ca="1" si="26"/>
        <v>0</v>
      </c>
      <c r="AX28" s="268">
        <f t="shared" ca="1" si="27"/>
        <v>0</v>
      </c>
      <c r="AY28" s="268">
        <f t="shared" ca="1" si="28"/>
        <v>0</v>
      </c>
      <c r="AZ28" s="268">
        <f t="shared" ca="1" si="29"/>
        <v>0</v>
      </c>
      <c r="BA28" s="268">
        <f t="shared" ca="1" si="30"/>
        <v>0</v>
      </c>
      <c r="BB28" s="268">
        <f t="shared" ca="1" si="31"/>
        <v>0</v>
      </c>
      <c r="BC28" s="268">
        <f t="shared" ca="1" si="32"/>
        <v>0</v>
      </c>
      <c r="BD28" s="268">
        <f t="shared" ca="1" si="33"/>
        <v>0</v>
      </c>
      <c r="BE28" s="268">
        <f t="shared" ca="1" si="34"/>
        <v>0</v>
      </c>
      <c r="BF28" s="268">
        <f t="shared" ca="1" si="35"/>
        <v>0</v>
      </c>
      <c r="BG28" s="268">
        <f t="shared" ca="1" si="36"/>
        <v>0</v>
      </c>
      <c r="BH28" s="268">
        <f t="shared" ca="1" si="75"/>
        <v>0</v>
      </c>
      <c r="BI28" s="268">
        <f t="shared" ca="1" si="76"/>
        <v>0</v>
      </c>
      <c r="BJ28" s="268">
        <f t="shared" ca="1" si="37"/>
        <v>0</v>
      </c>
      <c r="BK28" s="268">
        <f t="shared" ca="1" si="38"/>
        <v>0</v>
      </c>
      <c r="BL28" s="268">
        <f t="shared" ca="1" si="39"/>
        <v>0</v>
      </c>
      <c r="BM28" s="268">
        <f t="shared" ca="1" si="40"/>
        <v>0</v>
      </c>
      <c r="BN28" s="268">
        <f t="shared" ca="1" si="41"/>
        <v>0</v>
      </c>
      <c r="BO28" s="268">
        <f t="shared" ca="1" si="42"/>
        <v>0</v>
      </c>
      <c r="BP28" s="268">
        <f t="shared" ca="1" si="77"/>
        <v>0</v>
      </c>
      <c r="BQ28" s="268">
        <f t="shared" ca="1" si="78"/>
        <v>0</v>
      </c>
      <c r="BR28" s="268">
        <f t="shared" ca="1" si="43"/>
        <v>0</v>
      </c>
      <c r="BS28" s="268">
        <f t="shared" ca="1" si="44"/>
        <v>0</v>
      </c>
      <c r="BT28" s="268">
        <f t="shared" ca="1" si="79"/>
        <v>0</v>
      </c>
      <c r="BU28" s="268">
        <f t="shared" ca="1" si="80"/>
        <v>0</v>
      </c>
      <c r="BV28" s="268">
        <f t="shared" ca="1" si="81"/>
        <v>0</v>
      </c>
      <c r="BW28" s="268">
        <f t="shared" ca="1" si="82"/>
        <v>0</v>
      </c>
      <c r="BX28" s="268">
        <f t="shared" ca="1" si="45"/>
        <v>0</v>
      </c>
      <c r="BY28" s="268">
        <f t="shared" ca="1" si="46"/>
        <v>0</v>
      </c>
      <c r="BZ28" s="268">
        <f t="shared" ca="1" si="47"/>
        <v>0</v>
      </c>
      <c r="CA28" s="268">
        <f t="shared" ca="1" si="48"/>
        <v>0</v>
      </c>
      <c r="CB28" s="268">
        <f t="shared" ca="1" si="49"/>
        <v>0</v>
      </c>
      <c r="CC28" s="268">
        <f t="shared" ca="1" si="50"/>
        <v>0</v>
      </c>
      <c r="CD28" s="268">
        <f t="shared" ca="1" si="83"/>
        <v>0</v>
      </c>
      <c r="CE28" s="268">
        <f t="shared" ca="1" si="84"/>
        <v>0</v>
      </c>
      <c r="CF28" s="268">
        <f t="shared" ca="1" si="85"/>
        <v>0</v>
      </c>
      <c r="CG28" s="268">
        <f t="shared" ca="1" si="86"/>
        <v>0</v>
      </c>
      <c r="CH28" s="268">
        <f t="shared" ca="1" si="51"/>
        <v>0</v>
      </c>
      <c r="CI28" s="268">
        <f t="shared" ca="1" si="52"/>
        <v>0</v>
      </c>
      <c r="CJ28" s="268">
        <f t="shared" ca="1" si="87"/>
        <v>0</v>
      </c>
      <c r="CK28" s="268">
        <f t="shared" ca="1" si="88"/>
        <v>0</v>
      </c>
      <c r="CL28" s="268">
        <f t="shared" ca="1" si="53"/>
        <v>0</v>
      </c>
      <c r="CM28" s="268">
        <f t="shared" ca="1" si="54"/>
        <v>0</v>
      </c>
      <c r="CN28" s="268">
        <f t="shared" ca="1" si="55"/>
        <v>0</v>
      </c>
      <c r="CO28" s="268">
        <f t="shared" ca="1" si="56"/>
        <v>0</v>
      </c>
      <c r="CP28" s="268">
        <f t="shared" ca="1" si="89"/>
        <v>0</v>
      </c>
      <c r="CQ28" s="268">
        <f t="shared" ca="1" si="90"/>
        <v>0</v>
      </c>
      <c r="CR28" s="268">
        <f t="shared" ca="1" si="91"/>
        <v>0</v>
      </c>
      <c r="CS28" s="268">
        <f t="shared" ca="1" si="92"/>
        <v>0</v>
      </c>
      <c r="CT28" s="268">
        <f t="shared" ca="1" si="57"/>
        <v>0</v>
      </c>
      <c r="CU28" s="268">
        <f t="shared" ca="1" si="58"/>
        <v>0</v>
      </c>
      <c r="CV28" s="268">
        <f t="shared" ca="1" si="59"/>
        <v>0</v>
      </c>
      <c r="CW28" s="268">
        <f t="shared" ca="1" si="60"/>
        <v>0</v>
      </c>
      <c r="CX28" s="268">
        <f t="shared" ca="1" si="93"/>
        <v>0</v>
      </c>
      <c r="CY28" s="268">
        <f t="shared" ca="1" si="94"/>
        <v>0</v>
      </c>
      <c r="CZ28" s="268">
        <f t="shared" ca="1" si="95"/>
        <v>0</v>
      </c>
      <c r="DA28" s="268">
        <f t="shared" ca="1" si="96"/>
        <v>0</v>
      </c>
    </row>
    <row r="29" spans="1:105" s="265" customFormat="1" ht="15" customHeight="1">
      <c r="A29" s="62">
        <f t="array" aca="1" ref="A29" ca="1">IF(C29&lt;&gt;0,SUM(($C$11:C29&lt;&gt;0)*1),"")</f>
        <v>19</v>
      </c>
      <c r="B29" s="266" t="str">
        <f ca="1">IF(ROWS($1:19)&gt;COUNT(Dong6),"",OFFSET(TH!C$1,SMALL(Dong6,ROWS($1:19)),))</f>
        <v/>
      </c>
      <c r="C29" s="266" t="str">
        <f ca="1">IF(ROWS($1:19)&gt;COUNT(Dong6),"",OFFSET(TH!D$1,SMALL(Dong6,ROWS($1:19)),))</f>
        <v/>
      </c>
      <c r="D29" s="266" t="str">
        <f ca="1">IF(ROWS($1:19)&gt;COUNT(Dong6),"",OFFSET(TH!E$1,SMALL(Dong6,ROWS($1:19)),))</f>
        <v/>
      </c>
      <c r="E29" s="316" t="str">
        <f ca="1">IF(ROWS($1:19)&gt;COUNT(Dong6),"",OFFSET(TH!F$1,SMALL(Dong6,ROWS($1:19)),))</f>
        <v/>
      </c>
      <c r="F29" s="317" t="str">
        <f ca="1">IF(ROWS($1:19)&gt;COUNT(Dong6),"",OFFSET(TH!M$1,SMALL(Dong6,ROWS($1:19)),))</f>
        <v/>
      </c>
      <c r="G29" s="318" t="str">
        <f ca="1">IF(ROWS($1:19)&gt;COUNT(Dong6),"",OFFSET(TH!N$1,SMALL(Dong6,ROWS($1:19)),))</f>
        <v/>
      </c>
      <c r="H29" s="318" t="str">
        <f ca="1">IF(ROWS($1:19)&gt;COUNT(Dong6),"",OFFSET(TH!O$1,SMALL(Dong6,ROWS($1:19)),))</f>
        <v/>
      </c>
      <c r="I29" s="62">
        <f t="shared" ca="1" si="0"/>
        <v>19</v>
      </c>
      <c r="J29" s="268">
        <f t="shared" ca="1" si="61"/>
        <v>0</v>
      </c>
      <c r="K29" s="268">
        <f t="shared" ca="1" si="62"/>
        <v>0</v>
      </c>
      <c r="L29" s="268">
        <f t="shared" ca="1" si="1"/>
        <v>0</v>
      </c>
      <c r="M29" s="268">
        <f t="shared" ca="1" si="2"/>
        <v>0</v>
      </c>
      <c r="N29" s="268">
        <f t="shared" ca="1" si="3"/>
        <v>0</v>
      </c>
      <c r="O29" s="268">
        <f t="shared" ca="1" si="4"/>
        <v>0</v>
      </c>
      <c r="P29" s="268">
        <f t="shared" ca="1" si="5"/>
        <v>0</v>
      </c>
      <c r="Q29" s="268">
        <f t="shared" ca="1" si="6"/>
        <v>0</v>
      </c>
      <c r="R29" s="268">
        <f t="shared" ca="1" si="7"/>
        <v>0</v>
      </c>
      <c r="S29" s="268">
        <f t="shared" ca="1" si="8"/>
        <v>0</v>
      </c>
      <c r="T29" s="268">
        <f t="shared" ca="1" si="9"/>
        <v>0</v>
      </c>
      <c r="U29" s="268">
        <f t="shared" ca="1" si="10"/>
        <v>0</v>
      </c>
      <c r="V29" s="268">
        <f t="shared" ca="1" si="11"/>
        <v>0</v>
      </c>
      <c r="W29" s="268">
        <f t="shared" ca="1" si="12"/>
        <v>0</v>
      </c>
      <c r="X29" s="268">
        <f t="shared" ca="1" si="13"/>
        <v>0</v>
      </c>
      <c r="Y29" s="268">
        <f t="shared" ca="1" si="14"/>
        <v>0</v>
      </c>
      <c r="Z29" s="268">
        <f t="shared" ca="1" si="15"/>
        <v>0</v>
      </c>
      <c r="AA29" s="268">
        <f t="shared" ca="1" si="16"/>
        <v>0</v>
      </c>
      <c r="AB29" s="268">
        <f t="shared" ca="1" si="63"/>
        <v>0</v>
      </c>
      <c r="AC29" s="268">
        <f t="shared" ca="1" si="64"/>
        <v>0</v>
      </c>
      <c r="AD29" s="268">
        <f t="shared" ca="1" si="17"/>
        <v>0</v>
      </c>
      <c r="AE29" s="268">
        <f t="shared" ca="1" si="18"/>
        <v>0</v>
      </c>
      <c r="AF29" s="268">
        <f t="shared" ca="1" si="19"/>
        <v>0</v>
      </c>
      <c r="AG29" s="268">
        <f t="shared" ca="1" si="20"/>
        <v>0</v>
      </c>
      <c r="AH29" s="268">
        <f t="shared" ca="1" si="65"/>
        <v>0</v>
      </c>
      <c r="AI29" s="268">
        <f t="shared" ca="1" si="66"/>
        <v>0</v>
      </c>
      <c r="AJ29" s="268">
        <f t="shared" ca="1" si="67"/>
        <v>0</v>
      </c>
      <c r="AK29" s="268">
        <f t="shared" ca="1" si="68"/>
        <v>0</v>
      </c>
      <c r="AL29" s="268">
        <f t="shared" ca="1" si="69"/>
        <v>0</v>
      </c>
      <c r="AM29" s="268">
        <f t="shared" ca="1" si="70"/>
        <v>0</v>
      </c>
      <c r="AN29" s="268">
        <f t="shared" ca="1" si="71"/>
        <v>0</v>
      </c>
      <c r="AO29" s="268">
        <f t="shared" ca="1" si="72"/>
        <v>0</v>
      </c>
      <c r="AP29" s="268">
        <f t="shared" ca="1" si="21"/>
        <v>0</v>
      </c>
      <c r="AQ29" s="268">
        <f t="shared" ca="1" si="22"/>
        <v>0</v>
      </c>
      <c r="AR29" s="268">
        <f t="shared" ca="1" si="23"/>
        <v>0</v>
      </c>
      <c r="AS29" s="268">
        <f t="shared" ca="1" si="24"/>
        <v>0</v>
      </c>
      <c r="AT29" s="268">
        <f t="shared" ca="1" si="73"/>
        <v>0</v>
      </c>
      <c r="AU29" s="268">
        <f t="shared" ca="1" si="74"/>
        <v>0</v>
      </c>
      <c r="AV29" s="268">
        <f t="shared" ca="1" si="25"/>
        <v>0</v>
      </c>
      <c r="AW29" s="268">
        <f t="shared" ca="1" si="26"/>
        <v>0</v>
      </c>
      <c r="AX29" s="268">
        <f t="shared" ca="1" si="27"/>
        <v>0</v>
      </c>
      <c r="AY29" s="268">
        <f t="shared" ca="1" si="28"/>
        <v>0</v>
      </c>
      <c r="AZ29" s="268">
        <f t="shared" ca="1" si="29"/>
        <v>0</v>
      </c>
      <c r="BA29" s="268">
        <f t="shared" ca="1" si="30"/>
        <v>0</v>
      </c>
      <c r="BB29" s="268">
        <f t="shared" ca="1" si="31"/>
        <v>0</v>
      </c>
      <c r="BC29" s="268">
        <f t="shared" ca="1" si="32"/>
        <v>0</v>
      </c>
      <c r="BD29" s="268">
        <f t="shared" ca="1" si="33"/>
        <v>0</v>
      </c>
      <c r="BE29" s="268">
        <f t="shared" ca="1" si="34"/>
        <v>0</v>
      </c>
      <c r="BF29" s="268">
        <f t="shared" ca="1" si="35"/>
        <v>0</v>
      </c>
      <c r="BG29" s="268">
        <f t="shared" ca="1" si="36"/>
        <v>0</v>
      </c>
      <c r="BH29" s="268">
        <f t="shared" ca="1" si="75"/>
        <v>0</v>
      </c>
      <c r="BI29" s="268">
        <f t="shared" ca="1" si="76"/>
        <v>0</v>
      </c>
      <c r="BJ29" s="268">
        <f t="shared" ca="1" si="37"/>
        <v>0</v>
      </c>
      <c r="BK29" s="268">
        <f t="shared" ca="1" si="38"/>
        <v>0</v>
      </c>
      <c r="BL29" s="268">
        <f t="shared" ca="1" si="39"/>
        <v>0</v>
      </c>
      <c r="BM29" s="268">
        <f t="shared" ca="1" si="40"/>
        <v>0</v>
      </c>
      <c r="BN29" s="268">
        <f t="shared" ca="1" si="41"/>
        <v>0</v>
      </c>
      <c r="BO29" s="268">
        <f t="shared" ca="1" si="42"/>
        <v>0</v>
      </c>
      <c r="BP29" s="268">
        <f t="shared" ca="1" si="77"/>
        <v>0</v>
      </c>
      <c r="BQ29" s="268">
        <f t="shared" ca="1" si="78"/>
        <v>0</v>
      </c>
      <c r="BR29" s="268">
        <f t="shared" ca="1" si="43"/>
        <v>0</v>
      </c>
      <c r="BS29" s="268">
        <f t="shared" ca="1" si="44"/>
        <v>0</v>
      </c>
      <c r="BT29" s="268">
        <f t="shared" ca="1" si="79"/>
        <v>0</v>
      </c>
      <c r="BU29" s="268">
        <f t="shared" ca="1" si="80"/>
        <v>0</v>
      </c>
      <c r="BV29" s="268">
        <f t="shared" ca="1" si="81"/>
        <v>0</v>
      </c>
      <c r="BW29" s="268">
        <f t="shared" ca="1" si="82"/>
        <v>0</v>
      </c>
      <c r="BX29" s="268">
        <f t="shared" ca="1" si="45"/>
        <v>0</v>
      </c>
      <c r="BY29" s="268">
        <f t="shared" ca="1" si="46"/>
        <v>0</v>
      </c>
      <c r="BZ29" s="268">
        <f t="shared" ca="1" si="47"/>
        <v>0</v>
      </c>
      <c r="CA29" s="268">
        <f t="shared" ca="1" si="48"/>
        <v>0</v>
      </c>
      <c r="CB29" s="268">
        <f t="shared" ca="1" si="49"/>
        <v>0</v>
      </c>
      <c r="CC29" s="268">
        <f t="shared" ca="1" si="50"/>
        <v>0</v>
      </c>
      <c r="CD29" s="268">
        <f t="shared" ca="1" si="83"/>
        <v>0</v>
      </c>
      <c r="CE29" s="268">
        <f t="shared" ca="1" si="84"/>
        <v>0</v>
      </c>
      <c r="CF29" s="268">
        <f t="shared" ca="1" si="85"/>
        <v>0</v>
      </c>
      <c r="CG29" s="268">
        <f t="shared" ca="1" si="86"/>
        <v>0</v>
      </c>
      <c r="CH29" s="268">
        <f t="shared" ca="1" si="51"/>
        <v>0</v>
      </c>
      <c r="CI29" s="268">
        <f t="shared" ca="1" si="52"/>
        <v>0</v>
      </c>
      <c r="CJ29" s="268">
        <f t="shared" ca="1" si="87"/>
        <v>0</v>
      </c>
      <c r="CK29" s="268">
        <f t="shared" ca="1" si="88"/>
        <v>0</v>
      </c>
      <c r="CL29" s="268">
        <f t="shared" ca="1" si="53"/>
        <v>0</v>
      </c>
      <c r="CM29" s="268">
        <f t="shared" ca="1" si="54"/>
        <v>0</v>
      </c>
      <c r="CN29" s="268">
        <f t="shared" ca="1" si="55"/>
        <v>0</v>
      </c>
      <c r="CO29" s="268">
        <f t="shared" ca="1" si="56"/>
        <v>0</v>
      </c>
      <c r="CP29" s="268">
        <f t="shared" ca="1" si="89"/>
        <v>0</v>
      </c>
      <c r="CQ29" s="268">
        <f t="shared" ca="1" si="90"/>
        <v>0</v>
      </c>
      <c r="CR29" s="268">
        <f t="shared" ca="1" si="91"/>
        <v>0</v>
      </c>
      <c r="CS29" s="268">
        <f t="shared" ca="1" si="92"/>
        <v>0</v>
      </c>
      <c r="CT29" s="268">
        <f t="shared" ca="1" si="57"/>
        <v>0</v>
      </c>
      <c r="CU29" s="268">
        <f t="shared" ca="1" si="58"/>
        <v>0</v>
      </c>
      <c r="CV29" s="268">
        <f t="shared" ca="1" si="59"/>
        <v>0</v>
      </c>
      <c r="CW29" s="268">
        <f t="shared" ca="1" si="60"/>
        <v>0</v>
      </c>
      <c r="CX29" s="268">
        <f t="shared" ca="1" si="93"/>
        <v>0</v>
      </c>
      <c r="CY29" s="268">
        <f t="shared" ca="1" si="94"/>
        <v>0</v>
      </c>
      <c r="CZ29" s="268">
        <f t="shared" ca="1" si="95"/>
        <v>0</v>
      </c>
      <c r="DA29" s="268">
        <f t="shared" ca="1" si="96"/>
        <v>0</v>
      </c>
    </row>
    <row r="30" spans="1:105" s="265" customFormat="1" ht="15" customHeight="1">
      <c r="A30" s="62">
        <f t="array" aca="1" ref="A30" ca="1">IF(C30&lt;&gt;0,SUM(($C$11:C30&lt;&gt;0)*1),"")</f>
        <v>20</v>
      </c>
      <c r="B30" s="266" t="str">
        <f ca="1">IF(ROWS($1:20)&gt;COUNT(Dong6),"",OFFSET(TH!C$1,SMALL(Dong6,ROWS($1:20)),))</f>
        <v/>
      </c>
      <c r="C30" s="266" t="str">
        <f ca="1">IF(ROWS($1:20)&gt;COUNT(Dong6),"",OFFSET(TH!D$1,SMALL(Dong6,ROWS($1:20)),))</f>
        <v/>
      </c>
      <c r="D30" s="266" t="str">
        <f ca="1">IF(ROWS($1:20)&gt;COUNT(Dong6),"",OFFSET(TH!E$1,SMALL(Dong6,ROWS($1:20)),))</f>
        <v/>
      </c>
      <c r="E30" s="316" t="str">
        <f ca="1">IF(ROWS($1:20)&gt;COUNT(Dong6),"",OFFSET(TH!F$1,SMALL(Dong6,ROWS($1:20)),))</f>
        <v/>
      </c>
      <c r="F30" s="317" t="str">
        <f ca="1">IF(ROWS($1:20)&gt;COUNT(Dong6),"",OFFSET(TH!M$1,SMALL(Dong6,ROWS($1:20)),))</f>
        <v/>
      </c>
      <c r="G30" s="318" t="str">
        <f ca="1">IF(ROWS($1:20)&gt;COUNT(Dong6),"",OFFSET(TH!N$1,SMALL(Dong6,ROWS($1:20)),))</f>
        <v/>
      </c>
      <c r="H30" s="318" t="str">
        <f ca="1">IF(ROWS($1:20)&gt;COUNT(Dong6),"",OFFSET(TH!O$1,SMALL(Dong6,ROWS($1:20)),))</f>
        <v/>
      </c>
      <c r="I30" s="62">
        <f t="shared" ca="1" si="0"/>
        <v>20</v>
      </c>
      <c r="J30" s="268">
        <f t="shared" ca="1" si="61"/>
        <v>0</v>
      </c>
      <c r="K30" s="268">
        <f t="shared" ca="1" si="62"/>
        <v>0</v>
      </c>
      <c r="L30" s="268">
        <f t="shared" ca="1" si="1"/>
        <v>0</v>
      </c>
      <c r="M30" s="268">
        <f t="shared" ca="1" si="2"/>
        <v>0</v>
      </c>
      <c r="N30" s="268">
        <f t="shared" ca="1" si="3"/>
        <v>0</v>
      </c>
      <c r="O30" s="268">
        <f t="shared" ca="1" si="4"/>
        <v>0</v>
      </c>
      <c r="P30" s="268">
        <f t="shared" ca="1" si="5"/>
        <v>0</v>
      </c>
      <c r="Q30" s="268">
        <f t="shared" ca="1" si="6"/>
        <v>0</v>
      </c>
      <c r="R30" s="268">
        <f t="shared" ca="1" si="7"/>
        <v>0</v>
      </c>
      <c r="S30" s="268">
        <f t="shared" ca="1" si="8"/>
        <v>0</v>
      </c>
      <c r="T30" s="268">
        <f t="shared" ca="1" si="9"/>
        <v>0</v>
      </c>
      <c r="U30" s="268">
        <f t="shared" ca="1" si="10"/>
        <v>0</v>
      </c>
      <c r="V30" s="268">
        <f t="shared" ca="1" si="11"/>
        <v>0</v>
      </c>
      <c r="W30" s="268">
        <f t="shared" ca="1" si="12"/>
        <v>0</v>
      </c>
      <c r="X30" s="268">
        <f t="shared" ca="1" si="13"/>
        <v>0</v>
      </c>
      <c r="Y30" s="268">
        <f t="shared" ca="1" si="14"/>
        <v>0</v>
      </c>
      <c r="Z30" s="268">
        <f t="shared" ca="1" si="15"/>
        <v>0</v>
      </c>
      <c r="AA30" s="268">
        <f t="shared" ca="1" si="16"/>
        <v>0</v>
      </c>
      <c r="AB30" s="268">
        <f t="shared" ca="1" si="63"/>
        <v>0</v>
      </c>
      <c r="AC30" s="268">
        <f t="shared" ca="1" si="64"/>
        <v>0</v>
      </c>
      <c r="AD30" s="268">
        <f t="shared" ca="1" si="17"/>
        <v>0</v>
      </c>
      <c r="AE30" s="268">
        <f t="shared" ca="1" si="18"/>
        <v>0</v>
      </c>
      <c r="AF30" s="268">
        <f t="shared" ca="1" si="19"/>
        <v>0</v>
      </c>
      <c r="AG30" s="268">
        <f t="shared" ca="1" si="20"/>
        <v>0</v>
      </c>
      <c r="AH30" s="268">
        <f t="shared" ca="1" si="65"/>
        <v>0</v>
      </c>
      <c r="AI30" s="268">
        <f t="shared" ca="1" si="66"/>
        <v>0</v>
      </c>
      <c r="AJ30" s="268">
        <f t="shared" ca="1" si="67"/>
        <v>0</v>
      </c>
      <c r="AK30" s="268">
        <f t="shared" ca="1" si="68"/>
        <v>0</v>
      </c>
      <c r="AL30" s="268">
        <f t="shared" ca="1" si="69"/>
        <v>0</v>
      </c>
      <c r="AM30" s="268">
        <f t="shared" ca="1" si="70"/>
        <v>0</v>
      </c>
      <c r="AN30" s="268">
        <f t="shared" ca="1" si="71"/>
        <v>0</v>
      </c>
      <c r="AO30" s="268">
        <f t="shared" ca="1" si="72"/>
        <v>0</v>
      </c>
      <c r="AP30" s="268">
        <f t="shared" ca="1" si="21"/>
        <v>0</v>
      </c>
      <c r="AQ30" s="268">
        <f t="shared" ca="1" si="22"/>
        <v>0</v>
      </c>
      <c r="AR30" s="268">
        <f t="shared" ca="1" si="23"/>
        <v>0</v>
      </c>
      <c r="AS30" s="268">
        <f t="shared" ca="1" si="24"/>
        <v>0</v>
      </c>
      <c r="AT30" s="268">
        <f t="shared" ca="1" si="73"/>
        <v>0</v>
      </c>
      <c r="AU30" s="268">
        <f t="shared" ca="1" si="74"/>
        <v>0</v>
      </c>
      <c r="AV30" s="268">
        <f t="shared" ca="1" si="25"/>
        <v>0</v>
      </c>
      <c r="AW30" s="268">
        <f t="shared" ca="1" si="26"/>
        <v>0</v>
      </c>
      <c r="AX30" s="268">
        <f t="shared" ca="1" si="27"/>
        <v>0</v>
      </c>
      <c r="AY30" s="268">
        <f t="shared" ca="1" si="28"/>
        <v>0</v>
      </c>
      <c r="AZ30" s="268">
        <f t="shared" ca="1" si="29"/>
        <v>0</v>
      </c>
      <c r="BA30" s="268">
        <f t="shared" ca="1" si="30"/>
        <v>0</v>
      </c>
      <c r="BB30" s="268">
        <f t="shared" ca="1" si="31"/>
        <v>0</v>
      </c>
      <c r="BC30" s="268">
        <f t="shared" ca="1" si="32"/>
        <v>0</v>
      </c>
      <c r="BD30" s="268">
        <f t="shared" ca="1" si="33"/>
        <v>0</v>
      </c>
      <c r="BE30" s="268">
        <f t="shared" ca="1" si="34"/>
        <v>0</v>
      </c>
      <c r="BF30" s="268">
        <f t="shared" ca="1" si="35"/>
        <v>0</v>
      </c>
      <c r="BG30" s="268">
        <f t="shared" ca="1" si="36"/>
        <v>0</v>
      </c>
      <c r="BH30" s="268">
        <f t="shared" ca="1" si="75"/>
        <v>0</v>
      </c>
      <c r="BI30" s="268">
        <f t="shared" ca="1" si="76"/>
        <v>0</v>
      </c>
      <c r="BJ30" s="268">
        <f t="shared" ca="1" si="37"/>
        <v>0</v>
      </c>
      <c r="BK30" s="268">
        <f t="shared" ca="1" si="38"/>
        <v>0</v>
      </c>
      <c r="BL30" s="268">
        <f t="shared" ca="1" si="39"/>
        <v>0</v>
      </c>
      <c r="BM30" s="268">
        <f t="shared" ca="1" si="40"/>
        <v>0</v>
      </c>
      <c r="BN30" s="268">
        <f t="shared" ca="1" si="41"/>
        <v>0</v>
      </c>
      <c r="BO30" s="268">
        <f t="shared" ca="1" si="42"/>
        <v>0</v>
      </c>
      <c r="BP30" s="268">
        <f t="shared" ca="1" si="77"/>
        <v>0</v>
      </c>
      <c r="BQ30" s="268">
        <f t="shared" ca="1" si="78"/>
        <v>0</v>
      </c>
      <c r="BR30" s="268">
        <f t="shared" ca="1" si="43"/>
        <v>0</v>
      </c>
      <c r="BS30" s="268">
        <f t="shared" ca="1" si="44"/>
        <v>0</v>
      </c>
      <c r="BT30" s="268">
        <f t="shared" ca="1" si="79"/>
        <v>0</v>
      </c>
      <c r="BU30" s="268">
        <f t="shared" ca="1" si="80"/>
        <v>0</v>
      </c>
      <c r="BV30" s="268">
        <f t="shared" ca="1" si="81"/>
        <v>0</v>
      </c>
      <c r="BW30" s="268">
        <f t="shared" ca="1" si="82"/>
        <v>0</v>
      </c>
      <c r="BX30" s="268">
        <f t="shared" ca="1" si="45"/>
        <v>0</v>
      </c>
      <c r="BY30" s="268">
        <f t="shared" ca="1" si="46"/>
        <v>0</v>
      </c>
      <c r="BZ30" s="268">
        <f t="shared" ca="1" si="47"/>
        <v>0</v>
      </c>
      <c r="CA30" s="268">
        <f t="shared" ca="1" si="48"/>
        <v>0</v>
      </c>
      <c r="CB30" s="268">
        <f t="shared" ca="1" si="49"/>
        <v>0</v>
      </c>
      <c r="CC30" s="268">
        <f t="shared" ca="1" si="50"/>
        <v>0</v>
      </c>
      <c r="CD30" s="268">
        <f t="shared" ca="1" si="83"/>
        <v>0</v>
      </c>
      <c r="CE30" s="268">
        <f t="shared" ca="1" si="84"/>
        <v>0</v>
      </c>
      <c r="CF30" s="268">
        <f t="shared" ca="1" si="85"/>
        <v>0</v>
      </c>
      <c r="CG30" s="268">
        <f t="shared" ca="1" si="86"/>
        <v>0</v>
      </c>
      <c r="CH30" s="268">
        <f t="shared" ca="1" si="51"/>
        <v>0</v>
      </c>
      <c r="CI30" s="268">
        <f t="shared" ca="1" si="52"/>
        <v>0</v>
      </c>
      <c r="CJ30" s="268">
        <f t="shared" ca="1" si="87"/>
        <v>0</v>
      </c>
      <c r="CK30" s="268">
        <f t="shared" ca="1" si="88"/>
        <v>0</v>
      </c>
      <c r="CL30" s="268">
        <f t="shared" ca="1" si="53"/>
        <v>0</v>
      </c>
      <c r="CM30" s="268">
        <f t="shared" ca="1" si="54"/>
        <v>0</v>
      </c>
      <c r="CN30" s="268">
        <f t="shared" ca="1" si="55"/>
        <v>0</v>
      </c>
      <c r="CO30" s="268">
        <f t="shared" ca="1" si="56"/>
        <v>0</v>
      </c>
      <c r="CP30" s="268">
        <f t="shared" ca="1" si="89"/>
        <v>0</v>
      </c>
      <c r="CQ30" s="268">
        <f t="shared" ca="1" si="90"/>
        <v>0</v>
      </c>
      <c r="CR30" s="268">
        <f t="shared" ca="1" si="91"/>
        <v>0</v>
      </c>
      <c r="CS30" s="268">
        <f t="shared" ca="1" si="92"/>
        <v>0</v>
      </c>
      <c r="CT30" s="268">
        <f t="shared" ca="1" si="57"/>
        <v>0</v>
      </c>
      <c r="CU30" s="268">
        <f t="shared" ca="1" si="58"/>
        <v>0</v>
      </c>
      <c r="CV30" s="268">
        <f t="shared" ca="1" si="59"/>
        <v>0</v>
      </c>
      <c r="CW30" s="268">
        <f t="shared" ca="1" si="60"/>
        <v>0</v>
      </c>
      <c r="CX30" s="268">
        <f t="shared" ca="1" si="93"/>
        <v>0</v>
      </c>
      <c r="CY30" s="268">
        <f t="shared" ca="1" si="94"/>
        <v>0</v>
      </c>
      <c r="CZ30" s="268">
        <f t="shared" ca="1" si="95"/>
        <v>0</v>
      </c>
      <c r="DA30" s="268">
        <f t="shared" ca="1" si="96"/>
        <v>0</v>
      </c>
    </row>
    <row r="31" spans="1:105" s="265" customFormat="1" ht="15" customHeight="1">
      <c r="A31" s="62">
        <f t="array" aca="1" ref="A31" ca="1">IF(C31&lt;&gt;0,SUM(($C$11:C31&lt;&gt;0)*1),"")</f>
        <v>21</v>
      </c>
      <c r="B31" s="266" t="str">
        <f ca="1">IF(ROWS($1:21)&gt;COUNT(Dong6),"",OFFSET(TH!C$1,SMALL(Dong6,ROWS($1:21)),))</f>
        <v/>
      </c>
      <c r="C31" s="266" t="str">
        <f ca="1">IF(ROWS($1:21)&gt;COUNT(Dong6),"",OFFSET(TH!D$1,SMALL(Dong6,ROWS($1:21)),))</f>
        <v/>
      </c>
      <c r="D31" s="266" t="str">
        <f ca="1">IF(ROWS($1:21)&gt;COUNT(Dong6),"",OFFSET(TH!E$1,SMALL(Dong6,ROWS($1:21)),))</f>
        <v/>
      </c>
      <c r="E31" s="316" t="str">
        <f ca="1">IF(ROWS($1:21)&gt;COUNT(Dong6),"",OFFSET(TH!F$1,SMALL(Dong6,ROWS($1:21)),))</f>
        <v/>
      </c>
      <c r="F31" s="317" t="str">
        <f ca="1">IF(ROWS($1:21)&gt;COUNT(Dong6),"",OFFSET(TH!M$1,SMALL(Dong6,ROWS($1:21)),))</f>
        <v/>
      </c>
      <c r="G31" s="318" t="str">
        <f ca="1">IF(ROWS($1:21)&gt;COUNT(Dong6),"",OFFSET(TH!N$1,SMALL(Dong6,ROWS($1:21)),))</f>
        <v/>
      </c>
      <c r="H31" s="318" t="str">
        <f ca="1">IF(ROWS($1:21)&gt;COUNT(Dong6),"",OFFSET(TH!O$1,SMALL(Dong6,ROWS($1:21)),))</f>
        <v/>
      </c>
      <c r="I31" s="62">
        <f t="shared" ca="1" si="0"/>
        <v>21</v>
      </c>
      <c r="J31" s="268">
        <f t="shared" ca="1" si="61"/>
        <v>0</v>
      </c>
      <c r="K31" s="268">
        <f t="shared" ca="1" si="62"/>
        <v>0</v>
      </c>
      <c r="L31" s="268">
        <f t="shared" ca="1" si="1"/>
        <v>0</v>
      </c>
      <c r="M31" s="268">
        <f t="shared" ca="1" si="2"/>
        <v>0</v>
      </c>
      <c r="N31" s="268">
        <f t="shared" ca="1" si="3"/>
        <v>0</v>
      </c>
      <c r="O31" s="268">
        <f t="shared" ca="1" si="4"/>
        <v>0</v>
      </c>
      <c r="P31" s="268">
        <f t="shared" ca="1" si="5"/>
        <v>0</v>
      </c>
      <c r="Q31" s="268">
        <f t="shared" ca="1" si="6"/>
        <v>0</v>
      </c>
      <c r="R31" s="268">
        <f t="shared" ca="1" si="7"/>
        <v>0</v>
      </c>
      <c r="S31" s="268">
        <f t="shared" ca="1" si="8"/>
        <v>0</v>
      </c>
      <c r="T31" s="268">
        <f t="shared" ca="1" si="9"/>
        <v>0</v>
      </c>
      <c r="U31" s="268">
        <f t="shared" ca="1" si="10"/>
        <v>0</v>
      </c>
      <c r="V31" s="268">
        <f t="shared" ca="1" si="11"/>
        <v>0</v>
      </c>
      <c r="W31" s="268">
        <f t="shared" ca="1" si="12"/>
        <v>0</v>
      </c>
      <c r="X31" s="268">
        <f t="shared" ca="1" si="13"/>
        <v>0</v>
      </c>
      <c r="Y31" s="268">
        <f t="shared" ca="1" si="14"/>
        <v>0</v>
      </c>
      <c r="Z31" s="268">
        <f t="shared" ca="1" si="15"/>
        <v>0</v>
      </c>
      <c r="AA31" s="268">
        <f t="shared" ca="1" si="16"/>
        <v>0</v>
      </c>
      <c r="AB31" s="268">
        <f t="shared" ca="1" si="63"/>
        <v>0</v>
      </c>
      <c r="AC31" s="268">
        <f t="shared" ca="1" si="64"/>
        <v>0</v>
      </c>
      <c r="AD31" s="268">
        <f t="shared" ca="1" si="17"/>
        <v>0</v>
      </c>
      <c r="AE31" s="268">
        <f t="shared" ca="1" si="18"/>
        <v>0</v>
      </c>
      <c r="AF31" s="268">
        <f t="shared" ca="1" si="19"/>
        <v>0</v>
      </c>
      <c r="AG31" s="268">
        <f t="shared" ca="1" si="20"/>
        <v>0</v>
      </c>
      <c r="AH31" s="268">
        <f t="shared" ca="1" si="65"/>
        <v>0</v>
      </c>
      <c r="AI31" s="268">
        <f t="shared" ca="1" si="66"/>
        <v>0</v>
      </c>
      <c r="AJ31" s="268">
        <f t="shared" ca="1" si="67"/>
        <v>0</v>
      </c>
      <c r="AK31" s="268">
        <f t="shared" ca="1" si="68"/>
        <v>0</v>
      </c>
      <c r="AL31" s="268">
        <f t="shared" ca="1" si="69"/>
        <v>0</v>
      </c>
      <c r="AM31" s="268">
        <f t="shared" ca="1" si="70"/>
        <v>0</v>
      </c>
      <c r="AN31" s="268">
        <f t="shared" ca="1" si="71"/>
        <v>0</v>
      </c>
      <c r="AO31" s="268">
        <f t="shared" ca="1" si="72"/>
        <v>0</v>
      </c>
      <c r="AP31" s="268">
        <f t="shared" ca="1" si="21"/>
        <v>0</v>
      </c>
      <c r="AQ31" s="268">
        <f t="shared" ca="1" si="22"/>
        <v>0</v>
      </c>
      <c r="AR31" s="268">
        <f t="shared" ca="1" si="23"/>
        <v>0</v>
      </c>
      <c r="AS31" s="268">
        <f t="shared" ca="1" si="24"/>
        <v>0</v>
      </c>
      <c r="AT31" s="268">
        <f t="shared" ca="1" si="73"/>
        <v>0</v>
      </c>
      <c r="AU31" s="268">
        <f t="shared" ca="1" si="74"/>
        <v>0</v>
      </c>
      <c r="AV31" s="268">
        <f t="shared" ca="1" si="25"/>
        <v>0</v>
      </c>
      <c r="AW31" s="268">
        <f t="shared" ca="1" si="26"/>
        <v>0</v>
      </c>
      <c r="AX31" s="268">
        <f t="shared" ca="1" si="27"/>
        <v>0</v>
      </c>
      <c r="AY31" s="268">
        <f t="shared" ca="1" si="28"/>
        <v>0</v>
      </c>
      <c r="AZ31" s="268">
        <f t="shared" ca="1" si="29"/>
        <v>0</v>
      </c>
      <c r="BA31" s="268">
        <f t="shared" ca="1" si="30"/>
        <v>0</v>
      </c>
      <c r="BB31" s="268">
        <f t="shared" ca="1" si="31"/>
        <v>0</v>
      </c>
      <c r="BC31" s="268">
        <f t="shared" ca="1" si="32"/>
        <v>0</v>
      </c>
      <c r="BD31" s="268">
        <f t="shared" ca="1" si="33"/>
        <v>0</v>
      </c>
      <c r="BE31" s="268">
        <f t="shared" ca="1" si="34"/>
        <v>0</v>
      </c>
      <c r="BF31" s="268">
        <f t="shared" ca="1" si="35"/>
        <v>0</v>
      </c>
      <c r="BG31" s="268">
        <f t="shared" ca="1" si="36"/>
        <v>0</v>
      </c>
      <c r="BH31" s="268">
        <f t="shared" ca="1" si="75"/>
        <v>0</v>
      </c>
      <c r="BI31" s="268">
        <f t="shared" ca="1" si="76"/>
        <v>0</v>
      </c>
      <c r="BJ31" s="268">
        <f t="shared" ca="1" si="37"/>
        <v>0</v>
      </c>
      <c r="BK31" s="268">
        <f t="shared" ca="1" si="38"/>
        <v>0</v>
      </c>
      <c r="BL31" s="268">
        <f t="shared" ca="1" si="39"/>
        <v>0</v>
      </c>
      <c r="BM31" s="268">
        <f t="shared" ca="1" si="40"/>
        <v>0</v>
      </c>
      <c r="BN31" s="268">
        <f t="shared" ca="1" si="41"/>
        <v>0</v>
      </c>
      <c r="BO31" s="268">
        <f t="shared" ca="1" si="42"/>
        <v>0</v>
      </c>
      <c r="BP31" s="268">
        <f t="shared" ca="1" si="77"/>
        <v>0</v>
      </c>
      <c r="BQ31" s="268">
        <f t="shared" ca="1" si="78"/>
        <v>0</v>
      </c>
      <c r="BR31" s="268">
        <f t="shared" ca="1" si="43"/>
        <v>0</v>
      </c>
      <c r="BS31" s="268">
        <f t="shared" ca="1" si="44"/>
        <v>0</v>
      </c>
      <c r="BT31" s="268">
        <f t="shared" ca="1" si="79"/>
        <v>0</v>
      </c>
      <c r="BU31" s="268">
        <f t="shared" ca="1" si="80"/>
        <v>0</v>
      </c>
      <c r="BV31" s="268">
        <f t="shared" ca="1" si="81"/>
        <v>0</v>
      </c>
      <c r="BW31" s="268">
        <f t="shared" ca="1" si="82"/>
        <v>0</v>
      </c>
      <c r="BX31" s="268">
        <f t="shared" ca="1" si="45"/>
        <v>0</v>
      </c>
      <c r="BY31" s="268">
        <f t="shared" ca="1" si="46"/>
        <v>0</v>
      </c>
      <c r="BZ31" s="268">
        <f t="shared" ca="1" si="47"/>
        <v>0</v>
      </c>
      <c r="CA31" s="268">
        <f t="shared" ca="1" si="48"/>
        <v>0</v>
      </c>
      <c r="CB31" s="268">
        <f t="shared" ca="1" si="49"/>
        <v>0</v>
      </c>
      <c r="CC31" s="268">
        <f t="shared" ca="1" si="50"/>
        <v>0</v>
      </c>
      <c r="CD31" s="268">
        <f t="shared" ca="1" si="83"/>
        <v>0</v>
      </c>
      <c r="CE31" s="268">
        <f t="shared" ca="1" si="84"/>
        <v>0</v>
      </c>
      <c r="CF31" s="268">
        <f t="shared" ca="1" si="85"/>
        <v>0</v>
      </c>
      <c r="CG31" s="268">
        <f t="shared" ca="1" si="86"/>
        <v>0</v>
      </c>
      <c r="CH31" s="268">
        <f t="shared" ca="1" si="51"/>
        <v>0</v>
      </c>
      <c r="CI31" s="268">
        <f t="shared" ca="1" si="52"/>
        <v>0</v>
      </c>
      <c r="CJ31" s="268">
        <f t="shared" ca="1" si="87"/>
        <v>0</v>
      </c>
      <c r="CK31" s="268">
        <f t="shared" ca="1" si="88"/>
        <v>0</v>
      </c>
      <c r="CL31" s="268">
        <f t="shared" ca="1" si="53"/>
        <v>0</v>
      </c>
      <c r="CM31" s="268">
        <f t="shared" ca="1" si="54"/>
        <v>0</v>
      </c>
      <c r="CN31" s="268">
        <f t="shared" ca="1" si="55"/>
        <v>0</v>
      </c>
      <c r="CO31" s="268">
        <f t="shared" ca="1" si="56"/>
        <v>0</v>
      </c>
      <c r="CP31" s="268">
        <f t="shared" ca="1" si="89"/>
        <v>0</v>
      </c>
      <c r="CQ31" s="268">
        <f t="shared" ca="1" si="90"/>
        <v>0</v>
      </c>
      <c r="CR31" s="268">
        <f t="shared" ca="1" si="91"/>
        <v>0</v>
      </c>
      <c r="CS31" s="268">
        <f t="shared" ca="1" si="92"/>
        <v>0</v>
      </c>
      <c r="CT31" s="268">
        <f t="shared" ca="1" si="57"/>
        <v>0</v>
      </c>
      <c r="CU31" s="268">
        <f t="shared" ca="1" si="58"/>
        <v>0</v>
      </c>
      <c r="CV31" s="268">
        <f t="shared" ca="1" si="59"/>
        <v>0</v>
      </c>
      <c r="CW31" s="268">
        <f t="shared" ca="1" si="60"/>
        <v>0</v>
      </c>
      <c r="CX31" s="268">
        <f t="shared" ca="1" si="93"/>
        <v>0</v>
      </c>
      <c r="CY31" s="268">
        <f t="shared" ca="1" si="94"/>
        <v>0</v>
      </c>
      <c r="CZ31" s="268">
        <f t="shared" ca="1" si="95"/>
        <v>0</v>
      </c>
      <c r="DA31" s="268">
        <f t="shared" ca="1" si="96"/>
        <v>0</v>
      </c>
    </row>
    <row r="32" spans="1:105" s="265" customFormat="1" ht="15" customHeight="1">
      <c r="A32" s="62">
        <f t="array" aca="1" ref="A32" ca="1">IF(C32&lt;&gt;0,SUM(($C$11:C32&lt;&gt;0)*1),"")</f>
        <v>22</v>
      </c>
      <c r="B32" s="266" t="str">
        <f ca="1">IF(ROWS($1:22)&gt;COUNT(Dong6),"",OFFSET(TH!C$1,SMALL(Dong6,ROWS($1:22)),))</f>
        <v/>
      </c>
      <c r="C32" s="266" t="str">
        <f ca="1">IF(ROWS($1:22)&gt;COUNT(Dong6),"",OFFSET(TH!D$1,SMALL(Dong6,ROWS($1:22)),))</f>
        <v/>
      </c>
      <c r="D32" s="266" t="str">
        <f ca="1">IF(ROWS($1:22)&gt;COUNT(Dong6),"",OFFSET(TH!E$1,SMALL(Dong6,ROWS($1:22)),))</f>
        <v/>
      </c>
      <c r="E32" s="316" t="str">
        <f ca="1">IF(ROWS($1:22)&gt;COUNT(Dong6),"",OFFSET(TH!F$1,SMALL(Dong6,ROWS($1:22)),))</f>
        <v/>
      </c>
      <c r="F32" s="317" t="str">
        <f ca="1">IF(ROWS($1:22)&gt;COUNT(Dong6),"",OFFSET(TH!M$1,SMALL(Dong6,ROWS($1:22)),))</f>
        <v/>
      </c>
      <c r="G32" s="318" t="str">
        <f ca="1">IF(ROWS($1:22)&gt;COUNT(Dong6),"",OFFSET(TH!N$1,SMALL(Dong6,ROWS($1:22)),))</f>
        <v/>
      </c>
      <c r="H32" s="318" t="str">
        <f ca="1">IF(ROWS($1:22)&gt;COUNT(Dong6),"",OFFSET(TH!O$1,SMALL(Dong6,ROWS($1:22)),))</f>
        <v/>
      </c>
      <c r="I32" s="62">
        <f t="shared" ca="1" si="0"/>
        <v>22</v>
      </c>
      <c r="J32" s="268">
        <f t="shared" ca="1" si="61"/>
        <v>0</v>
      </c>
      <c r="K32" s="268">
        <f t="shared" ca="1" si="62"/>
        <v>0</v>
      </c>
      <c r="L32" s="268">
        <f t="shared" ca="1" si="1"/>
        <v>0</v>
      </c>
      <c r="M32" s="268">
        <f t="shared" ca="1" si="2"/>
        <v>0</v>
      </c>
      <c r="N32" s="268">
        <f t="shared" ca="1" si="3"/>
        <v>0</v>
      </c>
      <c r="O32" s="268">
        <f t="shared" ca="1" si="4"/>
        <v>0</v>
      </c>
      <c r="P32" s="268">
        <f t="shared" ca="1" si="5"/>
        <v>0</v>
      </c>
      <c r="Q32" s="268">
        <f t="shared" ca="1" si="6"/>
        <v>0</v>
      </c>
      <c r="R32" s="268">
        <f t="shared" ca="1" si="7"/>
        <v>0</v>
      </c>
      <c r="S32" s="268">
        <f t="shared" ca="1" si="8"/>
        <v>0</v>
      </c>
      <c r="T32" s="268">
        <f t="shared" ca="1" si="9"/>
        <v>0</v>
      </c>
      <c r="U32" s="268">
        <f t="shared" ca="1" si="10"/>
        <v>0</v>
      </c>
      <c r="V32" s="268">
        <f t="shared" ca="1" si="11"/>
        <v>0</v>
      </c>
      <c r="W32" s="268">
        <f t="shared" ca="1" si="12"/>
        <v>0</v>
      </c>
      <c r="X32" s="268">
        <f t="shared" ca="1" si="13"/>
        <v>0</v>
      </c>
      <c r="Y32" s="268">
        <f t="shared" ca="1" si="14"/>
        <v>0</v>
      </c>
      <c r="Z32" s="268">
        <f t="shared" ca="1" si="15"/>
        <v>0</v>
      </c>
      <c r="AA32" s="268">
        <f t="shared" ca="1" si="16"/>
        <v>0</v>
      </c>
      <c r="AB32" s="268">
        <f t="shared" ca="1" si="63"/>
        <v>0</v>
      </c>
      <c r="AC32" s="268">
        <f t="shared" ca="1" si="64"/>
        <v>0</v>
      </c>
      <c r="AD32" s="268">
        <f t="shared" ca="1" si="17"/>
        <v>0</v>
      </c>
      <c r="AE32" s="268">
        <f t="shared" ca="1" si="18"/>
        <v>0</v>
      </c>
      <c r="AF32" s="268">
        <f t="shared" ca="1" si="19"/>
        <v>0</v>
      </c>
      <c r="AG32" s="268">
        <f t="shared" ca="1" si="20"/>
        <v>0</v>
      </c>
      <c r="AH32" s="268">
        <f t="shared" ca="1" si="65"/>
        <v>0</v>
      </c>
      <c r="AI32" s="268">
        <f t="shared" ca="1" si="66"/>
        <v>0</v>
      </c>
      <c r="AJ32" s="268">
        <f t="shared" ca="1" si="67"/>
        <v>0</v>
      </c>
      <c r="AK32" s="268">
        <f t="shared" ca="1" si="68"/>
        <v>0</v>
      </c>
      <c r="AL32" s="268">
        <f t="shared" ca="1" si="69"/>
        <v>0</v>
      </c>
      <c r="AM32" s="268">
        <f t="shared" ca="1" si="70"/>
        <v>0</v>
      </c>
      <c r="AN32" s="268">
        <f t="shared" ca="1" si="71"/>
        <v>0</v>
      </c>
      <c r="AO32" s="268">
        <f t="shared" ca="1" si="72"/>
        <v>0</v>
      </c>
      <c r="AP32" s="268">
        <f t="shared" ca="1" si="21"/>
        <v>0</v>
      </c>
      <c r="AQ32" s="268">
        <f t="shared" ca="1" si="22"/>
        <v>0</v>
      </c>
      <c r="AR32" s="268">
        <f t="shared" ca="1" si="23"/>
        <v>0</v>
      </c>
      <c r="AS32" s="268">
        <f t="shared" ca="1" si="24"/>
        <v>0</v>
      </c>
      <c r="AT32" s="268">
        <f t="shared" ca="1" si="73"/>
        <v>0</v>
      </c>
      <c r="AU32" s="268">
        <f t="shared" ca="1" si="74"/>
        <v>0</v>
      </c>
      <c r="AV32" s="268">
        <f t="shared" ca="1" si="25"/>
        <v>0</v>
      </c>
      <c r="AW32" s="268">
        <f t="shared" ca="1" si="26"/>
        <v>0</v>
      </c>
      <c r="AX32" s="268">
        <f t="shared" ca="1" si="27"/>
        <v>0</v>
      </c>
      <c r="AY32" s="268">
        <f t="shared" ca="1" si="28"/>
        <v>0</v>
      </c>
      <c r="AZ32" s="268">
        <f t="shared" ca="1" si="29"/>
        <v>0</v>
      </c>
      <c r="BA32" s="268">
        <f t="shared" ca="1" si="30"/>
        <v>0</v>
      </c>
      <c r="BB32" s="268">
        <f t="shared" ca="1" si="31"/>
        <v>0</v>
      </c>
      <c r="BC32" s="268">
        <f t="shared" ca="1" si="32"/>
        <v>0</v>
      </c>
      <c r="BD32" s="268">
        <f t="shared" ca="1" si="33"/>
        <v>0</v>
      </c>
      <c r="BE32" s="268">
        <f t="shared" ca="1" si="34"/>
        <v>0</v>
      </c>
      <c r="BF32" s="268">
        <f t="shared" ca="1" si="35"/>
        <v>0</v>
      </c>
      <c r="BG32" s="268">
        <f t="shared" ca="1" si="36"/>
        <v>0</v>
      </c>
      <c r="BH32" s="268">
        <f t="shared" ca="1" si="75"/>
        <v>0</v>
      </c>
      <c r="BI32" s="268">
        <f t="shared" ca="1" si="76"/>
        <v>0</v>
      </c>
      <c r="BJ32" s="268">
        <f t="shared" ca="1" si="37"/>
        <v>0</v>
      </c>
      <c r="BK32" s="268">
        <f t="shared" ca="1" si="38"/>
        <v>0</v>
      </c>
      <c r="BL32" s="268">
        <f t="shared" ca="1" si="39"/>
        <v>0</v>
      </c>
      <c r="BM32" s="268">
        <f t="shared" ca="1" si="40"/>
        <v>0</v>
      </c>
      <c r="BN32" s="268">
        <f t="shared" ca="1" si="41"/>
        <v>0</v>
      </c>
      <c r="BO32" s="268">
        <f t="shared" ca="1" si="42"/>
        <v>0</v>
      </c>
      <c r="BP32" s="268">
        <f t="shared" ca="1" si="77"/>
        <v>0</v>
      </c>
      <c r="BQ32" s="268">
        <f t="shared" ca="1" si="78"/>
        <v>0</v>
      </c>
      <c r="BR32" s="268">
        <f t="shared" ca="1" si="43"/>
        <v>0</v>
      </c>
      <c r="BS32" s="268">
        <f t="shared" ca="1" si="44"/>
        <v>0</v>
      </c>
      <c r="BT32" s="268">
        <f t="shared" ca="1" si="79"/>
        <v>0</v>
      </c>
      <c r="BU32" s="268">
        <f t="shared" ca="1" si="80"/>
        <v>0</v>
      </c>
      <c r="BV32" s="268">
        <f t="shared" ca="1" si="81"/>
        <v>0</v>
      </c>
      <c r="BW32" s="268">
        <f t="shared" ca="1" si="82"/>
        <v>0</v>
      </c>
      <c r="BX32" s="268">
        <f t="shared" ca="1" si="45"/>
        <v>0</v>
      </c>
      <c r="BY32" s="268">
        <f t="shared" ca="1" si="46"/>
        <v>0</v>
      </c>
      <c r="BZ32" s="268">
        <f t="shared" ca="1" si="47"/>
        <v>0</v>
      </c>
      <c r="CA32" s="268">
        <f t="shared" ca="1" si="48"/>
        <v>0</v>
      </c>
      <c r="CB32" s="268">
        <f t="shared" ca="1" si="49"/>
        <v>0</v>
      </c>
      <c r="CC32" s="268">
        <f t="shared" ca="1" si="50"/>
        <v>0</v>
      </c>
      <c r="CD32" s="268">
        <f t="shared" ca="1" si="83"/>
        <v>0</v>
      </c>
      <c r="CE32" s="268">
        <f t="shared" ca="1" si="84"/>
        <v>0</v>
      </c>
      <c r="CF32" s="268">
        <f t="shared" ca="1" si="85"/>
        <v>0</v>
      </c>
      <c r="CG32" s="268">
        <f t="shared" ca="1" si="86"/>
        <v>0</v>
      </c>
      <c r="CH32" s="268">
        <f t="shared" ca="1" si="51"/>
        <v>0</v>
      </c>
      <c r="CI32" s="268">
        <f t="shared" ca="1" si="52"/>
        <v>0</v>
      </c>
      <c r="CJ32" s="268">
        <f t="shared" ca="1" si="87"/>
        <v>0</v>
      </c>
      <c r="CK32" s="268">
        <f t="shared" ca="1" si="88"/>
        <v>0</v>
      </c>
      <c r="CL32" s="268">
        <f t="shared" ca="1" si="53"/>
        <v>0</v>
      </c>
      <c r="CM32" s="268">
        <f t="shared" ca="1" si="54"/>
        <v>0</v>
      </c>
      <c r="CN32" s="268">
        <f t="shared" ca="1" si="55"/>
        <v>0</v>
      </c>
      <c r="CO32" s="268">
        <f t="shared" ca="1" si="56"/>
        <v>0</v>
      </c>
      <c r="CP32" s="268">
        <f t="shared" ca="1" si="89"/>
        <v>0</v>
      </c>
      <c r="CQ32" s="268">
        <f t="shared" ca="1" si="90"/>
        <v>0</v>
      </c>
      <c r="CR32" s="268">
        <f t="shared" ca="1" si="91"/>
        <v>0</v>
      </c>
      <c r="CS32" s="268">
        <f t="shared" ca="1" si="92"/>
        <v>0</v>
      </c>
      <c r="CT32" s="268">
        <f t="shared" ca="1" si="57"/>
        <v>0</v>
      </c>
      <c r="CU32" s="268">
        <f t="shared" ca="1" si="58"/>
        <v>0</v>
      </c>
      <c r="CV32" s="268">
        <f t="shared" ca="1" si="59"/>
        <v>0</v>
      </c>
      <c r="CW32" s="268">
        <f t="shared" ca="1" si="60"/>
        <v>0</v>
      </c>
      <c r="CX32" s="268">
        <f t="shared" ca="1" si="93"/>
        <v>0</v>
      </c>
      <c r="CY32" s="268">
        <f t="shared" ca="1" si="94"/>
        <v>0</v>
      </c>
      <c r="CZ32" s="268">
        <f t="shared" ca="1" si="95"/>
        <v>0</v>
      </c>
      <c r="DA32" s="268">
        <f t="shared" ca="1" si="96"/>
        <v>0</v>
      </c>
    </row>
    <row r="33" spans="1:105" s="265" customFormat="1" ht="15" customHeight="1">
      <c r="A33" s="62">
        <f t="array" aca="1" ref="A33" ca="1">IF(C33&lt;&gt;0,SUM(($C$11:C33&lt;&gt;0)*1),"")</f>
        <v>23</v>
      </c>
      <c r="B33" s="266" t="str">
        <f ca="1">IF(ROWS($1:23)&gt;COUNT(Dong6),"",OFFSET(TH!C$1,SMALL(Dong6,ROWS($1:23)),))</f>
        <v/>
      </c>
      <c r="C33" s="266" t="str">
        <f ca="1">IF(ROWS($1:23)&gt;COUNT(Dong6),"",OFFSET(TH!D$1,SMALL(Dong6,ROWS($1:23)),))</f>
        <v/>
      </c>
      <c r="D33" s="266" t="str">
        <f ca="1">IF(ROWS($1:23)&gt;COUNT(Dong6),"",OFFSET(TH!E$1,SMALL(Dong6,ROWS($1:23)),))</f>
        <v/>
      </c>
      <c r="E33" s="316" t="str">
        <f ca="1">IF(ROWS($1:23)&gt;COUNT(Dong6),"",OFFSET(TH!F$1,SMALL(Dong6,ROWS($1:23)),))</f>
        <v/>
      </c>
      <c r="F33" s="317" t="str">
        <f ca="1">IF(ROWS($1:23)&gt;COUNT(Dong6),"",OFFSET(TH!M$1,SMALL(Dong6,ROWS($1:23)),))</f>
        <v/>
      </c>
      <c r="G33" s="318" t="str">
        <f ca="1">IF(ROWS($1:23)&gt;COUNT(Dong6),"",OFFSET(TH!N$1,SMALL(Dong6,ROWS($1:23)),))</f>
        <v/>
      </c>
      <c r="H33" s="318" t="str">
        <f ca="1">IF(ROWS($1:23)&gt;COUNT(Dong6),"",OFFSET(TH!O$1,SMALL(Dong6,ROWS($1:23)),))</f>
        <v/>
      </c>
      <c r="I33" s="62">
        <f t="shared" ca="1" si="0"/>
        <v>23</v>
      </c>
      <c r="J33" s="268">
        <f t="shared" ca="1" si="61"/>
        <v>0</v>
      </c>
      <c r="K33" s="268">
        <f t="shared" ca="1" si="62"/>
        <v>0</v>
      </c>
      <c r="L33" s="268">
        <f t="shared" ca="1" si="1"/>
        <v>0</v>
      </c>
      <c r="M33" s="268">
        <f t="shared" ca="1" si="2"/>
        <v>0</v>
      </c>
      <c r="N33" s="268">
        <f t="shared" ca="1" si="3"/>
        <v>0</v>
      </c>
      <c r="O33" s="268">
        <f t="shared" ca="1" si="4"/>
        <v>0</v>
      </c>
      <c r="P33" s="268">
        <f t="shared" ca="1" si="5"/>
        <v>0</v>
      </c>
      <c r="Q33" s="268">
        <f t="shared" ca="1" si="6"/>
        <v>0</v>
      </c>
      <c r="R33" s="268">
        <f t="shared" ca="1" si="7"/>
        <v>0</v>
      </c>
      <c r="S33" s="268">
        <f t="shared" ca="1" si="8"/>
        <v>0</v>
      </c>
      <c r="T33" s="268">
        <f t="shared" ca="1" si="9"/>
        <v>0</v>
      </c>
      <c r="U33" s="268">
        <f t="shared" ca="1" si="10"/>
        <v>0</v>
      </c>
      <c r="V33" s="268">
        <f t="shared" ca="1" si="11"/>
        <v>0</v>
      </c>
      <c r="W33" s="268">
        <f t="shared" ca="1" si="12"/>
        <v>0</v>
      </c>
      <c r="X33" s="268">
        <f t="shared" ca="1" si="13"/>
        <v>0</v>
      </c>
      <c r="Y33" s="268">
        <f t="shared" ca="1" si="14"/>
        <v>0</v>
      </c>
      <c r="Z33" s="268">
        <f t="shared" ca="1" si="15"/>
        <v>0</v>
      </c>
      <c r="AA33" s="268">
        <f t="shared" ca="1" si="16"/>
        <v>0</v>
      </c>
      <c r="AB33" s="268">
        <f t="shared" ca="1" si="63"/>
        <v>0</v>
      </c>
      <c r="AC33" s="268">
        <f t="shared" ca="1" si="64"/>
        <v>0</v>
      </c>
      <c r="AD33" s="268">
        <f t="shared" ca="1" si="17"/>
        <v>0</v>
      </c>
      <c r="AE33" s="268">
        <f t="shared" ca="1" si="18"/>
        <v>0</v>
      </c>
      <c r="AF33" s="268">
        <f t="shared" ca="1" si="19"/>
        <v>0</v>
      </c>
      <c r="AG33" s="268">
        <f t="shared" ca="1" si="20"/>
        <v>0</v>
      </c>
      <c r="AH33" s="268">
        <f t="shared" ca="1" si="65"/>
        <v>0</v>
      </c>
      <c r="AI33" s="268">
        <f t="shared" ca="1" si="66"/>
        <v>0</v>
      </c>
      <c r="AJ33" s="268">
        <f t="shared" ca="1" si="67"/>
        <v>0</v>
      </c>
      <c r="AK33" s="268">
        <f t="shared" ca="1" si="68"/>
        <v>0</v>
      </c>
      <c r="AL33" s="268">
        <f t="shared" ca="1" si="69"/>
        <v>0</v>
      </c>
      <c r="AM33" s="268">
        <f t="shared" ca="1" si="70"/>
        <v>0</v>
      </c>
      <c r="AN33" s="268">
        <f t="shared" ca="1" si="71"/>
        <v>0</v>
      </c>
      <c r="AO33" s="268">
        <f t="shared" ca="1" si="72"/>
        <v>0</v>
      </c>
      <c r="AP33" s="268">
        <f t="shared" ca="1" si="21"/>
        <v>0</v>
      </c>
      <c r="AQ33" s="268">
        <f t="shared" ca="1" si="22"/>
        <v>0</v>
      </c>
      <c r="AR33" s="268">
        <f t="shared" ca="1" si="23"/>
        <v>0</v>
      </c>
      <c r="AS33" s="268">
        <f t="shared" ca="1" si="24"/>
        <v>0</v>
      </c>
      <c r="AT33" s="268">
        <f t="shared" ca="1" si="73"/>
        <v>0</v>
      </c>
      <c r="AU33" s="268">
        <f t="shared" ca="1" si="74"/>
        <v>0</v>
      </c>
      <c r="AV33" s="268">
        <f t="shared" ca="1" si="25"/>
        <v>0</v>
      </c>
      <c r="AW33" s="268">
        <f t="shared" ca="1" si="26"/>
        <v>0</v>
      </c>
      <c r="AX33" s="268">
        <f t="shared" ca="1" si="27"/>
        <v>0</v>
      </c>
      <c r="AY33" s="268">
        <f t="shared" ca="1" si="28"/>
        <v>0</v>
      </c>
      <c r="AZ33" s="268">
        <f t="shared" ca="1" si="29"/>
        <v>0</v>
      </c>
      <c r="BA33" s="268">
        <f t="shared" ca="1" si="30"/>
        <v>0</v>
      </c>
      <c r="BB33" s="268">
        <f t="shared" ca="1" si="31"/>
        <v>0</v>
      </c>
      <c r="BC33" s="268">
        <f t="shared" ca="1" si="32"/>
        <v>0</v>
      </c>
      <c r="BD33" s="268">
        <f t="shared" ca="1" si="33"/>
        <v>0</v>
      </c>
      <c r="BE33" s="268">
        <f t="shared" ca="1" si="34"/>
        <v>0</v>
      </c>
      <c r="BF33" s="268">
        <f t="shared" ca="1" si="35"/>
        <v>0</v>
      </c>
      <c r="BG33" s="268">
        <f t="shared" ca="1" si="36"/>
        <v>0</v>
      </c>
      <c r="BH33" s="268">
        <f t="shared" ca="1" si="75"/>
        <v>0</v>
      </c>
      <c r="BI33" s="268">
        <f t="shared" ca="1" si="76"/>
        <v>0</v>
      </c>
      <c r="BJ33" s="268">
        <f t="shared" ca="1" si="37"/>
        <v>0</v>
      </c>
      <c r="BK33" s="268">
        <f t="shared" ca="1" si="38"/>
        <v>0</v>
      </c>
      <c r="BL33" s="268">
        <f t="shared" ca="1" si="39"/>
        <v>0</v>
      </c>
      <c r="BM33" s="268">
        <f t="shared" ca="1" si="40"/>
        <v>0</v>
      </c>
      <c r="BN33" s="268">
        <f t="shared" ca="1" si="41"/>
        <v>0</v>
      </c>
      <c r="BO33" s="268">
        <f t="shared" ca="1" si="42"/>
        <v>0</v>
      </c>
      <c r="BP33" s="268">
        <f t="shared" ca="1" si="77"/>
        <v>0</v>
      </c>
      <c r="BQ33" s="268">
        <f t="shared" ca="1" si="78"/>
        <v>0</v>
      </c>
      <c r="BR33" s="268">
        <f t="shared" ca="1" si="43"/>
        <v>0</v>
      </c>
      <c r="BS33" s="268">
        <f t="shared" ca="1" si="44"/>
        <v>0</v>
      </c>
      <c r="BT33" s="268">
        <f t="shared" ca="1" si="79"/>
        <v>0</v>
      </c>
      <c r="BU33" s="268">
        <f t="shared" ca="1" si="80"/>
        <v>0</v>
      </c>
      <c r="BV33" s="268">
        <f t="shared" ca="1" si="81"/>
        <v>0</v>
      </c>
      <c r="BW33" s="268">
        <f t="shared" ca="1" si="82"/>
        <v>0</v>
      </c>
      <c r="BX33" s="268">
        <f t="shared" ca="1" si="45"/>
        <v>0</v>
      </c>
      <c r="BY33" s="268">
        <f t="shared" ca="1" si="46"/>
        <v>0</v>
      </c>
      <c r="BZ33" s="268">
        <f t="shared" ca="1" si="47"/>
        <v>0</v>
      </c>
      <c r="CA33" s="268">
        <f t="shared" ca="1" si="48"/>
        <v>0</v>
      </c>
      <c r="CB33" s="268">
        <f t="shared" ca="1" si="49"/>
        <v>0</v>
      </c>
      <c r="CC33" s="268">
        <f t="shared" ca="1" si="50"/>
        <v>0</v>
      </c>
      <c r="CD33" s="268">
        <f t="shared" ca="1" si="83"/>
        <v>0</v>
      </c>
      <c r="CE33" s="268">
        <f t="shared" ca="1" si="84"/>
        <v>0</v>
      </c>
      <c r="CF33" s="268">
        <f t="shared" ca="1" si="85"/>
        <v>0</v>
      </c>
      <c r="CG33" s="268">
        <f t="shared" ca="1" si="86"/>
        <v>0</v>
      </c>
      <c r="CH33" s="268">
        <f t="shared" ca="1" si="51"/>
        <v>0</v>
      </c>
      <c r="CI33" s="268">
        <f t="shared" ca="1" si="52"/>
        <v>0</v>
      </c>
      <c r="CJ33" s="268">
        <f t="shared" ca="1" si="87"/>
        <v>0</v>
      </c>
      <c r="CK33" s="268">
        <f t="shared" ca="1" si="88"/>
        <v>0</v>
      </c>
      <c r="CL33" s="268">
        <f t="shared" ca="1" si="53"/>
        <v>0</v>
      </c>
      <c r="CM33" s="268">
        <f t="shared" ca="1" si="54"/>
        <v>0</v>
      </c>
      <c r="CN33" s="268">
        <f t="shared" ca="1" si="55"/>
        <v>0</v>
      </c>
      <c r="CO33" s="268">
        <f t="shared" ca="1" si="56"/>
        <v>0</v>
      </c>
      <c r="CP33" s="268">
        <f t="shared" ca="1" si="89"/>
        <v>0</v>
      </c>
      <c r="CQ33" s="268">
        <f t="shared" ca="1" si="90"/>
        <v>0</v>
      </c>
      <c r="CR33" s="268">
        <f t="shared" ca="1" si="91"/>
        <v>0</v>
      </c>
      <c r="CS33" s="268">
        <f t="shared" ca="1" si="92"/>
        <v>0</v>
      </c>
      <c r="CT33" s="268">
        <f t="shared" ca="1" si="57"/>
        <v>0</v>
      </c>
      <c r="CU33" s="268">
        <f t="shared" ca="1" si="58"/>
        <v>0</v>
      </c>
      <c r="CV33" s="268">
        <f t="shared" ca="1" si="59"/>
        <v>0</v>
      </c>
      <c r="CW33" s="268">
        <f t="shared" ca="1" si="60"/>
        <v>0</v>
      </c>
      <c r="CX33" s="268">
        <f t="shared" ca="1" si="93"/>
        <v>0</v>
      </c>
      <c r="CY33" s="268">
        <f t="shared" ca="1" si="94"/>
        <v>0</v>
      </c>
      <c r="CZ33" s="268">
        <f t="shared" ca="1" si="95"/>
        <v>0</v>
      </c>
      <c r="DA33" s="268">
        <f t="shared" ca="1" si="96"/>
        <v>0</v>
      </c>
    </row>
    <row r="34" spans="1:105" s="265" customFormat="1" ht="15" customHeight="1">
      <c r="A34" s="62">
        <f t="array" aca="1" ref="A34" ca="1">IF(C34&lt;&gt;0,SUM(($C$11:C34&lt;&gt;0)*1),"")</f>
        <v>24</v>
      </c>
      <c r="B34" s="266" t="str">
        <f ca="1">IF(ROWS($1:24)&gt;COUNT(Dong6),"",OFFSET(TH!C$1,SMALL(Dong6,ROWS($1:24)),))</f>
        <v/>
      </c>
      <c r="C34" s="266" t="str">
        <f ca="1">IF(ROWS($1:24)&gt;COUNT(Dong6),"",OFFSET(TH!D$1,SMALL(Dong6,ROWS($1:24)),))</f>
        <v/>
      </c>
      <c r="D34" s="266" t="str">
        <f ca="1">IF(ROWS($1:24)&gt;COUNT(Dong6),"",OFFSET(TH!E$1,SMALL(Dong6,ROWS($1:24)),))</f>
        <v/>
      </c>
      <c r="E34" s="316" t="str">
        <f ca="1">IF(ROWS($1:24)&gt;COUNT(Dong6),"",OFFSET(TH!F$1,SMALL(Dong6,ROWS($1:24)),))</f>
        <v/>
      </c>
      <c r="F34" s="317" t="str">
        <f ca="1">IF(ROWS($1:24)&gt;COUNT(Dong6),"",OFFSET(TH!M$1,SMALL(Dong6,ROWS($1:24)),))</f>
        <v/>
      </c>
      <c r="G34" s="318" t="str">
        <f ca="1">IF(ROWS($1:24)&gt;COUNT(Dong6),"",OFFSET(TH!N$1,SMALL(Dong6,ROWS($1:24)),))</f>
        <v/>
      </c>
      <c r="H34" s="318" t="str">
        <f ca="1">IF(ROWS($1:24)&gt;COUNT(Dong6),"",OFFSET(TH!O$1,SMALL(Dong6,ROWS($1:24)),))</f>
        <v/>
      </c>
      <c r="I34" s="62">
        <f t="shared" ca="1" si="0"/>
        <v>24</v>
      </c>
      <c r="J34" s="268">
        <f t="shared" ca="1" si="61"/>
        <v>0</v>
      </c>
      <c r="K34" s="268">
        <f t="shared" ca="1" si="62"/>
        <v>0</v>
      </c>
      <c r="L34" s="268">
        <f t="shared" ca="1" si="1"/>
        <v>0</v>
      </c>
      <c r="M34" s="268">
        <f t="shared" ca="1" si="2"/>
        <v>0</v>
      </c>
      <c r="N34" s="268">
        <f t="shared" ca="1" si="3"/>
        <v>0</v>
      </c>
      <c r="O34" s="268">
        <f t="shared" ca="1" si="4"/>
        <v>0</v>
      </c>
      <c r="P34" s="268">
        <f t="shared" ca="1" si="5"/>
        <v>0</v>
      </c>
      <c r="Q34" s="268">
        <f t="shared" ca="1" si="6"/>
        <v>0</v>
      </c>
      <c r="R34" s="268">
        <f t="shared" ca="1" si="7"/>
        <v>0</v>
      </c>
      <c r="S34" s="268">
        <f t="shared" ca="1" si="8"/>
        <v>0</v>
      </c>
      <c r="T34" s="268">
        <f t="shared" ca="1" si="9"/>
        <v>0</v>
      </c>
      <c r="U34" s="268">
        <f t="shared" ca="1" si="10"/>
        <v>0</v>
      </c>
      <c r="V34" s="268">
        <f t="shared" ca="1" si="11"/>
        <v>0</v>
      </c>
      <c r="W34" s="268">
        <f t="shared" ca="1" si="12"/>
        <v>0</v>
      </c>
      <c r="X34" s="268">
        <f t="shared" ca="1" si="13"/>
        <v>0</v>
      </c>
      <c r="Y34" s="268">
        <f t="shared" ca="1" si="14"/>
        <v>0</v>
      </c>
      <c r="Z34" s="268">
        <f t="shared" ca="1" si="15"/>
        <v>0</v>
      </c>
      <c r="AA34" s="268">
        <f t="shared" ca="1" si="16"/>
        <v>0</v>
      </c>
      <c r="AB34" s="268">
        <f t="shared" ca="1" si="63"/>
        <v>0</v>
      </c>
      <c r="AC34" s="268">
        <f t="shared" ca="1" si="64"/>
        <v>0</v>
      </c>
      <c r="AD34" s="268">
        <f t="shared" ca="1" si="17"/>
        <v>0</v>
      </c>
      <c r="AE34" s="268">
        <f t="shared" ca="1" si="18"/>
        <v>0</v>
      </c>
      <c r="AF34" s="268">
        <f t="shared" ca="1" si="19"/>
        <v>0</v>
      </c>
      <c r="AG34" s="268">
        <f t="shared" ca="1" si="20"/>
        <v>0</v>
      </c>
      <c r="AH34" s="268">
        <f t="shared" ca="1" si="65"/>
        <v>0</v>
      </c>
      <c r="AI34" s="268">
        <f t="shared" ca="1" si="66"/>
        <v>0</v>
      </c>
      <c r="AJ34" s="268">
        <f t="shared" ca="1" si="67"/>
        <v>0</v>
      </c>
      <c r="AK34" s="268">
        <f t="shared" ca="1" si="68"/>
        <v>0</v>
      </c>
      <c r="AL34" s="268">
        <f t="shared" ca="1" si="69"/>
        <v>0</v>
      </c>
      <c r="AM34" s="268">
        <f t="shared" ca="1" si="70"/>
        <v>0</v>
      </c>
      <c r="AN34" s="268">
        <f t="shared" ca="1" si="71"/>
        <v>0</v>
      </c>
      <c r="AO34" s="268">
        <f t="shared" ca="1" si="72"/>
        <v>0</v>
      </c>
      <c r="AP34" s="268">
        <f t="shared" ca="1" si="21"/>
        <v>0</v>
      </c>
      <c r="AQ34" s="268">
        <f t="shared" ca="1" si="22"/>
        <v>0</v>
      </c>
      <c r="AR34" s="268">
        <f t="shared" ca="1" si="23"/>
        <v>0</v>
      </c>
      <c r="AS34" s="268">
        <f t="shared" ca="1" si="24"/>
        <v>0</v>
      </c>
      <c r="AT34" s="268">
        <f t="shared" ca="1" si="73"/>
        <v>0</v>
      </c>
      <c r="AU34" s="268">
        <f t="shared" ca="1" si="74"/>
        <v>0</v>
      </c>
      <c r="AV34" s="268">
        <f t="shared" ca="1" si="25"/>
        <v>0</v>
      </c>
      <c r="AW34" s="268">
        <f t="shared" ca="1" si="26"/>
        <v>0</v>
      </c>
      <c r="AX34" s="268">
        <f t="shared" ca="1" si="27"/>
        <v>0</v>
      </c>
      <c r="AY34" s="268">
        <f t="shared" ca="1" si="28"/>
        <v>0</v>
      </c>
      <c r="AZ34" s="268">
        <f t="shared" ca="1" si="29"/>
        <v>0</v>
      </c>
      <c r="BA34" s="268">
        <f t="shared" ca="1" si="30"/>
        <v>0</v>
      </c>
      <c r="BB34" s="268">
        <f t="shared" ca="1" si="31"/>
        <v>0</v>
      </c>
      <c r="BC34" s="268">
        <f t="shared" ca="1" si="32"/>
        <v>0</v>
      </c>
      <c r="BD34" s="268">
        <f t="shared" ca="1" si="33"/>
        <v>0</v>
      </c>
      <c r="BE34" s="268">
        <f t="shared" ca="1" si="34"/>
        <v>0</v>
      </c>
      <c r="BF34" s="268">
        <f t="shared" ca="1" si="35"/>
        <v>0</v>
      </c>
      <c r="BG34" s="268">
        <f t="shared" ca="1" si="36"/>
        <v>0</v>
      </c>
      <c r="BH34" s="268">
        <f t="shared" ca="1" si="75"/>
        <v>0</v>
      </c>
      <c r="BI34" s="268">
        <f t="shared" ca="1" si="76"/>
        <v>0</v>
      </c>
      <c r="BJ34" s="268">
        <f t="shared" ca="1" si="37"/>
        <v>0</v>
      </c>
      <c r="BK34" s="268">
        <f t="shared" ca="1" si="38"/>
        <v>0</v>
      </c>
      <c r="BL34" s="268">
        <f t="shared" ca="1" si="39"/>
        <v>0</v>
      </c>
      <c r="BM34" s="268">
        <f t="shared" ca="1" si="40"/>
        <v>0</v>
      </c>
      <c r="BN34" s="268">
        <f t="shared" ca="1" si="41"/>
        <v>0</v>
      </c>
      <c r="BO34" s="268">
        <f t="shared" ca="1" si="42"/>
        <v>0</v>
      </c>
      <c r="BP34" s="268">
        <f t="shared" ca="1" si="77"/>
        <v>0</v>
      </c>
      <c r="BQ34" s="268">
        <f t="shared" ca="1" si="78"/>
        <v>0</v>
      </c>
      <c r="BR34" s="268">
        <f t="shared" ca="1" si="43"/>
        <v>0</v>
      </c>
      <c r="BS34" s="268">
        <f t="shared" ca="1" si="44"/>
        <v>0</v>
      </c>
      <c r="BT34" s="268">
        <f t="shared" ca="1" si="79"/>
        <v>0</v>
      </c>
      <c r="BU34" s="268">
        <f t="shared" ca="1" si="80"/>
        <v>0</v>
      </c>
      <c r="BV34" s="268">
        <f t="shared" ca="1" si="81"/>
        <v>0</v>
      </c>
      <c r="BW34" s="268">
        <f t="shared" ca="1" si="82"/>
        <v>0</v>
      </c>
      <c r="BX34" s="268">
        <f t="shared" ca="1" si="45"/>
        <v>0</v>
      </c>
      <c r="BY34" s="268">
        <f t="shared" ca="1" si="46"/>
        <v>0</v>
      </c>
      <c r="BZ34" s="268">
        <f t="shared" ca="1" si="47"/>
        <v>0</v>
      </c>
      <c r="CA34" s="268">
        <f t="shared" ca="1" si="48"/>
        <v>0</v>
      </c>
      <c r="CB34" s="268">
        <f t="shared" ca="1" si="49"/>
        <v>0</v>
      </c>
      <c r="CC34" s="268">
        <f t="shared" ca="1" si="50"/>
        <v>0</v>
      </c>
      <c r="CD34" s="268">
        <f t="shared" ca="1" si="83"/>
        <v>0</v>
      </c>
      <c r="CE34" s="268">
        <f t="shared" ca="1" si="84"/>
        <v>0</v>
      </c>
      <c r="CF34" s="268">
        <f t="shared" ca="1" si="85"/>
        <v>0</v>
      </c>
      <c r="CG34" s="268">
        <f t="shared" ca="1" si="86"/>
        <v>0</v>
      </c>
      <c r="CH34" s="268">
        <f t="shared" ca="1" si="51"/>
        <v>0</v>
      </c>
      <c r="CI34" s="268">
        <f t="shared" ca="1" si="52"/>
        <v>0</v>
      </c>
      <c r="CJ34" s="268">
        <f t="shared" ca="1" si="87"/>
        <v>0</v>
      </c>
      <c r="CK34" s="268">
        <f t="shared" ca="1" si="88"/>
        <v>0</v>
      </c>
      <c r="CL34" s="268">
        <f t="shared" ca="1" si="53"/>
        <v>0</v>
      </c>
      <c r="CM34" s="268">
        <f t="shared" ca="1" si="54"/>
        <v>0</v>
      </c>
      <c r="CN34" s="268">
        <f t="shared" ca="1" si="55"/>
        <v>0</v>
      </c>
      <c r="CO34" s="268">
        <f t="shared" ca="1" si="56"/>
        <v>0</v>
      </c>
      <c r="CP34" s="268">
        <f t="shared" ca="1" si="89"/>
        <v>0</v>
      </c>
      <c r="CQ34" s="268">
        <f t="shared" ca="1" si="90"/>
        <v>0</v>
      </c>
      <c r="CR34" s="268">
        <f t="shared" ca="1" si="91"/>
        <v>0</v>
      </c>
      <c r="CS34" s="268">
        <f t="shared" ca="1" si="92"/>
        <v>0</v>
      </c>
      <c r="CT34" s="268">
        <f t="shared" ca="1" si="57"/>
        <v>0</v>
      </c>
      <c r="CU34" s="268">
        <f t="shared" ca="1" si="58"/>
        <v>0</v>
      </c>
      <c r="CV34" s="268">
        <f t="shared" ca="1" si="59"/>
        <v>0</v>
      </c>
      <c r="CW34" s="268">
        <f t="shared" ca="1" si="60"/>
        <v>0</v>
      </c>
      <c r="CX34" s="268">
        <f t="shared" ca="1" si="93"/>
        <v>0</v>
      </c>
      <c r="CY34" s="268">
        <f t="shared" ca="1" si="94"/>
        <v>0</v>
      </c>
      <c r="CZ34" s="268">
        <f t="shared" ca="1" si="95"/>
        <v>0</v>
      </c>
      <c r="DA34" s="268">
        <f t="shared" ca="1" si="96"/>
        <v>0</v>
      </c>
    </row>
    <row r="35" spans="1:105" s="265" customFormat="1" ht="15" customHeight="1">
      <c r="A35" s="62">
        <f t="array" aca="1" ref="A35" ca="1">IF(C35&lt;&gt;0,SUM(($C$11:C35&lt;&gt;0)*1),"")</f>
        <v>25</v>
      </c>
      <c r="B35" s="266" t="str">
        <f ca="1">IF(ROWS($1:25)&gt;COUNT(Dong6),"",OFFSET(TH!C$1,SMALL(Dong6,ROWS($1:25)),))</f>
        <v/>
      </c>
      <c r="C35" s="266" t="str">
        <f ca="1">IF(ROWS($1:25)&gt;COUNT(Dong6),"",OFFSET(TH!D$1,SMALL(Dong6,ROWS($1:25)),))</f>
        <v/>
      </c>
      <c r="D35" s="266" t="str">
        <f ca="1">IF(ROWS($1:25)&gt;COUNT(Dong6),"",OFFSET(TH!E$1,SMALL(Dong6,ROWS($1:25)),))</f>
        <v/>
      </c>
      <c r="E35" s="316" t="str">
        <f ca="1">IF(ROWS($1:25)&gt;COUNT(Dong6),"",OFFSET(TH!F$1,SMALL(Dong6,ROWS($1:25)),))</f>
        <v/>
      </c>
      <c r="F35" s="317" t="str">
        <f ca="1">IF(ROWS($1:25)&gt;COUNT(Dong6),"",OFFSET(TH!M$1,SMALL(Dong6,ROWS($1:25)),))</f>
        <v/>
      </c>
      <c r="G35" s="318" t="str">
        <f ca="1">IF(ROWS($1:25)&gt;COUNT(Dong6),"",OFFSET(TH!N$1,SMALL(Dong6,ROWS($1:25)),))</f>
        <v/>
      </c>
      <c r="H35" s="318" t="str">
        <f ca="1">IF(ROWS($1:25)&gt;COUNT(Dong6),"",OFFSET(TH!O$1,SMALL(Dong6,ROWS($1:25)),))</f>
        <v/>
      </c>
      <c r="I35" s="62">
        <f ca="1">A35</f>
        <v>25</v>
      </c>
      <c r="J35" s="268">
        <f t="shared" ca="1" si="61"/>
        <v>0</v>
      </c>
      <c r="K35" s="268">
        <f t="shared" ca="1" si="62"/>
        <v>0</v>
      </c>
      <c r="L35" s="268">
        <f t="shared" ca="1" si="1"/>
        <v>0</v>
      </c>
      <c r="M35" s="268">
        <f t="shared" ca="1" si="2"/>
        <v>0</v>
      </c>
      <c r="N35" s="268">
        <f t="shared" ca="1" si="3"/>
        <v>0</v>
      </c>
      <c r="O35" s="268">
        <f t="shared" ca="1" si="4"/>
        <v>0</v>
      </c>
      <c r="P35" s="268">
        <f t="shared" ca="1" si="5"/>
        <v>0</v>
      </c>
      <c r="Q35" s="268">
        <f t="shared" ca="1" si="6"/>
        <v>0</v>
      </c>
      <c r="R35" s="268">
        <f t="shared" ca="1" si="7"/>
        <v>0</v>
      </c>
      <c r="S35" s="268">
        <f t="shared" ca="1" si="8"/>
        <v>0</v>
      </c>
      <c r="T35" s="268">
        <f t="shared" ca="1" si="9"/>
        <v>0</v>
      </c>
      <c r="U35" s="268">
        <f t="shared" ca="1" si="10"/>
        <v>0</v>
      </c>
      <c r="V35" s="268">
        <f t="shared" ca="1" si="11"/>
        <v>0</v>
      </c>
      <c r="W35" s="268">
        <f t="shared" ca="1" si="12"/>
        <v>0</v>
      </c>
      <c r="X35" s="268">
        <f t="shared" ca="1" si="13"/>
        <v>0</v>
      </c>
      <c r="Y35" s="268">
        <f t="shared" ca="1" si="14"/>
        <v>0</v>
      </c>
      <c r="Z35" s="268">
        <f t="shared" ca="1" si="15"/>
        <v>0</v>
      </c>
      <c r="AA35" s="268">
        <f t="shared" ca="1" si="16"/>
        <v>0</v>
      </c>
      <c r="AB35" s="268">
        <f t="shared" ca="1" si="63"/>
        <v>0</v>
      </c>
      <c r="AC35" s="268">
        <f t="shared" ca="1" si="64"/>
        <v>0</v>
      </c>
      <c r="AD35" s="268">
        <f t="shared" ca="1" si="17"/>
        <v>0</v>
      </c>
      <c r="AE35" s="268">
        <f t="shared" ca="1" si="18"/>
        <v>0</v>
      </c>
      <c r="AF35" s="268">
        <f t="shared" ca="1" si="19"/>
        <v>0</v>
      </c>
      <c r="AG35" s="268">
        <f t="shared" ca="1" si="20"/>
        <v>0</v>
      </c>
      <c r="AH35" s="268">
        <f t="shared" ca="1" si="65"/>
        <v>0</v>
      </c>
      <c r="AI35" s="268">
        <f t="shared" ca="1" si="66"/>
        <v>0</v>
      </c>
      <c r="AJ35" s="268">
        <f t="shared" ca="1" si="67"/>
        <v>0</v>
      </c>
      <c r="AK35" s="268">
        <f t="shared" ca="1" si="68"/>
        <v>0</v>
      </c>
      <c r="AL35" s="268">
        <f t="shared" ca="1" si="69"/>
        <v>0</v>
      </c>
      <c r="AM35" s="268">
        <f t="shared" ca="1" si="70"/>
        <v>0</v>
      </c>
      <c r="AN35" s="268">
        <f t="shared" ca="1" si="71"/>
        <v>0</v>
      </c>
      <c r="AO35" s="268">
        <f t="shared" ca="1" si="72"/>
        <v>0</v>
      </c>
      <c r="AP35" s="268">
        <f t="shared" ca="1" si="21"/>
        <v>0</v>
      </c>
      <c r="AQ35" s="268">
        <f t="shared" ca="1" si="22"/>
        <v>0</v>
      </c>
      <c r="AR35" s="268">
        <f t="shared" ca="1" si="23"/>
        <v>0</v>
      </c>
      <c r="AS35" s="268">
        <f t="shared" ca="1" si="24"/>
        <v>0</v>
      </c>
      <c r="AT35" s="268">
        <f t="shared" ca="1" si="73"/>
        <v>0</v>
      </c>
      <c r="AU35" s="268">
        <f t="shared" ca="1" si="74"/>
        <v>0</v>
      </c>
      <c r="AV35" s="268">
        <f t="shared" ca="1" si="25"/>
        <v>0</v>
      </c>
      <c r="AW35" s="268">
        <f t="shared" ca="1" si="26"/>
        <v>0</v>
      </c>
      <c r="AX35" s="268">
        <f t="shared" ca="1" si="27"/>
        <v>0</v>
      </c>
      <c r="AY35" s="268">
        <f t="shared" ca="1" si="28"/>
        <v>0</v>
      </c>
      <c r="AZ35" s="268">
        <f t="shared" ca="1" si="29"/>
        <v>0</v>
      </c>
      <c r="BA35" s="268">
        <f t="shared" ca="1" si="30"/>
        <v>0</v>
      </c>
      <c r="BB35" s="268">
        <f t="shared" ca="1" si="31"/>
        <v>0</v>
      </c>
      <c r="BC35" s="268">
        <f t="shared" ca="1" si="32"/>
        <v>0</v>
      </c>
      <c r="BD35" s="268">
        <f t="shared" ca="1" si="33"/>
        <v>0</v>
      </c>
      <c r="BE35" s="268">
        <f t="shared" ca="1" si="34"/>
        <v>0</v>
      </c>
      <c r="BF35" s="268">
        <f t="shared" ca="1" si="35"/>
        <v>0</v>
      </c>
      <c r="BG35" s="268">
        <f t="shared" ca="1" si="36"/>
        <v>0</v>
      </c>
      <c r="BH35" s="268">
        <f t="shared" ca="1" si="75"/>
        <v>0</v>
      </c>
      <c r="BI35" s="268">
        <f t="shared" ca="1" si="76"/>
        <v>0</v>
      </c>
      <c r="BJ35" s="268">
        <f t="shared" ca="1" si="37"/>
        <v>0</v>
      </c>
      <c r="BK35" s="268">
        <f t="shared" ca="1" si="38"/>
        <v>0</v>
      </c>
      <c r="BL35" s="268">
        <f t="shared" ca="1" si="39"/>
        <v>0</v>
      </c>
      <c r="BM35" s="268">
        <f t="shared" ca="1" si="40"/>
        <v>0</v>
      </c>
      <c r="BN35" s="268">
        <f t="shared" ca="1" si="41"/>
        <v>0</v>
      </c>
      <c r="BO35" s="268">
        <f t="shared" ca="1" si="42"/>
        <v>0</v>
      </c>
      <c r="BP35" s="268">
        <f t="shared" ca="1" si="77"/>
        <v>0</v>
      </c>
      <c r="BQ35" s="268">
        <f t="shared" ca="1" si="78"/>
        <v>0</v>
      </c>
      <c r="BR35" s="268">
        <f t="shared" ca="1" si="43"/>
        <v>0</v>
      </c>
      <c r="BS35" s="268">
        <f t="shared" ca="1" si="44"/>
        <v>0</v>
      </c>
      <c r="BT35" s="268">
        <f t="shared" ca="1" si="79"/>
        <v>0</v>
      </c>
      <c r="BU35" s="268">
        <f t="shared" ca="1" si="80"/>
        <v>0</v>
      </c>
      <c r="BV35" s="268">
        <f t="shared" ca="1" si="81"/>
        <v>0</v>
      </c>
      <c r="BW35" s="268">
        <f t="shared" ca="1" si="82"/>
        <v>0</v>
      </c>
      <c r="BX35" s="268">
        <f t="shared" ca="1" si="45"/>
        <v>0</v>
      </c>
      <c r="BY35" s="268">
        <f t="shared" ca="1" si="46"/>
        <v>0</v>
      </c>
      <c r="BZ35" s="268">
        <f t="shared" ca="1" si="47"/>
        <v>0</v>
      </c>
      <c r="CA35" s="268">
        <f t="shared" ca="1" si="48"/>
        <v>0</v>
      </c>
      <c r="CB35" s="268">
        <f t="shared" ca="1" si="49"/>
        <v>0</v>
      </c>
      <c r="CC35" s="268">
        <f t="shared" ca="1" si="50"/>
        <v>0</v>
      </c>
      <c r="CD35" s="268">
        <f t="shared" ca="1" si="83"/>
        <v>0</v>
      </c>
      <c r="CE35" s="268">
        <f t="shared" ca="1" si="84"/>
        <v>0</v>
      </c>
      <c r="CF35" s="268">
        <f t="shared" ca="1" si="85"/>
        <v>0</v>
      </c>
      <c r="CG35" s="268">
        <f t="shared" ca="1" si="86"/>
        <v>0</v>
      </c>
      <c r="CH35" s="268">
        <f t="shared" ca="1" si="51"/>
        <v>0</v>
      </c>
      <c r="CI35" s="268">
        <f t="shared" ca="1" si="52"/>
        <v>0</v>
      </c>
      <c r="CJ35" s="268">
        <f t="shared" ca="1" si="87"/>
        <v>0</v>
      </c>
      <c r="CK35" s="268">
        <f t="shared" ca="1" si="88"/>
        <v>0</v>
      </c>
      <c r="CL35" s="268">
        <f t="shared" ca="1" si="53"/>
        <v>0</v>
      </c>
      <c r="CM35" s="268">
        <f t="shared" ca="1" si="54"/>
        <v>0</v>
      </c>
      <c r="CN35" s="268">
        <f t="shared" ca="1" si="55"/>
        <v>0</v>
      </c>
      <c r="CO35" s="268">
        <f t="shared" ca="1" si="56"/>
        <v>0</v>
      </c>
      <c r="CP35" s="268">
        <f t="shared" ca="1" si="89"/>
        <v>0</v>
      </c>
      <c r="CQ35" s="268">
        <f t="shared" ca="1" si="90"/>
        <v>0</v>
      </c>
      <c r="CR35" s="268">
        <f t="shared" ca="1" si="91"/>
        <v>0</v>
      </c>
      <c r="CS35" s="268">
        <f t="shared" ca="1" si="92"/>
        <v>0</v>
      </c>
      <c r="CT35" s="268">
        <f t="shared" ca="1" si="57"/>
        <v>0</v>
      </c>
      <c r="CU35" s="268">
        <f t="shared" ca="1" si="58"/>
        <v>0</v>
      </c>
      <c r="CV35" s="268">
        <f t="shared" ca="1" si="59"/>
        <v>0</v>
      </c>
      <c r="CW35" s="268">
        <f t="shared" ca="1" si="60"/>
        <v>0</v>
      </c>
      <c r="CX35" s="268">
        <f t="shared" ca="1" si="93"/>
        <v>0</v>
      </c>
      <c r="CY35" s="268">
        <f t="shared" ca="1" si="94"/>
        <v>0</v>
      </c>
      <c r="CZ35" s="268">
        <f t="shared" ca="1" si="95"/>
        <v>0</v>
      </c>
      <c r="DA35" s="268">
        <f t="shared" ca="1" si="96"/>
        <v>0</v>
      </c>
    </row>
    <row r="36" spans="1:105" s="265" customFormat="1" ht="15" customHeight="1">
      <c r="A36" s="62">
        <f t="array" aca="1" ref="A36" ca="1">IF(C36&lt;&gt;0,SUM(($C$11:C36&lt;&gt;0)*1),"")</f>
        <v>26</v>
      </c>
      <c r="B36" s="266" t="str">
        <f ca="1">IF(ROWS($1:26)&gt;COUNT(Dong6),"",OFFSET(TH!C$1,SMALL(Dong6,ROWS($1:26)),))</f>
        <v/>
      </c>
      <c r="C36" s="266" t="str">
        <f ca="1">IF(ROWS($1:26)&gt;COUNT(Dong6),"",OFFSET(TH!D$1,SMALL(Dong6,ROWS($1:26)),))</f>
        <v/>
      </c>
      <c r="D36" s="266" t="str">
        <f ca="1">IF(ROWS($1:26)&gt;COUNT(Dong6),"",OFFSET(TH!E$1,SMALL(Dong6,ROWS($1:26)),))</f>
        <v/>
      </c>
      <c r="E36" s="316" t="str">
        <f ca="1">IF(ROWS($1:26)&gt;COUNT(Dong6),"",OFFSET(TH!F$1,SMALL(Dong6,ROWS($1:26)),))</f>
        <v/>
      </c>
      <c r="F36" s="317" t="str">
        <f ca="1">IF(ROWS($1:26)&gt;COUNT(Dong6),"",OFFSET(TH!M$1,SMALL(Dong6,ROWS($1:26)),))</f>
        <v/>
      </c>
      <c r="G36" s="318" t="str">
        <f ca="1">IF(ROWS($1:26)&gt;COUNT(Dong6),"",OFFSET(TH!N$1,SMALL(Dong6,ROWS($1:26)),))</f>
        <v/>
      </c>
      <c r="H36" s="318" t="str">
        <f ca="1">IF(ROWS($1:26)&gt;COUNT(Dong6),"",OFFSET(TH!O$1,SMALL(Dong6,ROWS($1:26)),))</f>
        <v/>
      </c>
      <c r="I36" s="62">
        <f ca="1">A36</f>
        <v>26</v>
      </c>
      <c r="J36" s="268">
        <f t="shared" ca="1" si="61"/>
        <v>0</v>
      </c>
      <c r="K36" s="268">
        <f t="shared" ca="1" si="62"/>
        <v>0</v>
      </c>
      <c r="L36" s="268">
        <f t="shared" ca="1" si="1"/>
        <v>0</v>
      </c>
      <c r="M36" s="268">
        <f t="shared" ca="1" si="2"/>
        <v>0</v>
      </c>
      <c r="N36" s="268">
        <f t="shared" ca="1" si="3"/>
        <v>0</v>
      </c>
      <c r="O36" s="268">
        <f t="shared" ca="1" si="4"/>
        <v>0</v>
      </c>
      <c r="P36" s="268">
        <f t="shared" ca="1" si="5"/>
        <v>0</v>
      </c>
      <c r="Q36" s="268">
        <f t="shared" ca="1" si="6"/>
        <v>0</v>
      </c>
      <c r="R36" s="268">
        <f t="shared" ca="1" si="7"/>
        <v>0</v>
      </c>
      <c r="S36" s="268">
        <f t="shared" ca="1" si="8"/>
        <v>0</v>
      </c>
      <c r="T36" s="268">
        <f t="shared" ca="1" si="9"/>
        <v>0</v>
      </c>
      <c r="U36" s="268">
        <f t="shared" ca="1" si="10"/>
        <v>0</v>
      </c>
      <c r="V36" s="268">
        <f t="shared" ca="1" si="11"/>
        <v>0</v>
      </c>
      <c r="W36" s="268">
        <f t="shared" ca="1" si="12"/>
        <v>0</v>
      </c>
      <c r="X36" s="268">
        <f t="shared" ca="1" si="13"/>
        <v>0</v>
      </c>
      <c r="Y36" s="268">
        <f t="shared" ca="1" si="14"/>
        <v>0</v>
      </c>
      <c r="Z36" s="268">
        <f t="shared" ca="1" si="15"/>
        <v>0</v>
      </c>
      <c r="AA36" s="268">
        <f t="shared" ca="1" si="16"/>
        <v>0</v>
      </c>
      <c r="AB36" s="268">
        <f t="shared" ca="1" si="63"/>
        <v>0</v>
      </c>
      <c r="AC36" s="268">
        <f t="shared" ca="1" si="64"/>
        <v>0</v>
      </c>
      <c r="AD36" s="268">
        <f t="shared" ca="1" si="17"/>
        <v>0</v>
      </c>
      <c r="AE36" s="268">
        <f t="shared" ca="1" si="18"/>
        <v>0</v>
      </c>
      <c r="AF36" s="268">
        <f t="shared" ca="1" si="19"/>
        <v>0</v>
      </c>
      <c r="AG36" s="268">
        <f t="shared" ca="1" si="20"/>
        <v>0</v>
      </c>
      <c r="AH36" s="268">
        <f t="shared" ca="1" si="65"/>
        <v>0</v>
      </c>
      <c r="AI36" s="268">
        <f t="shared" ca="1" si="66"/>
        <v>0</v>
      </c>
      <c r="AJ36" s="268">
        <f t="shared" ca="1" si="67"/>
        <v>0</v>
      </c>
      <c r="AK36" s="268">
        <f t="shared" ca="1" si="68"/>
        <v>0</v>
      </c>
      <c r="AL36" s="268">
        <f t="shared" ca="1" si="69"/>
        <v>0</v>
      </c>
      <c r="AM36" s="268">
        <f t="shared" ca="1" si="70"/>
        <v>0</v>
      </c>
      <c r="AN36" s="268">
        <f t="shared" ca="1" si="71"/>
        <v>0</v>
      </c>
      <c r="AO36" s="268">
        <f t="shared" ca="1" si="72"/>
        <v>0</v>
      </c>
      <c r="AP36" s="268">
        <f t="shared" ca="1" si="21"/>
        <v>0</v>
      </c>
      <c r="AQ36" s="268">
        <f t="shared" ca="1" si="22"/>
        <v>0</v>
      </c>
      <c r="AR36" s="268">
        <f t="shared" ca="1" si="23"/>
        <v>0</v>
      </c>
      <c r="AS36" s="268">
        <f t="shared" ca="1" si="24"/>
        <v>0</v>
      </c>
      <c r="AT36" s="268">
        <f t="shared" ca="1" si="73"/>
        <v>0</v>
      </c>
      <c r="AU36" s="268">
        <f t="shared" ca="1" si="74"/>
        <v>0</v>
      </c>
      <c r="AV36" s="268">
        <f t="shared" ca="1" si="25"/>
        <v>0</v>
      </c>
      <c r="AW36" s="268">
        <f t="shared" ca="1" si="26"/>
        <v>0</v>
      </c>
      <c r="AX36" s="268">
        <f t="shared" ca="1" si="27"/>
        <v>0</v>
      </c>
      <c r="AY36" s="268">
        <f t="shared" ca="1" si="28"/>
        <v>0</v>
      </c>
      <c r="AZ36" s="268">
        <f t="shared" ca="1" si="29"/>
        <v>0</v>
      </c>
      <c r="BA36" s="268">
        <f t="shared" ca="1" si="30"/>
        <v>0</v>
      </c>
      <c r="BB36" s="268">
        <f t="shared" ca="1" si="31"/>
        <v>0</v>
      </c>
      <c r="BC36" s="268">
        <f t="shared" ca="1" si="32"/>
        <v>0</v>
      </c>
      <c r="BD36" s="268">
        <f t="shared" ca="1" si="33"/>
        <v>0</v>
      </c>
      <c r="BE36" s="268">
        <f t="shared" ca="1" si="34"/>
        <v>0</v>
      </c>
      <c r="BF36" s="268">
        <f t="shared" ca="1" si="35"/>
        <v>0</v>
      </c>
      <c r="BG36" s="268">
        <f t="shared" ca="1" si="36"/>
        <v>0</v>
      </c>
      <c r="BH36" s="268">
        <f t="shared" ca="1" si="75"/>
        <v>0</v>
      </c>
      <c r="BI36" s="268">
        <f t="shared" ca="1" si="76"/>
        <v>0</v>
      </c>
      <c r="BJ36" s="268">
        <f t="shared" ca="1" si="37"/>
        <v>0</v>
      </c>
      <c r="BK36" s="268">
        <f t="shared" ca="1" si="38"/>
        <v>0</v>
      </c>
      <c r="BL36" s="268">
        <f t="shared" ca="1" si="39"/>
        <v>0</v>
      </c>
      <c r="BM36" s="268">
        <f t="shared" ca="1" si="40"/>
        <v>0</v>
      </c>
      <c r="BN36" s="268">
        <f t="shared" ca="1" si="41"/>
        <v>0</v>
      </c>
      <c r="BO36" s="268">
        <f t="shared" ca="1" si="42"/>
        <v>0</v>
      </c>
      <c r="BP36" s="268">
        <f t="shared" ca="1" si="77"/>
        <v>0</v>
      </c>
      <c r="BQ36" s="268">
        <f t="shared" ca="1" si="78"/>
        <v>0</v>
      </c>
      <c r="BR36" s="268">
        <f t="shared" ca="1" si="43"/>
        <v>0</v>
      </c>
      <c r="BS36" s="268">
        <f t="shared" ca="1" si="44"/>
        <v>0</v>
      </c>
      <c r="BT36" s="268">
        <f t="shared" ca="1" si="79"/>
        <v>0</v>
      </c>
      <c r="BU36" s="268">
        <f t="shared" ca="1" si="80"/>
        <v>0</v>
      </c>
      <c r="BV36" s="268">
        <f t="shared" ca="1" si="81"/>
        <v>0</v>
      </c>
      <c r="BW36" s="268">
        <f t="shared" ca="1" si="82"/>
        <v>0</v>
      </c>
      <c r="BX36" s="268">
        <f t="shared" ca="1" si="45"/>
        <v>0</v>
      </c>
      <c r="BY36" s="268">
        <f t="shared" ca="1" si="46"/>
        <v>0</v>
      </c>
      <c r="BZ36" s="268">
        <f t="shared" ca="1" si="47"/>
        <v>0</v>
      </c>
      <c r="CA36" s="268">
        <f t="shared" ca="1" si="48"/>
        <v>0</v>
      </c>
      <c r="CB36" s="268">
        <f t="shared" ca="1" si="49"/>
        <v>0</v>
      </c>
      <c r="CC36" s="268">
        <f t="shared" ca="1" si="50"/>
        <v>0</v>
      </c>
      <c r="CD36" s="268">
        <f t="shared" ca="1" si="83"/>
        <v>0</v>
      </c>
      <c r="CE36" s="268">
        <f t="shared" ca="1" si="84"/>
        <v>0</v>
      </c>
      <c r="CF36" s="268">
        <f t="shared" ca="1" si="85"/>
        <v>0</v>
      </c>
      <c r="CG36" s="268">
        <f t="shared" ca="1" si="86"/>
        <v>0</v>
      </c>
      <c r="CH36" s="268">
        <f t="shared" ca="1" si="51"/>
        <v>0</v>
      </c>
      <c r="CI36" s="268">
        <f t="shared" ca="1" si="52"/>
        <v>0</v>
      </c>
      <c r="CJ36" s="268">
        <f t="shared" ca="1" si="87"/>
        <v>0</v>
      </c>
      <c r="CK36" s="268">
        <f t="shared" ca="1" si="88"/>
        <v>0</v>
      </c>
      <c r="CL36" s="268">
        <f t="shared" ca="1" si="53"/>
        <v>0</v>
      </c>
      <c r="CM36" s="268">
        <f t="shared" ca="1" si="54"/>
        <v>0</v>
      </c>
      <c r="CN36" s="268">
        <f t="shared" ca="1" si="55"/>
        <v>0</v>
      </c>
      <c r="CO36" s="268">
        <f t="shared" ca="1" si="56"/>
        <v>0</v>
      </c>
      <c r="CP36" s="268">
        <f t="shared" ca="1" si="89"/>
        <v>0</v>
      </c>
      <c r="CQ36" s="268">
        <f t="shared" ca="1" si="90"/>
        <v>0</v>
      </c>
      <c r="CR36" s="268">
        <f t="shared" ca="1" si="91"/>
        <v>0</v>
      </c>
      <c r="CS36" s="268">
        <f t="shared" ca="1" si="92"/>
        <v>0</v>
      </c>
      <c r="CT36" s="268">
        <f t="shared" ca="1" si="57"/>
        <v>0</v>
      </c>
      <c r="CU36" s="268">
        <f t="shared" ca="1" si="58"/>
        <v>0</v>
      </c>
      <c r="CV36" s="268">
        <f t="shared" ca="1" si="59"/>
        <v>0</v>
      </c>
      <c r="CW36" s="268">
        <f t="shared" ca="1" si="60"/>
        <v>0</v>
      </c>
      <c r="CX36" s="268">
        <f t="shared" ca="1" si="93"/>
        <v>0</v>
      </c>
      <c r="CY36" s="268">
        <f t="shared" ca="1" si="94"/>
        <v>0</v>
      </c>
      <c r="CZ36" s="268">
        <f t="shared" ca="1" si="95"/>
        <v>0</v>
      </c>
      <c r="DA36" s="268">
        <f t="shared" ca="1" si="96"/>
        <v>0</v>
      </c>
    </row>
    <row r="37" spans="1:105" s="265" customFormat="1" ht="15" customHeight="1">
      <c r="A37" s="62">
        <f t="array" aca="1" ref="A37" ca="1">IF(C37&lt;&gt;0,SUM(($C$11:C37&lt;&gt;0)*1),"")</f>
        <v>27</v>
      </c>
      <c r="B37" s="266" t="str">
        <f ca="1">IF(ROWS($1:27)&gt;COUNT(Dong6),"",OFFSET(TH!C$1,SMALL(Dong6,ROWS($1:27)),))</f>
        <v/>
      </c>
      <c r="C37" s="266" t="str">
        <f ca="1">IF(ROWS($1:27)&gt;COUNT(Dong6),"",OFFSET(TH!D$1,SMALL(Dong6,ROWS($1:27)),))</f>
        <v/>
      </c>
      <c r="D37" s="266" t="str">
        <f ca="1">IF(ROWS($1:27)&gt;COUNT(Dong6),"",OFFSET(TH!E$1,SMALL(Dong6,ROWS($1:27)),))</f>
        <v/>
      </c>
      <c r="E37" s="316" t="str">
        <f ca="1">IF(ROWS($1:27)&gt;COUNT(Dong6),"",OFFSET(TH!F$1,SMALL(Dong6,ROWS($1:27)),))</f>
        <v/>
      </c>
      <c r="F37" s="317" t="str">
        <f ca="1">IF(ROWS($1:27)&gt;COUNT(Dong6),"",OFFSET(TH!M$1,SMALL(Dong6,ROWS($1:27)),))</f>
        <v/>
      </c>
      <c r="G37" s="318" t="str">
        <f ca="1">IF(ROWS($1:27)&gt;COUNT(Dong6),"",OFFSET(TH!N$1,SMALL(Dong6,ROWS($1:27)),))</f>
        <v/>
      </c>
      <c r="H37" s="318" t="str">
        <f ca="1">IF(ROWS($1:27)&gt;COUNT(Dong6),"",OFFSET(TH!O$1,SMALL(Dong6,ROWS($1:27)),))</f>
        <v/>
      </c>
      <c r="I37" s="62">
        <f ca="1">A37</f>
        <v>27</v>
      </c>
      <c r="J37" s="268">
        <f t="shared" ca="1" si="61"/>
        <v>0</v>
      </c>
      <c r="K37" s="268">
        <f t="shared" ca="1" si="62"/>
        <v>0</v>
      </c>
      <c r="L37" s="268">
        <f t="shared" ca="1" si="1"/>
        <v>0</v>
      </c>
      <c r="M37" s="268">
        <f t="shared" ca="1" si="2"/>
        <v>0</v>
      </c>
      <c r="N37" s="268">
        <f t="shared" ca="1" si="3"/>
        <v>0</v>
      </c>
      <c r="O37" s="268">
        <f t="shared" ca="1" si="4"/>
        <v>0</v>
      </c>
      <c r="P37" s="268">
        <f t="shared" ca="1" si="5"/>
        <v>0</v>
      </c>
      <c r="Q37" s="268">
        <f t="shared" ca="1" si="6"/>
        <v>0</v>
      </c>
      <c r="R37" s="268">
        <f t="shared" ca="1" si="7"/>
        <v>0</v>
      </c>
      <c r="S37" s="268">
        <f t="shared" ca="1" si="8"/>
        <v>0</v>
      </c>
      <c r="T37" s="268">
        <f t="shared" ca="1" si="9"/>
        <v>0</v>
      </c>
      <c r="U37" s="268">
        <f t="shared" ca="1" si="10"/>
        <v>0</v>
      </c>
      <c r="V37" s="268">
        <f t="shared" ca="1" si="11"/>
        <v>0</v>
      </c>
      <c r="W37" s="268">
        <f t="shared" ca="1" si="12"/>
        <v>0</v>
      </c>
      <c r="X37" s="268">
        <f t="shared" ca="1" si="13"/>
        <v>0</v>
      </c>
      <c r="Y37" s="268">
        <f t="shared" ca="1" si="14"/>
        <v>0</v>
      </c>
      <c r="Z37" s="268">
        <f t="shared" ca="1" si="15"/>
        <v>0</v>
      </c>
      <c r="AA37" s="268">
        <f t="shared" ca="1" si="16"/>
        <v>0</v>
      </c>
      <c r="AB37" s="268">
        <f t="shared" ca="1" si="63"/>
        <v>0</v>
      </c>
      <c r="AC37" s="268">
        <f t="shared" ca="1" si="64"/>
        <v>0</v>
      </c>
      <c r="AD37" s="268">
        <f t="shared" ca="1" si="17"/>
        <v>0</v>
      </c>
      <c r="AE37" s="268">
        <f t="shared" ca="1" si="18"/>
        <v>0</v>
      </c>
      <c r="AF37" s="268">
        <f t="shared" ca="1" si="19"/>
        <v>0</v>
      </c>
      <c r="AG37" s="268">
        <f t="shared" ca="1" si="20"/>
        <v>0</v>
      </c>
      <c r="AH37" s="268">
        <f t="shared" ca="1" si="65"/>
        <v>0</v>
      </c>
      <c r="AI37" s="268">
        <f t="shared" ca="1" si="66"/>
        <v>0</v>
      </c>
      <c r="AJ37" s="268">
        <f t="shared" ca="1" si="67"/>
        <v>0</v>
      </c>
      <c r="AK37" s="268">
        <f t="shared" ca="1" si="68"/>
        <v>0</v>
      </c>
      <c r="AL37" s="268">
        <f t="shared" ca="1" si="69"/>
        <v>0</v>
      </c>
      <c r="AM37" s="268">
        <f t="shared" ca="1" si="70"/>
        <v>0</v>
      </c>
      <c r="AN37" s="268">
        <f t="shared" ca="1" si="71"/>
        <v>0</v>
      </c>
      <c r="AO37" s="268">
        <f t="shared" ca="1" si="72"/>
        <v>0</v>
      </c>
      <c r="AP37" s="268">
        <f t="shared" ca="1" si="21"/>
        <v>0</v>
      </c>
      <c r="AQ37" s="268">
        <f t="shared" ca="1" si="22"/>
        <v>0</v>
      </c>
      <c r="AR37" s="268">
        <f t="shared" ca="1" si="23"/>
        <v>0</v>
      </c>
      <c r="AS37" s="268">
        <f t="shared" ca="1" si="24"/>
        <v>0</v>
      </c>
      <c r="AT37" s="268">
        <f t="shared" ca="1" si="73"/>
        <v>0</v>
      </c>
      <c r="AU37" s="268">
        <f t="shared" ca="1" si="74"/>
        <v>0</v>
      </c>
      <c r="AV37" s="268">
        <f t="shared" ca="1" si="25"/>
        <v>0</v>
      </c>
      <c r="AW37" s="268">
        <f t="shared" ca="1" si="26"/>
        <v>0</v>
      </c>
      <c r="AX37" s="268">
        <f t="shared" ca="1" si="27"/>
        <v>0</v>
      </c>
      <c r="AY37" s="268">
        <f t="shared" ca="1" si="28"/>
        <v>0</v>
      </c>
      <c r="AZ37" s="268">
        <f t="shared" ca="1" si="29"/>
        <v>0</v>
      </c>
      <c r="BA37" s="268">
        <f t="shared" ca="1" si="30"/>
        <v>0</v>
      </c>
      <c r="BB37" s="268">
        <f t="shared" ca="1" si="31"/>
        <v>0</v>
      </c>
      <c r="BC37" s="268">
        <f t="shared" ca="1" si="32"/>
        <v>0</v>
      </c>
      <c r="BD37" s="268">
        <f t="shared" ca="1" si="33"/>
        <v>0</v>
      </c>
      <c r="BE37" s="268">
        <f t="shared" ca="1" si="34"/>
        <v>0</v>
      </c>
      <c r="BF37" s="268">
        <f t="shared" ca="1" si="35"/>
        <v>0</v>
      </c>
      <c r="BG37" s="268">
        <f t="shared" ca="1" si="36"/>
        <v>0</v>
      </c>
      <c r="BH37" s="268">
        <f t="shared" ca="1" si="75"/>
        <v>0</v>
      </c>
      <c r="BI37" s="268">
        <f t="shared" ca="1" si="76"/>
        <v>0</v>
      </c>
      <c r="BJ37" s="268">
        <f t="shared" ca="1" si="37"/>
        <v>0</v>
      </c>
      <c r="BK37" s="268">
        <f t="shared" ca="1" si="38"/>
        <v>0</v>
      </c>
      <c r="BL37" s="268">
        <f t="shared" ca="1" si="39"/>
        <v>0</v>
      </c>
      <c r="BM37" s="268">
        <f t="shared" ca="1" si="40"/>
        <v>0</v>
      </c>
      <c r="BN37" s="268">
        <f t="shared" ca="1" si="41"/>
        <v>0</v>
      </c>
      <c r="BO37" s="268">
        <f t="shared" ca="1" si="42"/>
        <v>0</v>
      </c>
      <c r="BP37" s="268">
        <f t="shared" ca="1" si="77"/>
        <v>0</v>
      </c>
      <c r="BQ37" s="268">
        <f t="shared" ca="1" si="78"/>
        <v>0</v>
      </c>
      <c r="BR37" s="268">
        <f t="shared" ca="1" si="43"/>
        <v>0</v>
      </c>
      <c r="BS37" s="268">
        <f t="shared" ca="1" si="44"/>
        <v>0</v>
      </c>
      <c r="BT37" s="268">
        <f t="shared" ca="1" si="79"/>
        <v>0</v>
      </c>
      <c r="BU37" s="268">
        <f t="shared" ca="1" si="80"/>
        <v>0</v>
      </c>
      <c r="BV37" s="268">
        <f t="shared" ca="1" si="81"/>
        <v>0</v>
      </c>
      <c r="BW37" s="268">
        <f t="shared" ca="1" si="82"/>
        <v>0</v>
      </c>
      <c r="BX37" s="268">
        <f t="shared" ca="1" si="45"/>
        <v>0</v>
      </c>
      <c r="BY37" s="268">
        <f t="shared" ca="1" si="46"/>
        <v>0</v>
      </c>
      <c r="BZ37" s="268">
        <f t="shared" ca="1" si="47"/>
        <v>0</v>
      </c>
      <c r="CA37" s="268">
        <f t="shared" ca="1" si="48"/>
        <v>0</v>
      </c>
      <c r="CB37" s="268">
        <f t="shared" ca="1" si="49"/>
        <v>0</v>
      </c>
      <c r="CC37" s="268">
        <f t="shared" ca="1" si="50"/>
        <v>0</v>
      </c>
      <c r="CD37" s="268">
        <f t="shared" ca="1" si="83"/>
        <v>0</v>
      </c>
      <c r="CE37" s="268">
        <f t="shared" ca="1" si="84"/>
        <v>0</v>
      </c>
      <c r="CF37" s="268">
        <f t="shared" ca="1" si="85"/>
        <v>0</v>
      </c>
      <c r="CG37" s="268">
        <f t="shared" ca="1" si="86"/>
        <v>0</v>
      </c>
      <c r="CH37" s="268">
        <f t="shared" ca="1" si="51"/>
        <v>0</v>
      </c>
      <c r="CI37" s="268">
        <f t="shared" ca="1" si="52"/>
        <v>0</v>
      </c>
      <c r="CJ37" s="268">
        <f t="shared" ca="1" si="87"/>
        <v>0</v>
      </c>
      <c r="CK37" s="268">
        <f t="shared" ca="1" si="88"/>
        <v>0</v>
      </c>
      <c r="CL37" s="268">
        <f t="shared" ca="1" si="53"/>
        <v>0</v>
      </c>
      <c r="CM37" s="268">
        <f t="shared" ca="1" si="54"/>
        <v>0</v>
      </c>
      <c r="CN37" s="268">
        <f t="shared" ca="1" si="55"/>
        <v>0</v>
      </c>
      <c r="CO37" s="268">
        <f t="shared" ca="1" si="56"/>
        <v>0</v>
      </c>
      <c r="CP37" s="268">
        <f t="shared" ca="1" si="89"/>
        <v>0</v>
      </c>
      <c r="CQ37" s="268">
        <f t="shared" ca="1" si="90"/>
        <v>0</v>
      </c>
      <c r="CR37" s="268">
        <f t="shared" ca="1" si="91"/>
        <v>0</v>
      </c>
      <c r="CS37" s="268">
        <f t="shared" ca="1" si="92"/>
        <v>0</v>
      </c>
      <c r="CT37" s="268">
        <f t="shared" ca="1" si="57"/>
        <v>0</v>
      </c>
      <c r="CU37" s="268">
        <f t="shared" ca="1" si="58"/>
        <v>0</v>
      </c>
      <c r="CV37" s="268">
        <f t="shared" ca="1" si="59"/>
        <v>0</v>
      </c>
      <c r="CW37" s="268">
        <f t="shared" ca="1" si="60"/>
        <v>0</v>
      </c>
      <c r="CX37" s="268">
        <f t="shared" ca="1" si="93"/>
        <v>0</v>
      </c>
      <c r="CY37" s="268">
        <f t="shared" ca="1" si="94"/>
        <v>0</v>
      </c>
      <c r="CZ37" s="268">
        <f t="shared" ca="1" si="95"/>
        <v>0</v>
      </c>
      <c r="DA37" s="268">
        <f t="shared" ca="1" si="96"/>
        <v>0</v>
      </c>
    </row>
    <row r="38" spans="1:105" s="265" customFormat="1" ht="15" customHeight="1">
      <c r="A38" s="62">
        <f t="array" aca="1" ref="A38" ca="1">IF(C38&lt;&gt;0,SUM(($C$11:C38&lt;&gt;0)*1),"")</f>
        <v>28</v>
      </c>
      <c r="B38" s="266" t="str">
        <f ca="1">IF(ROWS($1:28)&gt;COUNT(Dong6),"",OFFSET(TH!C$1,SMALL(Dong6,ROWS($1:28)),))</f>
        <v/>
      </c>
      <c r="C38" s="266" t="str">
        <f ca="1">IF(ROWS($1:28)&gt;COUNT(Dong6),"",OFFSET(TH!D$1,SMALL(Dong6,ROWS($1:28)),))</f>
        <v/>
      </c>
      <c r="D38" s="266" t="str">
        <f ca="1">IF(ROWS($1:28)&gt;COUNT(Dong6),"",OFFSET(TH!E$1,SMALL(Dong6,ROWS($1:28)),))</f>
        <v/>
      </c>
      <c r="E38" s="316" t="str">
        <f ca="1">IF(ROWS($1:28)&gt;COUNT(Dong6),"",OFFSET(TH!F$1,SMALL(Dong6,ROWS($1:28)),))</f>
        <v/>
      </c>
      <c r="F38" s="317" t="str">
        <f ca="1">IF(ROWS($1:28)&gt;COUNT(Dong6),"",OFFSET(TH!M$1,SMALL(Dong6,ROWS($1:28)),))</f>
        <v/>
      </c>
      <c r="G38" s="318" t="str">
        <f ca="1">IF(ROWS($1:28)&gt;COUNT(Dong6),"",OFFSET(TH!N$1,SMALL(Dong6,ROWS($1:28)),))</f>
        <v/>
      </c>
      <c r="H38" s="318" t="str">
        <f ca="1">IF(ROWS($1:28)&gt;COUNT(Dong6),"",OFFSET(TH!O$1,SMALL(Dong6,ROWS($1:28)),))</f>
        <v/>
      </c>
      <c r="I38" s="62">
        <f ca="1">A38</f>
        <v>28</v>
      </c>
      <c r="J38" s="268">
        <f t="shared" ca="1" si="61"/>
        <v>0</v>
      </c>
      <c r="K38" s="268">
        <f t="shared" ca="1" si="62"/>
        <v>0</v>
      </c>
      <c r="L38" s="268">
        <f t="shared" ca="1" si="1"/>
        <v>0</v>
      </c>
      <c r="M38" s="268">
        <f t="shared" ca="1" si="2"/>
        <v>0</v>
      </c>
      <c r="N38" s="268">
        <f t="shared" ca="1" si="3"/>
        <v>0</v>
      </c>
      <c r="O38" s="268">
        <f t="shared" ca="1" si="4"/>
        <v>0</v>
      </c>
      <c r="P38" s="268">
        <f t="shared" ca="1" si="5"/>
        <v>0</v>
      </c>
      <c r="Q38" s="268">
        <f t="shared" ca="1" si="6"/>
        <v>0</v>
      </c>
      <c r="R38" s="268">
        <f t="shared" ca="1" si="7"/>
        <v>0</v>
      </c>
      <c r="S38" s="268">
        <f t="shared" ca="1" si="8"/>
        <v>0</v>
      </c>
      <c r="T38" s="268">
        <f t="shared" ca="1" si="9"/>
        <v>0</v>
      </c>
      <c r="U38" s="268">
        <f t="shared" ca="1" si="10"/>
        <v>0</v>
      </c>
      <c r="V38" s="268">
        <f t="shared" ca="1" si="11"/>
        <v>0</v>
      </c>
      <c r="W38" s="268">
        <f t="shared" ca="1" si="12"/>
        <v>0</v>
      </c>
      <c r="X38" s="268">
        <f t="shared" ca="1" si="13"/>
        <v>0</v>
      </c>
      <c r="Y38" s="268">
        <f t="shared" ca="1" si="14"/>
        <v>0</v>
      </c>
      <c r="Z38" s="268">
        <f t="shared" ca="1" si="15"/>
        <v>0</v>
      </c>
      <c r="AA38" s="268">
        <f t="shared" ca="1" si="16"/>
        <v>0</v>
      </c>
      <c r="AB38" s="268">
        <f t="shared" ca="1" si="63"/>
        <v>0</v>
      </c>
      <c r="AC38" s="268">
        <f t="shared" ca="1" si="64"/>
        <v>0</v>
      </c>
      <c r="AD38" s="268">
        <f t="shared" ca="1" si="17"/>
        <v>0</v>
      </c>
      <c r="AE38" s="268">
        <f t="shared" ca="1" si="18"/>
        <v>0</v>
      </c>
      <c r="AF38" s="268">
        <f t="shared" ca="1" si="19"/>
        <v>0</v>
      </c>
      <c r="AG38" s="268">
        <f t="shared" ca="1" si="20"/>
        <v>0</v>
      </c>
      <c r="AH38" s="268">
        <f t="shared" ca="1" si="65"/>
        <v>0</v>
      </c>
      <c r="AI38" s="268">
        <f t="shared" ca="1" si="66"/>
        <v>0</v>
      </c>
      <c r="AJ38" s="268">
        <f t="shared" ca="1" si="67"/>
        <v>0</v>
      </c>
      <c r="AK38" s="268">
        <f t="shared" ca="1" si="68"/>
        <v>0</v>
      </c>
      <c r="AL38" s="268">
        <f t="shared" ca="1" si="69"/>
        <v>0</v>
      </c>
      <c r="AM38" s="268">
        <f t="shared" ca="1" si="70"/>
        <v>0</v>
      </c>
      <c r="AN38" s="268">
        <f t="shared" ca="1" si="71"/>
        <v>0</v>
      </c>
      <c r="AO38" s="268">
        <f t="shared" ca="1" si="72"/>
        <v>0</v>
      </c>
      <c r="AP38" s="268">
        <f t="shared" ca="1" si="21"/>
        <v>0</v>
      </c>
      <c r="AQ38" s="268">
        <f t="shared" ca="1" si="22"/>
        <v>0</v>
      </c>
      <c r="AR38" s="268">
        <f t="shared" ca="1" si="23"/>
        <v>0</v>
      </c>
      <c r="AS38" s="268">
        <f t="shared" ca="1" si="24"/>
        <v>0</v>
      </c>
      <c r="AT38" s="268">
        <f t="shared" ca="1" si="73"/>
        <v>0</v>
      </c>
      <c r="AU38" s="268">
        <f t="shared" ca="1" si="74"/>
        <v>0</v>
      </c>
      <c r="AV38" s="268">
        <f t="shared" ca="1" si="25"/>
        <v>0</v>
      </c>
      <c r="AW38" s="268">
        <f t="shared" ca="1" si="26"/>
        <v>0</v>
      </c>
      <c r="AX38" s="268">
        <f t="shared" ca="1" si="27"/>
        <v>0</v>
      </c>
      <c r="AY38" s="268">
        <f t="shared" ca="1" si="28"/>
        <v>0</v>
      </c>
      <c r="AZ38" s="268">
        <f t="shared" ca="1" si="29"/>
        <v>0</v>
      </c>
      <c r="BA38" s="268">
        <f t="shared" ca="1" si="30"/>
        <v>0</v>
      </c>
      <c r="BB38" s="268">
        <f t="shared" ca="1" si="31"/>
        <v>0</v>
      </c>
      <c r="BC38" s="268">
        <f t="shared" ca="1" si="32"/>
        <v>0</v>
      </c>
      <c r="BD38" s="268">
        <f t="shared" ca="1" si="33"/>
        <v>0</v>
      </c>
      <c r="BE38" s="268">
        <f t="shared" ca="1" si="34"/>
        <v>0</v>
      </c>
      <c r="BF38" s="268">
        <f t="shared" ca="1" si="35"/>
        <v>0</v>
      </c>
      <c r="BG38" s="268">
        <f t="shared" ca="1" si="36"/>
        <v>0</v>
      </c>
      <c r="BH38" s="268">
        <f t="shared" ca="1" si="75"/>
        <v>0</v>
      </c>
      <c r="BI38" s="268">
        <f t="shared" ca="1" si="76"/>
        <v>0</v>
      </c>
      <c r="BJ38" s="268">
        <f t="shared" ca="1" si="37"/>
        <v>0</v>
      </c>
      <c r="BK38" s="268">
        <f t="shared" ca="1" si="38"/>
        <v>0</v>
      </c>
      <c r="BL38" s="268">
        <f t="shared" ca="1" si="39"/>
        <v>0</v>
      </c>
      <c r="BM38" s="268">
        <f t="shared" ca="1" si="40"/>
        <v>0</v>
      </c>
      <c r="BN38" s="268">
        <f t="shared" ca="1" si="41"/>
        <v>0</v>
      </c>
      <c r="BO38" s="268">
        <f t="shared" ca="1" si="42"/>
        <v>0</v>
      </c>
      <c r="BP38" s="268">
        <f t="shared" ca="1" si="77"/>
        <v>0</v>
      </c>
      <c r="BQ38" s="268">
        <f t="shared" ca="1" si="78"/>
        <v>0</v>
      </c>
      <c r="BR38" s="268">
        <f t="shared" ca="1" si="43"/>
        <v>0</v>
      </c>
      <c r="BS38" s="268">
        <f t="shared" ca="1" si="44"/>
        <v>0</v>
      </c>
      <c r="BT38" s="268">
        <f t="shared" ca="1" si="79"/>
        <v>0</v>
      </c>
      <c r="BU38" s="268">
        <f t="shared" ca="1" si="80"/>
        <v>0</v>
      </c>
      <c r="BV38" s="268">
        <f t="shared" ca="1" si="81"/>
        <v>0</v>
      </c>
      <c r="BW38" s="268">
        <f t="shared" ca="1" si="82"/>
        <v>0</v>
      </c>
      <c r="BX38" s="268">
        <f t="shared" ca="1" si="45"/>
        <v>0</v>
      </c>
      <c r="BY38" s="268">
        <f t="shared" ca="1" si="46"/>
        <v>0</v>
      </c>
      <c r="BZ38" s="268">
        <f t="shared" ca="1" si="47"/>
        <v>0</v>
      </c>
      <c r="CA38" s="268">
        <f t="shared" ca="1" si="48"/>
        <v>0</v>
      </c>
      <c r="CB38" s="268">
        <f t="shared" ca="1" si="49"/>
        <v>0</v>
      </c>
      <c r="CC38" s="268">
        <f t="shared" ca="1" si="50"/>
        <v>0</v>
      </c>
      <c r="CD38" s="268">
        <f t="shared" ca="1" si="83"/>
        <v>0</v>
      </c>
      <c r="CE38" s="268">
        <f t="shared" ca="1" si="84"/>
        <v>0</v>
      </c>
      <c r="CF38" s="268">
        <f t="shared" ca="1" si="85"/>
        <v>0</v>
      </c>
      <c r="CG38" s="268">
        <f t="shared" ca="1" si="86"/>
        <v>0</v>
      </c>
      <c r="CH38" s="268">
        <f t="shared" ca="1" si="51"/>
        <v>0</v>
      </c>
      <c r="CI38" s="268">
        <f t="shared" ca="1" si="52"/>
        <v>0</v>
      </c>
      <c r="CJ38" s="268">
        <f t="shared" ca="1" si="87"/>
        <v>0</v>
      </c>
      <c r="CK38" s="268">
        <f t="shared" ca="1" si="88"/>
        <v>0</v>
      </c>
      <c r="CL38" s="268">
        <f t="shared" ca="1" si="53"/>
        <v>0</v>
      </c>
      <c r="CM38" s="268">
        <f t="shared" ca="1" si="54"/>
        <v>0</v>
      </c>
      <c r="CN38" s="268">
        <f t="shared" ca="1" si="55"/>
        <v>0</v>
      </c>
      <c r="CO38" s="268">
        <f t="shared" ca="1" si="56"/>
        <v>0</v>
      </c>
      <c r="CP38" s="268">
        <f t="shared" ca="1" si="89"/>
        <v>0</v>
      </c>
      <c r="CQ38" s="268">
        <f t="shared" ca="1" si="90"/>
        <v>0</v>
      </c>
      <c r="CR38" s="268">
        <f t="shared" ca="1" si="91"/>
        <v>0</v>
      </c>
      <c r="CS38" s="268">
        <f t="shared" ca="1" si="92"/>
        <v>0</v>
      </c>
      <c r="CT38" s="268">
        <f t="shared" ca="1" si="57"/>
        <v>0</v>
      </c>
      <c r="CU38" s="268">
        <f t="shared" ca="1" si="58"/>
        <v>0</v>
      </c>
      <c r="CV38" s="268">
        <f t="shared" ca="1" si="59"/>
        <v>0</v>
      </c>
      <c r="CW38" s="268">
        <f t="shared" ca="1" si="60"/>
        <v>0</v>
      </c>
      <c r="CX38" s="268">
        <f t="shared" ca="1" si="93"/>
        <v>0</v>
      </c>
      <c r="CY38" s="268">
        <f t="shared" ca="1" si="94"/>
        <v>0</v>
      </c>
      <c r="CZ38" s="268">
        <f t="shared" ca="1" si="95"/>
        <v>0</v>
      </c>
      <c r="DA38" s="268">
        <f t="shared" ca="1" si="96"/>
        <v>0</v>
      </c>
    </row>
    <row r="39" spans="1:105" s="265" customFormat="1" ht="15" customHeight="1">
      <c r="A39" s="62">
        <f t="array" aca="1" ref="A39" ca="1">IF(C39&lt;&gt;0,SUM(($C$11:C39&lt;&gt;0)*1),"")</f>
        <v>29</v>
      </c>
      <c r="B39" s="266">
        <v>42460</v>
      </c>
      <c r="C39" s="269" t="s">
        <v>115</v>
      </c>
      <c r="D39" s="269">
        <f t="shared" ref="D39:D44" si="97">B39</f>
        <v>42460</v>
      </c>
      <c r="E39" s="810" t="s">
        <v>212</v>
      </c>
      <c r="F39" s="811">
        <f>[1]CDPS!D59</f>
        <v>107861885.00000048</v>
      </c>
      <c r="G39" s="812" t="s">
        <v>94</v>
      </c>
      <c r="H39" s="812" t="s">
        <v>92</v>
      </c>
      <c r="I39" s="62">
        <f t="shared" ref="I39:I50" ca="1" si="98">A39</f>
        <v>29</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ref="AT39:AT51" si="99">IF($G39="2412",$F39,0)</f>
        <v>0</v>
      </c>
      <c r="AU39" s="268">
        <f t="shared" ref="AU39:AU51" si="100">IF($H39="2412",$F39,0)</f>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ref="BV39:BV51" si="101">IF($G39="3412",$F39,0)</f>
        <v>0</v>
      </c>
      <c r="BW39" s="268">
        <f t="shared" ref="BW39:BW51" si="102">IF($H39="3412",$F39,0)</f>
        <v>0</v>
      </c>
      <c r="BX39" s="268">
        <f t="shared" si="45"/>
        <v>0</v>
      </c>
      <c r="BY39" s="268">
        <f t="shared" si="46"/>
        <v>0</v>
      </c>
      <c r="BZ39" s="268">
        <f t="shared" si="47"/>
        <v>0</v>
      </c>
      <c r="CA39" s="268">
        <f t="shared" si="48"/>
        <v>107861885.00000048</v>
      </c>
      <c r="CB39" s="268">
        <f t="shared" si="49"/>
        <v>107861885.00000048</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30</v>
      </c>
      <c r="B40" s="266">
        <v>42460</v>
      </c>
      <c r="C40" s="269" t="s">
        <v>115</v>
      </c>
      <c r="D40" s="269">
        <f t="shared" si="97"/>
        <v>42460</v>
      </c>
      <c r="E40" s="810" t="s">
        <v>646</v>
      </c>
      <c r="F40" s="811">
        <f ca="1">AY52</f>
        <v>0</v>
      </c>
      <c r="G40" s="812" t="s">
        <v>651</v>
      </c>
      <c r="H40" s="812" t="s">
        <v>9</v>
      </c>
      <c r="I40" s="62">
        <f t="shared" ca="1" si="98"/>
        <v>30</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99"/>
        <v>0</v>
      </c>
      <c r="AU40" s="268">
        <f t="shared" si="100"/>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101"/>
        <v>0</v>
      </c>
      <c r="BW40" s="268">
        <f t="shared" si="10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31</v>
      </c>
      <c r="B41" s="266">
        <v>42460</v>
      </c>
      <c r="C41" s="269" t="s">
        <v>115</v>
      </c>
      <c r="D41" s="269">
        <f t="shared" si="97"/>
        <v>42460</v>
      </c>
      <c r="E41" s="810" t="s">
        <v>647</v>
      </c>
      <c r="F41" s="811">
        <f ca="1">CL52</f>
        <v>0</v>
      </c>
      <c r="G41" s="812" t="s">
        <v>109</v>
      </c>
      <c r="H41" s="812" t="s">
        <v>292</v>
      </c>
      <c r="I41" s="62">
        <f t="shared" ca="1" si="98"/>
        <v>31</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99"/>
        <v>0</v>
      </c>
      <c r="AU41" s="268">
        <f t="shared" si="100"/>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101"/>
        <v>0</v>
      </c>
      <c r="BW41" s="268">
        <f t="shared" si="10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32</v>
      </c>
      <c r="B42" s="266">
        <v>42460</v>
      </c>
      <c r="C42" s="269" t="s">
        <v>115</v>
      </c>
      <c r="D42" s="269">
        <f t="shared" si="97"/>
        <v>42460</v>
      </c>
      <c r="E42" s="810" t="s">
        <v>116</v>
      </c>
      <c r="F42" s="811">
        <f ca="1">CN52</f>
        <v>0</v>
      </c>
      <c r="G42" s="812" t="s">
        <v>109</v>
      </c>
      <c r="H42" s="812" t="s">
        <v>99</v>
      </c>
      <c r="I42" s="62">
        <f t="shared" ca="1" si="98"/>
        <v>32</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99"/>
        <v>0</v>
      </c>
      <c r="AU42" s="268">
        <f t="shared" si="100"/>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101"/>
        <v>0</v>
      </c>
      <c r="BW42" s="268">
        <f t="shared" si="10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33</v>
      </c>
      <c r="B43" s="266">
        <v>42460</v>
      </c>
      <c r="C43" s="269" t="s">
        <v>115</v>
      </c>
      <c r="D43" s="269">
        <f t="shared" si="97"/>
        <v>42460</v>
      </c>
      <c r="E43" s="810" t="s">
        <v>648</v>
      </c>
      <c r="F43" s="811">
        <f ca="1">CP52</f>
        <v>0</v>
      </c>
      <c r="G43" s="812" t="s">
        <v>109</v>
      </c>
      <c r="H43" s="812" t="s">
        <v>582</v>
      </c>
      <c r="I43" s="62">
        <f t="shared" ca="1" si="98"/>
        <v>33</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99"/>
        <v>0</v>
      </c>
      <c r="AU43" s="268">
        <f t="shared" si="100"/>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101"/>
        <v>0</v>
      </c>
      <c r="BW43" s="268">
        <f t="shared" si="10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34</v>
      </c>
      <c r="B44" s="266">
        <v>42460</v>
      </c>
      <c r="C44" s="269" t="s">
        <v>115</v>
      </c>
      <c r="D44" s="269">
        <f t="shared" si="97"/>
        <v>42460</v>
      </c>
      <c r="E44" s="810" t="s">
        <v>117</v>
      </c>
      <c r="F44" s="811">
        <f ca="1">CR52</f>
        <v>0</v>
      </c>
      <c r="G44" s="812" t="s">
        <v>109</v>
      </c>
      <c r="H44" s="812" t="s">
        <v>101</v>
      </c>
      <c r="I44" s="62">
        <f t="shared" ca="1" si="98"/>
        <v>34</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99"/>
        <v>0</v>
      </c>
      <c r="AU44" s="268">
        <f t="shared" si="100"/>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101"/>
        <v>0</v>
      </c>
      <c r="BW44" s="268">
        <f t="shared" si="10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35</v>
      </c>
      <c r="B45" s="266">
        <v>42460</v>
      </c>
      <c r="C45" s="269" t="s">
        <v>115</v>
      </c>
      <c r="D45" s="269">
        <f t="shared" ref="D45:D50" si="103">B45</f>
        <v>42460</v>
      </c>
      <c r="E45" s="810" t="s">
        <v>213</v>
      </c>
      <c r="F45" s="811"/>
      <c r="G45" s="812" t="s">
        <v>109</v>
      </c>
      <c r="H45" s="812" t="s">
        <v>94</v>
      </c>
      <c r="I45" s="62">
        <f t="shared" ca="1" si="98"/>
        <v>35</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99"/>
        <v>0</v>
      </c>
      <c r="AU45" s="268">
        <f t="shared" si="100"/>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101"/>
        <v>0</v>
      </c>
      <c r="BW45" s="268">
        <f t="shared" si="10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36</v>
      </c>
      <c r="B46" s="266">
        <v>42460</v>
      </c>
      <c r="C46" s="269" t="s">
        <v>115</v>
      </c>
      <c r="D46" s="269">
        <f t="shared" si="103"/>
        <v>42460</v>
      </c>
      <c r="E46" s="810" t="s">
        <v>118</v>
      </c>
      <c r="F46" s="811">
        <f ca="1">CI52</f>
        <v>0</v>
      </c>
      <c r="G46" s="812" t="s">
        <v>43</v>
      </c>
      <c r="H46" s="812" t="s">
        <v>109</v>
      </c>
      <c r="I46" s="62">
        <f t="shared" ca="1" si="98"/>
        <v>36</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99"/>
        <v>0</v>
      </c>
      <c r="AU46" s="268">
        <f t="shared" si="100"/>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101"/>
        <v>0</v>
      </c>
      <c r="BW46" s="268">
        <f t="shared" si="10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37</v>
      </c>
      <c r="B47" s="266">
        <v>42460</v>
      </c>
      <c r="C47" s="269" t="s">
        <v>115</v>
      </c>
      <c r="D47" s="269">
        <f t="shared" si="103"/>
        <v>42460</v>
      </c>
      <c r="E47" s="810" t="s">
        <v>649</v>
      </c>
      <c r="F47" s="811">
        <f ca="1">CE52</f>
        <v>0</v>
      </c>
      <c r="G47" s="812" t="s">
        <v>294</v>
      </c>
      <c r="H47" s="812" t="s">
        <v>109</v>
      </c>
      <c r="I47" s="62">
        <f t="shared" ca="1" si="98"/>
        <v>37</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99"/>
        <v>0</v>
      </c>
      <c r="AU47" s="268">
        <f t="shared" si="100"/>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101"/>
        <v>0</v>
      </c>
      <c r="BW47" s="268">
        <f t="shared" si="10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38</v>
      </c>
      <c r="B48" s="266">
        <v>42460</v>
      </c>
      <c r="C48" s="269" t="s">
        <v>115</v>
      </c>
      <c r="D48" s="269">
        <f t="shared" si="103"/>
        <v>42460</v>
      </c>
      <c r="E48" s="810" t="s">
        <v>650</v>
      </c>
      <c r="F48" s="811">
        <f ca="1">CG52</f>
        <v>0</v>
      </c>
      <c r="G48" s="812" t="s">
        <v>296</v>
      </c>
      <c r="H48" s="812" t="s">
        <v>109</v>
      </c>
      <c r="I48" s="62">
        <f t="shared" ca="1" si="98"/>
        <v>38</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99"/>
        <v>0</v>
      </c>
      <c r="AU48" s="268">
        <f t="shared" si="100"/>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101"/>
        <v>0</v>
      </c>
      <c r="BW48" s="268">
        <f t="shared" si="10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39</v>
      </c>
      <c r="B49" s="266">
        <v>42460</v>
      </c>
      <c r="C49" s="269" t="s">
        <v>115</v>
      </c>
      <c r="D49" s="269">
        <f t="shared" si="103"/>
        <v>42460</v>
      </c>
      <c r="E49" s="810" t="s">
        <v>119</v>
      </c>
      <c r="F49" s="811">
        <f ca="1">CU52</f>
        <v>0</v>
      </c>
      <c r="G49" s="812" t="s">
        <v>103</v>
      </c>
      <c r="H49" s="812" t="s">
        <v>109</v>
      </c>
      <c r="I49" s="62">
        <f t="shared" ca="1" si="98"/>
        <v>39</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99"/>
        <v>0</v>
      </c>
      <c r="AU49" s="268">
        <f t="shared" si="100"/>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101"/>
        <v>0</v>
      </c>
      <c r="BW49" s="268">
        <f t="shared" si="10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40</v>
      </c>
      <c r="B50" s="266">
        <v>42460</v>
      </c>
      <c r="C50" s="269" t="s">
        <v>115</v>
      </c>
      <c r="D50" s="269">
        <f t="shared" si="103"/>
        <v>42460</v>
      </c>
      <c r="E50" s="810" t="s">
        <v>120</v>
      </c>
      <c r="F50" s="811">
        <f ca="1">CV52</f>
        <v>0</v>
      </c>
      <c r="G50" s="812" t="s">
        <v>109</v>
      </c>
      <c r="H50" s="812" t="s">
        <v>105</v>
      </c>
      <c r="I50" s="62">
        <f t="shared" ca="1" si="98"/>
        <v>40</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99"/>
        <v>0</v>
      </c>
      <c r="AU50" s="268">
        <f t="shared" si="100"/>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101"/>
        <v>0</v>
      </c>
      <c r="BW50" s="268">
        <f t="shared" si="10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 t="shared" si="61"/>
        <v>0</v>
      </c>
      <c r="K51" s="268">
        <f t="shared" si="62"/>
        <v>0</v>
      </c>
      <c r="L51" s="268">
        <f t="shared" si="1"/>
        <v>0</v>
      </c>
      <c r="M51" s="268">
        <f t="shared" si="2"/>
        <v>0</v>
      </c>
      <c r="N51" s="268">
        <f t="shared" si="3"/>
        <v>0</v>
      </c>
      <c r="O51" s="268">
        <f t="shared" si="4"/>
        <v>0</v>
      </c>
      <c r="P51" s="268">
        <f t="shared" si="5"/>
        <v>0</v>
      </c>
      <c r="Q51" s="268">
        <f t="shared" si="6"/>
        <v>0</v>
      </c>
      <c r="R51" s="268">
        <f t="shared" si="7"/>
        <v>0</v>
      </c>
      <c r="S51" s="268">
        <f t="shared" si="8"/>
        <v>0</v>
      </c>
      <c r="T51" s="268">
        <f t="shared" si="9"/>
        <v>0</v>
      </c>
      <c r="U51" s="268">
        <f t="shared" si="10"/>
        <v>0</v>
      </c>
      <c r="V51" s="268">
        <f t="shared" si="11"/>
        <v>0</v>
      </c>
      <c r="W51" s="268">
        <f t="shared" si="12"/>
        <v>0</v>
      </c>
      <c r="X51" s="268">
        <f t="shared" si="13"/>
        <v>0</v>
      </c>
      <c r="Y51" s="268">
        <f t="shared" si="14"/>
        <v>0</v>
      </c>
      <c r="Z51" s="268">
        <f t="shared" si="15"/>
        <v>0</v>
      </c>
      <c r="AA51" s="268">
        <f t="shared" si="16"/>
        <v>0</v>
      </c>
      <c r="AB51" s="268">
        <f t="shared" si="63"/>
        <v>0</v>
      </c>
      <c r="AC51" s="268">
        <f t="shared" si="64"/>
        <v>0</v>
      </c>
      <c r="AD51" s="268">
        <f t="shared" si="17"/>
        <v>0</v>
      </c>
      <c r="AE51" s="268">
        <f t="shared" si="18"/>
        <v>0</v>
      </c>
      <c r="AF51" s="268">
        <f t="shared" si="19"/>
        <v>0</v>
      </c>
      <c r="AG51" s="268">
        <f t="shared" si="20"/>
        <v>0</v>
      </c>
      <c r="AH51" s="268">
        <f t="shared" si="65"/>
        <v>0</v>
      </c>
      <c r="AI51" s="268">
        <f t="shared" si="66"/>
        <v>0</v>
      </c>
      <c r="AJ51" s="268">
        <f t="shared" si="67"/>
        <v>0</v>
      </c>
      <c r="AK51" s="268">
        <f t="shared" si="68"/>
        <v>0</v>
      </c>
      <c r="AL51" s="268">
        <f t="shared" si="69"/>
        <v>0</v>
      </c>
      <c r="AM51" s="268">
        <f t="shared" si="70"/>
        <v>0</v>
      </c>
      <c r="AN51" s="268">
        <f t="shared" si="71"/>
        <v>0</v>
      </c>
      <c r="AO51" s="268">
        <f t="shared" si="72"/>
        <v>0</v>
      </c>
      <c r="AP51" s="268">
        <f t="shared" si="21"/>
        <v>0</v>
      </c>
      <c r="AQ51" s="268">
        <f t="shared" si="22"/>
        <v>0</v>
      </c>
      <c r="AR51" s="268">
        <f t="shared" si="23"/>
        <v>0</v>
      </c>
      <c r="AS51" s="268">
        <f t="shared" si="24"/>
        <v>0</v>
      </c>
      <c r="AT51" s="268">
        <f t="shared" si="99"/>
        <v>0</v>
      </c>
      <c r="AU51" s="268">
        <f t="shared" si="100"/>
        <v>0</v>
      </c>
      <c r="AV51" s="268">
        <f t="shared" si="25"/>
        <v>0</v>
      </c>
      <c r="AW51" s="268">
        <f t="shared" si="26"/>
        <v>0</v>
      </c>
      <c r="AX51" s="268">
        <f t="shared" si="27"/>
        <v>0</v>
      </c>
      <c r="AY51" s="268">
        <f t="shared" si="28"/>
        <v>0</v>
      </c>
      <c r="AZ51" s="268">
        <f t="shared" si="29"/>
        <v>0</v>
      </c>
      <c r="BA51" s="268">
        <f t="shared" si="30"/>
        <v>0</v>
      </c>
      <c r="BB51" s="268">
        <f t="shared" si="31"/>
        <v>0</v>
      </c>
      <c r="BC51" s="268">
        <f t="shared" si="32"/>
        <v>0</v>
      </c>
      <c r="BD51" s="268">
        <f t="shared" si="33"/>
        <v>0</v>
      </c>
      <c r="BE51" s="268">
        <f t="shared" si="34"/>
        <v>0</v>
      </c>
      <c r="BF51" s="268">
        <f t="shared" si="35"/>
        <v>0</v>
      </c>
      <c r="BG51" s="268">
        <f t="shared" si="36"/>
        <v>0</v>
      </c>
      <c r="BH51" s="268">
        <f t="shared" si="75"/>
        <v>0</v>
      </c>
      <c r="BI51" s="268">
        <f t="shared" si="76"/>
        <v>0</v>
      </c>
      <c r="BJ51" s="268">
        <f t="shared" si="37"/>
        <v>0</v>
      </c>
      <c r="BK51" s="268">
        <f t="shared" si="38"/>
        <v>0</v>
      </c>
      <c r="BL51" s="268">
        <f t="shared" si="39"/>
        <v>0</v>
      </c>
      <c r="BM51" s="268">
        <f t="shared" si="40"/>
        <v>0</v>
      </c>
      <c r="BN51" s="268">
        <f t="shared" si="41"/>
        <v>0</v>
      </c>
      <c r="BO51" s="268">
        <f t="shared" si="42"/>
        <v>0</v>
      </c>
      <c r="BP51" s="268">
        <f t="shared" si="77"/>
        <v>0</v>
      </c>
      <c r="BQ51" s="268">
        <f t="shared" si="78"/>
        <v>0</v>
      </c>
      <c r="BR51" s="268">
        <f t="shared" si="43"/>
        <v>0</v>
      </c>
      <c r="BS51" s="268">
        <f t="shared" si="44"/>
        <v>0</v>
      </c>
      <c r="BT51" s="268">
        <f t="shared" si="79"/>
        <v>0</v>
      </c>
      <c r="BU51" s="268">
        <f t="shared" si="80"/>
        <v>0</v>
      </c>
      <c r="BV51" s="268">
        <f t="shared" si="101"/>
        <v>0</v>
      </c>
      <c r="BW51" s="268">
        <f t="shared" si="102"/>
        <v>0</v>
      </c>
      <c r="BX51" s="268">
        <f t="shared" si="45"/>
        <v>0</v>
      </c>
      <c r="BY51" s="268">
        <f t="shared" si="46"/>
        <v>0</v>
      </c>
      <c r="BZ51" s="268">
        <f t="shared" si="47"/>
        <v>0</v>
      </c>
      <c r="CA51" s="268">
        <f t="shared" si="48"/>
        <v>0</v>
      </c>
      <c r="CB51" s="268">
        <f t="shared" si="49"/>
        <v>0</v>
      </c>
      <c r="CC51" s="268">
        <f t="shared" si="50"/>
        <v>0</v>
      </c>
      <c r="CD51" s="268">
        <f t="shared" si="83"/>
        <v>0</v>
      </c>
      <c r="CE51" s="268">
        <f t="shared" si="84"/>
        <v>0</v>
      </c>
      <c r="CF51" s="268">
        <f t="shared" si="85"/>
        <v>0</v>
      </c>
      <c r="CG51" s="268">
        <f t="shared" si="86"/>
        <v>0</v>
      </c>
      <c r="CH51" s="268">
        <f t="shared" si="51"/>
        <v>0</v>
      </c>
      <c r="CI51" s="268">
        <f t="shared" si="52"/>
        <v>0</v>
      </c>
      <c r="CJ51" s="268">
        <f t="shared" si="87"/>
        <v>0</v>
      </c>
      <c r="CK51" s="268">
        <f t="shared" si="88"/>
        <v>0</v>
      </c>
      <c r="CL51" s="268">
        <f t="shared" si="53"/>
        <v>0</v>
      </c>
      <c r="CM51" s="268">
        <f t="shared" si="54"/>
        <v>0</v>
      </c>
      <c r="CN51" s="268">
        <f t="shared" si="55"/>
        <v>0</v>
      </c>
      <c r="CO51" s="268">
        <f t="shared" si="56"/>
        <v>0</v>
      </c>
      <c r="CP51" s="268">
        <f t="shared" si="89"/>
        <v>0</v>
      </c>
      <c r="CQ51" s="268">
        <f t="shared" si="90"/>
        <v>0</v>
      </c>
      <c r="CR51" s="268">
        <f t="shared" si="91"/>
        <v>0</v>
      </c>
      <c r="CS51" s="268">
        <f t="shared" si="92"/>
        <v>0</v>
      </c>
      <c r="CT51" s="268">
        <f t="shared" si="57"/>
        <v>0</v>
      </c>
      <c r="CU51" s="268">
        <f t="shared" si="58"/>
        <v>0</v>
      </c>
      <c r="CV51" s="268">
        <f t="shared" si="59"/>
        <v>0</v>
      </c>
      <c r="CW51" s="268">
        <f t="shared" si="60"/>
        <v>0</v>
      </c>
      <c r="CX51" s="268">
        <f t="shared" si="93"/>
        <v>0</v>
      </c>
      <c r="CY51" s="268">
        <f t="shared" si="94"/>
        <v>0</v>
      </c>
      <c r="CZ51" s="268">
        <f t="shared" si="95"/>
        <v>0</v>
      </c>
      <c r="DA51" s="268">
        <f t="shared" si="96"/>
        <v>0</v>
      </c>
    </row>
    <row r="52" spans="1:105" s="265" customFormat="1" ht="15" customHeight="1">
      <c r="A52" s="62" t="str">
        <f t="array" ref="A52">IF(C52&lt;&gt;0,SUM(($C$11:C52&lt;&gt;0)*1),"")</f>
        <v/>
      </c>
      <c r="B52" s="272"/>
      <c r="C52" s="272"/>
      <c r="D52" s="272"/>
      <c r="E52" s="267" t="s">
        <v>174</v>
      </c>
      <c r="F52" s="272"/>
      <c r="G52" s="271"/>
      <c r="H52" s="271"/>
      <c r="I52" s="272"/>
      <c r="J52" s="268">
        <f t="shared" ref="J52:AO52" ca="1" si="104">SUM(J11:J51)</f>
        <v>0</v>
      </c>
      <c r="K52" s="268">
        <f t="shared" ca="1" si="104"/>
        <v>0</v>
      </c>
      <c r="L52" s="268">
        <f t="shared" ca="1" si="104"/>
        <v>0</v>
      </c>
      <c r="M52" s="268">
        <f t="shared" ca="1" si="104"/>
        <v>0</v>
      </c>
      <c r="N52" s="268">
        <f t="shared" ca="1" si="104"/>
        <v>0</v>
      </c>
      <c r="O52" s="268">
        <f t="shared" ca="1" si="104"/>
        <v>0</v>
      </c>
      <c r="P52" s="268">
        <f t="shared" ca="1" si="104"/>
        <v>0</v>
      </c>
      <c r="Q52" s="268">
        <f t="shared" ca="1" si="104"/>
        <v>0</v>
      </c>
      <c r="R52" s="268">
        <f t="shared" ca="1" si="104"/>
        <v>0</v>
      </c>
      <c r="S52" s="268">
        <f t="shared" ca="1" si="104"/>
        <v>0</v>
      </c>
      <c r="T52" s="268">
        <f t="shared" ca="1" si="104"/>
        <v>0</v>
      </c>
      <c r="U52" s="268">
        <f t="shared" ca="1" si="104"/>
        <v>0</v>
      </c>
      <c r="V52" s="268">
        <f t="shared" ca="1" si="104"/>
        <v>0</v>
      </c>
      <c r="W52" s="268">
        <f t="shared" ca="1" si="104"/>
        <v>0</v>
      </c>
      <c r="X52" s="268">
        <f t="shared" ca="1" si="104"/>
        <v>0</v>
      </c>
      <c r="Y52" s="268">
        <f t="shared" ca="1" si="104"/>
        <v>0</v>
      </c>
      <c r="Z52" s="268">
        <f t="shared" ca="1" si="104"/>
        <v>0</v>
      </c>
      <c r="AA52" s="268">
        <f t="shared" ca="1" si="104"/>
        <v>0</v>
      </c>
      <c r="AB52" s="268">
        <f t="shared" ca="1" si="104"/>
        <v>0</v>
      </c>
      <c r="AC52" s="268">
        <f t="shared" ca="1" si="104"/>
        <v>0</v>
      </c>
      <c r="AD52" s="268">
        <f t="shared" ca="1" si="104"/>
        <v>0</v>
      </c>
      <c r="AE52" s="268">
        <f t="shared" ca="1" si="104"/>
        <v>0</v>
      </c>
      <c r="AF52" s="268">
        <f t="shared" ca="1" si="104"/>
        <v>0</v>
      </c>
      <c r="AG52" s="268">
        <f t="shared" ca="1" si="104"/>
        <v>0</v>
      </c>
      <c r="AH52" s="268">
        <f t="shared" ca="1" si="104"/>
        <v>0</v>
      </c>
      <c r="AI52" s="268">
        <f t="shared" ca="1" si="104"/>
        <v>0</v>
      </c>
      <c r="AJ52" s="268">
        <f t="shared" ca="1" si="104"/>
        <v>0</v>
      </c>
      <c r="AK52" s="268">
        <f t="shared" ca="1" si="104"/>
        <v>0</v>
      </c>
      <c r="AL52" s="268">
        <f t="shared" ca="1" si="104"/>
        <v>0</v>
      </c>
      <c r="AM52" s="268">
        <f t="shared" ca="1" si="104"/>
        <v>0</v>
      </c>
      <c r="AN52" s="268">
        <f t="shared" ca="1" si="104"/>
        <v>0</v>
      </c>
      <c r="AO52" s="268">
        <f t="shared" ca="1" si="104"/>
        <v>0</v>
      </c>
      <c r="AP52" s="268">
        <f t="shared" ref="AP52:BU52" ca="1" si="105">SUM(AP11:AP51)</f>
        <v>0</v>
      </c>
      <c r="AQ52" s="268">
        <f t="shared" ca="1" si="105"/>
        <v>0</v>
      </c>
      <c r="AR52" s="268">
        <f t="shared" ca="1" si="105"/>
        <v>0</v>
      </c>
      <c r="AS52" s="268">
        <f t="shared" ca="1" si="105"/>
        <v>0</v>
      </c>
      <c r="AT52" s="268">
        <f t="shared" ca="1" si="105"/>
        <v>0</v>
      </c>
      <c r="AU52" s="268">
        <f t="shared" ca="1" si="105"/>
        <v>0</v>
      </c>
      <c r="AV52" s="268">
        <f t="shared" ca="1" si="105"/>
        <v>0</v>
      </c>
      <c r="AW52" s="268">
        <f t="shared" ca="1" si="105"/>
        <v>0</v>
      </c>
      <c r="AX52" s="268">
        <f t="shared" ca="1" si="105"/>
        <v>0</v>
      </c>
      <c r="AY52" s="268">
        <f t="shared" ca="1" si="105"/>
        <v>0</v>
      </c>
      <c r="AZ52" s="268">
        <f t="shared" ca="1" si="105"/>
        <v>0</v>
      </c>
      <c r="BA52" s="268">
        <f t="shared" ca="1" si="105"/>
        <v>0</v>
      </c>
      <c r="BB52" s="268">
        <f t="shared" ca="1" si="105"/>
        <v>0</v>
      </c>
      <c r="BC52" s="268">
        <f t="shared" ca="1" si="105"/>
        <v>0</v>
      </c>
      <c r="BD52" s="268">
        <f t="shared" ca="1" si="105"/>
        <v>0</v>
      </c>
      <c r="BE52" s="268">
        <f t="shared" ca="1" si="105"/>
        <v>0</v>
      </c>
      <c r="BF52" s="268">
        <f t="shared" ca="1" si="105"/>
        <v>0</v>
      </c>
      <c r="BG52" s="268">
        <f t="shared" ca="1" si="105"/>
        <v>0</v>
      </c>
      <c r="BH52" s="268">
        <f t="shared" ca="1" si="105"/>
        <v>0</v>
      </c>
      <c r="BI52" s="268">
        <f t="shared" ca="1" si="105"/>
        <v>0</v>
      </c>
      <c r="BJ52" s="268">
        <f t="shared" ca="1" si="105"/>
        <v>0</v>
      </c>
      <c r="BK52" s="268">
        <f t="shared" ca="1" si="105"/>
        <v>0</v>
      </c>
      <c r="BL52" s="268">
        <f t="shared" ca="1" si="105"/>
        <v>0</v>
      </c>
      <c r="BM52" s="268">
        <f t="shared" ca="1" si="105"/>
        <v>0</v>
      </c>
      <c r="BN52" s="268">
        <f t="shared" ca="1" si="105"/>
        <v>0</v>
      </c>
      <c r="BO52" s="268">
        <f t="shared" ca="1" si="105"/>
        <v>0</v>
      </c>
      <c r="BP52" s="268">
        <f t="shared" ca="1" si="105"/>
        <v>0</v>
      </c>
      <c r="BQ52" s="268">
        <f t="shared" ca="1" si="105"/>
        <v>0</v>
      </c>
      <c r="BR52" s="268">
        <f t="shared" ca="1" si="105"/>
        <v>0</v>
      </c>
      <c r="BS52" s="268">
        <f t="shared" ca="1" si="105"/>
        <v>0</v>
      </c>
      <c r="BT52" s="268">
        <f t="shared" ca="1" si="105"/>
        <v>0</v>
      </c>
      <c r="BU52" s="268">
        <f t="shared" ca="1" si="105"/>
        <v>0</v>
      </c>
      <c r="BV52" s="268">
        <f t="shared" ref="BV52:DA52" ca="1" si="106">SUM(BV11:BV51)</f>
        <v>0</v>
      </c>
      <c r="BW52" s="268">
        <f t="shared" ca="1" si="106"/>
        <v>0</v>
      </c>
      <c r="BX52" s="268">
        <f t="shared" ca="1" si="106"/>
        <v>0</v>
      </c>
      <c r="BY52" s="268">
        <f t="shared" ca="1" si="106"/>
        <v>0</v>
      </c>
      <c r="BZ52" s="268">
        <f t="shared" ca="1" si="106"/>
        <v>0</v>
      </c>
      <c r="CA52" s="268">
        <f t="shared" ca="1" si="106"/>
        <v>107861885.00000048</v>
      </c>
      <c r="CB52" s="268">
        <f t="shared" ca="1" si="106"/>
        <v>107861885.00000048</v>
      </c>
      <c r="CC52" s="268">
        <f t="shared" ca="1" si="106"/>
        <v>0</v>
      </c>
      <c r="CD52" s="268">
        <f t="shared" ca="1" si="106"/>
        <v>0</v>
      </c>
      <c r="CE52" s="268">
        <f t="shared" ca="1" si="106"/>
        <v>0</v>
      </c>
      <c r="CF52" s="268">
        <f t="shared" ca="1" si="106"/>
        <v>0</v>
      </c>
      <c r="CG52" s="268">
        <f t="shared" ca="1" si="106"/>
        <v>0</v>
      </c>
      <c r="CH52" s="268">
        <f t="shared" ca="1" si="106"/>
        <v>0</v>
      </c>
      <c r="CI52" s="268">
        <f t="shared" ca="1" si="106"/>
        <v>0</v>
      </c>
      <c r="CJ52" s="268">
        <f t="shared" ca="1" si="106"/>
        <v>0</v>
      </c>
      <c r="CK52" s="268">
        <f t="shared" ca="1" si="106"/>
        <v>0</v>
      </c>
      <c r="CL52" s="268">
        <f t="shared" ca="1" si="106"/>
        <v>0</v>
      </c>
      <c r="CM52" s="268">
        <f t="shared" ca="1" si="106"/>
        <v>0</v>
      </c>
      <c r="CN52" s="268">
        <f t="shared" ca="1" si="106"/>
        <v>0</v>
      </c>
      <c r="CO52" s="268">
        <f t="shared" ca="1" si="106"/>
        <v>0</v>
      </c>
      <c r="CP52" s="268">
        <f t="shared" ca="1" si="106"/>
        <v>0</v>
      </c>
      <c r="CQ52" s="268">
        <f t="shared" ca="1" si="106"/>
        <v>0</v>
      </c>
      <c r="CR52" s="268">
        <f t="shared" ca="1" si="106"/>
        <v>0</v>
      </c>
      <c r="CS52" s="268">
        <f t="shared" ca="1" si="106"/>
        <v>0</v>
      </c>
      <c r="CT52" s="268">
        <f t="shared" ca="1" si="106"/>
        <v>0</v>
      </c>
      <c r="CU52" s="268">
        <f t="shared" ca="1" si="106"/>
        <v>0</v>
      </c>
      <c r="CV52" s="268">
        <f t="shared" ca="1" si="106"/>
        <v>0</v>
      </c>
      <c r="CW52" s="268">
        <f t="shared" ca="1" si="106"/>
        <v>0</v>
      </c>
      <c r="CX52" s="268">
        <f t="shared" ca="1" si="106"/>
        <v>0</v>
      </c>
      <c r="CY52" s="268">
        <f t="shared" ca="1" si="106"/>
        <v>0</v>
      </c>
      <c r="CZ52" s="268">
        <f t="shared" ca="1" si="106"/>
        <v>0</v>
      </c>
      <c r="DA52" s="268">
        <f t="shared" ca="1" si="106"/>
        <v>0</v>
      </c>
    </row>
    <row r="53" spans="1:105" s="265" customFormat="1" ht="15" customHeight="1">
      <c r="A53" s="273"/>
      <c r="B53" s="273"/>
      <c r="C53" s="273"/>
      <c r="D53" s="273"/>
      <c r="E53" s="274" t="s">
        <v>214</v>
      </c>
      <c r="F53" s="273"/>
      <c r="G53" s="275"/>
      <c r="H53" s="275"/>
      <c r="I53" s="273"/>
      <c r="J53" s="276">
        <f ca="1">MAX(J10+J52-K10-K52,0)</f>
        <v>1807122022.5</v>
      </c>
      <c r="K53" s="276">
        <f ca="1">MAX(K10+K52-J10-J52,0)</f>
        <v>0</v>
      </c>
      <c r="L53" s="276">
        <f ca="1">MAX(L10+L52-M10-M52,0)</f>
        <v>9382419</v>
      </c>
      <c r="M53" s="276">
        <f ca="1">MAX(M10+M52-L10-L52,0)</f>
        <v>0</v>
      </c>
      <c r="N53" s="276">
        <f ca="1">MAX(N10+N52-O10-O52,0)</f>
        <v>7381692.9499816895</v>
      </c>
      <c r="O53" s="276">
        <f ca="1">MAX(O10+O52-N10-N52,0)</f>
        <v>0</v>
      </c>
      <c r="P53" s="276">
        <f ca="1">MAX(P10+P52-Q10-Q52,0)</f>
        <v>57038792896</v>
      </c>
      <c r="Q53" s="276">
        <f ca="1">MAX(Q10+Q52-P10-P52,0)</f>
        <v>0</v>
      </c>
      <c r="R53" s="276">
        <f ca="1">MAX(R10+R52-S10-S52,0)</f>
        <v>518470991</v>
      </c>
      <c r="S53" s="276">
        <f ca="1">MAX(S10+S52-R10-R52,0)</f>
        <v>0</v>
      </c>
      <c r="T53" s="276">
        <f ca="1">MAX(T10+T52-U10-U52,0)</f>
        <v>0</v>
      </c>
      <c r="U53" s="276">
        <f ca="1">MAX(U10+U52-T10-T52,0)</f>
        <v>0</v>
      </c>
      <c r="V53" s="276">
        <f ca="1">MAX(V10+V52-W10-W52,0)</f>
        <v>0</v>
      </c>
      <c r="W53" s="276">
        <f ca="1">MAX(W10+W52-V10-V52,0)</f>
        <v>0</v>
      </c>
      <c r="X53" s="276">
        <f ca="1">MAX(X10+X52-Y10-Y52,0)</f>
        <v>0</v>
      </c>
      <c r="Y53" s="276">
        <f ca="1">MAX(Y10+Y52-X10-X52,0)</f>
        <v>0</v>
      </c>
      <c r="Z53" s="276">
        <f ca="1">MAX(Z10+Z52-AA10-AA52,0)</f>
        <v>351991384</v>
      </c>
      <c r="AA53" s="276">
        <f ca="1">MAX(AA10+AA52-Z10-Z52,0)</f>
        <v>0</v>
      </c>
      <c r="AB53" s="276">
        <f ca="1">MAX(AB10+AB52-AC10-AC52,0)</f>
        <v>49990909</v>
      </c>
      <c r="AC53" s="276">
        <f ca="1">MAX(AC10+AC52-AB10-AB52,0)</f>
        <v>0</v>
      </c>
      <c r="AD53" s="276">
        <f ca="1">MAX(AD10+AD52-AE10-AE52,0)</f>
        <v>1450841000</v>
      </c>
      <c r="AE53" s="276">
        <f ca="1">MAX(AE10+AE52-AD10-AD52,0)</f>
        <v>0</v>
      </c>
      <c r="AF53" s="276">
        <f ca="1">MAX(AF10+AF52-AG10-AG52,0)</f>
        <v>3468509299</v>
      </c>
      <c r="AG53" s="276">
        <f ca="1">MAX(AG10+AG52-AF10-AF52,0)</f>
        <v>0</v>
      </c>
      <c r="AH53" s="276">
        <f ca="1">MAX(AH10+AH52-AI10-AI52,0)</f>
        <v>7770361541</v>
      </c>
      <c r="AI53" s="276">
        <f ca="1">MAX(AI10+AI52-AH10-AH52,0)</f>
        <v>0</v>
      </c>
      <c r="AJ53" s="276">
        <f ca="1">MAX(AJ10+AJ52-AK10-AK52,0)</f>
        <v>3807898863</v>
      </c>
      <c r="AK53" s="276">
        <f ca="1">MAX(AK10+AK52-AJ10-AJ52,0)</f>
        <v>0</v>
      </c>
      <c r="AL53" s="276">
        <f ca="1">MAX(AL10+AL52-AM10-AM52,0)</f>
        <v>3790918485</v>
      </c>
      <c r="AM53" s="276">
        <f ca="1">MAX(AM10+AM52-AL10-AL52,0)</f>
        <v>0</v>
      </c>
      <c r="AN53" s="276">
        <f ca="1">MAX(AN10+AN52-AO10-AO52,0)</f>
        <v>5405781300</v>
      </c>
      <c r="AO53" s="276">
        <f ca="1">MAX(AO10+AO52-AN10-AN52,0)</f>
        <v>0</v>
      </c>
      <c r="AP53" s="276">
        <f ca="1">MAX(AP10+AP52-AQ10-AQ52,0)</f>
        <v>0</v>
      </c>
      <c r="AQ53" s="276">
        <f ca="1">MAX(AQ10+AQ52-AP10-AP52,0)</f>
        <v>9758261933</v>
      </c>
      <c r="AR53" s="276">
        <f ca="1">MAX(AR10+AR52-AS10-AS52,0)</f>
        <v>0</v>
      </c>
      <c r="AS53" s="276">
        <f ca="1">MAX(AS10+AS52-AR10-AR52,0)</f>
        <v>720770838</v>
      </c>
      <c r="AT53" s="276">
        <f ca="1">MAX(AT10+AT52-AU10-AU52,0)</f>
        <v>0</v>
      </c>
      <c r="AU53" s="276">
        <f ca="1">MAX(AU10+AU52-AT10-AT52,0)</f>
        <v>0</v>
      </c>
      <c r="AV53" s="276">
        <f ca="1">MAX(AV10+AV52-AW10-AW52,0)</f>
        <v>0</v>
      </c>
      <c r="AW53" s="276">
        <f ca="1">MAX(AW10+AW52-AV10-AV52,0)</f>
        <v>37054109099</v>
      </c>
      <c r="AX53" s="276">
        <f ca="1">MAX(AX10+AX52-AY10-AY52,0)</f>
        <v>0</v>
      </c>
      <c r="AY53" s="276">
        <f ca="1">MAX(AY10+AY52-AX10-AX52,0)</f>
        <v>0</v>
      </c>
      <c r="AZ53" s="276">
        <f ca="1">MAX(AZ10+AZ52-BA10-BA52,0)</f>
        <v>0</v>
      </c>
      <c r="BA53" s="276">
        <f ca="1">MAX(BA10+BA52-AZ10-AZ52,0)</f>
        <v>0</v>
      </c>
      <c r="BB53" s="276">
        <f ca="1">MAX(BB10+BB52-BC10-BC52,0)</f>
        <v>0</v>
      </c>
      <c r="BC53" s="276">
        <f ca="1">MAX(BC10+BC52-BB10-BB52,0)</f>
        <v>0</v>
      </c>
      <c r="BD53" s="276">
        <f ca="1">MAX(BD10+BD52-BE10-BE52,0)</f>
        <v>9756564</v>
      </c>
      <c r="BE53" s="276">
        <f ca="1">MAX(BE10+BE52-BD10-BD52,0)</f>
        <v>0</v>
      </c>
      <c r="BF53" s="276">
        <f ca="1">MAX(BF10+BF52-BG10-BG52,0)</f>
        <v>3389804</v>
      </c>
      <c r="BG53" s="276">
        <f ca="1">MAX(BG10+BG52-BF10-BF52,0)</f>
        <v>0</v>
      </c>
      <c r="BH53" s="276">
        <f ca="1">MAX(BH10+BH52-BI10-BI52,0)</f>
        <v>0</v>
      </c>
      <c r="BI53" s="276">
        <f ca="1">MAX(BI10+BI52-BH10-BH52,0)</f>
        <v>0</v>
      </c>
      <c r="BJ53" s="276">
        <f ca="1">MAX(BJ10+BJ52-BK10-BK52,0)</f>
        <v>0</v>
      </c>
      <c r="BK53" s="276">
        <f ca="1">MAX(BK10+BK52-BJ10-BJ52,0)</f>
        <v>0</v>
      </c>
      <c r="BL53" s="276">
        <f ca="1">MAX(BL10+BL52-BM10-BM52,0)</f>
        <v>0</v>
      </c>
      <c r="BM53" s="276">
        <f ca="1">MAX(BM10+BM52-BL10-BL52,0)</f>
        <v>106628549</v>
      </c>
      <c r="BN53" s="276">
        <f ca="1">MAX(BN10+BN52-BO10-BO52,0)</f>
        <v>0</v>
      </c>
      <c r="BO53" s="276">
        <f ca="1">MAX(BO10+BO52-BN10-BN52,0)</f>
        <v>4469220</v>
      </c>
      <c r="BP53" s="276">
        <f ca="1">MAX(BP10+BP52-BQ10-BQ52,0)</f>
        <v>0</v>
      </c>
      <c r="BQ53" s="276">
        <f ca="1">MAX(BQ10+BQ52-BP10-BP52,0)</f>
        <v>1986320</v>
      </c>
      <c r="BR53" s="276">
        <f ca="1">MAX(BR10+BR52-BS10-BS52,0)</f>
        <v>0</v>
      </c>
      <c r="BS53" s="276">
        <f ca="1">MAX(BS10+BS52-BR10-BR52,0)</f>
        <v>0</v>
      </c>
      <c r="BT53" s="276">
        <f ca="1">MAX(BT10+BT52-BU10-BU52,0)</f>
        <v>0</v>
      </c>
      <c r="BU53" s="276">
        <f ca="1">MAX(BU10+BU52-BT10-BT52,0)</f>
        <v>0</v>
      </c>
      <c r="BV53" s="276">
        <f ca="1">MAX(BV10+BV52-BW10-BW52,0)</f>
        <v>0</v>
      </c>
      <c r="BW53" s="276">
        <f ca="1">MAX(BW10+BW52-BV10-BV52,0)</f>
        <v>27284564849.050003</v>
      </c>
      <c r="BX53" s="276">
        <f ca="1">MAX(BX10+BX52-BY10-BY52,0)</f>
        <v>0</v>
      </c>
      <c r="BY53" s="276">
        <f ca="1">MAX(BY10+BY52-BX10-BX52,0)</f>
        <v>10000000000</v>
      </c>
      <c r="BZ53" s="276">
        <f ca="1">MAX(BZ10+BZ52-CA10-CA52,0)</f>
        <v>0</v>
      </c>
      <c r="CA53" s="276">
        <f ca="1">MAX(CA10+CA52-BZ10-BZ52,0)</f>
        <v>635107905.00000095</v>
      </c>
      <c r="CB53" s="276">
        <f ca="1">MAX(CB10+CB52-CC10-CC52,0)</f>
        <v>107861885.00000048</v>
      </c>
      <c r="CC53" s="276">
        <f ca="1">MAX(CC10+CC52-CB10-CB52,0)</f>
        <v>0</v>
      </c>
      <c r="CD53" s="276">
        <f ca="1">MAX(CD10+CD52-CE10-CE52,0)</f>
        <v>0</v>
      </c>
      <c r="CE53" s="276">
        <f ca="1">MAX(CE10+CE52-CD10-CD52,0)</f>
        <v>0</v>
      </c>
      <c r="CF53" s="276">
        <f ca="1">MAX(CF10+CF52-CG10-CG52,0)</f>
        <v>0</v>
      </c>
      <c r="CG53" s="276">
        <f ca="1">MAX(CG10+CG52-CF10-CF52,0)</f>
        <v>0</v>
      </c>
      <c r="CH53" s="276">
        <f ca="1">MAX(CH10+CH52-CI10-CI52,0)</f>
        <v>0</v>
      </c>
      <c r="CI53" s="276">
        <f ca="1">MAX(CI10+CI52-CH10-CH52,0)</f>
        <v>0</v>
      </c>
      <c r="CJ53" s="276">
        <f ca="1">MAX(CJ10+CJ52-CK10-CK52,0)</f>
        <v>0</v>
      </c>
      <c r="CK53" s="276">
        <f ca="1">MAX(CK10+CK52-CJ10-CJ52,0)</f>
        <v>0</v>
      </c>
      <c r="CL53" s="276">
        <f ca="1">MAX(CL10+CL52-CM10-CM52,0)</f>
        <v>0</v>
      </c>
      <c r="CM53" s="276">
        <f ca="1">MAX(CM10+CM52-CL10-CL52,0)</f>
        <v>0</v>
      </c>
      <c r="CN53" s="276">
        <f ca="1">MAX(CN10+CN52-CO10-CO52,0)</f>
        <v>0</v>
      </c>
      <c r="CO53" s="276">
        <f ca="1">MAX(CO10+CO52-CN10-CN52,0)</f>
        <v>0</v>
      </c>
      <c r="CP53" s="276">
        <f ca="1">MAX(CP10+CP52-CQ10-CQ52,0)</f>
        <v>0</v>
      </c>
      <c r="CQ53" s="276">
        <f ca="1">MAX(CQ10+CQ52-CP10-CP52,0)</f>
        <v>0</v>
      </c>
      <c r="CR53" s="276">
        <f ca="1">MAX(CR10+CR52-CS10-CS52,0)</f>
        <v>0</v>
      </c>
      <c r="CS53" s="276">
        <f ca="1">MAX(CS10+CS52-CR10-CR52,0)</f>
        <v>0</v>
      </c>
      <c r="CT53" s="276">
        <f ca="1">MAX(CT10+CT52-CU10-CU52,0)</f>
        <v>0</v>
      </c>
      <c r="CU53" s="276">
        <f ca="1">MAX(CU10+CU52-CT10-CT52,0)</f>
        <v>0</v>
      </c>
      <c r="CV53" s="276">
        <f ca="1">MAX(CV10+CV52-CW10-CW52,0)</f>
        <v>0</v>
      </c>
      <c r="CW53" s="276">
        <f ca="1">MAX(CW10+CW52-CV10-CV52,0)</f>
        <v>0</v>
      </c>
      <c r="CX53" s="276">
        <f ca="1">MAX(CX10+CX52-CY10-CY52,0)</f>
        <v>0</v>
      </c>
      <c r="CY53" s="276">
        <f ca="1">MAX(CY10+CY52-CX10-CX52,0)</f>
        <v>0</v>
      </c>
      <c r="CZ53" s="276">
        <f ca="1">MAX(CZ10+CZ52-DA10-DA52,0)</f>
        <v>0</v>
      </c>
      <c r="DA53" s="276">
        <f ca="1">MAX(DA10+DA52-CZ10-CZ52,0)</f>
        <v>0</v>
      </c>
    </row>
    <row r="54" spans="1:105" s="265" customFormat="1" ht="15" customHeight="1">
      <c r="A54" s="277"/>
      <c r="B54" s="277"/>
      <c r="C54" s="278"/>
      <c r="D54" s="277"/>
      <c r="E54" s="279" t="s">
        <v>215</v>
      </c>
      <c r="F54" s="277"/>
      <c r="G54" s="280"/>
      <c r="H54" s="280"/>
      <c r="I54" s="277"/>
      <c r="J54" s="281">
        <f ca="1">J52</f>
        <v>0</v>
      </c>
      <c r="K54" s="281">
        <f ca="1">K52</f>
        <v>0</v>
      </c>
      <c r="L54" s="281">
        <f t="shared" ref="L54:BY54" ca="1" si="107">L52</f>
        <v>0</v>
      </c>
      <c r="M54" s="281">
        <f t="shared" ca="1" si="107"/>
        <v>0</v>
      </c>
      <c r="N54" s="281">
        <f t="shared" ca="1" si="107"/>
        <v>0</v>
      </c>
      <c r="O54" s="281">
        <f t="shared" ca="1" si="107"/>
        <v>0</v>
      </c>
      <c r="P54" s="281">
        <f t="shared" ca="1" si="107"/>
        <v>0</v>
      </c>
      <c r="Q54" s="281">
        <f t="shared" ca="1" si="107"/>
        <v>0</v>
      </c>
      <c r="R54" s="281">
        <f t="shared" ca="1" si="107"/>
        <v>0</v>
      </c>
      <c r="S54" s="281">
        <f t="shared" ca="1" si="107"/>
        <v>0</v>
      </c>
      <c r="T54" s="281">
        <f t="shared" ca="1" si="107"/>
        <v>0</v>
      </c>
      <c r="U54" s="281">
        <f t="shared" ca="1" si="107"/>
        <v>0</v>
      </c>
      <c r="V54" s="281">
        <f t="shared" ca="1" si="107"/>
        <v>0</v>
      </c>
      <c r="W54" s="281">
        <f t="shared" ca="1" si="107"/>
        <v>0</v>
      </c>
      <c r="X54" s="281">
        <f t="shared" ca="1" si="107"/>
        <v>0</v>
      </c>
      <c r="Y54" s="281">
        <f t="shared" ca="1" si="107"/>
        <v>0</v>
      </c>
      <c r="Z54" s="281">
        <f t="shared" ca="1" si="107"/>
        <v>0</v>
      </c>
      <c r="AA54" s="281">
        <f t="shared" ca="1" si="107"/>
        <v>0</v>
      </c>
      <c r="AB54" s="281">
        <f t="shared" ca="1" si="107"/>
        <v>0</v>
      </c>
      <c r="AC54" s="281">
        <f t="shared" ca="1" si="107"/>
        <v>0</v>
      </c>
      <c r="AD54" s="281">
        <f t="shared" ca="1" si="107"/>
        <v>0</v>
      </c>
      <c r="AE54" s="281">
        <f t="shared" ca="1" si="107"/>
        <v>0</v>
      </c>
      <c r="AF54" s="281">
        <f t="shared" ca="1" si="107"/>
        <v>0</v>
      </c>
      <c r="AG54" s="281">
        <f t="shared" ca="1" si="107"/>
        <v>0</v>
      </c>
      <c r="AH54" s="281">
        <f t="shared" ca="1" si="107"/>
        <v>0</v>
      </c>
      <c r="AI54" s="281">
        <f t="shared" ca="1" si="107"/>
        <v>0</v>
      </c>
      <c r="AJ54" s="281">
        <f t="shared" ca="1" si="107"/>
        <v>0</v>
      </c>
      <c r="AK54" s="281">
        <f t="shared" ca="1" si="107"/>
        <v>0</v>
      </c>
      <c r="AL54" s="281">
        <f t="shared" ca="1" si="107"/>
        <v>0</v>
      </c>
      <c r="AM54" s="281">
        <f t="shared" ca="1" si="107"/>
        <v>0</v>
      </c>
      <c r="AN54" s="281">
        <f t="shared" ca="1" si="107"/>
        <v>0</v>
      </c>
      <c r="AO54" s="281">
        <f t="shared" ca="1" si="107"/>
        <v>0</v>
      </c>
      <c r="AP54" s="281">
        <f t="shared" ca="1" si="107"/>
        <v>0</v>
      </c>
      <c r="AQ54" s="281">
        <f t="shared" ca="1" si="107"/>
        <v>0</v>
      </c>
      <c r="AR54" s="281">
        <f t="shared" ca="1" si="107"/>
        <v>0</v>
      </c>
      <c r="AS54" s="281">
        <f t="shared" ca="1" si="107"/>
        <v>0</v>
      </c>
      <c r="AT54" s="281">
        <f ca="1">AT52</f>
        <v>0</v>
      </c>
      <c r="AU54" s="281">
        <f ca="1">AU52</f>
        <v>0</v>
      </c>
      <c r="AV54" s="281">
        <f t="shared" ca="1" si="107"/>
        <v>0</v>
      </c>
      <c r="AW54" s="281">
        <f t="shared" ca="1" si="107"/>
        <v>0</v>
      </c>
      <c r="AX54" s="281">
        <f t="shared" ca="1" si="107"/>
        <v>0</v>
      </c>
      <c r="AY54" s="281">
        <f t="shared" ca="1" si="107"/>
        <v>0</v>
      </c>
      <c r="AZ54" s="281">
        <f t="shared" ca="1" si="107"/>
        <v>0</v>
      </c>
      <c r="BA54" s="281">
        <f t="shared" ca="1" si="107"/>
        <v>0</v>
      </c>
      <c r="BB54" s="281">
        <f t="shared" ca="1" si="107"/>
        <v>0</v>
      </c>
      <c r="BC54" s="281">
        <f t="shared" ca="1" si="107"/>
        <v>0</v>
      </c>
      <c r="BD54" s="281">
        <f t="shared" ca="1" si="107"/>
        <v>0</v>
      </c>
      <c r="BE54" s="281">
        <f t="shared" ca="1" si="107"/>
        <v>0</v>
      </c>
      <c r="BF54" s="281">
        <f t="shared" ca="1" si="107"/>
        <v>0</v>
      </c>
      <c r="BG54" s="281">
        <f t="shared" ca="1" si="107"/>
        <v>0</v>
      </c>
      <c r="BH54" s="281">
        <f t="shared" ca="1" si="107"/>
        <v>0</v>
      </c>
      <c r="BI54" s="281">
        <f t="shared" ca="1" si="107"/>
        <v>0</v>
      </c>
      <c r="BJ54" s="281">
        <f t="shared" ca="1" si="107"/>
        <v>0</v>
      </c>
      <c r="BK54" s="281">
        <f t="shared" ca="1" si="107"/>
        <v>0</v>
      </c>
      <c r="BL54" s="281">
        <f t="shared" ca="1" si="107"/>
        <v>0</v>
      </c>
      <c r="BM54" s="281">
        <f t="shared" ca="1" si="107"/>
        <v>0</v>
      </c>
      <c r="BN54" s="281">
        <f t="shared" ca="1" si="107"/>
        <v>0</v>
      </c>
      <c r="BO54" s="281">
        <f t="shared" ca="1" si="107"/>
        <v>0</v>
      </c>
      <c r="BP54" s="281">
        <f t="shared" ca="1" si="107"/>
        <v>0</v>
      </c>
      <c r="BQ54" s="281">
        <f t="shared" ca="1" si="107"/>
        <v>0</v>
      </c>
      <c r="BR54" s="281">
        <f t="shared" ca="1" si="107"/>
        <v>0</v>
      </c>
      <c r="BS54" s="281">
        <f t="shared" ca="1" si="107"/>
        <v>0</v>
      </c>
      <c r="BT54" s="281">
        <f t="shared" ca="1" si="107"/>
        <v>0</v>
      </c>
      <c r="BU54" s="281">
        <f t="shared" ca="1" si="107"/>
        <v>0</v>
      </c>
      <c r="BV54" s="281">
        <f ca="1">BV52</f>
        <v>0</v>
      </c>
      <c r="BW54" s="281">
        <f ca="1">BW52</f>
        <v>0</v>
      </c>
      <c r="BX54" s="281">
        <f t="shared" ca="1" si="107"/>
        <v>0</v>
      </c>
      <c r="BY54" s="281">
        <f t="shared" ca="1" si="107"/>
        <v>0</v>
      </c>
      <c r="BZ54" s="281">
        <f t="shared" ref="BZ54:DA54" ca="1" si="108">BZ52</f>
        <v>0</v>
      </c>
      <c r="CA54" s="281">
        <f t="shared" ca="1" si="108"/>
        <v>107861885.00000048</v>
      </c>
      <c r="CB54" s="281">
        <f t="shared" ca="1" si="108"/>
        <v>107861885.00000048</v>
      </c>
      <c r="CC54" s="281">
        <f t="shared" ca="1" si="108"/>
        <v>0</v>
      </c>
      <c r="CD54" s="281">
        <f t="shared" ca="1" si="108"/>
        <v>0</v>
      </c>
      <c r="CE54" s="281">
        <f t="shared" ca="1" si="108"/>
        <v>0</v>
      </c>
      <c r="CF54" s="281">
        <f t="shared" ca="1" si="108"/>
        <v>0</v>
      </c>
      <c r="CG54" s="281">
        <f t="shared" ca="1" si="108"/>
        <v>0</v>
      </c>
      <c r="CH54" s="281">
        <f t="shared" ca="1" si="108"/>
        <v>0</v>
      </c>
      <c r="CI54" s="281">
        <f t="shared" ca="1" si="108"/>
        <v>0</v>
      </c>
      <c r="CJ54" s="281">
        <f t="shared" ca="1" si="108"/>
        <v>0</v>
      </c>
      <c r="CK54" s="281">
        <f t="shared" ca="1" si="108"/>
        <v>0</v>
      </c>
      <c r="CL54" s="281">
        <f t="shared" ca="1" si="108"/>
        <v>0</v>
      </c>
      <c r="CM54" s="281">
        <f t="shared" ca="1" si="108"/>
        <v>0</v>
      </c>
      <c r="CN54" s="281">
        <f t="shared" ca="1" si="108"/>
        <v>0</v>
      </c>
      <c r="CO54" s="281">
        <f t="shared" ca="1" si="108"/>
        <v>0</v>
      </c>
      <c r="CP54" s="281">
        <f t="shared" ca="1" si="108"/>
        <v>0</v>
      </c>
      <c r="CQ54" s="281">
        <f t="shared" ca="1" si="108"/>
        <v>0</v>
      </c>
      <c r="CR54" s="281">
        <f t="shared" ca="1" si="108"/>
        <v>0</v>
      </c>
      <c r="CS54" s="281">
        <f t="shared" ca="1" si="108"/>
        <v>0</v>
      </c>
      <c r="CT54" s="281">
        <f t="shared" ca="1" si="108"/>
        <v>0</v>
      </c>
      <c r="CU54" s="281">
        <f t="shared" ca="1" si="108"/>
        <v>0</v>
      </c>
      <c r="CV54" s="281">
        <f t="shared" ca="1" si="108"/>
        <v>0</v>
      </c>
      <c r="CW54" s="281">
        <f t="shared" ca="1" si="108"/>
        <v>0</v>
      </c>
      <c r="CX54" s="281">
        <f t="shared" ca="1" si="108"/>
        <v>0</v>
      </c>
      <c r="CY54" s="281">
        <f t="shared" ca="1" si="108"/>
        <v>0</v>
      </c>
      <c r="CZ54" s="281">
        <f t="shared" ca="1" si="108"/>
        <v>0</v>
      </c>
      <c r="DA54" s="281">
        <f t="shared" ca="1" si="108"/>
        <v>0</v>
      </c>
    </row>
    <row r="55" spans="1:105" ht="12" customHeight="1">
      <c r="B55" s="282"/>
      <c r="C55" s="283"/>
      <c r="D55" s="283"/>
      <c r="E55" s="283"/>
      <c r="F55" s="283"/>
      <c r="G55" s="284"/>
      <c r="H55" s="284"/>
      <c r="I55" s="283"/>
      <c r="J55" s="283"/>
      <c r="K55" s="283"/>
    </row>
    <row r="56" spans="1:105">
      <c r="F56" s="285"/>
      <c r="M56" s="285"/>
      <c r="O56" s="285"/>
      <c r="Q56" s="285"/>
      <c r="R56" s="285"/>
      <c r="S56" s="285"/>
      <c r="T56" s="285"/>
      <c r="U56" s="285"/>
      <c r="V56" s="285"/>
      <c r="AN56" s="286" t="s">
        <v>216</v>
      </c>
      <c r="AO56" s="287"/>
      <c r="AP56" s="287"/>
      <c r="AQ56" s="287"/>
      <c r="AR56" s="288"/>
      <c r="AS56" s="288"/>
      <c r="AT56" s="287"/>
    </row>
    <row r="57" spans="1:105">
      <c r="F57" s="285"/>
      <c r="M57" s="285"/>
      <c r="O57" s="285"/>
      <c r="Q57" s="285"/>
      <c r="R57" s="285"/>
      <c r="S57" s="285"/>
      <c r="T57" s="285"/>
      <c r="U57" s="285"/>
      <c r="V57" s="285"/>
      <c r="AN57" s="289" t="s">
        <v>217</v>
      </c>
      <c r="AO57" s="287"/>
      <c r="AP57" s="287"/>
      <c r="AQ57" s="287"/>
      <c r="AR57" s="288"/>
      <c r="AS57" s="288"/>
      <c r="AT57" s="287"/>
    </row>
    <row r="58" spans="1:105">
      <c r="F58" s="285"/>
      <c r="M58" s="285"/>
      <c r="O58" s="285"/>
      <c r="Q58" s="285"/>
      <c r="R58" s="285"/>
      <c r="S58" s="285"/>
      <c r="T58" s="285"/>
      <c r="U58" s="285"/>
      <c r="V58" s="285"/>
      <c r="AN58" s="287"/>
      <c r="AO58" s="287"/>
      <c r="AP58" s="287"/>
      <c r="AQ58" s="287"/>
      <c r="AR58" s="287"/>
      <c r="AS58" s="287"/>
      <c r="AT58" s="288"/>
    </row>
    <row r="59" spans="1:105">
      <c r="F59" s="285"/>
      <c r="AN59" s="287"/>
      <c r="AO59" s="287"/>
      <c r="AP59" s="287"/>
      <c r="AQ59" s="287"/>
      <c r="AR59" s="287"/>
      <c r="AS59" s="287"/>
      <c r="AT59" s="288"/>
      <c r="AZ59" s="290" t="str">
        <f>"Ngày 31 tháng 03 năm 2015 "</f>
        <v xml:space="preserve">Ngày 31 tháng 03 năm 2015 </v>
      </c>
    </row>
    <row r="60" spans="1:105">
      <c r="F60" s="285"/>
      <c r="M60" s="285"/>
      <c r="O60" s="285"/>
      <c r="Q60" s="285"/>
      <c r="R60" s="285"/>
      <c r="S60" s="285"/>
      <c r="T60" s="285"/>
      <c r="U60" s="285"/>
      <c r="V60" s="285"/>
      <c r="AN60" s="287"/>
      <c r="AO60" s="291" t="s">
        <v>11</v>
      </c>
      <c r="AP60" s="287"/>
      <c r="AQ60" s="287"/>
      <c r="AR60" s="287"/>
      <c r="AS60" s="292" t="s">
        <v>12</v>
      </c>
      <c r="AT60" s="288"/>
      <c r="AZ60" s="291" t="s">
        <v>131</v>
      </c>
    </row>
    <row r="61" spans="1:105">
      <c r="F61" s="285"/>
      <c r="M61" s="285"/>
      <c r="O61" s="285"/>
      <c r="Q61" s="285"/>
      <c r="R61" s="285"/>
      <c r="S61" s="285"/>
      <c r="T61" s="285"/>
      <c r="U61" s="285"/>
      <c r="V61" s="285"/>
      <c r="AN61" s="287"/>
      <c r="AO61" s="293" t="s">
        <v>13</v>
      </c>
      <c r="AP61" s="287"/>
      <c r="AQ61" s="287"/>
      <c r="AR61" s="287"/>
      <c r="AS61" s="294" t="s">
        <v>13</v>
      </c>
      <c r="AT61" s="288"/>
      <c r="AZ61" s="293" t="s">
        <v>161</v>
      </c>
    </row>
    <row r="62" spans="1:105">
      <c r="F62" s="285"/>
      <c r="M62" s="285"/>
      <c r="O62" s="285"/>
      <c r="Q62" s="285"/>
      <c r="R62" s="285"/>
      <c r="S62" s="285"/>
      <c r="T62" s="285"/>
      <c r="U62" s="285"/>
      <c r="V62" s="285"/>
      <c r="AL62" s="287"/>
      <c r="AM62" s="287"/>
      <c r="AN62" s="287"/>
      <c r="AO62" s="287"/>
      <c r="AP62" s="287"/>
      <c r="AQ62" s="287"/>
      <c r="AR62" s="287"/>
      <c r="AS62" s="287"/>
      <c r="AT62" s="288"/>
      <c r="AZ62" s="287"/>
    </row>
    <row r="63" spans="1:105">
      <c r="F63" s="285"/>
      <c r="M63" s="285"/>
      <c r="O63" s="285"/>
      <c r="Q63" s="285"/>
      <c r="R63" s="285"/>
      <c r="S63" s="285"/>
      <c r="T63" s="285"/>
      <c r="U63" s="285"/>
      <c r="V63" s="285"/>
      <c r="AZ63" s="287"/>
    </row>
    <row r="64" spans="1:105">
      <c r="F64" s="285"/>
      <c r="M64" s="285"/>
      <c r="O64" s="285"/>
      <c r="Q64" s="285"/>
      <c r="R64" s="285"/>
      <c r="S64" s="285"/>
      <c r="T64" s="285"/>
      <c r="U64" s="285"/>
      <c r="V64" s="285"/>
    </row>
    <row r="65" spans="6:22">
      <c r="F65" s="285"/>
      <c r="M65" s="285"/>
      <c r="O65" s="285"/>
      <c r="Q65" s="285"/>
      <c r="R65" s="285"/>
      <c r="S65" s="285"/>
      <c r="T65" s="285"/>
      <c r="U65" s="285"/>
      <c r="V65" s="285"/>
    </row>
    <row r="66" spans="6:22">
      <c r="F66" s="285"/>
    </row>
    <row r="67" spans="6:22">
      <c r="F67" s="285"/>
      <c r="M67" s="285"/>
      <c r="O67" s="285"/>
      <c r="Q67" s="285"/>
      <c r="R67" s="285"/>
      <c r="S67" s="285"/>
      <c r="T67" s="285"/>
      <c r="U67" s="285"/>
      <c r="V67" s="285"/>
    </row>
    <row r="68" spans="6:22">
      <c r="F68" s="285"/>
      <c r="M68" s="285"/>
      <c r="O68" s="285"/>
      <c r="Q68" s="285"/>
      <c r="R68" s="285"/>
      <c r="S68" s="285"/>
      <c r="T68" s="285"/>
      <c r="U68" s="285"/>
      <c r="V68" s="285"/>
    </row>
    <row r="69" spans="6:22">
      <c r="F69" s="285"/>
      <c r="M69" s="285"/>
      <c r="O69" s="285"/>
      <c r="Q69" s="285"/>
      <c r="R69" s="285"/>
      <c r="S69" s="285"/>
      <c r="T69" s="285"/>
      <c r="U69" s="285"/>
      <c r="V69" s="285"/>
    </row>
    <row r="70" spans="6:22">
      <c r="F70" s="285"/>
      <c r="M70" s="285"/>
      <c r="O70" s="285"/>
      <c r="Q70" s="285"/>
      <c r="R70" s="285"/>
      <c r="S70" s="285"/>
      <c r="T70" s="285"/>
      <c r="U70" s="285"/>
      <c r="V70" s="285"/>
    </row>
    <row r="71" spans="6:22">
      <c r="F71" s="285"/>
      <c r="M71" s="285"/>
      <c r="O71" s="285"/>
      <c r="Q71" s="285"/>
      <c r="R71" s="285"/>
      <c r="S71" s="285"/>
      <c r="T71" s="285"/>
      <c r="U71" s="285"/>
      <c r="V71" s="285"/>
    </row>
    <row r="72" spans="6:22">
      <c r="F72" s="285"/>
      <c r="M72" s="285"/>
      <c r="O72" s="285"/>
      <c r="Q72" s="285"/>
      <c r="R72" s="285"/>
      <c r="S72" s="285"/>
      <c r="T72" s="285"/>
      <c r="U72" s="285"/>
      <c r="V72" s="285"/>
    </row>
    <row r="73" spans="6:22">
      <c r="F73" s="285"/>
      <c r="M73" s="285"/>
      <c r="O73" s="285"/>
      <c r="Q73" s="285"/>
      <c r="R73" s="285"/>
      <c r="S73" s="285"/>
      <c r="T73" s="285"/>
      <c r="U73" s="285"/>
      <c r="V73" s="285"/>
    </row>
    <row r="74" spans="6:22">
      <c r="F74" s="285"/>
      <c r="M74" s="285"/>
      <c r="O74" s="285"/>
      <c r="Q74" s="285"/>
      <c r="R74" s="285"/>
      <c r="S74" s="285"/>
      <c r="T74" s="285"/>
      <c r="U74" s="285"/>
      <c r="V74" s="285"/>
    </row>
    <row r="75" spans="6:22">
      <c r="F75" s="285"/>
      <c r="M75" s="285"/>
      <c r="O75" s="285"/>
      <c r="Q75" s="285"/>
      <c r="R75" s="285"/>
      <c r="S75" s="285"/>
      <c r="T75" s="285"/>
      <c r="U75" s="285"/>
      <c r="V75" s="285"/>
    </row>
    <row r="76" spans="6:22">
      <c r="F76" s="285"/>
      <c r="M76" s="285"/>
      <c r="O76" s="285"/>
      <c r="Q76" s="285"/>
      <c r="R76" s="285"/>
      <c r="S76" s="285"/>
      <c r="T76" s="285"/>
      <c r="U76" s="285"/>
      <c r="V76" s="285"/>
    </row>
    <row r="77" spans="6:22">
      <c r="F77" s="285"/>
      <c r="M77" s="285"/>
      <c r="O77" s="285"/>
      <c r="Q77" s="285"/>
      <c r="R77" s="285"/>
      <c r="S77" s="285"/>
      <c r="T77" s="285"/>
      <c r="U77" s="285"/>
      <c r="V77" s="285"/>
    </row>
    <row r="78" spans="6:22">
      <c r="F78" s="285"/>
      <c r="M78" s="285"/>
      <c r="O78" s="285"/>
      <c r="Q78" s="285"/>
      <c r="R78" s="285"/>
      <c r="S78" s="285"/>
      <c r="T78" s="285"/>
      <c r="U78" s="285"/>
      <c r="V78" s="285"/>
    </row>
    <row r="79" spans="6:22">
      <c r="F79" s="285"/>
      <c r="M79" s="285"/>
      <c r="O79" s="285"/>
      <c r="Q79" s="285"/>
      <c r="R79" s="285"/>
      <c r="S79" s="285"/>
      <c r="T79" s="285"/>
      <c r="U79" s="285"/>
      <c r="V79" s="285"/>
    </row>
    <row r="80" spans="6:22">
      <c r="F80" s="285"/>
      <c r="M80" s="285"/>
      <c r="O80" s="285"/>
      <c r="Q80" s="285"/>
      <c r="R80" s="285"/>
      <c r="S80" s="285"/>
      <c r="T80" s="285"/>
      <c r="U80" s="285"/>
      <c r="V80" s="285"/>
    </row>
    <row r="81" spans="6:22">
      <c r="F81" s="285"/>
      <c r="M81" s="285"/>
      <c r="O81" s="285"/>
      <c r="Q81" s="285"/>
      <c r="R81" s="285"/>
      <c r="S81" s="285"/>
      <c r="T81" s="285"/>
      <c r="U81" s="285"/>
      <c r="V81" s="285"/>
    </row>
    <row r="82" spans="6:22">
      <c r="F82" s="285"/>
      <c r="M82" s="285"/>
      <c r="O82" s="285"/>
      <c r="Q82" s="285"/>
      <c r="R82" s="285"/>
      <c r="S82" s="285"/>
      <c r="T82" s="285"/>
      <c r="U82" s="285"/>
      <c r="V82" s="285"/>
    </row>
    <row r="83" spans="6:22">
      <c r="F83" s="285"/>
      <c r="M83" s="285"/>
      <c r="O83" s="285"/>
      <c r="Q83" s="285"/>
      <c r="R83" s="285"/>
      <c r="S83" s="285"/>
      <c r="T83" s="285"/>
      <c r="U83" s="285"/>
      <c r="V83" s="285"/>
    </row>
    <row r="84" spans="6:22">
      <c r="F84" s="285"/>
      <c r="M84" s="285"/>
      <c r="O84" s="285"/>
      <c r="Q84" s="285"/>
      <c r="R84" s="285"/>
      <c r="S84" s="285"/>
      <c r="T84" s="285"/>
      <c r="U84" s="285"/>
      <c r="V84" s="285"/>
    </row>
    <row r="85" spans="6:22">
      <c r="F85" s="285"/>
      <c r="M85" s="285"/>
      <c r="O85" s="285"/>
      <c r="Q85" s="285"/>
      <c r="R85" s="285"/>
      <c r="S85" s="285"/>
      <c r="T85" s="285"/>
      <c r="U85" s="285"/>
      <c r="V85" s="285"/>
    </row>
    <row r="86" spans="6:22">
      <c r="F86" s="285"/>
      <c r="M86" s="285"/>
      <c r="O86" s="285"/>
      <c r="Q86" s="285"/>
      <c r="R86" s="285"/>
      <c r="S86" s="285"/>
      <c r="T86" s="285"/>
      <c r="U86" s="285"/>
      <c r="V86" s="285"/>
    </row>
    <row r="87" spans="6:22">
      <c r="F87" s="285"/>
      <c r="M87" s="285"/>
      <c r="O87" s="285"/>
      <c r="Q87" s="285"/>
      <c r="R87" s="285"/>
      <c r="S87" s="285"/>
      <c r="T87" s="285"/>
      <c r="U87" s="285"/>
      <c r="V87" s="285"/>
    </row>
    <row r="88" spans="6:22">
      <c r="F88" s="285"/>
      <c r="M88" s="285"/>
      <c r="O88" s="285"/>
      <c r="Q88" s="285"/>
      <c r="R88" s="285"/>
      <c r="S88" s="285"/>
      <c r="T88" s="285"/>
      <c r="U88" s="285"/>
      <c r="V88" s="285"/>
    </row>
    <row r="89" spans="6:22">
      <c r="F89" s="285"/>
      <c r="M89" s="285"/>
      <c r="O89" s="285"/>
      <c r="Q89" s="285"/>
      <c r="R89" s="285"/>
      <c r="S89" s="285"/>
      <c r="T89" s="285"/>
      <c r="U89" s="285"/>
      <c r="V89" s="285"/>
    </row>
    <row r="90" spans="6:22">
      <c r="F90" s="285"/>
      <c r="M90" s="285"/>
      <c r="O90" s="285"/>
      <c r="Q90" s="285"/>
      <c r="R90" s="285"/>
      <c r="S90" s="285"/>
      <c r="T90" s="285"/>
      <c r="U90" s="285"/>
      <c r="V90" s="285"/>
    </row>
    <row r="91" spans="6:22">
      <c r="F91" s="285"/>
      <c r="M91" s="285"/>
      <c r="O91" s="285"/>
      <c r="Q91" s="285"/>
      <c r="R91" s="285"/>
      <c r="S91" s="285"/>
      <c r="T91" s="285"/>
      <c r="U91" s="285"/>
      <c r="V91" s="285"/>
    </row>
    <row r="92" spans="6:22">
      <c r="F92" s="285"/>
      <c r="M92" s="285"/>
      <c r="O92" s="285"/>
      <c r="Q92" s="285"/>
      <c r="R92" s="285"/>
      <c r="S92" s="285"/>
      <c r="T92" s="285"/>
      <c r="U92" s="285"/>
      <c r="V92" s="285"/>
    </row>
    <row r="93" spans="6:22">
      <c r="F93" s="285"/>
      <c r="M93" s="285"/>
      <c r="O93" s="285"/>
      <c r="Q93" s="285"/>
      <c r="R93" s="285"/>
      <c r="S93" s="285"/>
      <c r="T93" s="285"/>
      <c r="U93" s="285"/>
      <c r="V93" s="285"/>
    </row>
    <row r="94" spans="6:22">
      <c r="F94" s="285"/>
      <c r="M94" s="285"/>
      <c r="O94" s="285"/>
      <c r="Q94" s="285"/>
      <c r="R94" s="285"/>
      <c r="S94" s="285"/>
      <c r="T94" s="285"/>
      <c r="U94" s="285"/>
      <c r="V94" s="285"/>
    </row>
    <row r="95" spans="6:22">
      <c r="F95" s="285"/>
      <c r="M95" s="285"/>
      <c r="O95" s="285"/>
      <c r="Q95" s="285"/>
      <c r="R95" s="285"/>
      <c r="S95" s="285"/>
      <c r="T95" s="285"/>
      <c r="U95" s="285"/>
      <c r="V95" s="285"/>
    </row>
    <row r="96" spans="6:22">
      <c r="F96" s="285"/>
      <c r="M96" s="285"/>
      <c r="O96" s="285"/>
      <c r="Q96" s="285"/>
      <c r="R96" s="285"/>
      <c r="S96" s="285"/>
      <c r="T96" s="285"/>
      <c r="U96" s="285"/>
      <c r="V96" s="285"/>
    </row>
    <row r="97" spans="6:22">
      <c r="F97" s="285"/>
      <c r="M97" s="285"/>
      <c r="O97" s="285"/>
      <c r="Q97" s="285"/>
      <c r="R97" s="285"/>
      <c r="S97" s="285"/>
      <c r="T97" s="285"/>
      <c r="U97" s="285"/>
      <c r="V97" s="285"/>
    </row>
    <row r="98" spans="6:22">
      <c r="F98" s="285"/>
      <c r="M98" s="285"/>
      <c r="O98" s="285"/>
      <c r="Q98" s="285"/>
      <c r="R98" s="285"/>
      <c r="S98" s="285"/>
      <c r="T98" s="285"/>
      <c r="U98" s="285"/>
      <c r="V98" s="285"/>
    </row>
    <row r="99" spans="6:22">
      <c r="F99" s="285"/>
      <c r="M99" s="285"/>
      <c r="O99" s="285"/>
      <c r="Q99" s="285"/>
      <c r="R99" s="285"/>
      <c r="S99" s="285"/>
      <c r="T99" s="285"/>
      <c r="U99" s="285"/>
      <c r="V99" s="285"/>
    </row>
    <row r="100" spans="6:22">
      <c r="F100" s="285"/>
      <c r="M100" s="285"/>
      <c r="O100" s="285"/>
      <c r="Q100" s="285"/>
      <c r="R100" s="285"/>
      <c r="S100" s="285"/>
      <c r="T100" s="285"/>
      <c r="U100" s="285"/>
      <c r="V100" s="285"/>
    </row>
    <row r="101" spans="6:22">
      <c r="F101" s="285"/>
      <c r="M101" s="285"/>
      <c r="O101" s="285"/>
      <c r="Q101" s="285"/>
      <c r="R101" s="285"/>
      <c r="S101" s="285"/>
      <c r="T101" s="285"/>
      <c r="U101" s="285"/>
      <c r="V101" s="285"/>
    </row>
    <row r="102" spans="6:22">
      <c r="F102" s="285"/>
      <c r="M102" s="285"/>
      <c r="O102" s="285"/>
      <c r="Q102" s="285"/>
      <c r="R102" s="285"/>
      <c r="S102" s="285"/>
      <c r="T102" s="285"/>
      <c r="U102" s="285"/>
      <c r="V102" s="285"/>
    </row>
    <row r="103" spans="6:22">
      <c r="F103" s="285"/>
      <c r="M103" s="285"/>
      <c r="O103" s="285"/>
      <c r="Q103" s="285"/>
      <c r="R103" s="285"/>
      <c r="S103" s="285"/>
      <c r="T103" s="285"/>
      <c r="U103" s="285"/>
      <c r="V103" s="285"/>
    </row>
    <row r="104" spans="6:22">
      <c r="F104" s="285"/>
      <c r="M104" s="285"/>
      <c r="O104" s="285"/>
      <c r="Q104" s="285"/>
      <c r="R104" s="285"/>
      <c r="S104" s="285"/>
      <c r="T104" s="285"/>
      <c r="U104" s="285"/>
      <c r="V104" s="285"/>
    </row>
    <row r="105" spans="6:22">
      <c r="F105" s="285"/>
      <c r="M105" s="285"/>
      <c r="O105" s="285"/>
      <c r="Q105" s="285"/>
      <c r="R105" s="285"/>
      <c r="S105" s="285"/>
      <c r="T105" s="285"/>
      <c r="U105" s="285"/>
      <c r="V105" s="285"/>
    </row>
    <row r="106" spans="6:22">
      <c r="F106" s="285"/>
      <c r="M106" s="285"/>
      <c r="O106" s="285"/>
      <c r="Q106" s="285"/>
      <c r="R106" s="285"/>
      <c r="S106" s="285"/>
      <c r="T106" s="285"/>
      <c r="U106" s="285"/>
      <c r="V106" s="285"/>
    </row>
    <row r="107" spans="6:22">
      <c r="F107" s="285"/>
      <c r="M107" s="285"/>
      <c r="O107" s="285"/>
      <c r="Q107" s="285"/>
      <c r="R107" s="285"/>
      <c r="S107" s="285"/>
      <c r="T107" s="285"/>
      <c r="U107" s="285"/>
      <c r="V107" s="285"/>
    </row>
    <row r="108" spans="6:22">
      <c r="F108" s="285"/>
      <c r="M108" s="285"/>
      <c r="O108" s="285"/>
      <c r="Q108" s="285"/>
      <c r="R108" s="285"/>
      <c r="S108" s="285"/>
      <c r="T108" s="285"/>
      <c r="U108" s="285"/>
      <c r="V108" s="285"/>
    </row>
    <row r="109" spans="6:22">
      <c r="F109" s="285"/>
      <c r="M109" s="285"/>
      <c r="O109" s="285"/>
      <c r="Q109" s="285"/>
      <c r="R109" s="285"/>
      <c r="S109" s="285"/>
      <c r="T109" s="285"/>
      <c r="U109" s="285"/>
      <c r="V109" s="285"/>
    </row>
    <row r="110" spans="6:22">
      <c r="F110" s="285"/>
      <c r="M110" s="285"/>
      <c r="O110" s="285"/>
      <c r="Q110" s="285"/>
      <c r="R110" s="285"/>
      <c r="S110" s="285"/>
      <c r="T110" s="285"/>
      <c r="U110" s="285"/>
      <c r="V110" s="285"/>
    </row>
    <row r="111" spans="6:22">
      <c r="M111" s="285"/>
      <c r="O111" s="285"/>
      <c r="Q111" s="285"/>
      <c r="R111" s="285"/>
      <c r="S111" s="285"/>
      <c r="T111" s="285"/>
      <c r="U111" s="285"/>
      <c r="V111" s="285"/>
    </row>
    <row r="112" spans="6:22">
      <c r="M112" s="285"/>
      <c r="O112" s="285"/>
      <c r="Q112" s="285"/>
      <c r="R112" s="285"/>
      <c r="S112" s="285"/>
      <c r="T112" s="285"/>
      <c r="U112" s="285"/>
      <c r="V112" s="285"/>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28515625" style="246" customWidth="1"/>
    <col min="3" max="3" width="7.85546875" style="246" customWidth="1"/>
    <col min="4" max="4" width="8.28515625" style="246" customWidth="1"/>
    <col min="5" max="5" width="44.7109375" style="246" customWidth="1"/>
    <col min="6" max="6" width="15.140625" style="296" customWidth="1"/>
    <col min="7" max="8" width="5.85546875" style="247" customWidth="1"/>
    <col min="9" max="9" width="4.85546875" style="246" customWidth="1"/>
    <col min="10" max="10" width="13.28515625" style="246" customWidth="1"/>
    <col min="11" max="11" width="12.85546875" style="246" customWidth="1"/>
    <col min="12" max="15" width="13.42578125" style="246" customWidth="1"/>
    <col min="16" max="16" width="13.5703125" style="246" customWidth="1"/>
    <col min="17" max="17" width="13.28515625" style="246" customWidth="1"/>
    <col min="18" max="18" width="13.5703125" style="246" customWidth="1"/>
    <col min="19" max="19" width="11.42578125" style="246" customWidth="1"/>
    <col min="20" max="20" width="13.7109375" style="246" customWidth="1"/>
    <col min="21" max="21" width="4.42578125" style="246" customWidth="1"/>
    <col min="22" max="22" width="14.140625" style="246" customWidth="1"/>
    <col min="23" max="23" width="13.85546875" style="246" customWidth="1"/>
    <col min="24" max="24" width="5.42578125" style="246" customWidth="1"/>
    <col min="25" max="25" width="6.140625" style="246" customWidth="1"/>
    <col min="26" max="26" width="9.5703125" style="246" customWidth="1"/>
    <col min="27" max="27" width="9.7109375" style="246" customWidth="1"/>
    <col min="28" max="28" width="13" style="246" customWidth="1"/>
    <col min="29" max="29" width="12.85546875" style="246" customWidth="1"/>
    <col min="30" max="30" width="4.5703125" style="246" customWidth="1"/>
    <col min="31" max="31" width="13.85546875" style="246" customWidth="1"/>
    <col min="32" max="32" width="4.5703125" style="246" customWidth="1"/>
    <col min="33" max="33" width="13.85546875" style="246" customWidth="1"/>
    <col min="34" max="34" width="4.7109375" style="246" customWidth="1"/>
    <col min="35" max="35" width="12.5703125" style="246" customWidth="1"/>
    <col min="36" max="36" width="11.7109375" style="246" customWidth="1"/>
    <col min="37" max="37" width="5.28515625" style="246" customWidth="1"/>
    <col min="38" max="38" width="11.140625" style="246" customWidth="1"/>
    <col min="39" max="39" width="10.28515625" style="246" customWidth="1"/>
    <col min="40" max="40" width="9.5703125" style="246" customWidth="1"/>
    <col min="41" max="41" width="9.140625" style="246" customWidth="1"/>
    <col min="42" max="42" width="12.7109375" style="246" customWidth="1"/>
    <col min="43" max="43" width="12.5703125" style="246" customWidth="1"/>
    <col min="44" max="44" width="15.140625" style="246" customWidth="1"/>
    <col min="45" max="45" width="15.5703125" style="246" customWidth="1"/>
    <col min="46" max="47" width="10.85546875" style="246" customWidth="1"/>
    <col min="48" max="48" width="7" style="246" customWidth="1"/>
    <col min="49" max="49" width="7.7109375" style="246" customWidth="1"/>
    <col min="50" max="50" width="7.140625" style="246" customWidth="1"/>
    <col min="51" max="51" width="6.7109375" style="246" customWidth="1"/>
    <col min="52" max="52" width="14.7109375" style="246" customWidth="1"/>
    <col min="53" max="53" width="15.140625" style="246" customWidth="1"/>
    <col min="54" max="16384" width="9.140625" style="246"/>
  </cols>
  <sheetData>
    <row r="1" spans="1:105" ht="12.75" customHeight="1">
      <c r="A1" s="242"/>
      <c r="B1" s="243" t="s">
        <v>121</v>
      </c>
      <c r="C1" s="244"/>
      <c r="D1" s="244"/>
      <c r="E1" s="245"/>
      <c r="I1" s="244"/>
      <c r="K1" s="1256" t="s">
        <v>189</v>
      </c>
      <c r="L1" s="1256"/>
      <c r="M1" s="1256"/>
      <c r="N1" s="1256"/>
      <c r="O1" s="1256"/>
      <c r="P1" s="1256"/>
      <c r="Q1" s="1256"/>
      <c r="R1" s="245"/>
      <c r="T1" s="244"/>
      <c r="U1" s="244"/>
      <c r="V1" s="244"/>
      <c r="W1" s="244"/>
      <c r="X1" s="244"/>
      <c r="Y1" s="244"/>
      <c r="Z1" s="244"/>
      <c r="AA1" s="244"/>
      <c r="AB1" s="244"/>
      <c r="AC1" s="244"/>
      <c r="AD1" s="244"/>
      <c r="AE1" s="244"/>
      <c r="AF1" s="393"/>
      <c r="AG1" s="393"/>
      <c r="AH1" s="244"/>
      <c r="AI1" s="244"/>
      <c r="AJ1" s="244"/>
      <c r="AK1" s="244"/>
      <c r="AL1" s="244"/>
      <c r="AM1" s="244"/>
      <c r="AN1" s="244"/>
      <c r="AO1" s="244"/>
      <c r="AP1" s="245"/>
      <c r="AQ1" s="245"/>
      <c r="AR1" s="244"/>
      <c r="AS1" s="244"/>
      <c r="AT1" s="244"/>
      <c r="AU1" s="244"/>
      <c r="AV1" s="244"/>
      <c r="AW1" s="244"/>
      <c r="AX1" s="244"/>
      <c r="AY1" s="244"/>
      <c r="AZ1" s="244"/>
      <c r="BA1" s="244"/>
    </row>
    <row r="2" spans="1:105" ht="12.75" customHeight="1">
      <c r="A2" s="242"/>
      <c r="B2" s="243" t="s">
        <v>178</v>
      </c>
      <c r="C2" s="244"/>
      <c r="D2" s="244"/>
      <c r="E2" s="244"/>
      <c r="I2" s="248"/>
      <c r="K2" s="1257" t="s">
        <v>144</v>
      </c>
      <c r="L2" s="1257"/>
      <c r="M2" s="1257"/>
      <c r="N2" s="1257"/>
      <c r="O2" s="1257"/>
      <c r="P2" s="1257"/>
      <c r="Q2" s="1257"/>
      <c r="R2" s="249"/>
      <c r="T2" s="248"/>
      <c r="U2" s="248"/>
      <c r="V2" s="248"/>
      <c r="W2" s="248"/>
      <c r="X2" s="248"/>
      <c r="Y2" s="248"/>
      <c r="Z2" s="248"/>
      <c r="AA2" s="248"/>
      <c r="AB2" s="248"/>
      <c r="AC2" s="248"/>
      <c r="AD2" s="248"/>
      <c r="AE2" s="248"/>
      <c r="AF2" s="394"/>
      <c r="AG2" s="394"/>
      <c r="AH2" s="248"/>
      <c r="AI2" s="248"/>
      <c r="AJ2" s="248"/>
      <c r="AK2" s="248"/>
      <c r="AL2" s="248"/>
      <c r="AM2" s="248"/>
      <c r="AN2" s="248"/>
      <c r="AO2" s="248"/>
      <c r="AP2" s="249"/>
      <c r="AQ2" s="249"/>
      <c r="AR2" s="248"/>
      <c r="AS2" s="248"/>
      <c r="AT2" s="248"/>
      <c r="AU2" s="248"/>
      <c r="AV2" s="248"/>
      <c r="AW2" s="248"/>
      <c r="AX2" s="248"/>
      <c r="AY2" s="248"/>
      <c r="AZ2" s="248"/>
      <c r="BA2" s="248"/>
    </row>
    <row r="3" spans="1:105" ht="10.5" customHeight="1">
      <c r="A3" s="244"/>
      <c r="B3" s="244"/>
      <c r="C3" s="244"/>
      <c r="D3" s="244"/>
      <c r="E3" s="244"/>
      <c r="F3" s="297"/>
      <c r="G3" s="250"/>
      <c r="H3" s="250"/>
      <c r="I3" s="248"/>
      <c r="K3" s="1257"/>
      <c r="L3" s="1257"/>
      <c r="M3" s="1257"/>
      <c r="N3" s="1257"/>
      <c r="O3" s="1257"/>
      <c r="P3" s="1257"/>
      <c r="Q3" s="1257"/>
      <c r="R3" s="249"/>
      <c r="T3" s="248"/>
      <c r="U3" s="248"/>
      <c r="V3" s="248"/>
      <c r="W3" s="248"/>
      <c r="X3" s="248"/>
      <c r="Y3" s="248"/>
      <c r="Z3" s="248"/>
      <c r="AA3" s="248"/>
      <c r="AB3" s="248"/>
      <c r="AC3" s="248"/>
      <c r="AD3" s="248"/>
      <c r="AE3" s="248"/>
      <c r="AF3" s="394"/>
      <c r="AG3" s="394"/>
      <c r="AH3" s="248"/>
      <c r="AI3" s="248"/>
      <c r="AJ3" s="248"/>
      <c r="AK3" s="248"/>
      <c r="AL3" s="248"/>
      <c r="AM3" s="248"/>
      <c r="AN3" s="248"/>
      <c r="AO3" s="248"/>
      <c r="AP3" s="249"/>
      <c r="AQ3" s="249"/>
      <c r="AR3" s="248"/>
      <c r="AS3" s="248"/>
      <c r="AT3" s="248"/>
      <c r="AU3" s="248"/>
      <c r="AV3" s="248"/>
      <c r="AW3" s="248"/>
      <c r="AX3" s="248"/>
      <c r="AY3" s="248"/>
      <c r="AZ3" s="248"/>
      <c r="BA3" s="248"/>
    </row>
    <row r="4" spans="1:105" ht="19.5" customHeight="1">
      <c r="B4" s="1258" t="s">
        <v>112</v>
      </c>
      <c r="C4" s="1258"/>
      <c r="D4" s="1258"/>
      <c r="E4" s="1258"/>
      <c r="F4" s="1258"/>
      <c r="G4" s="1258"/>
      <c r="H4" s="1258"/>
      <c r="I4" s="1258"/>
      <c r="J4" s="1258"/>
      <c r="K4" s="1258"/>
      <c r="L4" s="1258"/>
      <c r="M4" s="1258"/>
      <c r="N4" s="1258"/>
      <c r="O4" s="1258"/>
      <c r="P4" s="1258"/>
      <c r="Q4" s="1258"/>
      <c r="R4" s="1258"/>
      <c r="S4" s="251"/>
      <c r="T4" s="253"/>
      <c r="U4" s="253"/>
      <c r="V4" s="253"/>
      <c r="W4" s="253"/>
      <c r="X4" s="253"/>
      <c r="Y4" s="253"/>
      <c r="Z4" s="253"/>
      <c r="AA4" s="253"/>
      <c r="AB4" s="253"/>
      <c r="AC4" s="253"/>
      <c r="AD4" s="253"/>
      <c r="AE4" s="253"/>
      <c r="AF4" s="253"/>
      <c r="AG4" s="253"/>
      <c r="AH4" s="253"/>
      <c r="AI4" s="253"/>
      <c r="AJ4" s="253"/>
      <c r="AK4" s="253"/>
      <c r="AL4" s="253"/>
      <c r="AM4" s="253"/>
      <c r="AN4" s="253"/>
      <c r="AO4" s="253"/>
      <c r="AP4" s="298"/>
      <c r="AQ4" s="298"/>
      <c r="AR4" s="253"/>
      <c r="AS4" s="253"/>
      <c r="AT4" s="253"/>
      <c r="AU4" s="253"/>
      <c r="AV4" s="253"/>
      <c r="AW4" s="253"/>
      <c r="AX4" s="253"/>
      <c r="AY4" s="253"/>
      <c r="AZ4" s="253"/>
      <c r="BA4" s="253"/>
    </row>
    <row r="5" spans="1:105" ht="15">
      <c r="B5" s="1259" t="s">
        <v>220</v>
      </c>
      <c r="C5" s="1259"/>
      <c r="D5" s="1259"/>
      <c r="E5" s="1259"/>
      <c r="F5" s="1259"/>
      <c r="G5" s="1259"/>
      <c r="H5" s="1259"/>
      <c r="I5" s="1259"/>
      <c r="J5" s="1259"/>
      <c r="K5" s="1259"/>
      <c r="L5" s="1259"/>
      <c r="M5" s="1259"/>
      <c r="N5" s="1259"/>
      <c r="O5" s="1259"/>
      <c r="P5" s="1259"/>
      <c r="Q5" s="1259"/>
      <c r="R5" s="1259"/>
      <c r="S5" s="254"/>
      <c r="AP5" s="254"/>
      <c r="AQ5" s="254"/>
    </row>
    <row r="7" spans="1:105" ht="13.5" customHeight="1">
      <c r="A7" s="1260" t="s">
        <v>37</v>
      </c>
      <c r="B7" s="1254" t="s">
        <v>22</v>
      </c>
      <c r="C7" s="1262" t="s">
        <v>1</v>
      </c>
      <c r="D7" s="1263"/>
      <c r="E7" s="1254" t="s">
        <v>0</v>
      </c>
      <c r="F7" s="1254" t="s">
        <v>113</v>
      </c>
      <c r="G7" s="1264" t="s">
        <v>114</v>
      </c>
      <c r="H7" s="1264"/>
      <c r="I7" s="1255" t="s">
        <v>37</v>
      </c>
      <c r="J7" s="1254" t="s">
        <v>191</v>
      </c>
      <c r="K7" s="1254"/>
      <c r="L7" s="1254" t="s">
        <v>192</v>
      </c>
      <c r="M7" s="1254"/>
      <c r="N7" s="1254" t="s">
        <v>266</v>
      </c>
      <c r="O7" s="1254"/>
      <c r="P7" s="1254" t="s">
        <v>652</v>
      </c>
      <c r="Q7" s="1254"/>
      <c r="R7" s="1254" t="s">
        <v>193</v>
      </c>
      <c r="S7" s="1254"/>
      <c r="T7" s="1254" t="s">
        <v>194</v>
      </c>
      <c r="U7" s="1254"/>
      <c r="V7" s="1254" t="s">
        <v>653</v>
      </c>
      <c r="W7" s="1254"/>
      <c r="X7" s="1254" t="s">
        <v>654</v>
      </c>
      <c r="Y7" s="1254"/>
      <c r="Z7" s="1254" t="s">
        <v>655</v>
      </c>
      <c r="AA7" s="1254"/>
      <c r="AB7" s="1254" t="s">
        <v>656</v>
      </c>
      <c r="AC7" s="1254"/>
      <c r="AD7" s="1254" t="s">
        <v>657</v>
      </c>
      <c r="AE7" s="1254"/>
      <c r="AF7" s="1254" t="s">
        <v>658</v>
      </c>
      <c r="AG7" s="1254"/>
      <c r="AH7" s="1254" t="s">
        <v>659</v>
      </c>
      <c r="AI7" s="1254"/>
      <c r="AJ7" s="1254" t="s">
        <v>660</v>
      </c>
      <c r="AK7" s="1254"/>
      <c r="AL7" s="1254" t="s">
        <v>661</v>
      </c>
      <c r="AM7" s="1254"/>
      <c r="AN7" s="1254" t="s">
        <v>662</v>
      </c>
      <c r="AO7" s="1254"/>
      <c r="AP7" s="1254" t="s">
        <v>663</v>
      </c>
      <c r="AQ7" s="1254"/>
      <c r="AR7" s="1254" t="s">
        <v>664</v>
      </c>
      <c r="AS7" s="1254"/>
      <c r="AT7" s="1254" t="s">
        <v>195</v>
      </c>
      <c r="AU7" s="1254"/>
      <c r="AV7" s="1254" t="s">
        <v>196</v>
      </c>
      <c r="AW7" s="1254"/>
      <c r="AX7" s="1254" t="s">
        <v>665</v>
      </c>
      <c r="AY7" s="1254"/>
      <c r="AZ7" s="1254" t="s">
        <v>666</v>
      </c>
      <c r="BA7" s="1254"/>
      <c r="BB7" s="1254" t="s">
        <v>667</v>
      </c>
      <c r="BC7" s="1254"/>
      <c r="BD7" s="1254" t="s">
        <v>197</v>
      </c>
      <c r="BE7" s="1254"/>
      <c r="BF7" s="1254" t="s">
        <v>668</v>
      </c>
      <c r="BG7" s="1254"/>
      <c r="BH7" s="1254" t="s">
        <v>198</v>
      </c>
      <c r="BI7" s="1254"/>
      <c r="BJ7" s="1254" t="s">
        <v>669</v>
      </c>
      <c r="BK7" s="1254"/>
      <c r="BL7" s="1254" t="s">
        <v>670</v>
      </c>
      <c r="BM7" s="1254"/>
      <c r="BN7" s="1254" t="s">
        <v>671</v>
      </c>
      <c r="BO7" s="1254"/>
      <c r="BP7" s="1254" t="s">
        <v>672</v>
      </c>
      <c r="BQ7" s="1254"/>
      <c r="BR7" s="1254" t="s">
        <v>199</v>
      </c>
      <c r="BS7" s="1254"/>
      <c r="BT7" s="1254" t="s">
        <v>200</v>
      </c>
      <c r="BU7" s="1254"/>
      <c r="BV7" s="1254" t="s">
        <v>261</v>
      </c>
      <c r="BW7" s="1254"/>
      <c r="BX7" s="1254" t="s">
        <v>201</v>
      </c>
      <c r="BY7" s="1254"/>
      <c r="BZ7" s="1254" t="s">
        <v>202</v>
      </c>
      <c r="CA7" s="1254"/>
      <c r="CB7" s="1254" t="s">
        <v>203</v>
      </c>
      <c r="CC7" s="1254"/>
      <c r="CD7" s="1254" t="s">
        <v>673</v>
      </c>
      <c r="CE7" s="1254"/>
      <c r="CF7" s="1254" t="s">
        <v>674</v>
      </c>
      <c r="CG7" s="1254"/>
      <c r="CH7" s="1254" t="s">
        <v>204</v>
      </c>
      <c r="CI7" s="1254"/>
      <c r="CJ7" s="1254" t="s">
        <v>675</v>
      </c>
      <c r="CK7" s="1254"/>
      <c r="CL7" s="1254" t="s">
        <v>676</v>
      </c>
      <c r="CM7" s="1254"/>
      <c r="CN7" s="1254" t="s">
        <v>205</v>
      </c>
      <c r="CO7" s="1254"/>
      <c r="CP7" s="1254" t="s">
        <v>677</v>
      </c>
      <c r="CQ7" s="1254"/>
      <c r="CR7" s="1254" t="s">
        <v>206</v>
      </c>
      <c r="CS7" s="1254"/>
      <c r="CT7" s="1254" t="s">
        <v>207</v>
      </c>
      <c r="CU7" s="1254"/>
      <c r="CV7" s="1254" t="s">
        <v>208</v>
      </c>
      <c r="CW7" s="1254"/>
      <c r="CX7" s="1254" t="s">
        <v>209</v>
      </c>
      <c r="CY7" s="1254"/>
      <c r="CZ7" s="1254" t="s">
        <v>210</v>
      </c>
      <c r="DA7" s="1254"/>
    </row>
    <row r="8" spans="1:105" ht="22.5" customHeight="1">
      <c r="A8" s="1261"/>
      <c r="B8" s="1254"/>
      <c r="C8" s="822" t="s">
        <v>17</v>
      </c>
      <c r="D8" s="821" t="s">
        <v>34</v>
      </c>
      <c r="E8" s="1254"/>
      <c r="F8" s="1254"/>
      <c r="G8" s="823" t="s">
        <v>24</v>
      </c>
      <c r="H8" s="823" t="s">
        <v>25</v>
      </c>
      <c r="I8" s="125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'SC-II'!J53</f>
        <v>1807122022.5</v>
      </c>
      <c r="K10" s="264">
        <f ca="1">'SC-II'!K53</f>
        <v>0</v>
      </c>
      <c r="L10" s="264">
        <f ca="1">'SC-II'!L53</f>
        <v>9382419</v>
      </c>
      <c r="M10" s="264">
        <f ca="1">'SC-II'!M53</f>
        <v>0</v>
      </c>
      <c r="N10" s="264">
        <f ca="1">'SC-II'!N53</f>
        <v>7381692.9499816895</v>
      </c>
      <c r="O10" s="264">
        <f ca="1">'SC-II'!O53</f>
        <v>0</v>
      </c>
      <c r="P10" s="264">
        <f ca="1">'SC-II'!P53</f>
        <v>57038792896</v>
      </c>
      <c r="Q10" s="264">
        <f ca="1">'SC-II'!Q53</f>
        <v>0</v>
      </c>
      <c r="R10" s="264">
        <f ca="1">'SC-II'!R53</f>
        <v>518470991</v>
      </c>
      <c r="S10" s="264">
        <f ca="1">'SC-II'!S53</f>
        <v>0</v>
      </c>
      <c r="T10" s="264">
        <f ca="1">'SC-II'!T53</f>
        <v>0</v>
      </c>
      <c r="U10" s="264">
        <f ca="1">'SC-II'!U53</f>
        <v>0</v>
      </c>
      <c r="V10" s="264">
        <f ca="1">'SC-II'!V53</f>
        <v>0</v>
      </c>
      <c r="W10" s="264">
        <f ca="1">'SC-II'!W53</f>
        <v>0</v>
      </c>
      <c r="X10" s="264">
        <f ca="1">'SC-II'!X53</f>
        <v>0</v>
      </c>
      <c r="Y10" s="264">
        <f ca="1">'SC-II'!Y53</f>
        <v>0</v>
      </c>
      <c r="Z10" s="264">
        <f ca="1">'SC-II'!Z53</f>
        <v>351991384</v>
      </c>
      <c r="AA10" s="264">
        <f ca="1">'SC-II'!AA53</f>
        <v>0</v>
      </c>
      <c r="AB10" s="264">
        <f ca="1">'SC-II'!AB53</f>
        <v>49990909</v>
      </c>
      <c r="AC10" s="264">
        <f ca="1">'SC-II'!AC53</f>
        <v>0</v>
      </c>
      <c r="AD10" s="264">
        <f ca="1">'SC-II'!AD53</f>
        <v>1450841000</v>
      </c>
      <c r="AE10" s="264">
        <f ca="1">'SC-II'!AE53</f>
        <v>0</v>
      </c>
      <c r="AF10" s="264">
        <f ca="1">'SC-II'!AF53</f>
        <v>3468509299</v>
      </c>
      <c r="AG10" s="264">
        <f ca="1">'SC-II'!AG53</f>
        <v>0</v>
      </c>
      <c r="AH10" s="264">
        <f ca="1">'SC-II'!AH53</f>
        <v>7770361541</v>
      </c>
      <c r="AI10" s="264">
        <f ca="1">'SC-II'!AI53</f>
        <v>0</v>
      </c>
      <c r="AJ10" s="264">
        <f ca="1">'SC-II'!AJ53</f>
        <v>3807898863</v>
      </c>
      <c r="AK10" s="264">
        <f ca="1">'SC-II'!AK53</f>
        <v>0</v>
      </c>
      <c r="AL10" s="264">
        <f ca="1">'SC-II'!AL53</f>
        <v>3790918485</v>
      </c>
      <c r="AM10" s="264">
        <f ca="1">'SC-II'!AM53</f>
        <v>0</v>
      </c>
      <c r="AN10" s="264">
        <f ca="1">'SC-II'!AN53</f>
        <v>5405781300</v>
      </c>
      <c r="AO10" s="264">
        <f ca="1">'SC-II'!AO53</f>
        <v>0</v>
      </c>
      <c r="AP10" s="264">
        <f ca="1">'SC-II'!AP53</f>
        <v>0</v>
      </c>
      <c r="AQ10" s="264">
        <f ca="1">'SC-II'!AQ53</f>
        <v>9758261933</v>
      </c>
      <c r="AR10" s="264">
        <f ca="1">'SC-II'!AR53</f>
        <v>0</v>
      </c>
      <c r="AS10" s="264">
        <f ca="1">'SC-II'!AS53</f>
        <v>720770838</v>
      </c>
      <c r="AT10" s="264">
        <f ca="1">'SC-II'!AT53</f>
        <v>0</v>
      </c>
      <c r="AU10" s="264">
        <f ca="1">'SC-II'!AU53</f>
        <v>0</v>
      </c>
      <c r="AV10" s="264">
        <f ca="1">'SC-II'!AV53</f>
        <v>0</v>
      </c>
      <c r="AW10" s="264">
        <f ca="1">'SC-II'!AW53</f>
        <v>37054109099</v>
      </c>
      <c r="AX10" s="264">
        <f ca="1">'SC-II'!AX53</f>
        <v>0</v>
      </c>
      <c r="AY10" s="264">
        <f ca="1">'SC-II'!AY53</f>
        <v>0</v>
      </c>
      <c r="AZ10" s="264">
        <f ca="1">'SC-II'!AZ53</f>
        <v>0</v>
      </c>
      <c r="BA10" s="264">
        <f ca="1">'SC-II'!BA53</f>
        <v>0</v>
      </c>
      <c r="BB10" s="264">
        <f ca="1">'SC-II'!BB53</f>
        <v>0</v>
      </c>
      <c r="BC10" s="264">
        <f ca="1">'SC-II'!BC53</f>
        <v>0</v>
      </c>
      <c r="BD10" s="264">
        <f ca="1">'SC-II'!BD53</f>
        <v>9756564</v>
      </c>
      <c r="BE10" s="264">
        <f ca="1">'SC-II'!BE53</f>
        <v>0</v>
      </c>
      <c r="BF10" s="264">
        <f ca="1">'SC-II'!BF53</f>
        <v>3389804</v>
      </c>
      <c r="BG10" s="264">
        <f ca="1">'SC-II'!BG53</f>
        <v>0</v>
      </c>
      <c r="BH10" s="264">
        <f ca="1">'SC-II'!BH53</f>
        <v>0</v>
      </c>
      <c r="BI10" s="264">
        <f ca="1">'SC-II'!BI53</f>
        <v>0</v>
      </c>
      <c r="BJ10" s="264">
        <f ca="1">'SC-II'!BJ53</f>
        <v>0</v>
      </c>
      <c r="BK10" s="264">
        <f ca="1">'SC-II'!BK53</f>
        <v>0</v>
      </c>
      <c r="BL10" s="264">
        <f ca="1">'SC-II'!BL53</f>
        <v>0</v>
      </c>
      <c r="BM10" s="264">
        <f ca="1">'SC-II'!BM53</f>
        <v>106628549</v>
      </c>
      <c r="BN10" s="264">
        <f ca="1">'SC-II'!BN53</f>
        <v>0</v>
      </c>
      <c r="BO10" s="264">
        <f ca="1">'SC-II'!BO53</f>
        <v>4469220</v>
      </c>
      <c r="BP10" s="264">
        <f ca="1">'SC-II'!BP53</f>
        <v>0</v>
      </c>
      <c r="BQ10" s="264">
        <f ca="1">'SC-II'!BQ53</f>
        <v>1986320</v>
      </c>
      <c r="BR10" s="264">
        <f ca="1">'SC-II'!BR53</f>
        <v>0</v>
      </c>
      <c r="BS10" s="264">
        <f ca="1">'SC-II'!BS53</f>
        <v>0</v>
      </c>
      <c r="BT10" s="264">
        <f ca="1">'SC-II'!BT53</f>
        <v>0</v>
      </c>
      <c r="BU10" s="264">
        <f ca="1">'SC-II'!BU53</f>
        <v>0</v>
      </c>
      <c r="BV10" s="264">
        <f ca="1">'SC-II'!BV53</f>
        <v>0</v>
      </c>
      <c r="BW10" s="264">
        <f ca="1">'SC-II'!BW53</f>
        <v>27284564849.050003</v>
      </c>
      <c r="BX10" s="264">
        <f ca="1">'SC-II'!BX53</f>
        <v>0</v>
      </c>
      <c r="BY10" s="264">
        <f ca="1">'SC-II'!BY53</f>
        <v>10000000000</v>
      </c>
      <c r="BZ10" s="264">
        <f ca="1">'SC-II'!BZ53</f>
        <v>0</v>
      </c>
      <c r="CA10" s="264">
        <f ca="1">'SC-II'!CA53</f>
        <v>635107905.00000095</v>
      </c>
      <c r="CB10" s="264">
        <f ca="1">'SC-II'!CB53</f>
        <v>107861885.00000048</v>
      </c>
      <c r="CC10" s="264">
        <f ca="1">'SC-II'!CC53</f>
        <v>0</v>
      </c>
      <c r="CD10" s="264">
        <f ca="1">'SC-II'!CD53</f>
        <v>0</v>
      </c>
      <c r="CE10" s="264">
        <f ca="1">'SC-II'!CE53</f>
        <v>0</v>
      </c>
      <c r="CF10" s="264">
        <f ca="1">'SC-II'!CF53</f>
        <v>0</v>
      </c>
      <c r="CG10" s="264">
        <f ca="1">'SC-II'!CG53</f>
        <v>0</v>
      </c>
      <c r="CH10" s="264">
        <f ca="1">'SC-II'!CH53</f>
        <v>0</v>
      </c>
      <c r="CI10" s="264">
        <f ca="1">'SC-II'!CI53</f>
        <v>0</v>
      </c>
      <c r="CJ10" s="264">
        <f ca="1">'SC-II'!CJ53</f>
        <v>0</v>
      </c>
      <c r="CK10" s="264">
        <f ca="1">'SC-II'!CK53</f>
        <v>0</v>
      </c>
      <c r="CL10" s="264">
        <f ca="1">'SC-II'!CL53</f>
        <v>0</v>
      </c>
      <c r="CM10" s="264">
        <f ca="1">'SC-II'!CM53</f>
        <v>0</v>
      </c>
      <c r="CN10" s="264">
        <f ca="1">'SC-II'!CN53</f>
        <v>0</v>
      </c>
      <c r="CO10" s="264">
        <f ca="1">'SC-II'!CO53</f>
        <v>0</v>
      </c>
      <c r="CP10" s="264">
        <f ca="1">'SC-II'!CP53</f>
        <v>0</v>
      </c>
      <c r="CQ10" s="264">
        <f ca="1">'SC-II'!CQ53</f>
        <v>0</v>
      </c>
      <c r="CR10" s="264">
        <f ca="1">'SC-II'!CR53</f>
        <v>0</v>
      </c>
      <c r="CS10" s="264">
        <f ca="1">'SC-II'!CS53</f>
        <v>0</v>
      </c>
      <c r="CT10" s="264">
        <f ca="1">'SC-II'!CT53</f>
        <v>0</v>
      </c>
      <c r="CU10" s="264">
        <f ca="1">'SC-II'!CU53</f>
        <v>0</v>
      </c>
      <c r="CV10" s="264">
        <f ca="1">'SC-II'!CV53</f>
        <v>0</v>
      </c>
      <c r="CW10" s="264">
        <f ca="1">'SC-II'!CW53</f>
        <v>0</v>
      </c>
      <c r="CX10" s="264">
        <f ca="1">'SC-II'!CX53</f>
        <v>0</v>
      </c>
      <c r="CY10" s="264">
        <f ca="1">'SC-II'!CY53</f>
        <v>0</v>
      </c>
      <c r="CZ10" s="264">
        <f ca="1">'SC-II'!CZ53</f>
        <v>0</v>
      </c>
      <c r="DA10" s="264">
        <f ca="1">'SC-II'!DA53</f>
        <v>0</v>
      </c>
    </row>
    <row r="11" spans="1:105" s="265" customFormat="1" ht="15.75" customHeight="1">
      <c r="A11" s="62">
        <f t="array" aca="1" ref="A11" ca="1">IF(C11&lt;&gt;0,SUM(($C$11:C11&lt;&gt;0)*1),"")</f>
        <v>1</v>
      </c>
      <c r="B11" s="266" t="str">
        <f ca="1">IF(ROWS($1:1)&gt;COUNT(Dong8),"",OFFSET(TH!C$1,SMALL(Dong8,ROWS($1:1)),))</f>
        <v/>
      </c>
      <c r="C11" s="266" t="str">
        <f ca="1">IF(ROWS($1:1)&gt;COUNT(Dong8),"",OFFSET(TH!D$1,SMALL(Dong8,ROWS($1:1)),))</f>
        <v/>
      </c>
      <c r="D11" s="266" t="str">
        <f ca="1">IF(ROWS($1:1)&gt;COUNT(Dong8),"",OFFSET(TH!E$1,SMALL(Dong8,ROWS($1:1)),))</f>
        <v/>
      </c>
      <c r="E11" s="346" t="str">
        <f ca="1">IF(ROWS($1:1)&gt;COUNT(Dong8),"",OFFSET(TH!F$1,SMALL(Dong8,ROWS($1:1)),))</f>
        <v/>
      </c>
      <c r="F11" s="317" t="str">
        <f ca="1">IF(ROWS($1:1)&gt;COUNT(Dong8),"",OFFSET(TH!M$1,SMALL(Dong8,ROWS($1:1)),))</f>
        <v/>
      </c>
      <c r="G11" s="319" t="str">
        <f ca="1">IF(ROWS($1:1)&gt;COUNT(Dong8),"",OFFSET(TH!N$1,SMALL(Dong8,ROWS($1:1)),))</f>
        <v/>
      </c>
      <c r="H11" s="319" t="str">
        <f ca="1">IF(ROWS($1:1)&gt;COUNT(Dong8),"",OFFSET(TH!O$1,SMALL(Dong8,ROWS($1:1)),))</f>
        <v/>
      </c>
      <c r="I11" s="62">
        <f t="shared" ref="I11:I26"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7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7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7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7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7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7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7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7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7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7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7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7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7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7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7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75" customHeight="1">
      <c r="A27" s="62" t="str">
        <f t="array" ref="A27">IF(C27&lt;&gt;0,SUM(($C$11:C27&lt;&gt;0)*1),"")</f>
        <v/>
      </c>
      <c r="B27" s="266"/>
      <c r="C27" s="266"/>
      <c r="D27" s="266"/>
      <c r="E27" s="346"/>
      <c r="F27" s="317"/>
      <c r="G27" s="319"/>
      <c r="H27" s="319"/>
      <c r="I27" s="62" t="str">
        <f>A27</f>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75" customHeight="1">
      <c r="A28" s="62" t="str">
        <f t="array" ref="A28">IF(C28&lt;&gt;0,SUM(($C$11:C28&lt;&gt;0)*1),"")</f>
        <v/>
      </c>
      <c r="B28" s="266"/>
      <c r="C28" s="266"/>
      <c r="D28" s="266"/>
      <c r="E28" s="346"/>
      <c r="F28" s="317"/>
      <c r="G28" s="319"/>
      <c r="H28" s="319"/>
      <c r="I28" s="62" t="str">
        <f t="shared" ref="I28:I50" si="97">A28</f>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7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7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7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7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7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7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7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7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7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7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7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75" customHeight="1">
      <c r="A40" s="62">
        <f t="array" aca="1" ref="A40" ca="1">IF(C40&lt;&gt;0,SUM(($C$11:C40&lt;&gt;0)*1),"")</f>
        <v>2</v>
      </c>
      <c r="B40" s="266">
        <v>42643</v>
      </c>
      <c r="C40" s="269" t="s">
        <v>115</v>
      </c>
      <c r="D40" s="269">
        <f t="shared" ref="D40:D50" si="98">B40</f>
        <v>42643</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75" customHeight="1">
      <c r="A41" s="62">
        <f t="array" aca="1" ref="A41" ca="1">IF(C41&lt;&gt;0,SUM(($C$11:C41&lt;&gt;0)*1),"")</f>
        <v>3</v>
      </c>
      <c r="B41" s="266">
        <v>42643</v>
      </c>
      <c r="C41" s="269" t="s">
        <v>115</v>
      </c>
      <c r="D41" s="269">
        <f t="shared" si="98"/>
        <v>42643</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75" customHeight="1">
      <c r="A42" s="62">
        <f t="array" aca="1" ref="A42" ca="1">IF(C42&lt;&gt;0,SUM(($C$11:C42&lt;&gt;0)*1),"")</f>
        <v>4</v>
      </c>
      <c r="B42" s="266">
        <v>42643</v>
      </c>
      <c r="C42" s="269" t="s">
        <v>115</v>
      </c>
      <c r="D42" s="269">
        <f t="shared" si="98"/>
        <v>42643</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75" customHeight="1">
      <c r="A43" s="62">
        <f t="array" aca="1" ref="A43" ca="1">IF(C43&lt;&gt;0,SUM(($C$11:C43&lt;&gt;0)*1),"")</f>
        <v>5</v>
      </c>
      <c r="B43" s="266">
        <v>42643</v>
      </c>
      <c r="C43" s="269" t="s">
        <v>115</v>
      </c>
      <c r="D43" s="269">
        <f t="shared" si="98"/>
        <v>42643</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75" customHeight="1">
      <c r="A44" s="62">
        <f t="array" aca="1" ref="A44" ca="1">IF(C44&lt;&gt;0,SUM(($C$11:C44&lt;&gt;0)*1),"")</f>
        <v>6</v>
      </c>
      <c r="B44" s="266">
        <v>42643</v>
      </c>
      <c r="C44" s="269" t="s">
        <v>115</v>
      </c>
      <c r="D44" s="269">
        <f t="shared" si="98"/>
        <v>42643</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75" customHeight="1">
      <c r="A45" s="62">
        <f t="array" aca="1" ref="A45" ca="1">IF(C45&lt;&gt;0,SUM(($C$11:C45&lt;&gt;0)*1),"")</f>
        <v>7</v>
      </c>
      <c r="B45" s="266">
        <v>42643</v>
      </c>
      <c r="C45" s="269" t="s">
        <v>115</v>
      </c>
      <c r="D45" s="269">
        <f t="shared" si="98"/>
        <v>42643</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75" customHeight="1">
      <c r="A46" s="62">
        <f t="array" aca="1" ref="A46" ca="1">IF(C46&lt;&gt;0,SUM(($C$11:C46&lt;&gt;0)*1),"")</f>
        <v>8</v>
      </c>
      <c r="B46" s="266">
        <v>42643</v>
      </c>
      <c r="C46" s="269" t="s">
        <v>115</v>
      </c>
      <c r="D46" s="269">
        <f t="shared" si="98"/>
        <v>42643</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75" customHeight="1">
      <c r="A47" s="62">
        <f t="array" aca="1" ref="A47" ca="1">IF(C47&lt;&gt;0,SUM(($C$11:C47&lt;&gt;0)*1),"")</f>
        <v>9</v>
      </c>
      <c r="B47" s="266">
        <v>42643</v>
      </c>
      <c r="C47" s="269" t="s">
        <v>115</v>
      </c>
      <c r="D47" s="269">
        <f t="shared" si="98"/>
        <v>42643</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75" customHeight="1">
      <c r="A48" s="62">
        <f t="array" aca="1" ref="A48" ca="1">IF(C48&lt;&gt;0,SUM(($C$11:C48&lt;&gt;0)*1),"")</f>
        <v>10</v>
      </c>
      <c r="B48" s="266">
        <v>42643</v>
      </c>
      <c r="C48" s="269" t="s">
        <v>115</v>
      </c>
      <c r="D48" s="269">
        <f t="shared" si="98"/>
        <v>42643</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75" customHeight="1">
      <c r="A49" s="62">
        <f t="array" aca="1" ref="A49" ca="1">IF(C49&lt;&gt;0,SUM(($C$11:C49&lt;&gt;0)*1),"")</f>
        <v>11</v>
      </c>
      <c r="B49" s="266">
        <v>42643</v>
      </c>
      <c r="C49" s="269" t="s">
        <v>115</v>
      </c>
      <c r="D49" s="269">
        <f t="shared" si="98"/>
        <v>42643</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75" customHeight="1">
      <c r="A50" s="62">
        <f t="array" aca="1" ref="A50" ca="1">IF(C50&lt;&gt;0,SUM(($C$11:C50&lt;&gt;0)*1),"")</f>
        <v>12</v>
      </c>
      <c r="B50" s="266">
        <v>42643</v>
      </c>
      <c r="C50" s="269" t="s">
        <v>115</v>
      </c>
      <c r="D50" s="269">
        <f t="shared" si="98"/>
        <v>42643</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7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75" customHeight="1">
      <c r="A52" s="272"/>
      <c r="B52" s="272"/>
      <c r="C52" s="299"/>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75" customHeight="1">
      <c r="A53" s="273"/>
      <c r="B53" s="273"/>
      <c r="C53" s="273"/>
      <c r="D53" s="273"/>
      <c r="E53" s="274" t="s">
        <v>214</v>
      </c>
      <c r="F53" s="273"/>
      <c r="G53" s="275"/>
      <c r="H53" s="275"/>
      <c r="I53" s="273"/>
      <c r="J53" s="295">
        <f ca="1">MAX(J10+J52-K10-K52,0)</f>
        <v>1807122022.5</v>
      </c>
      <c r="K53" s="295">
        <f ca="1">MAX(K10+K52-J10-J52,0)</f>
        <v>0</v>
      </c>
      <c r="L53" s="295">
        <f ca="1">MAX(L10+L52-M10-M52,0)</f>
        <v>9382419</v>
      </c>
      <c r="M53" s="295">
        <f ca="1">MAX(M10+M52-L10-L52,0)</f>
        <v>0</v>
      </c>
      <c r="N53" s="295">
        <f ca="1">MAX(N10+N52-O10-O52,0)</f>
        <v>7381692.9499816895</v>
      </c>
      <c r="O53" s="295">
        <f ca="1">MAX(O10+O52-N10-N52,0)</f>
        <v>0</v>
      </c>
      <c r="P53" s="295">
        <f ca="1">MAX(P10+P52-Q10-Q52,0)</f>
        <v>57038792896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351991384</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37054109099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9756564</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27284564849.050003</v>
      </c>
      <c r="BX53" s="295">
        <f ca="1">MAX(BX10+BX52-BY10-BY52,0)</f>
        <v>0</v>
      </c>
      <c r="BY53" s="295">
        <f ca="1">MAX(BY10+BY52-BX10-BX52,0)</f>
        <v>10000000000</v>
      </c>
      <c r="BZ53" s="295">
        <f ca="1">MAX(BZ10+BZ52-CA10-CA52,0)</f>
        <v>0</v>
      </c>
      <c r="CA53" s="295">
        <f ca="1">MAX(CA10+CA52-BZ10-BZ52,0)</f>
        <v>635107905.00000095</v>
      </c>
      <c r="CB53" s="295">
        <f ca="1">MAX(CB10+CB52-CC10-CC52,0)</f>
        <v>107861885.00000048</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75" customHeight="1">
      <c r="A54" s="277"/>
      <c r="B54" s="277"/>
      <c r="C54" s="278"/>
      <c r="D54" s="277"/>
      <c r="E54" s="279" t="s">
        <v>215</v>
      </c>
      <c r="F54" s="277"/>
      <c r="G54" s="280"/>
      <c r="H54" s="280"/>
      <c r="I54" s="277"/>
      <c r="J54" s="277">
        <f ca="1">J52+'SC-II'!J54</f>
        <v>0</v>
      </c>
      <c r="K54" s="277">
        <f ca="1">K52+'SC-II'!K54</f>
        <v>0</v>
      </c>
      <c r="L54" s="277">
        <f ca="1">L52+'SC-II'!L54</f>
        <v>0</v>
      </c>
      <c r="M54" s="277">
        <f ca="1">M52+'SC-II'!M54</f>
        <v>0</v>
      </c>
      <c r="N54" s="277">
        <f ca="1">N52+'SC-II'!N54</f>
        <v>0</v>
      </c>
      <c r="O54" s="277">
        <f ca="1">O52+'SC-II'!O54</f>
        <v>0</v>
      </c>
      <c r="P54" s="277">
        <f ca="1">P52+'SC-II'!P54</f>
        <v>0</v>
      </c>
      <c r="Q54" s="277">
        <f ca="1">Q52+'SC-II'!Q54</f>
        <v>0</v>
      </c>
      <c r="R54" s="277">
        <f ca="1">R52+'SC-II'!R54</f>
        <v>0</v>
      </c>
      <c r="S54" s="277">
        <f ca="1">S52+'SC-II'!S54</f>
        <v>0</v>
      </c>
      <c r="T54" s="277">
        <f ca="1">T52+'SC-II'!T54</f>
        <v>0</v>
      </c>
      <c r="U54" s="277">
        <f ca="1">U52+'SC-II'!U54</f>
        <v>0</v>
      </c>
      <c r="V54" s="277">
        <f ca="1">V52+'SC-II'!V54</f>
        <v>0</v>
      </c>
      <c r="W54" s="277">
        <f ca="1">W52+'SC-II'!W54</f>
        <v>0</v>
      </c>
      <c r="X54" s="277">
        <f ca="1">X52+'SC-II'!X54</f>
        <v>0</v>
      </c>
      <c r="Y54" s="277">
        <f ca="1">Y52+'SC-II'!Y54</f>
        <v>0</v>
      </c>
      <c r="Z54" s="277">
        <f ca="1">Z52+'SC-II'!Z54</f>
        <v>0</v>
      </c>
      <c r="AA54" s="277">
        <f ca="1">AA52+'SC-II'!AA54</f>
        <v>0</v>
      </c>
      <c r="AB54" s="277">
        <f ca="1">AB52+'SC-II'!AB54</f>
        <v>0</v>
      </c>
      <c r="AC54" s="277">
        <f ca="1">AC52+'SC-II'!AC54</f>
        <v>0</v>
      </c>
      <c r="AD54" s="277">
        <f ca="1">AD52+'SC-II'!AD54</f>
        <v>0</v>
      </c>
      <c r="AE54" s="277">
        <f ca="1">AE52+'SC-II'!AE54</f>
        <v>0</v>
      </c>
      <c r="AF54" s="277">
        <f ca="1">AF52+'SC-II'!AF54</f>
        <v>0</v>
      </c>
      <c r="AG54" s="277">
        <f ca="1">AG52+'SC-II'!AG54</f>
        <v>0</v>
      </c>
      <c r="AH54" s="277">
        <f ca="1">AH52+'SC-II'!AH54</f>
        <v>0</v>
      </c>
      <c r="AI54" s="277">
        <f ca="1">AI52+'SC-II'!AI54</f>
        <v>0</v>
      </c>
      <c r="AJ54" s="277">
        <f ca="1">AJ52+'SC-II'!AJ54</f>
        <v>0</v>
      </c>
      <c r="AK54" s="277">
        <f ca="1">AK52+'SC-II'!AK54</f>
        <v>0</v>
      </c>
      <c r="AL54" s="277">
        <f ca="1">AL52+'SC-II'!AL54</f>
        <v>0</v>
      </c>
      <c r="AM54" s="277">
        <f ca="1">AM52+'SC-II'!AM54</f>
        <v>0</v>
      </c>
      <c r="AN54" s="277">
        <f ca="1">AN52+'SC-II'!AN54</f>
        <v>0</v>
      </c>
      <c r="AO54" s="277">
        <f ca="1">AO52+'SC-II'!AO54</f>
        <v>0</v>
      </c>
      <c r="AP54" s="277">
        <f ca="1">AP52+'SC-II'!AP54</f>
        <v>0</v>
      </c>
      <c r="AQ54" s="277">
        <f ca="1">AQ52+'SC-II'!AQ54</f>
        <v>0</v>
      </c>
      <c r="AR54" s="277">
        <f ca="1">AR52+'SC-II'!AR54</f>
        <v>0</v>
      </c>
      <c r="AS54" s="277">
        <f ca="1">AS52+'SC-II'!AS54</f>
        <v>0</v>
      </c>
      <c r="AT54" s="277">
        <f ca="1">AT52+'SC-II'!AT54</f>
        <v>0</v>
      </c>
      <c r="AU54" s="277">
        <f ca="1">AU52+'SC-II'!AU54</f>
        <v>0</v>
      </c>
      <c r="AV54" s="277">
        <f ca="1">AV52+'SC-II'!AV54</f>
        <v>0</v>
      </c>
      <c r="AW54" s="277">
        <f ca="1">AW52+'SC-II'!AW54</f>
        <v>0</v>
      </c>
      <c r="AX54" s="277">
        <f ca="1">AX52+'SC-II'!AX54</f>
        <v>0</v>
      </c>
      <c r="AY54" s="277">
        <f ca="1">AY52+'SC-II'!AY54</f>
        <v>0</v>
      </c>
      <c r="AZ54" s="277">
        <f ca="1">AZ52+'SC-II'!AZ54</f>
        <v>0</v>
      </c>
      <c r="BA54" s="277">
        <f ca="1">BA52+'SC-II'!BA54</f>
        <v>0</v>
      </c>
      <c r="BB54" s="277">
        <f ca="1">BB52+'SC-II'!BB54</f>
        <v>0</v>
      </c>
      <c r="BC54" s="277">
        <f ca="1">BC52+'SC-II'!BC54</f>
        <v>0</v>
      </c>
      <c r="BD54" s="277">
        <f ca="1">BD52+'SC-II'!BD54</f>
        <v>0</v>
      </c>
      <c r="BE54" s="277">
        <f ca="1">BE52+'SC-II'!BE54</f>
        <v>0</v>
      </c>
      <c r="BF54" s="277">
        <f ca="1">BF52+'SC-II'!BF54</f>
        <v>0</v>
      </c>
      <c r="BG54" s="277">
        <f ca="1">BG52+'SC-II'!BG54</f>
        <v>0</v>
      </c>
      <c r="BH54" s="277">
        <f ca="1">BH52+'SC-II'!BH54</f>
        <v>0</v>
      </c>
      <c r="BI54" s="277">
        <f ca="1">BI52+'SC-II'!BI54</f>
        <v>0</v>
      </c>
      <c r="BJ54" s="277">
        <f ca="1">BJ52+'SC-II'!BJ54</f>
        <v>0</v>
      </c>
      <c r="BK54" s="277">
        <f ca="1">BK52+'SC-II'!BK54</f>
        <v>0</v>
      </c>
      <c r="BL54" s="277">
        <f ca="1">BL52+'SC-II'!BL54</f>
        <v>0</v>
      </c>
      <c r="BM54" s="277">
        <f ca="1">BM52+'SC-II'!BM54</f>
        <v>0</v>
      </c>
      <c r="BN54" s="277">
        <f ca="1">BN52+'SC-II'!BN54</f>
        <v>0</v>
      </c>
      <c r="BO54" s="277">
        <f ca="1">BO52+'SC-II'!BO54</f>
        <v>0</v>
      </c>
      <c r="BP54" s="277">
        <f ca="1">BP52+'SC-II'!BP54</f>
        <v>0</v>
      </c>
      <c r="BQ54" s="277">
        <f ca="1">BQ52+'SC-II'!BQ54</f>
        <v>0</v>
      </c>
      <c r="BR54" s="277">
        <f ca="1">BR52+'SC-II'!BR54</f>
        <v>0</v>
      </c>
      <c r="BS54" s="277">
        <f ca="1">BS52+'SC-II'!BS54</f>
        <v>0</v>
      </c>
      <c r="BT54" s="277">
        <f ca="1">BT52+'SC-II'!BT54</f>
        <v>0</v>
      </c>
      <c r="BU54" s="277">
        <f ca="1">BU52+'SC-II'!BU54</f>
        <v>0</v>
      </c>
      <c r="BV54" s="277">
        <f ca="1">BV52+'SC-II'!BV54</f>
        <v>0</v>
      </c>
      <c r="BW54" s="277">
        <f ca="1">BW52+'SC-II'!BW54</f>
        <v>0</v>
      </c>
      <c r="BX54" s="277">
        <f ca="1">BX52+'SC-II'!BX54</f>
        <v>0</v>
      </c>
      <c r="BY54" s="277">
        <f ca="1">BY52+'SC-II'!BY54</f>
        <v>0</v>
      </c>
      <c r="BZ54" s="277">
        <f ca="1">BZ52+'SC-II'!BZ54</f>
        <v>0</v>
      </c>
      <c r="CA54" s="277">
        <f ca="1">CA52+'SC-II'!CA54</f>
        <v>107861885.00000048</v>
      </c>
      <c r="CB54" s="277">
        <f ca="1">CB52+'SC-II'!CB54</f>
        <v>107861885.00000048</v>
      </c>
      <c r="CC54" s="277">
        <f ca="1">CC52+'SC-II'!CC54</f>
        <v>0</v>
      </c>
      <c r="CD54" s="277">
        <f ca="1">CD52+'SC-II'!CD54</f>
        <v>0</v>
      </c>
      <c r="CE54" s="277">
        <f ca="1">CE52+'SC-II'!CE54</f>
        <v>0</v>
      </c>
      <c r="CF54" s="277">
        <f ca="1">CF52+'SC-II'!CF54</f>
        <v>0</v>
      </c>
      <c r="CG54" s="277">
        <f ca="1">CG52+'SC-II'!CG54</f>
        <v>0</v>
      </c>
      <c r="CH54" s="277">
        <f ca="1">CH52+'SC-II'!CH54</f>
        <v>0</v>
      </c>
      <c r="CI54" s="277">
        <f ca="1">CI52+'SC-II'!CI54</f>
        <v>0</v>
      </c>
      <c r="CJ54" s="277">
        <f ca="1">CJ52+'SC-II'!CJ54</f>
        <v>0</v>
      </c>
      <c r="CK54" s="277">
        <f ca="1">CK52+'SC-II'!CK54</f>
        <v>0</v>
      </c>
      <c r="CL54" s="277">
        <f ca="1">CL52+'SC-II'!CL54</f>
        <v>0</v>
      </c>
      <c r="CM54" s="277">
        <f ca="1">CM52+'SC-II'!CM54</f>
        <v>0</v>
      </c>
      <c r="CN54" s="277">
        <f ca="1">CN52+'SC-II'!CN54</f>
        <v>0</v>
      </c>
      <c r="CO54" s="277">
        <f ca="1">CO52+'SC-II'!CO54</f>
        <v>0</v>
      </c>
      <c r="CP54" s="277">
        <f ca="1">CP52+'SC-II'!CP54</f>
        <v>0</v>
      </c>
      <c r="CQ54" s="277">
        <f ca="1">CQ52+'SC-II'!CQ54</f>
        <v>0</v>
      </c>
      <c r="CR54" s="277">
        <f ca="1">CR52+'SC-II'!CR54</f>
        <v>0</v>
      </c>
      <c r="CS54" s="277">
        <f ca="1">CS52+'SC-II'!CS54</f>
        <v>0</v>
      </c>
      <c r="CT54" s="277">
        <f ca="1">CT52+'SC-II'!CT54</f>
        <v>0</v>
      </c>
      <c r="CU54" s="277">
        <f ca="1">CU52+'SC-II'!CU54</f>
        <v>0</v>
      </c>
      <c r="CV54" s="277">
        <f ca="1">CV52+'SC-II'!CV54</f>
        <v>0</v>
      </c>
      <c r="CW54" s="277">
        <f ca="1">CW52+'SC-II'!CW54</f>
        <v>0</v>
      </c>
      <c r="CX54" s="277">
        <f ca="1">CX52+'SC-II'!CX54</f>
        <v>0</v>
      </c>
      <c r="CY54" s="277">
        <f ca="1">CY52+'SC-II'!CY54</f>
        <v>0</v>
      </c>
      <c r="CZ54" s="277">
        <f ca="1">CZ52+'SC-II'!CZ54</f>
        <v>0</v>
      </c>
      <c r="DA54" s="277">
        <f ca="1">DA52+'SC-II'!DA54</f>
        <v>0</v>
      </c>
    </row>
    <row r="55" spans="1:105" ht="12" customHeight="1">
      <c r="B55" s="282"/>
      <c r="C55" s="283"/>
      <c r="D55" s="283"/>
      <c r="E55" s="283"/>
      <c r="F55" s="283"/>
      <c r="G55" s="284"/>
      <c r="H55" s="284"/>
      <c r="I55" s="283"/>
      <c r="J55" s="283"/>
      <c r="K55" s="283"/>
      <c r="AR55" s="282"/>
      <c r="AS55" s="282"/>
      <c r="AT55" s="283"/>
      <c r="AU55" s="283"/>
      <c r="AV55" s="283"/>
      <c r="AW55" s="284"/>
      <c r="AX55" s="284"/>
      <c r="AY55" s="284"/>
      <c r="AZ55" s="284"/>
      <c r="BA55" s="300"/>
    </row>
    <row r="56" spans="1:105">
      <c r="F56" s="246"/>
      <c r="M56" s="285"/>
      <c r="O56" s="285"/>
      <c r="Q56" s="285"/>
      <c r="R56" s="285"/>
      <c r="S56" s="285"/>
      <c r="T56" s="285"/>
      <c r="U56" s="285"/>
      <c r="V56" s="285"/>
      <c r="AL56" s="286" t="s">
        <v>230</v>
      </c>
      <c r="AM56" s="287"/>
      <c r="AN56" s="287"/>
      <c r="AO56" s="287"/>
      <c r="AP56" s="287"/>
      <c r="AQ56" s="287"/>
      <c r="AR56" s="288"/>
      <c r="AS56" s="288"/>
      <c r="AT56" s="287"/>
    </row>
    <row r="57" spans="1:105">
      <c r="F57" s="246"/>
      <c r="M57" s="285"/>
      <c r="O57" s="285"/>
      <c r="Q57" s="285"/>
      <c r="R57" s="285"/>
      <c r="S57" s="285"/>
      <c r="T57" s="285"/>
      <c r="U57" s="285"/>
      <c r="V57" s="285"/>
      <c r="AL57" s="289" t="s">
        <v>221</v>
      </c>
      <c r="AM57" s="287"/>
      <c r="AN57" s="287"/>
      <c r="AO57" s="287"/>
      <c r="AP57" s="287"/>
      <c r="AQ57" s="287"/>
      <c r="AR57" s="288"/>
      <c r="AS57" s="288"/>
      <c r="AT57" s="287"/>
    </row>
    <row r="58" spans="1:105">
      <c r="F58" s="246"/>
      <c r="M58" s="285"/>
      <c r="O58" s="285"/>
      <c r="Q58" s="285"/>
      <c r="R58" s="285"/>
      <c r="S58" s="285"/>
      <c r="T58" s="285"/>
      <c r="U58" s="285"/>
      <c r="V58" s="285"/>
      <c r="AL58" s="287"/>
      <c r="AM58" s="287"/>
      <c r="AN58" s="287"/>
      <c r="AO58" s="287"/>
      <c r="AP58" s="287"/>
      <c r="AQ58" s="287"/>
      <c r="AR58" s="287"/>
      <c r="AS58" s="287"/>
      <c r="AT58" s="288"/>
    </row>
    <row r="59" spans="1:105">
      <c r="F59" s="246"/>
      <c r="M59" s="285"/>
      <c r="O59" s="285"/>
      <c r="Q59" s="285"/>
      <c r="R59" s="285"/>
      <c r="S59" s="285"/>
      <c r="T59" s="285"/>
      <c r="U59" s="285"/>
      <c r="V59" s="285"/>
      <c r="AL59" s="287"/>
      <c r="AM59" s="287"/>
      <c r="AN59" s="287"/>
      <c r="AO59" s="287"/>
      <c r="AP59" s="287"/>
      <c r="AQ59" s="287"/>
      <c r="AR59" s="287"/>
      <c r="AS59" s="287"/>
      <c r="AT59" s="288"/>
      <c r="AZ59" s="290" t="str">
        <f>"Ngày 30 tháng 09 năm 2015 "</f>
        <v xml:space="preserve">Ngày 30 tháng 09 năm 2015 </v>
      </c>
    </row>
    <row r="60" spans="1:105">
      <c r="F60" s="246"/>
      <c r="M60" s="285"/>
      <c r="O60" s="285"/>
      <c r="Q60" s="285"/>
      <c r="R60" s="285"/>
      <c r="S60" s="285"/>
      <c r="T60" s="285"/>
      <c r="U60" s="285"/>
      <c r="V60" s="285"/>
      <c r="AL60" s="287"/>
      <c r="AM60" s="291" t="s">
        <v>11</v>
      </c>
      <c r="AN60" s="287"/>
      <c r="AO60" s="287"/>
      <c r="AP60" s="287"/>
      <c r="AQ60" s="287"/>
      <c r="AR60" s="287"/>
      <c r="AS60" s="292" t="s">
        <v>12</v>
      </c>
      <c r="AT60" s="288"/>
      <c r="AZ60" s="291" t="s">
        <v>131</v>
      </c>
    </row>
    <row r="61" spans="1:105">
      <c r="F61" s="246"/>
      <c r="M61" s="285"/>
      <c r="O61" s="285"/>
      <c r="Q61" s="285"/>
      <c r="R61" s="285"/>
      <c r="S61" s="285"/>
      <c r="T61" s="285"/>
      <c r="U61" s="285"/>
      <c r="V61" s="285"/>
      <c r="AL61" s="287"/>
      <c r="AM61" s="293" t="s">
        <v>13</v>
      </c>
      <c r="AN61" s="287"/>
      <c r="AO61" s="287"/>
      <c r="AP61" s="287"/>
      <c r="AQ61" s="287"/>
      <c r="AR61" s="287"/>
      <c r="AS61" s="294" t="s">
        <v>13</v>
      </c>
      <c r="AT61" s="288"/>
      <c r="AZ61" s="293" t="s">
        <v>161</v>
      </c>
    </row>
    <row r="62" spans="1:105">
      <c r="F62" s="246"/>
      <c r="M62" s="285"/>
      <c r="O62" s="285"/>
      <c r="Q62" s="285"/>
      <c r="R62" s="285"/>
      <c r="S62" s="285"/>
      <c r="T62" s="285"/>
      <c r="U62" s="285"/>
      <c r="V62" s="285"/>
      <c r="AL62" s="287"/>
      <c r="AM62" s="287"/>
      <c r="AN62" s="287"/>
      <c r="AO62" s="287"/>
      <c r="AP62" s="287"/>
      <c r="AQ62" s="287"/>
      <c r="AR62" s="287"/>
      <c r="AS62" s="287"/>
      <c r="AT62" s="288"/>
      <c r="AZ62" s="287"/>
    </row>
    <row r="63" spans="1:105">
      <c r="F63" s="246"/>
      <c r="M63" s="285"/>
      <c r="O63" s="285"/>
      <c r="Q63" s="285"/>
      <c r="R63" s="285"/>
      <c r="S63" s="285"/>
      <c r="T63" s="285"/>
      <c r="U63" s="285"/>
      <c r="V63" s="285"/>
      <c r="AZ63" s="287"/>
    </row>
    <row r="64" spans="1:105">
      <c r="F64" s="246"/>
      <c r="M64" s="285"/>
      <c r="O64" s="285"/>
      <c r="Q64" s="285"/>
      <c r="R64" s="285"/>
      <c r="S64" s="285"/>
      <c r="T64" s="285"/>
      <c r="U64" s="285"/>
      <c r="V64" s="285"/>
    </row>
    <row r="65" spans="6:22">
      <c r="F65" s="246"/>
      <c r="M65" s="285"/>
      <c r="O65" s="285"/>
      <c r="Q65" s="285"/>
      <c r="R65" s="285"/>
      <c r="S65" s="285"/>
      <c r="T65" s="285"/>
      <c r="U65" s="285"/>
      <c r="V65" s="285"/>
    </row>
    <row r="66" spans="6:22">
      <c r="F66" s="246"/>
      <c r="M66" s="285"/>
      <c r="O66" s="285"/>
      <c r="Q66" s="285"/>
      <c r="R66" s="285"/>
      <c r="S66" s="285"/>
      <c r="T66" s="285"/>
      <c r="U66" s="285"/>
      <c r="V66" s="285"/>
    </row>
    <row r="67" spans="6:22">
      <c r="F67" s="246"/>
      <c r="M67" s="285"/>
      <c r="O67" s="285"/>
      <c r="Q67" s="285"/>
      <c r="R67" s="285"/>
      <c r="S67" s="285"/>
      <c r="T67" s="285"/>
      <c r="U67" s="285"/>
      <c r="V67" s="285"/>
    </row>
    <row r="68" spans="6:22">
      <c r="F68" s="246"/>
      <c r="M68" s="285"/>
      <c r="O68" s="285"/>
      <c r="Q68" s="285"/>
      <c r="R68" s="285"/>
      <c r="S68" s="285"/>
      <c r="T68" s="285"/>
      <c r="U68" s="285"/>
      <c r="V68" s="285"/>
    </row>
    <row r="69" spans="6:22">
      <c r="F69" s="246"/>
      <c r="M69" s="285"/>
      <c r="O69" s="285"/>
      <c r="Q69" s="285"/>
      <c r="R69" s="285"/>
      <c r="S69" s="285"/>
      <c r="T69" s="285"/>
      <c r="U69" s="285"/>
      <c r="V69" s="285"/>
    </row>
    <row r="78" spans="6:22">
      <c r="R78" s="285"/>
    </row>
    <row r="79" spans="6:22">
      <c r="R79" s="285"/>
    </row>
    <row r="80" spans="6:22">
      <c r="M80" s="285"/>
      <c r="O80" s="285"/>
      <c r="P80" s="285"/>
      <c r="Q80" s="285"/>
      <c r="R80" s="285"/>
    </row>
    <row r="81" spans="13:18">
      <c r="M81" s="285"/>
      <c r="O81" s="285"/>
      <c r="P81" s="285"/>
      <c r="Q81" s="285"/>
      <c r="R81" s="285"/>
    </row>
    <row r="82" spans="13:18">
      <c r="M82" s="285"/>
      <c r="O82" s="285"/>
      <c r="P82" s="285"/>
      <c r="Q82" s="285"/>
    </row>
    <row r="83" spans="13:18">
      <c r="M83" s="285"/>
      <c r="O83" s="285"/>
      <c r="P83" s="285"/>
      <c r="Q83" s="285"/>
    </row>
    <row r="85" spans="13:18">
      <c r="M85" s="285"/>
      <c r="O85" s="285"/>
      <c r="P85" s="285"/>
      <c r="Q85" s="285"/>
      <c r="R85" s="285"/>
    </row>
    <row r="86" spans="13:18">
      <c r="M86" s="285"/>
      <c r="O86" s="285"/>
      <c r="P86" s="285"/>
      <c r="Q86" s="285"/>
      <c r="R86" s="285"/>
    </row>
    <row r="93" spans="13:18">
      <c r="M93" s="285"/>
      <c r="O93" s="285"/>
      <c r="P93" s="285"/>
      <c r="Q93" s="285"/>
      <c r="R93" s="285"/>
    </row>
    <row r="94" spans="13:18">
      <c r="M94" s="285"/>
      <c r="O94" s="285"/>
      <c r="P94" s="285"/>
      <c r="Q94" s="285"/>
      <c r="R94" s="285"/>
    </row>
    <row r="95" spans="13:18">
      <c r="M95" s="285"/>
      <c r="O95" s="285"/>
      <c r="P95" s="285"/>
      <c r="Q95" s="285"/>
      <c r="R95" s="285"/>
    </row>
    <row r="99" spans="13:18">
      <c r="M99" s="285"/>
      <c r="O99" s="285"/>
      <c r="P99" s="285"/>
      <c r="Q99" s="285"/>
      <c r="R99" s="285"/>
    </row>
    <row r="100" spans="13:18">
      <c r="M100" s="285"/>
      <c r="O100" s="285"/>
      <c r="P100" s="285"/>
      <c r="Q100" s="285"/>
      <c r="R100" s="285"/>
    </row>
    <row r="101" spans="13:18">
      <c r="M101" s="285"/>
      <c r="O101" s="285"/>
      <c r="P101" s="285"/>
      <c r="Q101" s="285"/>
      <c r="R101" s="285"/>
    </row>
    <row r="102" spans="13:18">
      <c r="M102" s="285"/>
      <c r="O102" s="285"/>
      <c r="P102" s="285"/>
      <c r="Q102" s="285"/>
      <c r="R102" s="285"/>
    </row>
    <row r="103" spans="13:18">
      <c r="M103" s="285"/>
      <c r="O103" s="285"/>
      <c r="P103" s="285"/>
      <c r="Q103" s="285"/>
      <c r="R103" s="285"/>
    </row>
    <row r="104" spans="13:18">
      <c r="M104" s="285"/>
      <c r="O104" s="285"/>
      <c r="P104" s="285"/>
      <c r="Q104" s="285"/>
      <c r="R104" s="285"/>
    </row>
    <row r="105" spans="13:18">
      <c r="M105" s="285"/>
      <c r="O105" s="285"/>
      <c r="P105" s="285"/>
      <c r="Q105" s="285"/>
      <c r="R105" s="285"/>
    </row>
    <row r="106" spans="13:18">
      <c r="M106" s="285"/>
      <c r="O106" s="285"/>
      <c r="P106" s="285"/>
      <c r="Q106" s="285"/>
      <c r="R106" s="285"/>
    </row>
    <row r="107" spans="13:18">
      <c r="M107" s="285"/>
      <c r="O107" s="285"/>
      <c r="P107" s="285"/>
      <c r="Q107" s="285"/>
      <c r="R107" s="285"/>
    </row>
    <row r="108" spans="13:18">
      <c r="M108" s="285"/>
      <c r="O108" s="285"/>
      <c r="P108" s="285"/>
      <c r="Q108" s="285"/>
      <c r="R108" s="285"/>
    </row>
    <row r="109" spans="13:18">
      <c r="M109" s="285"/>
      <c r="O109" s="285"/>
      <c r="P109" s="285"/>
      <c r="Q109" s="285"/>
      <c r="R109" s="285"/>
    </row>
    <row r="110" spans="13:18">
      <c r="M110" s="285"/>
      <c r="O110" s="285"/>
      <c r="P110" s="285"/>
      <c r="Q110" s="285"/>
      <c r="R110" s="285"/>
    </row>
    <row r="111" spans="13:18">
      <c r="M111" s="285"/>
      <c r="O111" s="285"/>
      <c r="P111" s="285"/>
      <c r="Q111" s="285"/>
      <c r="R111" s="285"/>
    </row>
    <row r="112" spans="13:18">
      <c r="M112" s="285"/>
      <c r="O112" s="285"/>
      <c r="P112" s="285"/>
      <c r="Q112" s="285"/>
      <c r="R112" s="285"/>
    </row>
    <row r="113" spans="13:18">
      <c r="M113" s="285"/>
      <c r="O113" s="285"/>
      <c r="P113" s="285"/>
      <c r="Q113" s="285"/>
      <c r="R113" s="285"/>
    </row>
    <row r="114" spans="13:18">
      <c r="M114" s="285"/>
      <c r="O114" s="285"/>
      <c r="P114" s="285"/>
      <c r="Q114" s="285"/>
      <c r="R114" s="285"/>
    </row>
    <row r="115" spans="13:18">
      <c r="M115" s="285"/>
      <c r="O115" s="285"/>
      <c r="P115" s="285"/>
      <c r="Q115" s="285"/>
      <c r="R115" s="285"/>
    </row>
    <row r="116" spans="13:18">
      <c r="M116" s="285"/>
      <c r="O116" s="285"/>
      <c r="P116" s="285"/>
      <c r="Q116" s="285"/>
      <c r="R116" s="285"/>
    </row>
    <row r="117" spans="13:18">
      <c r="M117" s="285"/>
      <c r="O117" s="285"/>
      <c r="P117" s="285"/>
      <c r="Q117" s="285"/>
      <c r="R117" s="285"/>
    </row>
    <row r="118" spans="13:18">
      <c r="M118" s="285"/>
      <c r="O118" s="285"/>
      <c r="P118" s="285"/>
      <c r="Q118" s="285"/>
      <c r="R118" s="285"/>
    </row>
    <row r="119" spans="13:18">
      <c r="M119" s="285"/>
      <c r="O119" s="285"/>
      <c r="P119" s="285"/>
      <c r="Q119" s="285"/>
      <c r="R119" s="285"/>
    </row>
    <row r="120" spans="13:18">
      <c r="M120" s="285"/>
      <c r="O120" s="285"/>
      <c r="P120" s="285"/>
      <c r="Q120" s="285"/>
      <c r="R120" s="285"/>
    </row>
    <row r="121" spans="13:18">
      <c r="M121" s="285"/>
      <c r="O121" s="285"/>
      <c r="P121" s="285"/>
      <c r="Q121" s="285"/>
      <c r="R121" s="285"/>
    </row>
    <row r="122" spans="13:18">
      <c r="M122" s="285"/>
      <c r="O122" s="285"/>
      <c r="P122" s="285"/>
      <c r="Q122" s="285"/>
      <c r="R122" s="285"/>
    </row>
    <row r="123" spans="13:18">
      <c r="M123" s="285"/>
      <c r="O123" s="285"/>
      <c r="P123" s="285"/>
      <c r="Q123" s="285"/>
      <c r="R123" s="285"/>
    </row>
    <row r="124" spans="13:18">
      <c r="M124" s="285"/>
      <c r="O124" s="285"/>
      <c r="P124" s="285"/>
      <c r="Q124" s="285"/>
      <c r="R124" s="285"/>
    </row>
    <row r="125" spans="13:18">
      <c r="M125" s="285"/>
      <c r="O125" s="285"/>
      <c r="P125" s="285"/>
      <c r="Q125" s="285"/>
      <c r="R125" s="285"/>
    </row>
    <row r="126" spans="13:18">
      <c r="M126" s="285"/>
      <c r="O126" s="285"/>
      <c r="P126" s="285"/>
      <c r="Q126" s="285"/>
      <c r="R126" s="285"/>
    </row>
    <row r="127" spans="13:18">
      <c r="M127" s="285"/>
      <c r="O127" s="285"/>
      <c r="P127" s="285"/>
      <c r="Q127" s="285"/>
      <c r="R127" s="285"/>
    </row>
    <row r="128" spans="13:18">
      <c r="M128" s="285"/>
      <c r="O128" s="285"/>
      <c r="P128" s="285"/>
      <c r="Q128" s="285"/>
      <c r="R128" s="285"/>
    </row>
    <row r="129" spans="13:18">
      <c r="M129" s="285"/>
      <c r="O129" s="285"/>
      <c r="P129" s="285"/>
      <c r="Q129" s="285"/>
      <c r="R129" s="285"/>
    </row>
    <row r="130" spans="13:18">
      <c r="M130" s="285"/>
      <c r="O130" s="285"/>
      <c r="P130" s="285"/>
      <c r="Q130" s="285"/>
      <c r="R130" s="285"/>
    </row>
    <row r="131" spans="13:18">
      <c r="M131" s="285"/>
      <c r="O131" s="285"/>
      <c r="P131" s="285"/>
      <c r="Q131" s="285"/>
      <c r="R131" s="285"/>
    </row>
    <row r="132" spans="13:18">
      <c r="M132" s="285"/>
      <c r="O132" s="285"/>
      <c r="P132" s="285"/>
      <c r="Q132" s="285"/>
      <c r="R132" s="285"/>
    </row>
    <row r="133" spans="13:18">
      <c r="M133" s="285"/>
      <c r="O133" s="285"/>
      <c r="P133" s="285"/>
      <c r="Q133" s="285"/>
      <c r="R133" s="285"/>
    </row>
    <row r="134" spans="13:18">
      <c r="M134" s="285"/>
      <c r="O134" s="285"/>
      <c r="P134" s="285"/>
      <c r="Q134" s="285"/>
      <c r="R134"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38" spans="13:18">
      <c r="M138" s="285"/>
      <c r="O138" s="285"/>
      <c r="P138" s="285"/>
      <c r="Q138" s="285"/>
      <c r="R138" s="285"/>
    </row>
    <row r="139" spans="13:18">
      <c r="M139" s="285"/>
      <c r="O139" s="285"/>
      <c r="P139" s="285"/>
      <c r="Q139" s="285"/>
      <c r="R139" s="285"/>
    </row>
    <row r="140" spans="13:18">
      <c r="M140" s="285"/>
      <c r="O140" s="285"/>
      <c r="P140" s="285"/>
      <c r="Q140" s="285"/>
      <c r="R140"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6" customWidth="1"/>
    <col min="2" max="2" width="8.42578125" style="246" customWidth="1"/>
    <col min="3" max="3" width="7.85546875" style="246" customWidth="1"/>
    <col min="4" max="4" width="8.7109375" style="246" customWidth="1"/>
    <col min="5" max="5" width="44" style="246" customWidth="1"/>
    <col min="6" max="6" width="13.5703125" style="246" customWidth="1"/>
    <col min="7" max="8" width="5.85546875" style="247" customWidth="1"/>
    <col min="9" max="9" width="4.85546875" style="246" customWidth="1"/>
    <col min="10" max="10" width="13.140625" style="246" customWidth="1"/>
    <col min="11" max="11" width="13.28515625" style="246" customWidth="1"/>
    <col min="12" max="12" width="13.7109375" style="246" customWidth="1"/>
    <col min="13" max="13" width="14" style="246" customWidth="1"/>
    <col min="14" max="14" width="13.7109375" style="246" customWidth="1"/>
    <col min="15" max="15" width="14" style="246" customWidth="1"/>
    <col min="16" max="16" width="12.7109375" style="246" customWidth="1"/>
    <col min="17" max="17" width="14.5703125" style="246" customWidth="1"/>
    <col min="18" max="18" width="13.28515625" style="246" customWidth="1"/>
    <col min="19" max="19" width="13" style="246" customWidth="1"/>
    <col min="20" max="20" width="14" style="246" customWidth="1"/>
    <col min="21" max="21" width="5" style="246" customWidth="1"/>
    <col min="22" max="22" width="13.7109375" style="246" customWidth="1"/>
    <col min="23" max="23" width="13.42578125" style="246" customWidth="1"/>
    <col min="24" max="24" width="6.140625" style="246" customWidth="1"/>
    <col min="25" max="25" width="7.140625" style="246" customWidth="1"/>
    <col min="26" max="27" width="9.42578125" style="246" customWidth="1"/>
    <col min="28" max="28" width="11.140625" style="246" customWidth="1"/>
    <col min="29" max="29" width="13" style="246" customWidth="1"/>
    <col min="30" max="30" width="4.5703125" style="246" customWidth="1"/>
    <col min="31" max="31" width="13.5703125" style="246" customWidth="1"/>
    <col min="32" max="32" width="4.5703125" style="246" customWidth="1"/>
    <col min="33" max="33" width="13.5703125" style="246" customWidth="1"/>
    <col min="34" max="34" width="4.42578125" style="246" customWidth="1"/>
    <col min="35" max="35" width="12.7109375" style="246" customWidth="1"/>
    <col min="36" max="36" width="11.140625" style="246" customWidth="1"/>
    <col min="37" max="37" width="4.7109375" style="246" customWidth="1"/>
    <col min="38" max="38" width="12.28515625" style="246" customWidth="1"/>
    <col min="39" max="39" width="11.42578125" style="246" customWidth="1"/>
    <col min="40" max="40" width="11.28515625" style="246" customWidth="1"/>
    <col min="41" max="41" width="11.140625" style="246" customWidth="1"/>
    <col min="42" max="43" width="12.5703125" style="246" customWidth="1"/>
    <col min="44" max="44" width="13.42578125" style="246" customWidth="1"/>
    <col min="45" max="45" width="12.7109375" style="246" customWidth="1"/>
    <col min="46" max="46" width="11.85546875" style="246" customWidth="1"/>
    <col min="47" max="47" width="11.5703125" style="246" customWidth="1"/>
    <col min="48" max="48" width="7.5703125" style="246" customWidth="1"/>
    <col min="49" max="49" width="8.140625" style="246" customWidth="1"/>
    <col min="50" max="50" width="7.5703125" style="246" customWidth="1"/>
    <col min="51" max="51" width="7.42578125" style="246" customWidth="1"/>
    <col min="52" max="53" width="13.140625" style="246" customWidth="1"/>
    <col min="54" max="16384" width="9.140625" style="246"/>
  </cols>
  <sheetData>
    <row r="1" spans="1:105" ht="12.75" customHeight="1">
      <c r="A1" s="242"/>
      <c r="B1" s="243" t="s">
        <v>121</v>
      </c>
      <c r="C1" s="244"/>
      <c r="D1" s="244"/>
      <c r="E1" s="245"/>
      <c r="I1" s="244"/>
      <c r="L1" s="1256" t="s">
        <v>189</v>
      </c>
      <c r="M1" s="1256"/>
      <c r="N1" s="1256"/>
      <c r="O1" s="1256"/>
      <c r="P1" s="1256"/>
      <c r="Q1" s="1256"/>
      <c r="R1" s="335"/>
      <c r="T1" s="244"/>
      <c r="U1" s="244"/>
      <c r="V1" s="244"/>
      <c r="W1" s="244"/>
      <c r="X1" s="244"/>
      <c r="Y1" s="244"/>
      <c r="Z1" s="244"/>
      <c r="AA1" s="244"/>
      <c r="AB1" s="244"/>
      <c r="AC1" s="244"/>
      <c r="AD1" s="244"/>
      <c r="AE1" s="244"/>
      <c r="AF1" s="393"/>
      <c r="AG1" s="393"/>
      <c r="AH1" s="244"/>
      <c r="AI1" s="244"/>
      <c r="AJ1" s="244"/>
      <c r="AK1" s="244"/>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L2" s="1257" t="s">
        <v>144</v>
      </c>
      <c r="M2" s="1257"/>
      <c r="N2" s="1257"/>
      <c r="O2" s="1257"/>
      <c r="P2" s="1257"/>
      <c r="Q2" s="1257"/>
      <c r="R2" s="336"/>
      <c r="T2" s="248"/>
      <c r="U2" s="248"/>
      <c r="V2" s="248"/>
      <c r="W2" s="248"/>
      <c r="X2" s="248"/>
      <c r="Y2" s="248"/>
      <c r="Z2" s="248"/>
      <c r="AA2" s="248"/>
      <c r="AB2" s="248"/>
      <c r="AC2" s="248"/>
      <c r="AD2" s="248"/>
      <c r="AE2" s="248"/>
      <c r="AF2" s="394"/>
      <c r="AG2" s="394"/>
      <c r="AH2" s="248"/>
      <c r="AI2" s="248"/>
      <c r="AJ2" s="248"/>
      <c r="AK2" s="248"/>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L3" s="1257"/>
      <c r="M3" s="1257"/>
      <c r="N3" s="1257"/>
      <c r="O3" s="1257"/>
      <c r="P3" s="1257"/>
      <c r="Q3" s="1257"/>
      <c r="R3" s="336"/>
      <c r="T3" s="248"/>
      <c r="U3" s="248"/>
      <c r="V3" s="248"/>
      <c r="W3" s="248"/>
      <c r="X3" s="248"/>
      <c r="Y3" s="248"/>
      <c r="Z3" s="248"/>
      <c r="AA3" s="248"/>
      <c r="AB3" s="248"/>
      <c r="AC3" s="248"/>
      <c r="AD3" s="248"/>
      <c r="AE3" s="248"/>
      <c r="AF3" s="394"/>
      <c r="AG3" s="394"/>
      <c r="AH3" s="248"/>
      <c r="AI3" s="248"/>
      <c r="AJ3" s="248"/>
      <c r="AK3" s="248"/>
      <c r="AL3" s="248"/>
      <c r="AM3" s="248"/>
      <c r="AN3" s="248"/>
      <c r="AO3" s="248"/>
      <c r="AP3" s="248"/>
      <c r="AQ3" s="248"/>
      <c r="AR3" s="248"/>
      <c r="AS3" s="248"/>
      <c r="AT3" s="248"/>
      <c r="AU3" s="248"/>
      <c r="AV3" s="248"/>
      <c r="AW3" s="248"/>
      <c r="AX3" s="248"/>
      <c r="AY3" s="248"/>
      <c r="AZ3" s="248"/>
      <c r="BA3" s="248"/>
    </row>
    <row r="4" spans="1:105" ht="19.5" customHeight="1">
      <c r="B4" s="1258" t="s">
        <v>112</v>
      </c>
      <c r="C4" s="1258"/>
      <c r="D4" s="1258"/>
      <c r="E4" s="1258"/>
      <c r="F4" s="1258"/>
      <c r="G4" s="1258"/>
      <c r="H4" s="1258"/>
      <c r="I4" s="1258"/>
      <c r="J4" s="1258"/>
      <c r="K4" s="1258"/>
      <c r="L4" s="1258"/>
      <c r="M4" s="1258"/>
      <c r="N4" s="1258"/>
      <c r="O4" s="1258"/>
      <c r="P4" s="1258"/>
      <c r="Q4" s="1258"/>
      <c r="R4" s="1258"/>
      <c r="S4" s="251"/>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row>
    <row r="5" spans="1:105" ht="15">
      <c r="B5" s="1259" t="s">
        <v>222</v>
      </c>
      <c r="C5" s="1259"/>
      <c r="D5" s="1259"/>
      <c r="E5" s="1259"/>
      <c r="F5" s="1259"/>
      <c r="G5" s="1259"/>
      <c r="H5" s="1259"/>
      <c r="I5" s="1259"/>
      <c r="J5" s="1259"/>
      <c r="K5" s="1259"/>
      <c r="L5" s="1259"/>
      <c r="M5" s="1259"/>
      <c r="N5" s="1259"/>
      <c r="O5" s="1259"/>
      <c r="P5" s="1259"/>
      <c r="Q5" s="1259"/>
      <c r="R5" s="1259"/>
      <c r="S5" s="254"/>
    </row>
    <row r="7" spans="1:105" ht="13.5" customHeight="1">
      <c r="A7" s="1260" t="s">
        <v>37</v>
      </c>
      <c r="B7" s="1254" t="s">
        <v>22</v>
      </c>
      <c r="C7" s="1262" t="s">
        <v>1</v>
      </c>
      <c r="D7" s="1263"/>
      <c r="E7" s="1254" t="s">
        <v>0</v>
      </c>
      <c r="F7" s="1254" t="s">
        <v>113</v>
      </c>
      <c r="G7" s="1264" t="s">
        <v>114</v>
      </c>
      <c r="H7" s="1264"/>
      <c r="I7" s="1255" t="s">
        <v>37</v>
      </c>
      <c r="J7" s="1254" t="s">
        <v>191</v>
      </c>
      <c r="K7" s="1254"/>
      <c r="L7" s="1254" t="s">
        <v>192</v>
      </c>
      <c r="M7" s="1254"/>
      <c r="N7" s="1254" t="s">
        <v>266</v>
      </c>
      <c r="O7" s="1254"/>
      <c r="P7" s="1254" t="s">
        <v>652</v>
      </c>
      <c r="Q7" s="1254"/>
      <c r="R7" s="1254" t="s">
        <v>193</v>
      </c>
      <c r="S7" s="1254"/>
      <c r="T7" s="1254" t="s">
        <v>194</v>
      </c>
      <c r="U7" s="1254"/>
      <c r="V7" s="1254" t="s">
        <v>653</v>
      </c>
      <c r="W7" s="1254"/>
      <c r="X7" s="1254" t="s">
        <v>654</v>
      </c>
      <c r="Y7" s="1254"/>
      <c r="Z7" s="1254" t="s">
        <v>655</v>
      </c>
      <c r="AA7" s="1254"/>
      <c r="AB7" s="1254" t="s">
        <v>656</v>
      </c>
      <c r="AC7" s="1254"/>
      <c r="AD7" s="1254" t="s">
        <v>657</v>
      </c>
      <c r="AE7" s="1254"/>
      <c r="AF7" s="1254" t="s">
        <v>658</v>
      </c>
      <c r="AG7" s="1254"/>
      <c r="AH7" s="1254" t="s">
        <v>659</v>
      </c>
      <c r="AI7" s="1254"/>
      <c r="AJ7" s="1254" t="s">
        <v>660</v>
      </c>
      <c r="AK7" s="1254"/>
      <c r="AL7" s="1254" t="s">
        <v>661</v>
      </c>
      <c r="AM7" s="1254"/>
      <c r="AN7" s="1254" t="s">
        <v>662</v>
      </c>
      <c r="AO7" s="1254"/>
      <c r="AP7" s="1254" t="s">
        <v>663</v>
      </c>
      <c r="AQ7" s="1254"/>
      <c r="AR7" s="1254" t="s">
        <v>664</v>
      </c>
      <c r="AS7" s="1254"/>
      <c r="AT7" s="1254" t="s">
        <v>195</v>
      </c>
      <c r="AU7" s="1254"/>
      <c r="AV7" s="1254" t="s">
        <v>196</v>
      </c>
      <c r="AW7" s="1254"/>
      <c r="AX7" s="1254" t="s">
        <v>665</v>
      </c>
      <c r="AY7" s="1254"/>
      <c r="AZ7" s="1254" t="s">
        <v>666</v>
      </c>
      <c r="BA7" s="1254"/>
      <c r="BB7" s="1254" t="s">
        <v>667</v>
      </c>
      <c r="BC7" s="1254"/>
      <c r="BD7" s="1254" t="s">
        <v>197</v>
      </c>
      <c r="BE7" s="1254"/>
      <c r="BF7" s="1254" t="s">
        <v>668</v>
      </c>
      <c r="BG7" s="1254"/>
      <c r="BH7" s="1254" t="s">
        <v>198</v>
      </c>
      <c r="BI7" s="1254"/>
      <c r="BJ7" s="1254" t="s">
        <v>669</v>
      </c>
      <c r="BK7" s="1254"/>
      <c r="BL7" s="1254" t="s">
        <v>670</v>
      </c>
      <c r="BM7" s="1254"/>
      <c r="BN7" s="1254" t="s">
        <v>671</v>
      </c>
      <c r="BO7" s="1254"/>
      <c r="BP7" s="1254" t="s">
        <v>672</v>
      </c>
      <c r="BQ7" s="1254"/>
      <c r="BR7" s="1254" t="s">
        <v>199</v>
      </c>
      <c r="BS7" s="1254"/>
      <c r="BT7" s="1254" t="s">
        <v>200</v>
      </c>
      <c r="BU7" s="1254"/>
      <c r="BV7" s="1254" t="s">
        <v>261</v>
      </c>
      <c r="BW7" s="1254"/>
      <c r="BX7" s="1254" t="s">
        <v>201</v>
      </c>
      <c r="BY7" s="1254"/>
      <c r="BZ7" s="1254" t="s">
        <v>202</v>
      </c>
      <c r="CA7" s="1254"/>
      <c r="CB7" s="1254" t="s">
        <v>203</v>
      </c>
      <c r="CC7" s="1254"/>
      <c r="CD7" s="1254" t="s">
        <v>673</v>
      </c>
      <c r="CE7" s="1254"/>
      <c r="CF7" s="1254" t="s">
        <v>674</v>
      </c>
      <c r="CG7" s="1254"/>
      <c r="CH7" s="1254" t="s">
        <v>204</v>
      </c>
      <c r="CI7" s="1254"/>
      <c r="CJ7" s="1254" t="s">
        <v>675</v>
      </c>
      <c r="CK7" s="1254"/>
      <c r="CL7" s="1254" t="s">
        <v>676</v>
      </c>
      <c r="CM7" s="1254"/>
      <c r="CN7" s="1254" t="s">
        <v>205</v>
      </c>
      <c r="CO7" s="1254"/>
      <c r="CP7" s="1254" t="s">
        <v>677</v>
      </c>
      <c r="CQ7" s="1254"/>
      <c r="CR7" s="1254" t="s">
        <v>206</v>
      </c>
      <c r="CS7" s="1254"/>
      <c r="CT7" s="1254" t="s">
        <v>207</v>
      </c>
      <c r="CU7" s="1254"/>
      <c r="CV7" s="1254" t="s">
        <v>208</v>
      </c>
      <c r="CW7" s="1254"/>
      <c r="CX7" s="1254" t="s">
        <v>209</v>
      </c>
      <c r="CY7" s="1254"/>
      <c r="CZ7" s="1254" t="s">
        <v>210</v>
      </c>
      <c r="DA7" s="1254"/>
    </row>
    <row r="8" spans="1:105" ht="22.5" customHeight="1">
      <c r="A8" s="1261"/>
      <c r="B8" s="1254"/>
      <c r="C8" s="822" t="s">
        <v>17</v>
      </c>
      <c r="D8" s="821" t="s">
        <v>34</v>
      </c>
      <c r="E8" s="1254"/>
      <c r="F8" s="1254"/>
      <c r="G8" s="823" t="s">
        <v>24</v>
      </c>
      <c r="H8" s="823" t="s">
        <v>25</v>
      </c>
      <c r="I8" s="125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'SC-III'!J53</f>
        <v>1807122022.5</v>
      </c>
      <c r="K10" s="264">
        <f ca="1">'SC-III'!K53</f>
        <v>0</v>
      </c>
      <c r="L10" s="264">
        <f ca="1">'SC-III'!L53</f>
        <v>9382419</v>
      </c>
      <c r="M10" s="264">
        <f ca="1">'SC-III'!M53</f>
        <v>0</v>
      </c>
      <c r="N10" s="264">
        <f ca="1">'SC-III'!N53</f>
        <v>7381692.9499816895</v>
      </c>
      <c r="O10" s="264">
        <f ca="1">'SC-III'!O53</f>
        <v>0</v>
      </c>
      <c r="P10" s="264">
        <f ca="1">'SC-III'!P53</f>
        <v>57038792896</v>
      </c>
      <c r="Q10" s="264">
        <f ca="1">'SC-III'!Q53</f>
        <v>0</v>
      </c>
      <c r="R10" s="264">
        <f ca="1">'SC-III'!R53</f>
        <v>518470991</v>
      </c>
      <c r="S10" s="264">
        <f ca="1">'SC-III'!S53</f>
        <v>0</v>
      </c>
      <c r="T10" s="264">
        <f ca="1">'SC-III'!T53</f>
        <v>0</v>
      </c>
      <c r="U10" s="264">
        <f ca="1">'SC-III'!U53</f>
        <v>0</v>
      </c>
      <c r="V10" s="264">
        <f ca="1">'SC-III'!V53</f>
        <v>0</v>
      </c>
      <c r="W10" s="264">
        <f ca="1">'SC-III'!W53</f>
        <v>0</v>
      </c>
      <c r="X10" s="264">
        <f ca="1">'SC-III'!X53</f>
        <v>0</v>
      </c>
      <c r="Y10" s="264">
        <f ca="1">'SC-III'!Y53</f>
        <v>0</v>
      </c>
      <c r="Z10" s="264">
        <f ca="1">'SC-III'!Z53</f>
        <v>351991384</v>
      </c>
      <c r="AA10" s="264">
        <f ca="1">'SC-III'!AA53</f>
        <v>0</v>
      </c>
      <c r="AB10" s="264">
        <f ca="1">'SC-III'!AB53</f>
        <v>49990909</v>
      </c>
      <c r="AC10" s="264">
        <f ca="1">'SC-III'!AC53</f>
        <v>0</v>
      </c>
      <c r="AD10" s="264">
        <f ca="1">'SC-III'!AD53</f>
        <v>1450841000</v>
      </c>
      <c r="AE10" s="264">
        <f ca="1">'SC-III'!AE53</f>
        <v>0</v>
      </c>
      <c r="AF10" s="264">
        <f ca="1">'SC-III'!AF53</f>
        <v>3468509299</v>
      </c>
      <c r="AG10" s="264">
        <f ca="1">'SC-III'!AG53</f>
        <v>0</v>
      </c>
      <c r="AH10" s="264">
        <f ca="1">'SC-III'!AH53</f>
        <v>7770361541</v>
      </c>
      <c r="AI10" s="264">
        <f ca="1">'SC-III'!AI53</f>
        <v>0</v>
      </c>
      <c r="AJ10" s="264">
        <f ca="1">'SC-III'!AJ53</f>
        <v>3807898863</v>
      </c>
      <c r="AK10" s="264">
        <f ca="1">'SC-III'!AK53</f>
        <v>0</v>
      </c>
      <c r="AL10" s="264">
        <f ca="1">'SC-III'!AL53</f>
        <v>3790918485</v>
      </c>
      <c r="AM10" s="264">
        <f ca="1">'SC-III'!AM53</f>
        <v>0</v>
      </c>
      <c r="AN10" s="264">
        <f ca="1">'SC-III'!AN53</f>
        <v>5405781300</v>
      </c>
      <c r="AO10" s="264">
        <f ca="1">'SC-III'!AO53</f>
        <v>0</v>
      </c>
      <c r="AP10" s="264">
        <f ca="1">'SC-III'!AP53</f>
        <v>0</v>
      </c>
      <c r="AQ10" s="264">
        <f ca="1">'SC-III'!AQ53</f>
        <v>9758261933</v>
      </c>
      <c r="AR10" s="264">
        <f ca="1">'SC-III'!AR53</f>
        <v>0</v>
      </c>
      <c r="AS10" s="264">
        <f ca="1">'SC-III'!AS53</f>
        <v>720770838</v>
      </c>
      <c r="AT10" s="264">
        <f ca="1">'SC-III'!AT53</f>
        <v>0</v>
      </c>
      <c r="AU10" s="264">
        <f ca="1">'SC-III'!AU53</f>
        <v>0</v>
      </c>
      <c r="AV10" s="264">
        <f ca="1">'SC-III'!AV53</f>
        <v>0</v>
      </c>
      <c r="AW10" s="264">
        <f ca="1">'SC-III'!AW53</f>
        <v>37054109099</v>
      </c>
      <c r="AX10" s="264">
        <f ca="1">'SC-III'!AX53</f>
        <v>0</v>
      </c>
      <c r="AY10" s="264">
        <f ca="1">'SC-III'!AY53</f>
        <v>0</v>
      </c>
      <c r="AZ10" s="264">
        <f ca="1">'SC-III'!AZ53</f>
        <v>0</v>
      </c>
      <c r="BA10" s="264">
        <f ca="1">'SC-III'!BA53</f>
        <v>0</v>
      </c>
      <c r="BB10" s="264">
        <f ca="1">'SC-III'!BB53</f>
        <v>0</v>
      </c>
      <c r="BC10" s="264">
        <f ca="1">'SC-III'!BC53</f>
        <v>0</v>
      </c>
      <c r="BD10" s="264">
        <f ca="1">'SC-III'!BD53</f>
        <v>9756564</v>
      </c>
      <c r="BE10" s="264">
        <f ca="1">'SC-III'!BE53</f>
        <v>0</v>
      </c>
      <c r="BF10" s="264">
        <f ca="1">'SC-III'!BF53</f>
        <v>3389804</v>
      </c>
      <c r="BG10" s="264">
        <f ca="1">'SC-III'!BG53</f>
        <v>0</v>
      </c>
      <c r="BH10" s="264">
        <f ca="1">'SC-III'!BH53</f>
        <v>0</v>
      </c>
      <c r="BI10" s="264">
        <f ca="1">'SC-III'!BI53</f>
        <v>0</v>
      </c>
      <c r="BJ10" s="264">
        <f ca="1">'SC-III'!BJ53</f>
        <v>0</v>
      </c>
      <c r="BK10" s="264">
        <f ca="1">'SC-III'!BK53</f>
        <v>0</v>
      </c>
      <c r="BL10" s="264">
        <f ca="1">'SC-III'!BL53</f>
        <v>0</v>
      </c>
      <c r="BM10" s="264">
        <f ca="1">'SC-III'!BM53</f>
        <v>106628549</v>
      </c>
      <c r="BN10" s="264">
        <f ca="1">'SC-III'!BN53</f>
        <v>0</v>
      </c>
      <c r="BO10" s="264">
        <f ca="1">'SC-III'!BO53</f>
        <v>4469220</v>
      </c>
      <c r="BP10" s="264">
        <f ca="1">'SC-III'!BP53</f>
        <v>0</v>
      </c>
      <c r="BQ10" s="264">
        <f ca="1">'SC-III'!BQ53</f>
        <v>1986320</v>
      </c>
      <c r="BR10" s="264">
        <f ca="1">'SC-III'!BR53</f>
        <v>0</v>
      </c>
      <c r="BS10" s="264">
        <f ca="1">'SC-III'!BS53</f>
        <v>0</v>
      </c>
      <c r="BT10" s="264">
        <f ca="1">'SC-III'!BT53</f>
        <v>0</v>
      </c>
      <c r="BU10" s="264">
        <f ca="1">'SC-III'!BU53</f>
        <v>0</v>
      </c>
      <c r="BV10" s="264">
        <f ca="1">'SC-III'!BV53</f>
        <v>0</v>
      </c>
      <c r="BW10" s="264">
        <f ca="1">'SC-III'!BW53</f>
        <v>27284564849.050003</v>
      </c>
      <c r="BX10" s="264">
        <f ca="1">'SC-III'!BX53</f>
        <v>0</v>
      </c>
      <c r="BY10" s="264">
        <f ca="1">'SC-III'!BY53</f>
        <v>10000000000</v>
      </c>
      <c r="BZ10" s="264">
        <f ca="1">'SC-III'!BZ53</f>
        <v>0</v>
      </c>
      <c r="CA10" s="264">
        <f ca="1">'SC-III'!CA53</f>
        <v>635107905.00000095</v>
      </c>
      <c r="CB10" s="264">
        <f ca="1">'SC-III'!CB53</f>
        <v>107861885.00000048</v>
      </c>
      <c r="CC10" s="264">
        <f ca="1">'SC-III'!CC53</f>
        <v>0</v>
      </c>
      <c r="CD10" s="264">
        <f ca="1">'SC-III'!CD53</f>
        <v>0</v>
      </c>
      <c r="CE10" s="264">
        <f ca="1">'SC-III'!CE53</f>
        <v>0</v>
      </c>
      <c r="CF10" s="264">
        <f ca="1">'SC-III'!CF53</f>
        <v>0</v>
      </c>
      <c r="CG10" s="264">
        <f ca="1">'SC-III'!CG53</f>
        <v>0</v>
      </c>
      <c r="CH10" s="264">
        <f ca="1">'SC-III'!CH53</f>
        <v>0</v>
      </c>
      <c r="CI10" s="264">
        <f ca="1">'SC-III'!CI53</f>
        <v>0</v>
      </c>
      <c r="CJ10" s="264">
        <f ca="1">'SC-III'!CJ53</f>
        <v>0</v>
      </c>
      <c r="CK10" s="264">
        <f ca="1">'SC-III'!CK53</f>
        <v>0</v>
      </c>
      <c r="CL10" s="264">
        <f ca="1">'SC-III'!CL53</f>
        <v>0</v>
      </c>
      <c r="CM10" s="264">
        <f ca="1">'SC-III'!CM53</f>
        <v>0</v>
      </c>
      <c r="CN10" s="264">
        <f ca="1">'SC-III'!CN53</f>
        <v>0</v>
      </c>
      <c r="CO10" s="264">
        <f ca="1">'SC-III'!CO53</f>
        <v>0</v>
      </c>
      <c r="CP10" s="264">
        <f ca="1">'SC-III'!CP53</f>
        <v>0</v>
      </c>
      <c r="CQ10" s="264">
        <f ca="1">'SC-III'!CQ53</f>
        <v>0</v>
      </c>
      <c r="CR10" s="264">
        <f ca="1">'SC-III'!CR53</f>
        <v>0</v>
      </c>
      <c r="CS10" s="264">
        <f ca="1">'SC-III'!CS53</f>
        <v>0</v>
      </c>
      <c r="CT10" s="264">
        <f ca="1">'SC-III'!CT53</f>
        <v>0</v>
      </c>
      <c r="CU10" s="264">
        <f ca="1">'SC-III'!CU53</f>
        <v>0</v>
      </c>
      <c r="CV10" s="264">
        <f ca="1">'SC-III'!CV53</f>
        <v>0</v>
      </c>
      <c r="CW10" s="264">
        <f ca="1">'SC-III'!CW53</f>
        <v>0</v>
      </c>
      <c r="CX10" s="264">
        <f ca="1">'SC-III'!CX53</f>
        <v>0</v>
      </c>
      <c r="CY10" s="264">
        <f ca="1">'SC-III'!CY53</f>
        <v>0</v>
      </c>
      <c r="CZ10" s="264">
        <f ca="1">'SC-III'!CZ53</f>
        <v>0</v>
      </c>
      <c r="DA10" s="264">
        <f ca="1">'SC-III'!DA53</f>
        <v>0</v>
      </c>
    </row>
    <row r="11" spans="1:105" s="265" customFormat="1" ht="16.5" customHeight="1">
      <c r="A11" s="62">
        <f t="array" aca="1" ref="A11" ca="1">IF(C11&lt;&gt;0,SUM(($C$11:C11&lt;&gt;0)*1),"")</f>
        <v>1</v>
      </c>
      <c r="B11" s="266" t="str">
        <f ca="1">IF(ROWS($1:1)&gt;COUNT(Dong9),"",OFFSET(TH!C$1,SMALL(Dong9,ROWS($1:1)),))</f>
        <v/>
      </c>
      <c r="C11" s="266" t="str">
        <f ca="1">IF(ROWS($1:1)&gt;COUNT(Dong9),"",OFFSET(TH!D$1,SMALL(Dong9,ROWS($1:1)),))</f>
        <v/>
      </c>
      <c r="D11" s="266" t="str">
        <f ca="1">IF(ROWS($1:1)&gt;COUNT(Dong9),"",OFFSET(TH!E$1,SMALL(Dong9,ROWS($1:1)),))</f>
        <v/>
      </c>
      <c r="E11" s="346" t="str">
        <f ca="1">IF(ROWS($1:1)&gt;COUNT(Dong9),"",OFFSET(TH!F$1,SMALL(Dong9,ROWS($1:1)),))</f>
        <v/>
      </c>
      <c r="F11" s="317" t="str">
        <f ca="1">IF(ROWS($1:1)&gt;COUNT(Dong9),"",OFFSET(TH!M$1,SMALL(Dong9,ROWS($1:1)),))</f>
        <v/>
      </c>
      <c r="G11" s="319" t="str">
        <f ca="1">IF(ROWS($1:1)&gt;COUNT(Dong9),"",OFFSET(TH!N$1,SMALL(Dong9,ROWS($1:1)),))</f>
        <v/>
      </c>
      <c r="H11" s="319" t="str">
        <f ca="1">IF(ROWS($1:1)&gt;COUNT(Dong9),"",OFFSET(TH!O$1,SMALL(Dong9,ROWS($1:1)),))</f>
        <v/>
      </c>
      <c r="I11" s="62">
        <f t="shared" ref="I11:I50"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6.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6.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6.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6.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6.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6.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6.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6.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6.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6.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6.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6.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6.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6.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6.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6.5" customHeight="1">
      <c r="A27" s="62" t="str">
        <f t="array" ref="A27">IF(C27&lt;&gt;0,SUM(($C$11:C27&lt;&gt;0)*1),"")</f>
        <v/>
      </c>
      <c r="B27" s="266"/>
      <c r="C27" s="266"/>
      <c r="D27" s="266"/>
      <c r="E27" s="346"/>
      <c r="F27" s="317"/>
      <c r="G27" s="319"/>
      <c r="H27" s="319"/>
      <c r="I27" s="62" t="str">
        <f t="shared" si="0"/>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6.5" customHeight="1">
      <c r="A28" s="62" t="str">
        <f t="array" ref="A28">IF(C28&lt;&gt;0,SUM(($C$11:C28&lt;&gt;0)*1),"")</f>
        <v/>
      </c>
      <c r="B28" s="266"/>
      <c r="C28" s="266"/>
      <c r="D28" s="266"/>
      <c r="E28" s="346"/>
      <c r="F28" s="317"/>
      <c r="G28" s="319"/>
      <c r="H28" s="319"/>
      <c r="I28" s="62" t="str">
        <f t="shared" si="0"/>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6.5" customHeight="1">
      <c r="A29" s="62" t="str">
        <f t="array" ref="A29">IF(C29&lt;&gt;0,SUM(($C$11:C29&lt;&gt;0)*1),"")</f>
        <v/>
      </c>
      <c r="B29" s="266"/>
      <c r="C29" s="266"/>
      <c r="D29" s="266"/>
      <c r="E29" s="346"/>
      <c r="F29" s="317"/>
      <c r="G29" s="319"/>
      <c r="H29" s="319"/>
      <c r="I29" s="62" t="str">
        <f t="shared" si="0"/>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6.5" customHeight="1">
      <c r="A30" s="62" t="str">
        <f t="array" ref="A30">IF(C30&lt;&gt;0,SUM(($C$11:C30&lt;&gt;0)*1),"")</f>
        <v/>
      </c>
      <c r="B30" s="266"/>
      <c r="C30" s="266"/>
      <c r="D30" s="266"/>
      <c r="E30" s="346"/>
      <c r="F30" s="317"/>
      <c r="G30" s="319"/>
      <c r="H30" s="319"/>
      <c r="I30" s="62" t="str">
        <f t="shared" si="0"/>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6.5" customHeight="1">
      <c r="A31" s="62" t="str">
        <f t="array" ref="A31">IF(C31&lt;&gt;0,SUM(($C$11:C31&lt;&gt;0)*1),"")</f>
        <v/>
      </c>
      <c r="B31" s="266"/>
      <c r="C31" s="266"/>
      <c r="D31" s="266"/>
      <c r="E31" s="346"/>
      <c r="F31" s="317"/>
      <c r="G31" s="319"/>
      <c r="H31" s="319"/>
      <c r="I31" s="62" t="str">
        <f t="shared" si="0"/>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6.5" customHeight="1">
      <c r="A32" s="62" t="str">
        <f t="array" ref="A32">IF(C32&lt;&gt;0,SUM(($C$11:C32&lt;&gt;0)*1),"")</f>
        <v/>
      </c>
      <c r="B32" s="266"/>
      <c r="C32" s="266"/>
      <c r="D32" s="266"/>
      <c r="E32" s="346"/>
      <c r="F32" s="317"/>
      <c r="G32" s="319"/>
      <c r="H32" s="319"/>
      <c r="I32" s="62" t="str">
        <f t="shared" si="0"/>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6.5" customHeight="1">
      <c r="A33" s="62" t="str">
        <f t="array" ref="A33">IF(C33&lt;&gt;0,SUM(($C$11:C33&lt;&gt;0)*1),"")</f>
        <v/>
      </c>
      <c r="B33" s="266"/>
      <c r="C33" s="266"/>
      <c r="D33" s="266"/>
      <c r="E33" s="346"/>
      <c r="F33" s="317"/>
      <c r="G33" s="319"/>
      <c r="H33" s="319"/>
      <c r="I33" s="62" t="str">
        <f t="shared" si="0"/>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6.5" customHeight="1">
      <c r="A34" s="62" t="str">
        <f t="array" ref="A34">IF(C34&lt;&gt;0,SUM(($C$11:C34&lt;&gt;0)*1),"")</f>
        <v/>
      </c>
      <c r="B34" s="266"/>
      <c r="C34" s="266"/>
      <c r="D34" s="266"/>
      <c r="E34" s="346"/>
      <c r="F34" s="317"/>
      <c r="G34" s="319"/>
      <c r="H34" s="319"/>
      <c r="I34" s="62" t="str">
        <f t="shared" si="0"/>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6.5" customHeight="1">
      <c r="A35" s="62" t="str">
        <f t="array" ref="A35">IF(C35&lt;&gt;0,SUM(($C$11:C35&lt;&gt;0)*1),"")</f>
        <v/>
      </c>
      <c r="B35" s="266"/>
      <c r="C35" s="266"/>
      <c r="D35" s="266"/>
      <c r="E35" s="346"/>
      <c r="F35" s="317"/>
      <c r="G35" s="319"/>
      <c r="H35" s="319"/>
      <c r="I35" s="62" t="str">
        <f t="shared" si="0"/>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6.5" customHeight="1">
      <c r="A36" s="62" t="str">
        <f t="array" ref="A36">IF(C36&lt;&gt;0,SUM(($C$11:C36&lt;&gt;0)*1),"")</f>
        <v/>
      </c>
      <c r="B36" s="266"/>
      <c r="C36" s="266"/>
      <c r="D36" s="266"/>
      <c r="E36" s="346"/>
      <c r="F36" s="317"/>
      <c r="G36" s="319"/>
      <c r="H36" s="319"/>
      <c r="I36" s="62" t="str">
        <f t="shared" si="0"/>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6.5" customHeight="1">
      <c r="A37" s="62" t="str">
        <f t="array" ref="A37">IF(C37&lt;&gt;0,SUM(($C$11:C37&lt;&gt;0)*1),"")</f>
        <v/>
      </c>
      <c r="B37" s="266"/>
      <c r="C37" s="266"/>
      <c r="D37" s="266"/>
      <c r="E37" s="346"/>
      <c r="F37" s="317"/>
      <c r="G37" s="319"/>
      <c r="H37" s="319"/>
      <c r="I37" s="62" t="str">
        <f t="shared" si="0"/>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6.5" customHeight="1">
      <c r="A38" s="62" t="str">
        <f t="array" ref="A38">IF(C38&lt;&gt;0,SUM(($C$11:C38&lt;&gt;0)*1),"")</f>
        <v/>
      </c>
      <c r="B38" s="266"/>
      <c r="C38" s="266"/>
      <c r="D38" s="266"/>
      <c r="E38" s="346"/>
      <c r="F38" s="317"/>
      <c r="G38" s="319"/>
      <c r="H38" s="319"/>
      <c r="I38" s="62" t="str">
        <f t="shared" si="0"/>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6.5" customHeight="1">
      <c r="A39" s="62" t="str">
        <f t="array" ref="A39">IF(C39&lt;&gt;0,SUM(($C$11:C39&lt;&gt;0)*1),"")</f>
        <v/>
      </c>
      <c r="B39" s="266"/>
      <c r="C39" s="266"/>
      <c r="D39" s="266"/>
      <c r="E39" s="346"/>
      <c r="F39" s="317"/>
      <c r="G39" s="319"/>
      <c r="H39" s="319"/>
      <c r="I39" s="62" t="str">
        <f t="shared" si="0"/>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6.5" customHeight="1">
      <c r="A40" s="62">
        <f t="array" aca="1" ref="A40" ca="1">IF(C40&lt;&gt;0,SUM(($C$11:C40&lt;&gt;0)*1),"")</f>
        <v>2</v>
      </c>
      <c r="B40" s="266">
        <v>42735</v>
      </c>
      <c r="C40" s="269" t="s">
        <v>115</v>
      </c>
      <c r="D40" s="269">
        <f t="shared" ref="D40:D50" si="97">B40</f>
        <v>42735</v>
      </c>
      <c r="E40" s="810" t="s">
        <v>646</v>
      </c>
      <c r="F40" s="811">
        <f ca="1">AY52</f>
        <v>0</v>
      </c>
      <c r="G40" s="812" t="s">
        <v>651</v>
      </c>
      <c r="H40" s="812" t="s">
        <v>9</v>
      </c>
      <c r="I40" s="62">
        <f t="shared" ca="1" si="0"/>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6.5" customHeight="1">
      <c r="A41" s="62">
        <f t="array" aca="1" ref="A41" ca="1">IF(C41&lt;&gt;0,SUM(($C$11:C41&lt;&gt;0)*1),"")</f>
        <v>3</v>
      </c>
      <c r="B41" s="266">
        <v>42735</v>
      </c>
      <c r="C41" s="269" t="s">
        <v>115</v>
      </c>
      <c r="D41" s="269">
        <f t="shared" si="97"/>
        <v>42735</v>
      </c>
      <c r="E41" s="810" t="s">
        <v>647</v>
      </c>
      <c r="F41" s="811">
        <f ca="1">CL52</f>
        <v>0</v>
      </c>
      <c r="G41" s="812" t="s">
        <v>109</v>
      </c>
      <c r="H41" s="812" t="s">
        <v>292</v>
      </c>
      <c r="I41" s="62">
        <f t="shared" ca="1" si="0"/>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6.5" customHeight="1">
      <c r="A42" s="62">
        <f t="array" aca="1" ref="A42" ca="1">IF(C42&lt;&gt;0,SUM(($C$11:C42&lt;&gt;0)*1),"")</f>
        <v>4</v>
      </c>
      <c r="B42" s="266">
        <v>42735</v>
      </c>
      <c r="C42" s="269" t="s">
        <v>115</v>
      </c>
      <c r="D42" s="269">
        <f t="shared" si="97"/>
        <v>42735</v>
      </c>
      <c r="E42" s="810" t="s">
        <v>116</v>
      </c>
      <c r="F42" s="811">
        <f ca="1">CN52</f>
        <v>0</v>
      </c>
      <c r="G42" s="812" t="s">
        <v>109</v>
      </c>
      <c r="H42" s="812" t="s">
        <v>99</v>
      </c>
      <c r="I42" s="62">
        <f t="shared" ca="1" si="0"/>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6.5" customHeight="1">
      <c r="A43" s="62">
        <f t="array" aca="1" ref="A43" ca="1">IF(C43&lt;&gt;0,SUM(($C$11:C43&lt;&gt;0)*1),"")</f>
        <v>5</v>
      </c>
      <c r="B43" s="266">
        <v>42735</v>
      </c>
      <c r="C43" s="269" t="s">
        <v>115</v>
      </c>
      <c r="D43" s="269">
        <f t="shared" si="97"/>
        <v>42735</v>
      </c>
      <c r="E43" s="810" t="s">
        <v>648</v>
      </c>
      <c r="F43" s="811">
        <f ca="1">CP52</f>
        <v>0</v>
      </c>
      <c r="G43" s="812" t="s">
        <v>109</v>
      </c>
      <c r="H43" s="812" t="s">
        <v>582</v>
      </c>
      <c r="I43" s="62">
        <f t="shared" ca="1" si="0"/>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6.5" customHeight="1">
      <c r="A44" s="62">
        <f t="array" aca="1" ref="A44" ca="1">IF(C44&lt;&gt;0,SUM(($C$11:C44&lt;&gt;0)*1),"")</f>
        <v>6</v>
      </c>
      <c r="B44" s="266">
        <v>42735</v>
      </c>
      <c r="C44" s="269" t="s">
        <v>115</v>
      </c>
      <c r="D44" s="269">
        <f t="shared" si="97"/>
        <v>42735</v>
      </c>
      <c r="E44" s="810" t="s">
        <v>117</v>
      </c>
      <c r="F44" s="811">
        <f ca="1">CR52</f>
        <v>0</v>
      </c>
      <c r="G44" s="812" t="s">
        <v>109</v>
      </c>
      <c r="H44" s="812" t="s">
        <v>101</v>
      </c>
      <c r="I44" s="62">
        <f t="shared" ca="1" si="0"/>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6.5" customHeight="1">
      <c r="A45" s="62">
        <f t="array" aca="1" ref="A45" ca="1">IF(C45&lt;&gt;0,SUM(($C$11:C45&lt;&gt;0)*1),"")</f>
        <v>7</v>
      </c>
      <c r="B45" s="266">
        <v>42735</v>
      </c>
      <c r="C45" s="269" t="s">
        <v>115</v>
      </c>
      <c r="D45" s="269">
        <f t="shared" si="97"/>
        <v>42735</v>
      </c>
      <c r="E45" s="810" t="s">
        <v>213</v>
      </c>
      <c r="F45" s="811"/>
      <c r="G45" s="812" t="s">
        <v>109</v>
      </c>
      <c r="H45" s="812" t="s">
        <v>94</v>
      </c>
      <c r="I45" s="62">
        <f t="shared" ca="1" si="0"/>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6.5" customHeight="1">
      <c r="A46" s="62">
        <f t="array" aca="1" ref="A46" ca="1">IF(C46&lt;&gt;0,SUM(($C$11:C46&lt;&gt;0)*1),"")</f>
        <v>8</v>
      </c>
      <c r="B46" s="266">
        <v>42735</v>
      </c>
      <c r="C46" s="269" t="s">
        <v>115</v>
      </c>
      <c r="D46" s="269">
        <f t="shared" si="97"/>
        <v>42735</v>
      </c>
      <c r="E46" s="810" t="s">
        <v>118</v>
      </c>
      <c r="F46" s="811">
        <f ca="1">CI52</f>
        <v>0</v>
      </c>
      <c r="G46" s="812" t="s">
        <v>43</v>
      </c>
      <c r="H46" s="812" t="s">
        <v>109</v>
      </c>
      <c r="I46" s="62">
        <f t="shared" ca="1" si="0"/>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6.5" customHeight="1">
      <c r="A47" s="62">
        <f t="array" aca="1" ref="A47" ca="1">IF(C47&lt;&gt;0,SUM(($C$11:C47&lt;&gt;0)*1),"")</f>
        <v>9</v>
      </c>
      <c r="B47" s="266">
        <v>42735</v>
      </c>
      <c r="C47" s="269" t="s">
        <v>115</v>
      </c>
      <c r="D47" s="269">
        <f t="shared" si="97"/>
        <v>42735</v>
      </c>
      <c r="E47" s="810" t="s">
        <v>649</v>
      </c>
      <c r="F47" s="811">
        <f ca="1">CE52</f>
        <v>0</v>
      </c>
      <c r="G47" s="812" t="s">
        <v>294</v>
      </c>
      <c r="H47" s="812" t="s">
        <v>109</v>
      </c>
      <c r="I47" s="62">
        <f t="shared" ca="1" si="0"/>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6.5" customHeight="1">
      <c r="A48" s="62">
        <f t="array" aca="1" ref="A48" ca="1">IF(C48&lt;&gt;0,SUM(($C$11:C48&lt;&gt;0)*1),"")</f>
        <v>10</v>
      </c>
      <c r="B48" s="266">
        <v>42735</v>
      </c>
      <c r="C48" s="269" t="s">
        <v>115</v>
      </c>
      <c r="D48" s="269">
        <f t="shared" si="97"/>
        <v>42735</v>
      </c>
      <c r="E48" s="810" t="s">
        <v>650</v>
      </c>
      <c r="F48" s="811">
        <f ca="1">CG52</f>
        <v>0</v>
      </c>
      <c r="G48" s="812" t="s">
        <v>296</v>
      </c>
      <c r="H48" s="812" t="s">
        <v>109</v>
      </c>
      <c r="I48" s="62">
        <f t="shared" ca="1" si="0"/>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6.5" customHeight="1">
      <c r="A49" s="62">
        <f t="array" aca="1" ref="A49" ca="1">IF(C49&lt;&gt;0,SUM(($C$11:C49&lt;&gt;0)*1),"")</f>
        <v>11</v>
      </c>
      <c r="B49" s="266">
        <v>42735</v>
      </c>
      <c r="C49" s="269" t="s">
        <v>115</v>
      </c>
      <c r="D49" s="269">
        <f t="shared" si="97"/>
        <v>42735</v>
      </c>
      <c r="E49" s="810" t="s">
        <v>119</v>
      </c>
      <c r="F49" s="811">
        <f ca="1">CU52</f>
        <v>0</v>
      </c>
      <c r="G49" s="812" t="s">
        <v>103</v>
      </c>
      <c r="H49" s="812" t="s">
        <v>109</v>
      </c>
      <c r="I49" s="62">
        <f t="shared" ca="1" si="0"/>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6.5" customHeight="1">
      <c r="A50" s="62">
        <f t="array" aca="1" ref="A50" ca="1">IF(C50&lt;&gt;0,SUM(($C$11:C50&lt;&gt;0)*1),"")</f>
        <v>12</v>
      </c>
      <c r="B50" s="266">
        <v>42735</v>
      </c>
      <c r="C50" s="269" t="s">
        <v>115</v>
      </c>
      <c r="D50" s="269">
        <f t="shared" si="97"/>
        <v>42735</v>
      </c>
      <c r="E50" s="810" t="s">
        <v>120</v>
      </c>
      <c r="F50" s="811">
        <f ca="1">CV52</f>
        <v>0</v>
      </c>
      <c r="G50" s="812" t="s">
        <v>109</v>
      </c>
      <c r="H50" s="812" t="s">
        <v>105</v>
      </c>
      <c r="I50" s="62">
        <f t="shared" ca="1" si="0"/>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6.5" customHeight="1">
      <c r="A51" s="62" t="str">
        <f t="array" ref="A51">IF(C51&lt;&gt;0,SUM(($C$11:C51&lt;&gt;0)*1),"")</f>
        <v/>
      </c>
      <c r="B51" s="234"/>
      <c r="C51" s="234"/>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6.5" customHeight="1">
      <c r="A52" s="272"/>
      <c r="B52" s="234"/>
      <c r="C52" s="301"/>
      <c r="D52" s="234"/>
      <c r="E52" s="267" t="s">
        <v>174</v>
      </c>
      <c r="F52" s="272"/>
      <c r="G52" s="271"/>
      <c r="H52" s="271"/>
      <c r="I52" s="272"/>
      <c r="J52" s="272">
        <f t="shared" ref="J52:AO52" ca="1" si="98">SUM(J11:J51)</f>
        <v>0</v>
      </c>
      <c r="K52" s="272">
        <f t="shared" ca="1" si="98"/>
        <v>0</v>
      </c>
      <c r="L52" s="272">
        <f t="shared" ca="1" si="98"/>
        <v>0</v>
      </c>
      <c r="M52" s="272">
        <f t="shared" ca="1" si="98"/>
        <v>0</v>
      </c>
      <c r="N52" s="272">
        <f t="shared" ca="1" si="98"/>
        <v>0</v>
      </c>
      <c r="O52" s="272">
        <f t="shared" ca="1" si="98"/>
        <v>0</v>
      </c>
      <c r="P52" s="272">
        <f t="shared" ca="1" si="98"/>
        <v>0</v>
      </c>
      <c r="Q52" s="272">
        <f t="shared" ca="1" si="98"/>
        <v>0</v>
      </c>
      <c r="R52" s="272">
        <f t="shared" ca="1" si="98"/>
        <v>0</v>
      </c>
      <c r="S52" s="272">
        <f t="shared" ca="1" si="98"/>
        <v>0</v>
      </c>
      <c r="T52" s="272">
        <f t="shared" ca="1" si="98"/>
        <v>0</v>
      </c>
      <c r="U52" s="272">
        <f t="shared" ca="1" si="98"/>
        <v>0</v>
      </c>
      <c r="V52" s="272">
        <f t="shared" ca="1" si="98"/>
        <v>0</v>
      </c>
      <c r="W52" s="272">
        <f t="shared" ca="1" si="98"/>
        <v>0</v>
      </c>
      <c r="X52" s="272">
        <f t="shared" ca="1" si="98"/>
        <v>0</v>
      </c>
      <c r="Y52" s="272">
        <f t="shared" ca="1" si="98"/>
        <v>0</v>
      </c>
      <c r="Z52" s="272">
        <f t="shared" ca="1" si="98"/>
        <v>0</v>
      </c>
      <c r="AA52" s="272">
        <f t="shared" ca="1" si="98"/>
        <v>0</v>
      </c>
      <c r="AB52" s="272">
        <f t="shared" ca="1" si="98"/>
        <v>0</v>
      </c>
      <c r="AC52" s="272">
        <f t="shared" ca="1" si="98"/>
        <v>0</v>
      </c>
      <c r="AD52" s="272">
        <f t="shared" ca="1" si="98"/>
        <v>0</v>
      </c>
      <c r="AE52" s="272">
        <f t="shared" ca="1" si="98"/>
        <v>0</v>
      </c>
      <c r="AF52" s="272">
        <f t="shared" ca="1" si="98"/>
        <v>0</v>
      </c>
      <c r="AG52" s="272">
        <f t="shared" ca="1" si="98"/>
        <v>0</v>
      </c>
      <c r="AH52" s="272">
        <f t="shared" ca="1" si="98"/>
        <v>0</v>
      </c>
      <c r="AI52" s="272">
        <f t="shared" ca="1" si="98"/>
        <v>0</v>
      </c>
      <c r="AJ52" s="272">
        <f t="shared" ca="1" si="98"/>
        <v>0</v>
      </c>
      <c r="AK52" s="272">
        <f t="shared" ca="1" si="98"/>
        <v>0</v>
      </c>
      <c r="AL52" s="272">
        <f t="shared" ca="1" si="98"/>
        <v>0</v>
      </c>
      <c r="AM52" s="272">
        <f t="shared" ca="1" si="98"/>
        <v>0</v>
      </c>
      <c r="AN52" s="272">
        <f t="shared" ca="1" si="98"/>
        <v>0</v>
      </c>
      <c r="AO52" s="272">
        <f t="shared" ca="1" si="98"/>
        <v>0</v>
      </c>
      <c r="AP52" s="272">
        <f t="shared" ref="AP52:BU52" ca="1" si="99">SUM(AP11:AP51)</f>
        <v>0</v>
      </c>
      <c r="AQ52" s="272">
        <f t="shared" ca="1" si="99"/>
        <v>0</v>
      </c>
      <c r="AR52" s="272">
        <f t="shared" ca="1" si="99"/>
        <v>0</v>
      </c>
      <c r="AS52" s="272">
        <f t="shared" ca="1" si="99"/>
        <v>0</v>
      </c>
      <c r="AT52" s="272">
        <f t="shared" ca="1" si="99"/>
        <v>0</v>
      </c>
      <c r="AU52" s="272">
        <f t="shared" ca="1" si="99"/>
        <v>0</v>
      </c>
      <c r="AV52" s="272">
        <f t="shared" ca="1" si="99"/>
        <v>0</v>
      </c>
      <c r="AW52" s="272">
        <f t="shared" ca="1" si="99"/>
        <v>0</v>
      </c>
      <c r="AX52" s="272">
        <f t="shared" ca="1" si="99"/>
        <v>0</v>
      </c>
      <c r="AY52" s="272">
        <f t="shared" ca="1" si="99"/>
        <v>0</v>
      </c>
      <c r="AZ52" s="272">
        <f t="shared" ca="1" si="99"/>
        <v>0</v>
      </c>
      <c r="BA52" s="272">
        <f t="shared" ca="1" si="99"/>
        <v>0</v>
      </c>
      <c r="BB52" s="272">
        <f t="shared" ca="1" si="99"/>
        <v>0</v>
      </c>
      <c r="BC52" s="272">
        <f t="shared" ca="1" si="99"/>
        <v>0</v>
      </c>
      <c r="BD52" s="272">
        <f t="shared" ca="1" si="99"/>
        <v>0</v>
      </c>
      <c r="BE52" s="272">
        <f t="shared" ca="1" si="99"/>
        <v>0</v>
      </c>
      <c r="BF52" s="272">
        <f t="shared" ca="1" si="99"/>
        <v>0</v>
      </c>
      <c r="BG52" s="272">
        <f t="shared" ca="1" si="99"/>
        <v>0</v>
      </c>
      <c r="BH52" s="272">
        <f t="shared" ca="1" si="99"/>
        <v>0</v>
      </c>
      <c r="BI52" s="272">
        <f t="shared" ca="1" si="99"/>
        <v>0</v>
      </c>
      <c r="BJ52" s="272">
        <f t="shared" ca="1" si="99"/>
        <v>0</v>
      </c>
      <c r="BK52" s="272">
        <f t="shared" ca="1" si="99"/>
        <v>0</v>
      </c>
      <c r="BL52" s="272">
        <f t="shared" ca="1" si="99"/>
        <v>0</v>
      </c>
      <c r="BM52" s="272">
        <f t="shared" ca="1" si="99"/>
        <v>0</v>
      </c>
      <c r="BN52" s="272">
        <f t="shared" ca="1" si="99"/>
        <v>0</v>
      </c>
      <c r="BO52" s="272">
        <f t="shared" ca="1" si="99"/>
        <v>0</v>
      </c>
      <c r="BP52" s="272">
        <f t="shared" ca="1" si="99"/>
        <v>0</v>
      </c>
      <c r="BQ52" s="272">
        <f t="shared" ca="1" si="99"/>
        <v>0</v>
      </c>
      <c r="BR52" s="272">
        <f t="shared" ca="1" si="99"/>
        <v>0</v>
      </c>
      <c r="BS52" s="272">
        <f t="shared" ca="1" si="99"/>
        <v>0</v>
      </c>
      <c r="BT52" s="272">
        <f t="shared" ca="1" si="99"/>
        <v>0</v>
      </c>
      <c r="BU52" s="272">
        <f t="shared" ca="1" si="99"/>
        <v>0</v>
      </c>
      <c r="BV52" s="272">
        <f t="shared" ref="BV52:DA52" ca="1" si="100">SUM(BV11:BV51)</f>
        <v>0</v>
      </c>
      <c r="BW52" s="272">
        <f t="shared" ca="1" si="100"/>
        <v>0</v>
      </c>
      <c r="BX52" s="272">
        <f t="shared" ca="1" si="100"/>
        <v>0</v>
      </c>
      <c r="BY52" s="272">
        <f t="shared" ca="1" si="100"/>
        <v>0</v>
      </c>
      <c r="BZ52" s="272">
        <f t="shared" ca="1" si="100"/>
        <v>0</v>
      </c>
      <c r="CA52" s="272">
        <f t="shared" ca="1" si="100"/>
        <v>0</v>
      </c>
      <c r="CB52" s="272">
        <f t="shared" ca="1" si="100"/>
        <v>0</v>
      </c>
      <c r="CC52" s="272">
        <f t="shared" ca="1" si="100"/>
        <v>0</v>
      </c>
      <c r="CD52" s="272">
        <f t="shared" ca="1" si="100"/>
        <v>0</v>
      </c>
      <c r="CE52" s="272">
        <f t="shared" ca="1" si="100"/>
        <v>0</v>
      </c>
      <c r="CF52" s="272">
        <f t="shared" ca="1" si="100"/>
        <v>0</v>
      </c>
      <c r="CG52" s="272">
        <f t="shared" ca="1" si="100"/>
        <v>0</v>
      </c>
      <c r="CH52" s="272">
        <f t="shared" ca="1" si="100"/>
        <v>0</v>
      </c>
      <c r="CI52" s="272">
        <f t="shared" ca="1" si="100"/>
        <v>0</v>
      </c>
      <c r="CJ52" s="272">
        <f t="shared" ca="1" si="100"/>
        <v>0</v>
      </c>
      <c r="CK52" s="272">
        <f t="shared" ca="1" si="100"/>
        <v>0</v>
      </c>
      <c r="CL52" s="272">
        <f t="shared" ca="1" si="100"/>
        <v>0</v>
      </c>
      <c r="CM52" s="272">
        <f t="shared" ca="1" si="100"/>
        <v>0</v>
      </c>
      <c r="CN52" s="272">
        <f t="shared" ca="1" si="100"/>
        <v>0</v>
      </c>
      <c r="CO52" s="272">
        <f t="shared" ca="1" si="100"/>
        <v>0</v>
      </c>
      <c r="CP52" s="272">
        <f t="shared" ca="1" si="100"/>
        <v>0</v>
      </c>
      <c r="CQ52" s="272">
        <f t="shared" ca="1" si="100"/>
        <v>0</v>
      </c>
      <c r="CR52" s="272">
        <f t="shared" ca="1" si="100"/>
        <v>0</v>
      </c>
      <c r="CS52" s="272">
        <f t="shared" ca="1" si="100"/>
        <v>0</v>
      </c>
      <c r="CT52" s="272">
        <f t="shared" ca="1" si="100"/>
        <v>0</v>
      </c>
      <c r="CU52" s="272">
        <f t="shared" ca="1" si="100"/>
        <v>0</v>
      </c>
      <c r="CV52" s="272">
        <f t="shared" ca="1" si="100"/>
        <v>0</v>
      </c>
      <c r="CW52" s="272">
        <f t="shared" ca="1" si="100"/>
        <v>0</v>
      </c>
      <c r="CX52" s="272">
        <f t="shared" ca="1" si="100"/>
        <v>0</v>
      </c>
      <c r="CY52" s="272">
        <f t="shared" ca="1" si="100"/>
        <v>0</v>
      </c>
      <c r="CZ52" s="272">
        <f t="shared" ca="1" si="100"/>
        <v>0</v>
      </c>
      <c r="DA52" s="272">
        <f t="shared" ca="1" si="100"/>
        <v>0</v>
      </c>
    </row>
    <row r="53" spans="1:105" s="265" customFormat="1" ht="16.5" customHeight="1">
      <c r="A53" s="273"/>
      <c r="B53" s="273"/>
      <c r="C53" s="273"/>
      <c r="D53" s="273"/>
      <c r="E53" s="274" t="s">
        <v>214</v>
      </c>
      <c r="F53" s="273"/>
      <c r="G53" s="275"/>
      <c r="H53" s="275"/>
      <c r="I53" s="273"/>
      <c r="J53" s="295">
        <f ca="1">MAX(J10+J52-K10-K52,0)</f>
        <v>1807122022.5</v>
      </c>
      <c r="K53" s="295">
        <f ca="1">MAX(K10+K52-J10-J52,0)</f>
        <v>0</v>
      </c>
      <c r="L53" s="295">
        <f ca="1">MAX(L10+L52-M10-M52,0)</f>
        <v>9382419</v>
      </c>
      <c r="M53" s="295">
        <f ca="1">MAX(M10+M52-L10-L52,0)</f>
        <v>0</v>
      </c>
      <c r="N53" s="295">
        <f ca="1">MAX(N10+N52-O10-O52,0)</f>
        <v>7381692.9499816895</v>
      </c>
      <c r="O53" s="295">
        <f ca="1">MAX(O10+O52-N10-N52,0)</f>
        <v>0</v>
      </c>
      <c r="P53" s="295">
        <f ca="1">MAX(P10+P52-Q10-Q52,0)</f>
        <v>57038792896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351991384</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37054109099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9756564</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27284564849.050003</v>
      </c>
      <c r="BX53" s="295">
        <f ca="1">MAX(BX10+BX52-BY10-BY52,0)</f>
        <v>0</v>
      </c>
      <c r="BY53" s="295">
        <f ca="1">MAX(BY10+BY52-BX10-BX52,0)</f>
        <v>10000000000</v>
      </c>
      <c r="BZ53" s="295">
        <f ca="1">MAX(BZ10+BZ52-CA10-CA52,0)</f>
        <v>0</v>
      </c>
      <c r="CA53" s="295">
        <f ca="1">MAX(CA10+CA52-BZ10-BZ52,0)</f>
        <v>635107905.00000095</v>
      </c>
      <c r="CB53" s="295">
        <f ca="1">MAX(CB10+CB52-CC10-CC52,0)</f>
        <v>107861885.00000048</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6.5" customHeight="1">
      <c r="A54" s="277"/>
      <c r="B54" s="277"/>
      <c r="C54" s="278"/>
      <c r="D54" s="277"/>
      <c r="E54" s="279" t="s">
        <v>215</v>
      </c>
      <c r="F54" s="277"/>
      <c r="G54" s="280"/>
      <c r="H54" s="280"/>
      <c r="I54" s="277"/>
      <c r="J54" s="277">
        <f ca="1">J52+'SC-III'!J54</f>
        <v>0</v>
      </c>
      <c r="K54" s="277">
        <f ca="1">K52+'SC-III'!K54</f>
        <v>0</v>
      </c>
      <c r="L54" s="277">
        <f ca="1">L52+'SC-III'!L54</f>
        <v>0</v>
      </c>
      <c r="M54" s="277">
        <f ca="1">M52+'SC-III'!M54</f>
        <v>0</v>
      </c>
      <c r="N54" s="277">
        <f ca="1">N52+'SC-III'!N54</f>
        <v>0</v>
      </c>
      <c r="O54" s="277">
        <f ca="1">O52+'SC-III'!O54</f>
        <v>0</v>
      </c>
      <c r="P54" s="277">
        <f ca="1">P52+'SC-III'!P54</f>
        <v>0</v>
      </c>
      <c r="Q54" s="277">
        <f ca="1">Q52+'SC-III'!Q54</f>
        <v>0</v>
      </c>
      <c r="R54" s="277">
        <f ca="1">R52+'SC-III'!R54</f>
        <v>0</v>
      </c>
      <c r="S54" s="277">
        <f ca="1">S52+'SC-III'!S54</f>
        <v>0</v>
      </c>
      <c r="T54" s="277">
        <f ca="1">T52+'SC-III'!T54</f>
        <v>0</v>
      </c>
      <c r="U54" s="277">
        <f ca="1">U52+'SC-III'!U54</f>
        <v>0</v>
      </c>
      <c r="V54" s="277">
        <f ca="1">V52+'SC-III'!V54</f>
        <v>0</v>
      </c>
      <c r="W54" s="277">
        <f ca="1">W52+'SC-III'!W54</f>
        <v>0</v>
      </c>
      <c r="X54" s="277">
        <f ca="1">X52+'SC-III'!X54</f>
        <v>0</v>
      </c>
      <c r="Y54" s="277">
        <f ca="1">Y52+'SC-III'!Y54</f>
        <v>0</v>
      </c>
      <c r="Z54" s="277">
        <f ca="1">Z52+'SC-III'!Z54</f>
        <v>0</v>
      </c>
      <c r="AA54" s="277">
        <f ca="1">AA52+'SC-III'!AA54</f>
        <v>0</v>
      </c>
      <c r="AB54" s="277">
        <f ca="1">AB52+'SC-III'!AB54</f>
        <v>0</v>
      </c>
      <c r="AC54" s="277">
        <f ca="1">AC52+'SC-III'!AC54</f>
        <v>0</v>
      </c>
      <c r="AD54" s="277">
        <f ca="1">AD52+'SC-III'!AD54</f>
        <v>0</v>
      </c>
      <c r="AE54" s="277">
        <f ca="1">AE52+'SC-III'!AE54</f>
        <v>0</v>
      </c>
      <c r="AF54" s="277">
        <f ca="1">AF52+'SC-III'!AF54</f>
        <v>0</v>
      </c>
      <c r="AG54" s="277">
        <f ca="1">AG52+'SC-III'!AG54</f>
        <v>0</v>
      </c>
      <c r="AH54" s="277">
        <f ca="1">AH52+'SC-III'!AH54</f>
        <v>0</v>
      </c>
      <c r="AI54" s="277">
        <f ca="1">AI52+'SC-III'!AI54</f>
        <v>0</v>
      </c>
      <c r="AJ54" s="277">
        <f ca="1">AJ52+'SC-III'!AJ54</f>
        <v>0</v>
      </c>
      <c r="AK54" s="277">
        <f ca="1">AK52+'SC-III'!AK54</f>
        <v>0</v>
      </c>
      <c r="AL54" s="277">
        <f ca="1">AL52+'SC-III'!AL54</f>
        <v>0</v>
      </c>
      <c r="AM54" s="277">
        <f ca="1">AM52+'SC-III'!AM54</f>
        <v>0</v>
      </c>
      <c r="AN54" s="277">
        <f ca="1">AN52+'SC-III'!AN54</f>
        <v>0</v>
      </c>
      <c r="AO54" s="277">
        <f ca="1">AO52+'SC-III'!AO54</f>
        <v>0</v>
      </c>
      <c r="AP54" s="277">
        <f ca="1">AP52+'SC-III'!AP54</f>
        <v>0</v>
      </c>
      <c r="AQ54" s="277">
        <f ca="1">AQ52+'SC-III'!AQ54</f>
        <v>0</v>
      </c>
      <c r="AR54" s="277">
        <f ca="1">AR52+'SC-III'!AR54</f>
        <v>0</v>
      </c>
      <c r="AS54" s="277">
        <f ca="1">AS52+'SC-III'!AS54</f>
        <v>0</v>
      </c>
      <c r="AT54" s="277">
        <f ca="1">AT52+'SC-III'!AT54</f>
        <v>0</v>
      </c>
      <c r="AU54" s="277">
        <f ca="1">AU52+'SC-III'!AU54</f>
        <v>0</v>
      </c>
      <c r="AV54" s="277">
        <f ca="1">AV52+'SC-III'!AV54</f>
        <v>0</v>
      </c>
      <c r="AW54" s="277">
        <f ca="1">AW52+'SC-III'!AW54</f>
        <v>0</v>
      </c>
      <c r="AX54" s="277">
        <f ca="1">AX52+'SC-III'!AX54</f>
        <v>0</v>
      </c>
      <c r="AY54" s="277">
        <f ca="1">AY52+'SC-III'!AY54</f>
        <v>0</v>
      </c>
      <c r="AZ54" s="277">
        <f ca="1">AZ52+'SC-III'!AZ54</f>
        <v>0</v>
      </c>
      <c r="BA54" s="277">
        <f ca="1">BA52+'SC-III'!BA54</f>
        <v>0</v>
      </c>
      <c r="BB54" s="277">
        <f ca="1">BB52+'SC-III'!BB54</f>
        <v>0</v>
      </c>
      <c r="BC54" s="277">
        <f ca="1">BC52+'SC-III'!BC54</f>
        <v>0</v>
      </c>
      <c r="BD54" s="277">
        <f ca="1">BD52+'SC-III'!BD54</f>
        <v>0</v>
      </c>
      <c r="BE54" s="277">
        <f ca="1">BE52+'SC-III'!BE54</f>
        <v>0</v>
      </c>
      <c r="BF54" s="277">
        <f ca="1">BF52+'SC-III'!BF54</f>
        <v>0</v>
      </c>
      <c r="BG54" s="277">
        <f ca="1">BG52+'SC-III'!BG54</f>
        <v>0</v>
      </c>
      <c r="BH54" s="277">
        <f ca="1">BH52+'SC-III'!BH54</f>
        <v>0</v>
      </c>
      <c r="BI54" s="277">
        <f ca="1">BI52+'SC-III'!BI54</f>
        <v>0</v>
      </c>
      <c r="BJ54" s="277">
        <f ca="1">BJ52+'SC-III'!BJ54</f>
        <v>0</v>
      </c>
      <c r="BK54" s="277">
        <f ca="1">BK52+'SC-III'!BK54</f>
        <v>0</v>
      </c>
      <c r="BL54" s="277">
        <f ca="1">BL52+'SC-III'!BL54</f>
        <v>0</v>
      </c>
      <c r="BM54" s="277">
        <f ca="1">BM52+'SC-III'!BM54</f>
        <v>0</v>
      </c>
      <c r="BN54" s="277">
        <f ca="1">BN52+'SC-III'!BN54</f>
        <v>0</v>
      </c>
      <c r="BO54" s="277">
        <f ca="1">BO52+'SC-III'!BO54</f>
        <v>0</v>
      </c>
      <c r="BP54" s="277">
        <f ca="1">BP52+'SC-III'!BP54</f>
        <v>0</v>
      </c>
      <c r="BQ54" s="277">
        <f ca="1">BQ52+'SC-III'!BQ54</f>
        <v>0</v>
      </c>
      <c r="BR54" s="277">
        <f ca="1">BR52+'SC-III'!BR54</f>
        <v>0</v>
      </c>
      <c r="BS54" s="277">
        <f ca="1">BS52+'SC-III'!BS54</f>
        <v>0</v>
      </c>
      <c r="BT54" s="277">
        <f ca="1">BT52+'SC-III'!BT54</f>
        <v>0</v>
      </c>
      <c r="BU54" s="277">
        <f ca="1">BU52+'SC-III'!BU54</f>
        <v>0</v>
      </c>
      <c r="BV54" s="277">
        <f ca="1">BV52+'SC-III'!BV54</f>
        <v>0</v>
      </c>
      <c r="BW54" s="277">
        <f ca="1">BW52+'SC-III'!BW54</f>
        <v>0</v>
      </c>
      <c r="BX54" s="277">
        <f ca="1">BX52+'SC-III'!BX54</f>
        <v>0</v>
      </c>
      <c r="BY54" s="277">
        <f ca="1">BY52+'SC-III'!BY54</f>
        <v>0</v>
      </c>
      <c r="BZ54" s="277">
        <f ca="1">BZ52+'SC-III'!BZ54</f>
        <v>0</v>
      </c>
      <c r="CA54" s="277">
        <f ca="1">CA52+'SC-III'!CA54</f>
        <v>107861885.00000048</v>
      </c>
      <c r="CB54" s="277">
        <f ca="1">CB52+'SC-III'!CB54</f>
        <v>107861885.00000048</v>
      </c>
      <c r="CC54" s="277">
        <f ca="1">CC52+'SC-III'!CC54</f>
        <v>0</v>
      </c>
      <c r="CD54" s="277">
        <f ca="1">CD52+'SC-III'!CD54</f>
        <v>0</v>
      </c>
      <c r="CE54" s="277">
        <f ca="1">CE52+'SC-III'!CE54</f>
        <v>0</v>
      </c>
      <c r="CF54" s="277">
        <f ca="1">CF52+'SC-III'!CF54</f>
        <v>0</v>
      </c>
      <c r="CG54" s="277">
        <f ca="1">CG52+'SC-III'!CG54</f>
        <v>0</v>
      </c>
      <c r="CH54" s="277">
        <f ca="1">CH52+'SC-III'!CH54</f>
        <v>0</v>
      </c>
      <c r="CI54" s="277">
        <f ca="1">CI52+'SC-III'!CI54</f>
        <v>0</v>
      </c>
      <c r="CJ54" s="277">
        <f ca="1">CJ52+'SC-III'!CJ54</f>
        <v>0</v>
      </c>
      <c r="CK54" s="277">
        <f ca="1">CK52+'SC-III'!CK54</f>
        <v>0</v>
      </c>
      <c r="CL54" s="277">
        <f ca="1">CL52+'SC-III'!CL54</f>
        <v>0</v>
      </c>
      <c r="CM54" s="277">
        <f ca="1">CM52+'SC-III'!CM54</f>
        <v>0</v>
      </c>
      <c r="CN54" s="277">
        <f ca="1">CN52+'SC-III'!CN54</f>
        <v>0</v>
      </c>
      <c r="CO54" s="277">
        <f ca="1">CO52+'SC-III'!CO54</f>
        <v>0</v>
      </c>
      <c r="CP54" s="277">
        <f ca="1">CP52+'SC-III'!CP54</f>
        <v>0</v>
      </c>
      <c r="CQ54" s="277">
        <f ca="1">CQ52+'SC-III'!CQ54</f>
        <v>0</v>
      </c>
      <c r="CR54" s="277">
        <f ca="1">CR52+'SC-III'!CR54</f>
        <v>0</v>
      </c>
      <c r="CS54" s="277">
        <f ca="1">CS52+'SC-III'!CS54</f>
        <v>0</v>
      </c>
      <c r="CT54" s="277">
        <f ca="1">CT52+'SC-III'!CT54</f>
        <v>0</v>
      </c>
      <c r="CU54" s="277">
        <f ca="1">CU52+'SC-III'!CU54</f>
        <v>0</v>
      </c>
      <c r="CV54" s="277">
        <f ca="1">CV52+'SC-III'!CV54</f>
        <v>0</v>
      </c>
      <c r="CW54" s="277">
        <f ca="1">CW52+'SC-III'!CW54</f>
        <v>0</v>
      </c>
      <c r="CX54" s="277">
        <f ca="1">CX52+'SC-III'!CX54</f>
        <v>0</v>
      </c>
      <c r="CY54" s="277">
        <f ca="1">CY52+'SC-III'!CY54</f>
        <v>0</v>
      </c>
      <c r="CZ54" s="277">
        <f ca="1">CZ52+'SC-III'!CZ54</f>
        <v>0</v>
      </c>
      <c r="DA54" s="277">
        <f ca="1">DA52+'SC-III'!DA54</f>
        <v>0</v>
      </c>
    </row>
    <row r="55" spans="1:105" ht="12" customHeight="1">
      <c r="B55" s="282"/>
      <c r="C55" s="283"/>
      <c r="D55" s="283"/>
      <c r="E55" s="283"/>
      <c r="F55" s="283"/>
      <c r="G55" s="284"/>
      <c r="H55" s="284"/>
      <c r="I55" s="283"/>
      <c r="J55" s="283"/>
      <c r="K55" s="283"/>
      <c r="AB55" s="283"/>
      <c r="AC55" s="283"/>
      <c r="AD55" s="283"/>
      <c r="AE55" s="284"/>
      <c r="AF55" s="283"/>
      <c r="AG55" s="284"/>
      <c r="AH55" s="284"/>
      <c r="AI55" s="284"/>
      <c r="AJ55" s="284"/>
      <c r="AK55" s="300"/>
      <c r="AL55" s="283"/>
      <c r="AM55" s="283"/>
      <c r="AN55" s="283"/>
      <c r="AO55" s="283"/>
      <c r="AR55" s="283"/>
      <c r="AS55" s="283"/>
      <c r="AT55" s="283"/>
      <c r="AU55" s="283"/>
      <c r="AV55" s="283"/>
      <c r="AW55" s="283"/>
      <c r="AZ55" s="283"/>
      <c r="BA55" s="283"/>
    </row>
    <row r="56" spans="1:105" ht="12" customHeight="1">
      <c r="B56" s="282"/>
      <c r="C56" s="283"/>
      <c r="D56" s="283"/>
      <c r="E56" s="283"/>
      <c r="F56" s="283"/>
      <c r="G56" s="284"/>
      <c r="H56" s="284"/>
      <c r="I56" s="283"/>
      <c r="J56" s="283"/>
      <c r="K56" s="283"/>
      <c r="AB56" s="283"/>
      <c r="AC56" s="283"/>
      <c r="AD56" s="283"/>
      <c r="AE56" s="284"/>
      <c r="AF56" s="283"/>
      <c r="AG56" s="284"/>
      <c r="AH56" s="284"/>
      <c r="AI56" s="284"/>
      <c r="AJ56" s="284"/>
      <c r="AK56" s="300"/>
      <c r="AL56" s="286" t="s">
        <v>249</v>
      </c>
      <c r="AM56" s="287"/>
      <c r="AN56" s="287"/>
      <c r="AO56" s="287"/>
      <c r="AP56" s="287"/>
      <c r="AQ56" s="287"/>
      <c r="AR56" s="288"/>
      <c r="AS56" s="288"/>
      <c r="AT56" s="287"/>
    </row>
    <row r="57" spans="1:105" ht="12" customHeight="1">
      <c r="J57" s="285"/>
      <c r="K57" s="285"/>
      <c r="L57" s="285"/>
      <c r="M57" s="302"/>
      <c r="N57" s="285"/>
      <c r="O57" s="302"/>
      <c r="P57" s="302"/>
      <c r="Q57" s="302"/>
      <c r="R57" s="285"/>
      <c r="AE57" s="247"/>
      <c r="AG57" s="247"/>
      <c r="AH57" s="247"/>
      <c r="AI57" s="247"/>
      <c r="AJ57" s="247"/>
      <c r="AK57" s="303"/>
      <c r="AL57" s="289" t="s">
        <v>231</v>
      </c>
      <c r="AM57" s="287"/>
      <c r="AN57" s="287"/>
      <c r="AO57" s="287"/>
      <c r="AP57" s="287"/>
      <c r="AQ57" s="287"/>
      <c r="AR57" s="288"/>
      <c r="AS57" s="288"/>
      <c r="AT57" s="287"/>
    </row>
    <row r="58" spans="1:105" s="253" customFormat="1" ht="12" customHeight="1">
      <c r="F58" s="304"/>
      <c r="G58" s="305"/>
      <c r="H58" s="305"/>
      <c r="R58" s="306"/>
      <c r="Z58" s="246"/>
      <c r="AA58" s="246"/>
      <c r="AE58" s="305"/>
      <c r="AG58" s="305"/>
      <c r="AH58" s="305"/>
      <c r="AI58" s="305"/>
      <c r="AJ58" s="305"/>
      <c r="AK58" s="307"/>
      <c r="AL58" s="287"/>
      <c r="AM58" s="287"/>
      <c r="AN58" s="287"/>
      <c r="AO58" s="287"/>
      <c r="AP58" s="287"/>
      <c r="AQ58" s="287"/>
      <c r="AR58" s="287"/>
      <c r="AS58" s="287"/>
      <c r="AT58" s="288"/>
      <c r="AU58" s="246"/>
      <c r="AV58" s="246"/>
      <c r="AW58" s="246"/>
      <c r="AX58" s="246"/>
      <c r="AY58" s="246"/>
      <c r="AZ58" s="246"/>
      <c r="BA58" s="246"/>
    </row>
    <row r="59" spans="1:105" ht="12" customHeight="1">
      <c r="L59" s="265"/>
      <c r="N59" s="265"/>
      <c r="AE59" s="247"/>
      <c r="AG59" s="247"/>
      <c r="AH59" s="247"/>
      <c r="AI59" s="247"/>
      <c r="AJ59" s="247"/>
      <c r="AK59" s="303"/>
      <c r="AL59" s="287"/>
      <c r="AM59" s="287"/>
      <c r="AN59" s="287"/>
      <c r="AO59" s="287"/>
      <c r="AP59" s="287"/>
      <c r="AQ59" s="287"/>
      <c r="AR59" s="287"/>
      <c r="AS59" s="287"/>
      <c r="AT59" s="288"/>
      <c r="AZ59" s="290" t="str">
        <f>"Ngày 31 tháng 12 năm 2015 "</f>
        <v xml:space="preserve">Ngày 31 tháng 12 năm 2015 </v>
      </c>
    </row>
    <row r="60" spans="1:105">
      <c r="J60" s="265"/>
      <c r="K60" s="265"/>
      <c r="AL60" s="287"/>
      <c r="AM60" s="291" t="s">
        <v>11</v>
      </c>
      <c r="AN60" s="287"/>
      <c r="AO60" s="287"/>
      <c r="AP60" s="287"/>
      <c r="AQ60" s="287"/>
      <c r="AR60" s="287"/>
      <c r="AS60" s="292" t="s">
        <v>12</v>
      </c>
      <c r="AT60" s="288"/>
      <c r="AZ60" s="291" t="s">
        <v>131</v>
      </c>
    </row>
    <row r="61" spans="1:105">
      <c r="T61" s="265"/>
      <c r="AL61" s="287"/>
      <c r="AM61" s="293" t="s">
        <v>13</v>
      </c>
      <c r="AN61" s="287"/>
      <c r="AO61" s="287"/>
      <c r="AP61" s="287"/>
      <c r="AQ61" s="287"/>
      <c r="AR61" s="287"/>
      <c r="AS61" s="294" t="s">
        <v>13</v>
      </c>
      <c r="AT61" s="288"/>
      <c r="AZ61" s="293" t="s">
        <v>161</v>
      </c>
    </row>
    <row r="62" spans="1:105">
      <c r="F62" s="265"/>
      <c r="T62" s="265"/>
      <c r="AL62" s="287"/>
      <c r="AM62" s="287"/>
      <c r="AN62" s="287"/>
      <c r="AO62" s="287"/>
      <c r="AP62" s="287"/>
      <c r="AQ62" s="287"/>
      <c r="AR62" s="287"/>
      <c r="AS62" s="287"/>
      <c r="AT62" s="288"/>
      <c r="AZ62" s="287"/>
    </row>
    <row r="63" spans="1:105">
      <c r="F63" s="265"/>
      <c r="T63" s="265"/>
      <c r="AZ63" s="287"/>
    </row>
    <row r="64" spans="1:105">
      <c r="F64" s="265"/>
      <c r="G64" s="265"/>
      <c r="T64" s="265"/>
    </row>
    <row r="65" spans="5:20">
      <c r="F65" s="265"/>
      <c r="T65" s="265"/>
    </row>
    <row r="66" spans="5:20">
      <c r="F66" s="265"/>
      <c r="T66" s="265"/>
    </row>
    <row r="67" spans="5:20">
      <c r="F67" s="265"/>
      <c r="M67" s="285"/>
      <c r="O67" s="285"/>
      <c r="P67" s="285"/>
      <c r="Q67" s="285"/>
      <c r="R67" s="285"/>
      <c r="T67" s="265"/>
    </row>
    <row r="68" spans="5:20">
      <c r="E68" s="296"/>
      <c r="F68" s="265"/>
      <c r="M68" s="285"/>
      <c r="O68" s="285"/>
      <c r="P68" s="285"/>
      <c r="Q68" s="285"/>
      <c r="R68" s="285"/>
    </row>
    <row r="69" spans="5:20">
      <c r="F69" s="285"/>
      <c r="M69" s="285"/>
      <c r="O69" s="285"/>
      <c r="P69" s="285"/>
      <c r="Q69" s="285"/>
      <c r="R69" s="285"/>
    </row>
    <row r="70" spans="5:20">
      <c r="F70" s="285"/>
      <c r="M70" s="285"/>
      <c r="O70" s="285"/>
      <c r="P70" s="285"/>
      <c r="Q70" s="285"/>
      <c r="R70" s="285"/>
    </row>
    <row r="71" spans="5:20">
      <c r="E71" s="285"/>
      <c r="F71" s="285"/>
      <c r="M71" s="285"/>
      <c r="O71" s="285"/>
      <c r="P71" s="285"/>
      <c r="Q71" s="285"/>
      <c r="R71" s="285"/>
    </row>
    <row r="72" spans="5:20">
      <c r="E72" s="285"/>
      <c r="F72" s="285"/>
      <c r="M72" s="285"/>
      <c r="O72" s="285"/>
      <c r="P72" s="285"/>
      <c r="Q72" s="285"/>
      <c r="R72" s="285"/>
    </row>
    <row r="73" spans="5:20">
      <c r="E73" s="285"/>
      <c r="F73" s="285"/>
      <c r="M73" s="285"/>
      <c r="O73" s="285"/>
      <c r="P73" s="285"/>
      <c r="Q73" s="285"/>
      <c r="R73" s="285"/>
    </row>
    <row r="74" spans="5:20">
      <c r="E74" s="285"/>
      <c r="F74" s="285"/>
      <c r="M74" s="285"/>
      <c r="O74" s="285"/>
      <c r="P74" s="285"/>
      <c r="Q74" s="285"/>
      <c r="R74" s="285"/>
    </row>
    <row r="75" spans="5:20">
      <c r="E75" s="285"/>
      <c r="F75" s="285"/>
      <c r="M75" s="285"/>
      <c r="O75" s="285"/>
      <c r="P75" s="285"/>
      <c r="Q75" s="285"/>
      <c r="R75" s="285"/>
    </row>
    <row r="76" spans="5:20">
      <c r="E76" s="285"/>
      <c r="F76" s="285"/>
      <c r="M76" s="285"/>
      <c r="O76" s="285"/>
      <c r="P76" s="285"/>
      <c r="Q76" s="285"/>
      <c r="R76" s="285"/>
    </row>
    <row r="77" spans="5:20">
      <c r="F77" s="285"/>
      <c r="M77" s="285"/>
      <c r="O77" s="285"/>
      <c r="P77" s="285"/>
      <c r="Q77" s="285"/>
      <c r="R77" s="285"/>
    </row>
    <row r="78" spans="5:20">
      <c r="F78" s="285"/>
      <c r="M78" s="285"/>
      <c r="O78" s="285"/>
      <c r="P78" s="285"/>
      <c r="Q78" s="285"/>
      <c r="R78" s="285"/>
    </row>
    <row r="79" spans="5:20">
      <c r="F79" s="285"/>
      <c r="M79" s="285"/>
      <c r="O79" s="285"/>
      <c r="P79" s="285"/>
      <c r="Q79" s="285"/>
      <c r="R79" s="285"/>
    </row>
    <row r="80" spans="5:20">
      <c r="F80" s="285"/>
      <c r="M80" s="285"/>
      <c r="O80" s="285"/>
      <c r="P80" s="285"/>
      <c r="Q80" s="285"/>
      <c r="R80" s="285"/>
    </row>
    <row r="81" spans="6:18">
      <c r="F81" s="285"/>
      <c r="M81" s="285"/>
      <c r="O81" s="285"/>
      <c r="P81" s="285"/>
      <c r="Q81" s="285"/>
      <c r="R81" s="285"/>
    </row>
    <row r="82" spans="6:18">
      <c r="F82" s="285"/>
      <c r="M82" s="285"/>
      <c r="O82" s="285"/>
      <c r="P82" s="285"/>
      <c r="Q82" s="285"/>
      <c r="R82" s="285"/>
    </row>
    <row r="83" spans="6:18">
      <c r="M83" s="285"/>
      <c r="O83" s="285"/>
      <c r="P83" s="285"/>
      <c r="Q83" s="285"/>
      <c r="R83" s="285"/>
    </row>
    <row r="85" spans="6:18">
      <c r="M85" s="285"/>
      <c r="O85" s="285"/>
      <c r="P85" s="285"/>
      <c r="Q85" s="285"/>
      <c r="R85" s="285"/>
    </row>
    <row r="86" spans="6:18">
      <c r="M86" s="285"/>
      <c r="O86" s="285"/>
      <c r="P86" s="285"/>
      <c r="Q86" s="285"/>
      <c r="R86" s="285"/>
    </row>
    <row r="87" spans="6:18">
      <c r="M87" s="285"/>
      <c r="O87" s="285"/>
      <c r="P87" s="285"/>
      <c r="Q87" s="285"/>
      <c r="R87" s="285"/>
    </row>
    <row r="88" spans="6:18">
      <c r="M88" s="285"/>
      <c r="O88" s="285"/>
      <c r="P88" s="285"/>
      <c r="Q88" s="285"/>
      <c r="R88" s="285"/>
    </row>
    <row r="89" spans="6:18">
      <c r="M89" s="285"/>
      <c r="O89" s="285"/>
      <c r="P89" s="285"/>
      <c r="Q89" s="285"/>
      <c r="R89" s="285"/>
    </row>
    <row r="90" spans="6:18">
      <c r="M90" s="285"/>
      <c r="O90" s="285"/>
      <c r="P90" s="285"/>
      <c r="Q90" s="285"/>
      <c r="R90" s="285"/>
    </row>
    <row r="103" spans="13:17">
      <c r="M103" s="285"/>
      <c r="O103" s="285"/>
      <c r="P103" s="285"/>
      <c r="Q103" s="285"/>
    </row>
    <row r="120" spans="13:18">
      <c r="R120" s="285"/>
    </row>
    <row r="121" spans="13:18">
      <c r="R121" s="285"/>
    </row>
    <row r="122" spans="13:18">
      <c r="M122" s="285"/>
      <c r="O122" s="285"/>
      <c r="P122" s="285"/>
      <c r="Q122" s="285"/>
      <c r="R122" s="285"/>
    </row>
    <row r="123" spans="13:18">
      <c r="M123" s="285"/>
      <c r="O123" s="285"/>
      <c r="P123" s="285"/>
      <c r="Q123" s="285"/>
      <c r="R123" s="285"/>
    </row>
    <row r="124" spans="13:18">
      <c r="M124" s="285"/>
      <c r="O124" s="285"/>
      <c r="P124" s="285"/>
      <c r="Q124" s="285"/>
    </row>
    <row r="125" spans="13:18">
      <c r="M125" s="285"/>
      <c r="O125" s="285"/>
      <c r="P125" s="285"/>
      <c r="Q125" s="285"/>
    </row>
    <row r="127" spans="13:18">
      <c r="M127" s="285"/>
      <c r="O127" s="285"/>
      <c r="P127" s="285"/>
      <c r="Q127" s="285"/>
      <c r="R127" s="285"/>
    </row>
    <row r="128" spans="13:18">
      <c r="M128" s="285"/>
      <c r="O128" s="285"/>
      <c r="P128" s="285"/>
      <c r="Q128" s="285"/>
      <c r="R128"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row r="174" spans="13:18">
      <c r="M174" s="285"/>
      <c r="O174" s="285"/>
      <c r="P174" s="285"/>
      <c r="Q174" s="285"/>
      <c r="R174" s="285"/>
    </row>
    <row r="175" spans="13:18">
      <c r="M175" s="285"/>
      <c r="O175" s="285"/>
      <c r="P175" s="285"/>
      <c r="Q175" s="285"/>
      <c r="R175" s="285"/>
    </row>
    <row r="176" spans="13:18">
      <c r="M176" s="285"/>
      <c r="O176" s="285"/>
      <c r="P176" s="285"/>
      <c r="Q176" s="285"/>
      <c r="R176" s="285"/>
    </row>
    <row r="177" spans="13:18">
      <c r="M177" s="285"/>
      <c r="O177" s="285"/>
      <c r="P177" s="285"/>
      <c r="Q177" s="285"/>
      <c r="R177" s="285"/>
    </row>
    <row r="178" spans="13:18">
      <c r="M178" s="285"/>
      <c r="O178" s="285"/>
      <c r="P178" s="285"/>
      <c r="Q178" s="285"/>
      <c r="R178" s="285"/>
    </row>
    <row r="179" spans="13:18">
      <c r="M179" s="285"/>
      <c r="O179" s="285"/>
      <c r="P179" s="285"/>
      <c r="Q179" s="285"/>
      <c r="R179" s="285"/>
    </row>
    <row r="180" spans="13:18">
      <c r="M180" s="285"/>
      <c r="O180" s="285"/>
      <c r="P180" s="285"/>
      <c r="Q180" s="285"/>
      <c r="R180" s="285"/>
    </row>
    <row r="181" spans="13:18">
      <c r="M181" s="285"/>
      <c r="O181" s="285"/>
      <c r="P181" s="285"/>
      <c r="Q181" s="285"/>
      <c r="R181" s="285"/>
    </row>
    <row r="182" spans="13:18">
      <c r="M182" s="285"/>
      <c r="O182" s="285"/>
      <c r="P182" s="285"/>
      <c r="Q182" s="285"/>
      <c r="R182" s="285"/>
    </row>
    <row r="183" spans="13:18">
      <c r="M183" s="285"/>
      <c r="O183" s="285"/>
      <c r="P183" s="285"/>
      <c r="Q183" s="285"/>
      <c r="R183" s="285"/>
    </row>
    <row r="184" spans="13:18">
      <c r="M184" s="285"/>
      <c r="O184" s="285"/>
      <c r="P184" s="285"/>
      <c r="Q184" s="285"/>
      <c r="R184" s="285"/>
    </row>
    <row r="185" spans="13:18">
      <c r="M185" s="285"/>
      <c r="O185" s="285"/>
      <c r="P185" s="285"/>
      <c r="Q185" s="285"/>
      <c r="R185" s="285"/>
    </row>
    <row r="186" spans="13:18">
      <c r="M186" s="285"/>
      <c r="O186" s="285"/>
      <c r="P186" s="285"/>
      <c r="Q186" s="285"/>
      <c r="R186" s="285"/>
    </row>
    <row r="187" spans="13:18">
      <c r="M187" s="285"/>
      <c r="O187" s="285"/>
      <c r="P187" s="285"/>
      <c r="Q187" s="285"/>
      <c r="R187" s="285"/>
    </row>
    <row r="188" spans="13:18">
      <c r="M188" s="285"/>
      <c r="O188" s="285"/>
      <c r="P188" s="285"/>
      <c r="Q188" s="285"/>
      <c r="R188" s="285"/>
    </row>
    <row r="189" spans="13:18">
      <c r="M189" s="285"/>
      <c r="O189" s="285"/>
      <c r="P189" s="285"/>
      <c r="Q189" s="285"/>
      <c r="R189" s="285"/>
    </row>
    <row r="190" spans="13:18">
      <c r="M190" s="285"/>
      <c r="O190" s="285"/>
      <c r="P190" s="285"/>
      <c r="Q190" s="285"/>
      <c r="R190" s="285"/>
    </row>
    <row r="191" spans="13:18">
      <c r="M191" s="285"/>
      <c r="O191" s="285"/>
      <c r="P191" s="285"/>
      <c r="Q191" s="285"/>
      <c r="R191" s="285"/>
    </row>
    <row r="192" spans="13:18">
      <c r="M192" s="285"/>
      <c r="O192" s="285"/>
      <c r="P192" s="285"/>
      <c r="Q192" s="285"/>
      <c r="R192" s="285"/>
    </row>
    <row r="193" spans="13:18">
      <c r="M193" s="285"/>
      <c r="O193" s="285"/>
      <c r="P193" s="285"/>
      <c r="Q193" s="285"/>
      <c r="R193" s="285"/>
    </row>
    <row r="194" spans="13:18">
      <c r="M194" s="285"/>
      <c r="O194" s="285"/>
      <c r="P194" s="285"/>
      <c r="Q194" s="285"/>
      <c r="R194" s="285"/>
    </row>
    <row r="195" spans="13:18">
      <c r="M195" s="285"/>
      <c r="O195" s="285"/>
      <c r="P195" s="285"/>
      <c r="Q195" s="285"/>
      <c r="R195" s="285"/>
    </row>
    <row r="196" spans="13:18">
      <c r="M196" s="285"/>
      <c r="O196" s="285"/>
      <c r="P196" s="285"/>
      <c r="Q196" s="285"/>
      <c r="R196" s="285"/>
    </row>
    <row r="197" spans="13:18">
      <c r="M197" s="285"/>
      <c r="O197" s="285"/>
      <c r="P197" s="285"/>
      <c r="Q197" s="285"/>
      <c r="R197" s="285"/>
    </row>
    <row r="198" spans="13:18">
      <c r="M198" s="285"/>
      <c r="O198" s="285"/>
      <c r="P198" s="285"/>
      <c r="Q198" s="285"/>
      <c r="R198" s="285"/>
    </row>
    <row r="199" spans="13:18">
      <c r="M199" s="285"/>
      <c r="O199" s="285"/>
      <c r="P199" s="285"/>
      <c r="Q199" s="285"/>
      <c r="R199" s="285"/>
    </row>
    <row r="200" spans="13:18">
      <c r="M200" s="285"/>
      <c r="O200" s="285"/>
      <c r="P200" s="285"/>
      <c r="Q200" s="285"/>
      <c r="R200" s="285"/>
    </row>
    <row r="201" spans="13:18">
      <c r="M201" s="285"/>
      <c r="O201" s="285"/>
      <c r="P201" s="285"/>
      <c r="Q201" s="285"/>
      <c r="R201" s="285"/>
    </row>
    <row r="202" spans="13:18">
      <c r="M202" s="285"/>
      <c r="O202" s="285"/>
      <c r="P202" s="285"/>
      <c r="Q202" s="285"/>
      <c r="R202" s="285"/>
    </row>
    <row r="203" spans="13:18">
      <c r="M203" s="285"/>
      <c r="O203" s="285"/>
      <c r="P203" s="285"/>
      <c r="Q203" s="285"/>
      <c r="R203" s="285"/>
    </row>
    <row r="204" spans="13:18">
      <c r="M204" s="285"/>
      <c r="O204" s="285"/>
      <c r="P204" s="285"/>
      <c r="Q204" s="285"/>
      <c r="R204" s="285"/>
    </row>
    <row r="205" spans="13:18">
      <c r="M205" s="285"/>
      <c r="O205" s="285"/>
      <c r="P205" s="285"/>
      <c r="Q205" s="285"/>
      <c r="R205" s="285"/>
    </row>
    <row r="206" spans="13:18">
      <c r="M206" s="285"/>
      <c r="O206" s="285"/>
      <c r="P206" s="285"/>
      <c r="Q206" s="285"/>
      <c r="R206" s="285"/>
    </row>
    <row r="207" spans="13:18">
      <c r="M207" s="285"/>
      <c r="O207" s="285"/>
      <c r="P207" s="285"/>
      <c r="Q207" s="285"/>
      <c r="R207" s="285"/>
    </row>
    <row r="208" spans="13:18">
      <c r="M208" s="285"/>
      <c r="O208" s="285"/>
      <c r="P208" s="285"/>
      <c r="Q208" s="285"/>
      <c r="R208" s="285"/>
    </row>
    <row r="209" spans="13:18">
      <c r="M209" s="285"/>
      <c r="O209" s="285"/>
      <c r="P209" s="285"/>
      <c r="Q209" s="285"/>
      <c r="R209" s="285"/>
    </row>
    <row r="210" spans="13:18">
      <c r="M210" s="285"/>
      <c r="O210" s="285"/>
      <c r="P210" s="285"/>
      <c r="Q210" s="285"/>
      <c r="R210" s="285"/>
    </row>
    <row r="211" spans="13:18">
      <c r="M211" s="285"/>
      <c r="O211" s="285"/>
      <c r="P211" s="285"/>
      <c r="Q211" s="285"/>
      <c r="R211" s="285"/>
    </row>
    <row r="212" spans="13:18">
      <c r="M212" s="285"/>
      <c r="O212" s="285"/>
      <c r="P212" s="285"/>
      <c r="Q212" s="285"/>
      <c r="R212" s="285"/>
    </row>
    <row r="213" spans="13:18">
      <c r="M213" s="285"/>
      <c r="O213" s="285"/>
      <c r="P213" s="285"/>
      <c r="Q213" s="285"/>
      <c r="R213" s="285"/>
    </row>
    <row r="214" spans="13:18">
      <c r="M214" s="285"/>
      <c r="O214" s="285"/>
      <c r="P214" s="285"/>
      <c r="Q214" s="285"/>
      <c r="R214" s="285"/>
    </row>
    <row r="215" spans="13:18">
      <c r="M215" s="285"/>
      <c r="O215" s="285"/>
      <c r="P215" s="285"/>
      <c r="Q215" s="285"/>
      <c r="R215"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9"/>
  <sheetViews>
    <sheetView topLeftCell="A7" workbookViewId="0">
      <pane ySplit="8" topLeftCell="A15" activePane="bottomLeft" state="frozen"/>
      <selection activeCell="A7" sqref="A7"/>
      <selection pane="bottomLeft" activeCell="A23" sqref="A23"/>
    </sheetView>
  </sheetViews>
  <sheetFormatPr defaultRowHeight="12.75"/>
  <cols>
    <col min="1" max="1" width="7.7109375" customWidth="1"/>
    <col min="2" max="2" width="6.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180</v>
      </c>
      <c r="B2" s="217"/>
      <c r="C2" s="217"/>
      <c r="E2" s="217"/>
      <c r="G2" s="1268" t="s">
        <v>181</v>
      </c>
      <c r="H2" s="1268"/>
      <c r="I2" s="1268"/>
    </row>
    <row r="3" spans="1:9" s="5" customFormat="1" ht="15.75" customHeight="1">
      <c r="A3" s="1" t="s">
        <v>182</v>
      </c>
      <c r="B3" s="217"/>
      <c r="C3" s="217"/>
      <c r="E3" s="217"/>
      <c r="G3" s="1269" t="s">
        <v>144</v>
      </c>
      <c r="H3" s="1269"/>
      <c r="I3" s="1269"/>
    </row>
    <row r="4" spans="1:9" s="5" customFormat="1" ht="15">
      <c r="A4" s="217"/>
      <c r="B4" s="217"/>
      <c r="C4" s="217"/>
      <c r="E4" s="217"/>
      <c r="F4" s="17"/>
      <c r="G4" s="1269"/>
      <c r="H4" s="1269"/>
      <c r="I4" s="1269"/>
    </row>
    <row r="5" spans="1:9" s="5" customFormat="1" ht="17.25" customHeight="1">
      <c r="A5" s="1270" t="s">
        <v>183</v>
      </c>
      <c r="B5" s="1270"/>
      <c r="C5" s="1270"/>
      <c r="D5" s="1270"/>
      <c r="E5" s="1270"/>
      <c r="F5" s="1270"/>
      <c r="G5" s="1270"/>
      <c r="H5" s="1270"/>
      <c r="I5" s="1270"/>
    </row>
    <row r="6" spans="1:9" s="5" customFormat="1" ht="15">
      <c r="A6" s="1271" t="s">
        <v>184</v>
      </c>
      <c r="B6" s="1272"/>
      <c r="C6" s="1272"/>
      <c r="D6" s="1272"/>
      <c r="E6" s="1272"/>
      <c r="F6" s="1272"/>
      <c r="G6" s="1272"/>
      <c r="H6" s="1272"/>
      <c r="I6" s="1272"/>
    </row>
    <row r="7" spans="1:9" s="5" customFormat="1" ht="15">
      <c r="A7" s="217"/>
      <c r="D7" s="238" t="s">
        <v>185</v>
      </c>
      <c r="E7" s="239" t="s">
        <v>72</v>
      </c>
    </row>
    <row r="8" spans="1:9" s="5" customFormat="1" ht="15">
      <c r="A8" s="217"/>
      <c r="D8" s="238" t="s">
        <v>186</v>
      </c>
      <c r="E8" s="5" t="str">
        <f>VLOOKUP($E$7,DSTK,2,0)</f>
        <v xml:space="preserve"> Phải Thu Khác </v>
      </c>
    </row>
    <row r="9" spans="1:9" s="5" customFormat="1" ht="15">
      <c r="A9" s="1272" t="s">
        <v>31</v>
      </c>
      <c r="B9" s="1273"/>
      <c r="C9" s="1273"/>
      <c r="D9" s="1273"/>
      <c r="E9" s="1273"/>
      <c r="F9" s="1273"/>
      <c r="G9" s="1273"/>
      <c r="H9" s="1273"/>
      <c r="I9" s="1273"/>
    </row>
    <row r="10" spans="1:9" s="5" customFormat="1" ht="9.75" customHeight="1">
      <c r="A10" s="217"/>
      <c r="B10" s="217"/>
      <c r="C10" s="1274"/>
      <c r="D10" s="1275"/>
      <c r="E10" s="1275"/>
      <c r="F10" s="1275"/>
      <c r="G10" s="1275"/>
      <c r="H10" s="1275"/>
      <c r="I10" s="1275"/>
    </row>
    <row r="11" spans="1:9" s="18" customFormat="1" ht="19.5" customHeight="1">
      <c r="A11" s="1276" t="s">
        <v>22</v>
      </c>
      <c r="B11" s="1266" t="s">
        <v>1</v>
      </c>
      <c r="C11" s="1277"/>
      <c r="D11" s="1276" t="s">
        <v>0</v>
      </c>
      <c r="E11" s="1276" t="s">
        <v>16</v>
      </c>
      <c r="F11" s="1266" t="s">
        <v>23</v>
      </c>
      <c r="G11" s="1277"/>
      <c r="H11" s="1266" t="s">
        <v>33</v>
      </c>
      <c r="I11" s="1267"/>
    </row>
    <row r="12" spans="1:9" s="18" customFormat="1" ht="32.25" customHeight="1">
      <c r="A12" s="1276"/>
      <c r="B12" s="378" t="s">
        <v>17</v>
      </c>
      <c r="C12" s="378" t="s">
        <v>34</v>
      </c>
      <c r="D12" s="1276"/>
      <c r="E12" s="1276"/>
      <c r="F12" s="378" t="s">
        <v>24</v>
      </c>
      <c r="G12" s="378" t="s">
        <v>25</v>
      </c>
      <c r="H12" s="378" t="s">
        <v>24</v>
      </c>
      <c r="I12" s="378" t="s">
        <v>25</v>
      </c>
    </row>
    <row r="13" spans="1:9" s="337" customFormat="1" ht="11.25" customHeight="1">
      <c r="A13" s="341" t="s">
        <v>2</v>
      </c>
      <c r="B13" s="342" t="s">
        <v>3</v>
      </c>
      <c r="C13" s="341" t="s">
        <v>4</v>
      </c>
      <c r="D13" s="341" t="s">
        <v>5</v>
      </c>
      <c r="E13" s="341" t="s">
        <v>6</v>
      </c>
      <c r="F13" s="341">
        <v>1</v>
      </c>
      <c r="G13" s="341">
        <v>2</v>
      </c>
      <c r="H13" s="341">
        <v>3</v>
      </c>
      <c r="I13" s="341">
        <v>4</v>
      </c>
    </row>
    <row r="14" spans="1:9" s="18" customFormat="1" ht="18" customHeight="1">
      <c r="A14" s="379"/>
      <c r="B14" s="363"/>
      <c r="C14" s="379"/>
      <c r="D14" s="362" t="s">
        <v>7</v>
      </c>
      <c r="E14" s="363"/>
      <c r="F14" s="380"/>
      <c r="G14" s="380"/>
      <c r="H14" s="380">
        <f>VLOOKUP($E$7,DSTK,3,0)</f>
        <v>0</v>
      </c>
      <c r="I14" s="380">
        <f>VLOOKUP($E$7,DSTK,4,0)</f>
        <v>0</v>
      </c>
    </row>
    <row r="15" spans="1:9" s="18" customFormat="1" ht="18" customHeight="1">
      <c r="A15" s="322">
        <f ca="1">IF(ROWS($1:1)&gt;COUNT(Dong5),"",OFFSET(TH!C$1,SMALL(Dong5,ROWS($1:1)),))</f>
        <v>42766</v>
      </c>
      <c r="B15" s="322" t="str">
        <f ca="1">IF(ROWS($1:1)&gt;COUNT(Dong5),"",OFFSET(TH!D$1,SMALL(Dong5,ROWS($1:1)),))</f>
        <v>CTGS</v>
      </c>
      <c r="C15" s="322">
        <f ca="1">IF(ROWS($1:1)&gt;COUNT(Dong5),"",OFFSET(TH!E$1,SMALL(Dong5,ROWS($1:1)),))</f>
        <v>42766</v>
      </c>
      <c r="D15" s="381" t="str">
        <f ca="1">IF(ROWS($1:1)&gt;COUNT(Dong5),"",OFFSET(TH!F$1,SMALL(Dong5,ROWS($1:1)),))</f>
        <v>Đề nghị hoàn Thuế GTGT 01/2017 - AL ngày 06/02/2017</v>
      </c>
      <c r="E15" s="322" t="str">
        <f ca="1">IF(ROWS($1:1)&gt;COUNT(Dong5),"",IF(OFFSET(TH!N$1,SMALL(Dong5,ROWS($1:1)),)=$E$7,OFFSET(TH!O$1,SMALL(Dong5,ROWS($1:1)),),OFFSET(TH!N$1,SMALL(Dong5,ROWS($1:1)),)))</f>
        <v>1331</v>
      </c>
      <c r="F15" s="382">
        <f ca="1">IF(ROWS($1:1)&gt;COUNT(Dong5),0,IF(OFFSET(TH!N$1,SMALL(Dong5,ROWS($1:1)),)=$E$7,OFFSET(TH!M$1,SMALL(Dong5,ROWS($1:1)),),0))</f>
        <v>518470991</v>
      </c>
      <c r="G15" s="380">
        <f ca="1">IF(ROWS($1:1)&gt;COUNT(Dong5),0,IF(OFFSET(TH!O$1,SMALL(Dong5,ROWS($1:1)),)=$E$7,OFFSET(TH!M$1,SMALL(Dong5,ROWS($1:1)),),0))</f>
        <v>0</v>
      </c>
      <c r="H15" s="383">
        <f t="shared" ref="H15:H40" ca="1" si="0">IF(D15&lt;&gt;"",MAX(H14+F15-G15-I14,0),0)</f>
        <v>518470991</v>
      </c>
      <c r="I15" s="383">
        <f t="shared" ref="I15:I40" ca="1" si="1">IF(D15&lt;&gt;"",MAX(I14+G15-H14-F15,0),0)</f>
        <v>0</v>
      </c>
    </row>
    <row r="16" spans="1:9" s="18" customFormat="1" ht="18" customHeight="1">
      <c r="A16" s="322" t="str">
        <f ca="1">IF(ROWS($1:2)&gt;COUNT(Dong5),"",OFFSET(TH!C$1,SMALL(Dong5,ROWS($1:2)),))</f>
        <v/>
      </c>
      <c r="B16" s="322" t="str">
        <f ca="1">IF(ROWS($1:2)&gt;COUNT(Dong5),"",OFFSET(TH!D$1,SMALL(Dong5,ROWS($1:2)),))</f>
        <v/>
      </c>
      <c r="C16" s="322" t="str">
        <f ca="1">IF(ROWS($1:2)&gt;COUNT(Dong5),"",OFFSET(TH!E$1,SMALL(Dong5,ROWS($1:2)),))</f>
        <v/>
      </c>
      <c r="D16" s="381" t="str">
        <f ca="1">IF(ROWS($1:2)&gt;COUNT(Dong5),"",OFFSET(TH!F$1,SMALL(Dong5,ROWS($1:2)),))</f>
        <v/>
      </c>
      <c r="E16" s="322" t="str">
        <f ca="1">IF(ROWS($1:2)&gt;COUNT(Dong5),"",IF(OFFSET(TH!N$1,SMALL(Dong5,ROWS($1:2)),)=$E$7,OFFSET(TH!O$1,SMALL(Dong5,ROWS($1:2)),),OFFSET(TH!N$1,SMALL(Dong5,ROWS($1:2)),)))</f>
        <v/>
      </c>
      <c r="F16" s="382">
        <f ca="1">IF(ROWS($1:2)&gt;COUNT(Dong5),0,IF(OFFSET(TH!N$1,SMALL(Dong5,ROWS($1:2)),)=$E$7,OFFSET(TH!M$1,SMALL(Dong5,ROWS($1:2)),),0))</f>
        <v>0</v>
      </c>
      <c r="G16" s="380">
        <f ca="1">IF(ROWS($1:2)&gt;COUNT(Dong5),0,IF(OFFSET(TH!O$1,SMALL(Dong5,ROWS($1:2)),)=$E$7,OFFSET(TH!M$1,SMALL(Dong5,ROWS($1:2)),),0))</f>
        <v>0</v>
      </c>
      <c r="H16" s="383">
        <f t="shared" ca="1" si="0"/>
        <v>0</v>
      </c>
      <c r="I16" s="383">
        <f t="shared" ca="1" si="1"/>
        <v>0</v>
      </c>
    </row>
    <row r="17" spans="1:9" s="18" customFormat="1" ht="18" customHeight="1">
      <c r="A17" s="322" t="str">
        <f ca="1">IF(ROWS($1:3)&gt;COUNT(Dong5),"",OFFSET(TH!C$1,SMALL(Dong5,ROWS($1:3)),))</f>
        <v/>
      </c>
      <c r="B17" s="322" t="str">
        <f ca="1">IF(ROWS($1:3)&gt;COUNT(Dong5),"",OFFSET(TH!D$1,SMALL(Dong5,ROWS($1:3)),))</f>
        <v/>
      </c>
      <c r="C17" s="322" t="str">
        <f ca="1">IF(ROWS($1:3)&gt;COUNT(Dong5),"",OFFSET(TH!E$1,SMALL(Dong5,ROWS($1:3)),))</f>
        <v/>
      </c>
      <c r="D17" s="381" t="str">
        <f ca="1">IF(ROWS($1:3)&gt;COUNT(Dong5),"",OFFSET(TH!F$1,SMALL(Dong5,ROWS($1:3)),))</f>
        <v/>
      </c>
      <c r="E17" s="322" t="str">
        <f ca="1">IF(ROWS($1:3)&gt;COUNT(Dong5),"",IF(OFFSET(TH!N$1,SMALL(Dong5,ROWS($1:3)),)=$E$7,OFFSET(TH!O$1,SMALL(Dong5,ROWS($1:3)),),OFFSET(TH!N$1,SMALL(Dong5,ROWS($1:3)),)))</f>
        <v/>
      </c>
      <c r="F17" s="382">
        <f ca="1">IF(ROWS($1:3)&gt;COUNT(Dong5),0,IF(OFFSET(TH!N$1,SMALL(Dong5,ROWS($1:3)),)=$E$7,OFFSET(TH!M$1,SMALL(Dong5,ROWS($1:3)),),0))</f>
        <v>0</v>
      </c>
      <c r="G17" s="380">
        <f ca="1">IF(ROWS($1:3)&gt;COUNT(Dong5),0,IF(OFFSET(TH!O$1,SMALL(Dong5,ROWS($1:3)),)=$E$7,OFFSET(TH!M$1,SMALL(Dong5,ROWS($1:3)),),0))</f>
        <v>0</v>
      </c>
      <c r="H17" s="383">
        <f t="shared" ca="1" si="0"/>
        <v>0</v>
      </c>
      <c r="I17" s="383">
        <f t="shared" ca="1" si="1"/>
        <v>0</v>
      </c>
    </row>
    <row r="18" spans="1:9" s="18" customFormat="1" ht="18" customHeight="1">
      <c r="A18" s="322" t="str">
        <f ca="1">IF(ROWS($1:4)&gt;COUNT(Dong5),"",OFFSET(TH!C$1,SMALL(Dong5,ROWS($1:4)),))</f>
        <v/>
      </c>
      <c r="B18" s="322" t="str">
        <f ca="1">IF(ROWS($1:4)&gt;COUNT(Dong5),"",OFFSET(TH!D$1,SMALL(Dong5,ROWS($1:4)),))</f>
        <v/>
      </c>
      <c r="C18" s="322" t="str">
        <f ca="1">IF(ROWS($1:4)&gt;COUNT(Dong5),"",OFFSET(TH!E$1,SMALL(Dong5,ROWS($1:4)),))</f>
        <v/>
      </c>
      <c r="D18" s="381" t="str">
        <f ca="1">IF(ROWS($1:4)&gt;COUNT(Dong5),"",OFFSET(TH!F$1,SMALL(Dong5,ROWS($1:4)),))</f>
        <v/>
      </c>
      <c r="E18" s="322" t="str">
        <f ca="1">IF(ROWS($1:4)&gt;COUNT(Dong5),"",IF(OFFSET(TH!N$1,SMALL(Dong5,ROWS($1:4)),)=$E$7,OFFSET(TH!O$1,SMALL(Dong5,ROWS($1:4)),),OFFSET(TH!N$1,SMALL(Dong5,ROWS($1:4)),)))</f>
        <v/>
      </c>
      <c r="F18" s="382">
        <f ca="1">IF(ROWS($1:4)&gt;COUNT(Dong5),0,IF(OFFSET(TH!N$1,SMALL(Dong5,ROWS($1:4)),)=$E$7,OFFSET(TH!M$1,SMALL(Dong5,ROWS($1:4)),),0))</f>
        <v>0</v>
      </c>
      <c r="G18" s="380">
        <f ca="1">IF(ROWS($1:4)&gt;COUNT(Dong5),0,IF(OFFSET(TH!O$1,SMALL(Dong5,ROWS($1:4)),)=$E$7,OFFSET(TH!M$1,SMALL(Dong5,ROWS($1:4)),),0))</f>
        <v>0</v>
      </c>
      <c r="H18" s="383">
        <f t="shared" ca="1" si="0"/>
        <v>0</v>
      </c>
      <c r="I18" s="383">
        <f t="shared" ca="1" si="1"/>
        <v>0</v>
      </c>
    </row>
    <row r="19" spans="1:9" s="18" customFormat="1" ht="18" customHeight="1">
      <c r="A19" s="322" t="str">
        <f ca="1">IF(ROWS($1:5)&gt;COUNT(Dong5),"",OFFSET(TH!C$1,SMALL(Dong5,ROWS($1:5)),))</f>
        <v/>
      </c>
      <c r="B19" s="322" t="str">
        <f ca="1">IF(ROWS($1:5)&gt;COUNT(Dong5),"",OFFSET(TH!D$1,SMALL(Dong5,ROWS($1:5)),))</f>
        <v/>
      </c>
      <c r="C19" s="322" t="str">
        <f ca="1">IF(ROWS($1:5)&gt;COUNT(Dong5),"",OFFSET(TH!E$1,SMALL(Dong5,ROWS($1:5)),))</f>
        <v/>
      </c>
      <c r="D19" s="381" t="str">
        <f ca="1">IF(ROWS($1:5)&gt;COUNT(Dong5),"",OFFSET(TH!F$1,SMALL(Dong5,ROWS($1:5)),))</f>
        <v/>
      </c>
      <c r="E19" s="322" t="str">
        <f ca="1">IF(ROWS($1:5)&gt;COUNT(Dong5),"",IF(OFFSET(TH!N$1,SMALL(Dong5,ROWS($1:5)),)=$E$7,OFFSET(TH!O$1,SMALL(Dong5,ROWS($1:5)),),OFFSET(TH!N$1,SMALL(Dong5,ROWS($1:5)),)))</f>
        <v/>
      </c>
      <c r="F19" s="382">
        <f ca="1">IF(ROWS($1:5)&gt;COUNT(Dong5),0,IF(OFFSET(TH!N$1,SMALL(Dong5,ROWS($1:5)),)=$E$7,OFFSET(TH!M$1,SMALL(Dong5,ROWS($1:5)),),0))</f>
        <v>0</v>
      </c>
      <c r="G19" s="380">
        <f ca="1">IF(ROWS($1:5)&gt;COUNT(Dong5),0,IF(OFFSET(TH!O$1,SMALL(Dong5,ROWS($1:5)),)=$E$7,OFFSET(TH!M$1,SMALL(Dong5,ROWS($1:5)),),0))</f>
        <v>0</v>
      </c>
      <c r="H19" s="383">
        <f t="shared" ca="1" si="0"/>
        <v>0</v>
      </c>
      <c r="I19" s="383">
        <f t="shared" ca="1" si="1"/>
        <v>0</v>
      </c>
    </row>
    <row r="20" spans="1:9" s="18" customFormat="1" ht="18" customHeight="1">
      <c r="A20" s="322" t="str">
        <f ca="1">IF(ROWS($1:6)&gt;COUNT(Dong5),"",OFFSET(TH!C$1,SMALL(Dong5,ROWS($1:6)),))</f>
        <v/>
      </c>
      <c r="B20" s="322" t="str">
        <f ca="1">IF(ROWS($1:6)&gt;COUNT(Dong5),"",OFFSET(TH!D$1,SMALL(Dong5,ROWS($1:6)),))</f>
        <v/>
      </c>
      <c r="C20" s="322" t="str">
        <f ca="1">IF(ROWS($1:6)&gt;COUNT(Dong5),"",OFFSET(TH!E$1,SMALL(Dong5,ROWS($1:6)),))</f>
        <v/>
      </c>
      <c r="D20" s="381" t="str">
        <f ca="1">IF(ROWS($1:6)&gt;COUNT(Dong5),"",OFFSET(TH!F$1,SMALL(Dong5,ROWS($1:6)),))</f>
        <v/>
      </c>
      <c r="E20" s="322" t="str">
        <f ca="1">IF(ROWS($1:6)&gt;COUNT(Dong5),"",IF(OFFSET(TH!N$1,SMALL(Dong5,ROWS($1:6)),)=$E$7,OFFSET(TH!O$1,SMALL(Dong5,ROWS($1:6)),),OFFSET(TH!N$1,SMALL(Dong5,ROWS($1:6)),)))</f>
        <v/>
      </c>
      <c r="F20" s="382">
        <f ca="1">IF(ROWS($1:6)&gt;COUNT(Dong5),0,IF(OFFSET(TH!N$1,SMALL(Dong5,ROWS($1:6)),)=$E$7,OFFSET(TH!M$1,SMALL(Dong5,ROWS($1:6)),),0))</f>
        <v>0</v>
      </c>
      <c r="G20" s="380">
        <f ca="1">IF(ROWS($1:6)&gt;COUNT(Dong5),0,IF(OFFSET(TH!O$1,SMALL(Dong5,ROWS($1:6)),)=$E$7,OFFSET(TH!M$1,SMALL(Dong5,ROWS($1:6)),),0))</f>
        <v>0</v>
      </c>
      <c r="H20" s="383">
        <f t="shared" ca="1" si="0"/>
        <v>0</v>
      </c>
      <c r="I20" s="383">
        <f t="shared" ca="1" si="1"/>
        <v>0</v>
      </c>
    </row>
    <row r="21" spans="1:9" s="18" customFormat="1" ht="18" customHeight="1">
      <c r="A21" s="322" t="str">
        <f ca="1">IF(ROWS($1:7)&gt;COUNT(Dong5),"",OFFSET(TH!C$1,SMALL(Dong5,ROWS($1:7)),))</f>
        <v/>
      </c>
      <c r="B21" s="322" t="str">
        <f ca="1">IF(ROWS($1:7)&gt;COUNT(Dong5),"",OFFSET(TH!D$1,SMALL(Dong5,ROWS($1:7)),))</f>
        <v/>
      </c>
      <c r="C21" s="322" t="str">
        <f ca="1">IF(ROWS($1:7)&gt;COUNT(Dong5),"",OFFSET(TH!E$1,SMALL(Dong5,ROWS($1:7)),))</f>
        <v/>
      </c>
      <c r="D21" s="381" t="str">
        <f ca="1">IF(ROWS($1:7)&gt;COUNT(Dong5),"",OFFSET(TH!F$1,SMALL(Dong5,ROWS($1:7)),))</f>
        <v/>
      </c>
      <c r="E21" s="322" t="str">
        <f ca="1">IF(ROWS($1:7)&gt;COUNT(Dong5),"",IF(OFFSET(TH!N$1,SMALL(Dong5,ROWS($1:7)),)=$E$7,OFFSET(TH!O$1,SMALL(Dong5,ROWS($1:7)),),OFFSET(TH!N$1,SMALL(Dong5,ROWS($1:7)),)))</f>
        <v/>
      </c>
      <c r="F21" s="382">
        <f ca="1">IF(ROWS($1:7)&gt;COUNT(Dong5),0,IF(OFFSET(TH!N$1,SMALL(Dong5,ROWS($1:7)),)=$E$7,OFFSET(TH!M$1,SMALL(Dong5,ROWS($1:7)),),0))</f>
        <v>0</v>
      </c>
      <c r="G21" s="380">
        <f ca="1">IF(ROWS($1:7)&gt;COUNT(Dong5),0,IF(OFFSET(TH!O$1,SMALL(Dong5,ROWS($1:7)),)=$E$7,OFFSET(TH!M$1,SMALL(Dong5,ROWS($1:7)),),0))</f>
        <v>0</v>
      </c>
      <c r="H21" s="383">
        <f t="shared" ca="1" si="0"/>
        <v>0</v>
      </c>
      <c r="I21" s="383">
        <f t="shared" ca="1" si="1"/>
        <v>0</v>
      </c>
    </row>
    <row r="22" spans="1:9" s="18" customFormat="1" ht="18" customHeight="1">
      <c r="A22" s="322" t="str">
        <f ca="1">IF(ROWS($1:8)&gt;COUNT(Dong5),"",OFFSET(TH!C$1,SMALL(Dong5,ROWS($1:8)),))</f>
        <v/>
      </c>
      <c r="B22" s="322" t="str">
        <f ca="1">IF(ROWS($1:8)&gt;COUNT(Dong5),"",OFFSET(TH!D$1,SMALL(Dong5,ROWS($1:8)),))</f>
        <v/>
      </c>
      <c r="C22" s="322" t="str">
        <f ca="1">IF(ROWS($1:8)&gt;COUNT(Dong5),"",OFFSET(TH!E$1,SMALL(Dong5,ROWS($1:8)),))</f>
        <v/>
      </c>
      <c r="D22" s="381" t="str">
        <f ca="1">IF(ROWS($1:8)&gt;COUNT(Dong5),"",OFFSET(TH!F$1,SMALL(Dong5,ROWS($1:8)),))</f>
        <v/>
      </c>
      <c r="E22" s="322" t="str">
        <f ca="1">IF(ROWS($1:8)&gt;COUNT(Dong5),"",IF(OFFSET(TH!N$1,SMALL(Dong5,ROWS($1:8)),)=$E$7,OFFSET(TH!O$1,SMALL(Dong5,ROWS($1:8)),),OFFSET(TH!N$1,SMALL(Dong5,ROWS($1:8)),)))</f>
        <v/>
      </c>
      <c r="F22" s="382">
        <f ca="1">IF(ROWS($1:8)&gt;COUNT(Dong5),0,IF(OFFSET(TH!N$1,SMALL(Dong5,ROWS($1:8)),)=$E$7,OFFSET(TH!M$1,SMALL(Dong5,ROWS($1:8)),),0))</f>
        <v>0</v>
      </c>
      <c r="G22" s="380">
        <f ca="1">IF(ROWS($1:8)&gt;COUNT(Dong5),0,IF(OFFSET(TH!O$1,SMALL(Dong5,ROWS($1:8)),)=$E$7,OFFSET(TH!M$1,SMALL(Dong5,ROWS($1:8)),),0))</f>
        <v>0</v>
      </c>
      <c r="H22" s="383">
        <f t="shared" ca="1" si="0"/>
        <v>0</v>
      </c>
      <c r="I22" s="383">
        <f t="shared" ca="1" si="1"/>
        <v>0</v>
      </c>
    </row>
    <row r="23" spans="1:9" s="18" customFormat="1" ht="18" customHeight="1">
      <c r="A23" s="322" t="str">
        <f ca="1">IF(ROWS($1:9)&gt;COUNT(Dong5),"",OFFSET(TH!C$1,SMALL(Dong5,ROWS($1:9)),))</f>
        <v/>
      </c>
      <c r="B23" s="322" t="str">
        <f ca="1">IF(ROWS($1:9)&gt;COUNT(Dong5),"",OFFSET(TH!D$1,SMALL(Dong5,ROWS($1:9)),))</f>
        <v/>
      </c>
      <c r="C23" s="322" t="str">
        <f ca="1">IF(ROWS($1:9)&gt;COUNT(Dong5),"",OFFSET(TH!E$1,SMALL(Dong5,ROWS($1:9)),))</f>
        <v/>
      </c>
      <c r="D23" s="381" t="str">
        <f ca="1">IF(ROWS($1:9)&gt;COUNT(Dong5),"",OFFSET(TH!F$1,SMALL(Dong5,ROWS($1:9)),))</f>
        <v/>
      </c>
      <c r="E23" s="322" t="str">
        <f ca="1">IF(ROWS($1:9)&gt;COUNT(Dong5),"",IF(OFFSET(TH!N$1,SMALL(Dong5,ROWS($1:9)),)=$E$7,OFFSET(TH!O$1,SMALL(Dong5,ROWS($1:9)),),OFFSET(TH!N$1,SMALL(Dong5,ROWS($1:9)),)))</f>
        <v/>
      </c>
      <c r="F23" s="382">
        <f ca="1">IF(ROWS($1:9)&gt;COUNT(Dong5),0,IF(OFFSET(TH!N$1,SMALL(Dong5,ROWS($1:9)),)=$E$7,OFFSET(TH!M$1,SMALL(Dong5,ROWS($1:9)),),0))</f>
        <v>0</v>
      </c>
      <c r="G23" s="380">
        <f ca="1">IF(ROWS($1:9)&gt;COUNT(Dong5),0,IF(OFFSET(TH!O$1,SMALL(Dong5,ROWS($1:9)),)=$E$7,OFFSET(TH!M$1,SMALL(Dong5,ROWS($1:9)),),0))</f>
        <v>0</v>
      </c>
      <c r="H23" s="383">
        <f t="shared" ca="1" si="0"/>
        <v>0</v>
      </c>
      <c r="I23" s="383">
        <f t="shared" ca="1" si="1"/>
        <v>0</v>
      </c>
    </row>
    <row r="24" spans="1:9" s="18" customFormat="1" ht="18" customHeight="1">
      <c r="A24" s="322" t="str">
        <f ca="1">IF(ROWS($1:10)&gt;COUNT(Dong5),"",OFFSET(TH!C$1,SMALL(Dong5,ROWS($1:10)),))</f>
        <v/>
      </c>
      <c r="B24" s="322" t="str">
        <f ca="1">IF(ROWS($1:10)&gt;COUNT(Dong5),"",OFFSET(TH!D$1,SMALL(Dong5,ROWS($1:10)),))</f>
        <v/>
      </c>
      <c r="C24" s="322" t="str">
        <f ca="1">IF(ROWS($1:10)&gt;COUNT(Dong5),"",OFFSET(TH!E$1,SMALL(Dong5,ROWS($1:10)),))</f>
        <v/>
      </c>
      <c r="D24" s="381" t="str">
        <f ca="1">IF(ROWS($1:10)&gt;COUNT(Dong5),"",OFFSET(TH!F$1,SMALL(Dong5,ROWS($1:10)),))</f>
        <v/>
      </c>
      <c r="E24" s="322" t="str">
        <f ca="1">IF(ROWS($1:10)&gt;COUNT(Dong5),"",IF(OFFSET(TH!N$1,SMALL(Dong5,ROWS($1:10)),)=$E$7,OFFSET(TH!O$1,SMALL(Dong5,ROWS($1:10)),),OFFSET(TH!N$1,SMALL(Dong5,ROWS($1:10)),)))</f>
        <v/>
      </c>
      <c r="F24" s="382">
        <f ca="1">IF(ROWS($1:10)&gt;COUNT(Dong5),0,IF(OFFSET(TH!N$1,SMALL(Dong5,ROWS($1:10)),)=$E$7,OFFSET(TH!M$1,SMALL(Dong5,ROWS($1:10)),),0))</f>
        <v>0</v>
      </c>
      <c r="G24" s="380">
        <f ca="1">IF(ROWS($1:10)&gt;COUNT(Dong5),0,IF(OFFSET(TH!O$1,SMALL(Dong5,ROWS($1:10)),)=$E$7,OFFSET(TH!M$1,SMALL(Dong5,ROWS($1:10)),),0))</f>
        <v>0</v>
      </c>
      <c r="H24" s="383">
        <f t="shared" ca="1" si="0"/>
        <v>0</v>
      </c>
      <c r="I24" s="383">
        <f t="shared" ca="1" si="1"/>
        <v>0</v>
      </c>
    </row>
    <row r="25" spans="1:9" s="18" customFormat="1" ht="18" customHeight="1">
      <c r="A25" s="322" t="str">
        <f ca="1">IF(ROWS($1:11)&gt;COUNT(Dong5),"",OFFSET(TH!C$1,SMALL(Dong5,ROWS($1:11)),))</f>
        <v/>
      </c>
      <c r="B25" s="322" t="str">
        <f ca="1">IF(ROWS($1:11)&gt;COUNT(Dong5),"",OFFSET(TH!D$1,SMALL(Dong5,ROWS($1:11)),))</f>
        <v/>
      </c>
      <c r="C25" s="322" t="str">
        <f ca="1">IF(ROWS($1:11)&gt;COUNT(Dong5),"",OFFSET(TH!E$1,SMALL(Dong5,ROWS($1:11)),))</f>
        <v/>
      </c>
      <c r="D25" s="381" t="str">
        <f ca="1">IF(ROWS($1:11)&gt;COUNT(Dong5),"",OFFSET(TH!F$1,SMALL(Dong5,ROWS($1:11)),))</f>
        <v/>
      </c>
      <c r="E25" s="322" t="str">
        <f ca="1">IF(ROWS($1:11)&gt;COUNT(Dong5),"",IF(OFFSET(TH!N$1,SMALL(Dong5,ROWS($1:11)),)=$E$7,OFFSET(TH!O$1,SMALL(Dong5,ROWS($1:11)),),OFFSET(TH!N$1,SMALL(Dong5,ROWS($1:11)),)))</f>
        <v/>
      </c>
      <c r="F25" s="382">
        <f ca="1">IF(ROWS($1:11)&gt;COUNT(Dong5),0,IF(OFFSET(TH!N$1,SMALL(Dong5,ROWS($1:11)),)=$E$7,OFFSET(TH!M$1,SMALL(Dong5,ROWS($1:11)),),0))</f>
        <v>0</v>
      </c>
      <c r="G25" s="380">
        <f ca="1">IF(ROWS($1:11)&gt;COUNT(Dong5),0,IF(OFFSET(TH!O$1,SMALL(Dong5,ROWS($1:11)),)=$E$7,OFFSET(TH!M$1,SMALL(Dong5,ROWS($1:11)),),0))</f>
        <v>0</v>
      </c>
      <c r="H25" s="383">
        <f t="shared" ca="1" si="0"/>
        <v>0</v>
      </c>
      <c r="I25" s="383">
        <f t="shared" ca="1" si="1"/>
        <v>0</v>
      </c>
    </row>
    <row r="26" spans="1:9" s="18" customFormat="1" ht="18" customHeight="1">
      <c r="A26" s="322" t="str">
        <f ca="1">IF(ROWS($1:12)&gt;COUNT(Dong5),"",OFFSET(TH!C$1,SMALL(Dong5,ROWS($1:12)),))</f>
        <v/>
      </c>
      <c r="B26" s="322" t="str">
        <f ca="1">IF(ROWS($1:12)&gt;COUNT(Dong5),"",OFFSET(TH!D$1,SMALL(Dong5,ROWS($1:12)),))</f>
        <v/>
      </c>
      <c r="C26" s="322" t="str">
        <f ca="1">IF(ROWS($1:12)&gt;COUNT(Dong5),"",OFFSET(TH!E$1,SMALL(Dong5,ROWS($1:12)),))</f>
        <v/>
      </c>
      <c r="D26" s="381" t="str">
        <f ca="1">IF(ROWS($1:12)&gt;COUNT(Dong5),"",OFFSET(TH!F$1,SMALL(Dong5,ROWS($1:12)),))</f>
        <v/>
      </c>
      <c r="E26" s="322" t="str">
        <f ca="1">IF(ROWS($1:12)&gt;COUNT(Dong5),"",IF(OFFSET(TH!N$1,SMALL(Dong5,ROWS($1:12)),)=$E$7,OFFSET(TH!O$1,SMALL(Dong5,ROWS($1:12)),),OFFSET(TH!N$1,SMALL(Dong5,ROWS($1:12)),)))</f>
        <v/>
      </c>
      <c r="F26" s="382">
        <f ca="1">IF(ROWS($1:12)&gt;COUNT(Dong5),0,IF(OFFSET(TH!N$1,SMALL(Dong5,ROWS($1:12)),)=$E$7,OFFSET(TH!M$1,SMALL(Dong5,ROWS($1:12)),),0))</f>
        <v>0</v>
      </c>
      <c r="G26" s="380">
        <f ca="1">IF(ROWS($1:12)&gt;COUNT(Dong5),0,IF(OFFSET(TH!O$1,SMALL(Dong5,ROWS($1:12)),)=$E$7,OFFSET(TH!M$1,SMALL(Dong5,ROWS($1:12)),),0))</f>
        <v>0</v>
      </c>
      <c r="H26" s="383">
        <f t="shared" ca="1" si="0"/>
        <v>0</v>
      </c>
      <c r="I26" s="383">
        <f t="shared" ca="1" si="1"/>
        <v>0</v>
      </c>
    </row>
    <row r="27" spans="1:9" s="18" customFormat="1" ht="18" customHeight="1">
      <c r="A27" s="322" t="str">
        <f ca="1">IF(ROWS($1:13)&gt;COUNT(Dong5),"",OFFSET(TH!C$1,SMALL(Dong5,ROWS($1:13)),))</f>
        <v/>
      </c>
      <c r="B27" s="322" t="str">
        <f ca="1">IF(ROWS($1:13)&gt;COUNT(Dong5),"",OFFSET(TH!D$1,SMALL(Dong5,ROWS($1:13)),))</f>
        <v/>
      </c>
      <c r="C27" s="322" t="str">
        <f ca="1">IF(ROWS($1:13)&gt;COUNT(Dong5),"",OFFSET(TH!E$1,SMALL(Dong5,ROWS($1:13)),))</f>
        <v/>
      </c>
      <c r="D27" s="381" t="str">
        <f ca="1">IF(ROWS($1:13)&gt;COUNT(Dong5),"",OFFSET(TH!F$1,SMALL(Dong5,ROWS($1:13)),))</f>
        <v/>
      </c>
      <c r="E27" s="322" t="str">
        <f ca="1">IF(ROWS($1:13)&gt;COUNT(Dong5),"",IF(OFFSET(TH!N$1,SMALL(Dong5,ROWS($1:13)),)=$E$7,OFFSET(TH!O$1,SMALL(Dong5,ROWS($1:13)),),OFFSET(TH!N$1,SMALL(Dong5,ROWS($1:13)),)))</f>
        <v/>
      </c>
      <c r="F27" s="382">
        <f ca="1">IF(ROWS($1:13)&gt;COUNT(Dong5),0,IF(OFFSET(TH!N$1,SMALL(Dong5,ROWS($1:13)),)=$E$7,OFFSET(TH!M$1,SMALL(Dong5,ROWS($1:13)),),0))</f>
        <v>0</v>
      </c>
      <c r="G27" s="380">
        <f ca="1">IF(ROWS($1:13)&gt;COUNT(Dong5),0,IF(OFFSET(TH!O$1,SMALL(Dong5,ROWS($1:13)),)=$E$7,OFFSET(TH!M$1,SMALL(Dong5,ROWS($1:13)),),0))</f>
        <v>0</v>
      </c>
      <c r="H27" s="383">
        <f t="shared" ca="1" si="0"/>
        <v>0</v>
      </c>
      <c r="I27" s="383">
        <f t="shared" ca="1" si="1"/>
        <v>0</v>
      </c>
    </row>
    <row r="28" spans="1:9" s="18" customFormat="1" ht="18" customHeight="1">
      <c r="A28" s="322" t="str">
        <f ca="1">IF(ROWS($1:14)&gt;COUNT(Dong5),"",OFFSET(TH!C$1,SMALL(Dong5,ROWS($1:14)),))</f>
        <v/>
      </c>
      <c r="B28" s="322" t="str">
        <f ca="1">IF(ROWS($1:14)&gt;COUNT(Dong5),"",OFFSET(TH!D$1,SMALL(Dong5,ROWS($1:14)),))</f>
        <v/>
      </c>
      <c r="C28" s="322" t="str">
        <f ca="1">IF(ROWS($1:14)&gt;COUNT(Dong5),"",OFFSET(TH!E$1,SMALL(Dong5,ROWS($1:14)),))</f>
        <v/>
      </c>
      <c r="D28" s="381" t="str">
        <f ca="1">IF(ROWS($1:14)&gt;COUNT(Dong5),"",OFFSET(TH!F$1,SMALL(Dong5,ROWS($1:14)),))</f>
        <v/>
      </c>
      <c r="E28" s="322" t="str">
        <f ca="1">IF(ROWS($1:14)&gt;COUNT(Dong5),"",IF(OFFSET(TH!N$1,SMALL(Dong5,ROWS($1:14)),)=$E$7,OFFSET(TH!O$1,SMALL(Dong5,ROWS($1:14)),),OFFSET(TH!N$1,SMALL(Dong5,ROWS($1:14)),)))</f>
        <v/>
      </c>
      <c r="F28" s="382">
        <f ca="1">IF(ROWS($1:14)&gt;COUNT(Dong5),0,IF(OFFSET(TH!N$1,SMALL(Dong5,ROWS($1:14)),)=$E$7,OFFSET(TH!M$1,SMALL(Dong5,ROWS($1:14)),),0))</f>
        <v>0</v>
      </c>
      <c r="G28" s="380">
        <f ca="1">IF(ROWS($1:14)&gt;COUNT(Dong5),0,IF(OFFSET(TH!O$1,SMALL(Dong5,ROWS($1:14)),)=$E$7,OFFSET(TH!M$1,SMALL(Dong5,ROWS($1:14)),),0))</f>
        <v>0</v>
      </c>
      <c r="H28" s="383">
        <f t="shared" ca="1" si="0"/>
        <v>0</v>
      </c>
      <c r="I28" s="383">
        <f t="shared" ca="1" si="1"/>
        <v>0</v>
      </c>
    </row>
    <row r="29" spans="1:9" s="18" customFormat="1" ht="18" customHeight="1">
      <c r="A29" s="322" t="str">
        <f ca="1">IF(ROWS($1:15)&gt;COUNT(Dong5),"",OFFSET(TH!C$1,SMALL(Dong5,ROWS($1:15)),))</f>
        <v/>
      </c>
      <c r="B29" s="322" t="str">
        <f ca="1">IF(ROWS($1:15)&gt;COUNT(Dong5),"",OFFSET(TH!D$1,SMALL(Dong5,ROWS($1:15)),))</f>
        <v/>
      </c>
      <c r="C29" s="322" t="str">
        <f ca="1">IF(ROWS($1:15)&gt;COUNT(Dong5),"",OFFSET(TH!E$1,SMALL(Dong5,ROWS($1:15)),))</f>
        <v/>
      </c>
      <c r="D29" s="381" t="str">
        <f ca="1">IF(ROWS($1:15)&gt;COUNT(Dong5),"",OFFSET(TH!F$1,SMALL(Dong5,ROWS($1:15)),))</f>
        <v/>
      </c>
      <c r="E29" s="322" t="str">
        <f ca="1">IF(ROWS($1:15)&gt;COUNT(Dong5),"",IF(OFFSET(TH!N$1,SMALL(Dong5,ROWS($1:15)),)=$E$7,OFFSET(TH!O$1,SMALL(Dong5,ROWS($1:15)),),OFFSET(TH!N$1,SMALL(Dong5,ROWS($1:15)),)))</f>
        <v/>
      </c>
      <c r="F29" s="382">
        <f ca="1">IF(ROWS($1:15)&gt;COUNT(Dong5),0,IF(OFFSET(TH!N$1,SMALL(Dong5,ROWS($1:15)),)=$E$7,OFFSET(TH!M$1,SMALL(Dong5,ROWS($1:15)),),0))</f>
        <v>0</v>
      </c>
      <c r="G29" s="380">
        <f ca="1">IF(ROWS($1:15)&gt;COUNT(Dong5),0,IF(OFFSET(TH!O$1,SMALL(Dong5,ROWS($1:15)),)=$E$7,OFFSET(TH!M$1,SMALL(Dong5,ROWS($1:15)),),0))</f>
        <v>0</v>
      </c>
      <c r="H29" s="383">
        <f t="shared" ca="1" si="0"/>
        <v>0</v>
      </c>
      <c r="I29" s="383">
        <f t="shared" ca="1" si="1"/>
        <v>0</v>
      </c>
    </row>
    <row r="30" spans="1:9" s="18" customFormat="1" ht="18" customHeight="1">
      <c r="A30" s="322" t="str">
        <f ca="1">IF(ROWS($1:16)&gt;COUNT(Dong5),"",OFFSET(TH!C$1,SMALL(Dong5,ROWS($1:16)),))</f>
        <v/>
      </c>
      <c r="B30" s="322" t="str">
        <f ca="1">IF(ROWS($1:16)&gt;COUNT(Dong5),"",OFFSET(TH!D$1,SMALL(Dong5,ROWS($1:16)),))</f>
        <v/>
      </c>
      <c r="C30" s="322" t="str">
        <f ca="1">IF(ROWS($1:16)&gt;COUNT(Dong5),"",OFFSET(TH!E$1,SMALL(Dong5,ROWS($1:16)),))</f>
        <v/>
      </c>
      <c r="D30" s="381" t="str">
        <f ca="1">IF(ROWS($1:16)&gt;COUNT(Dong5),"",OFFSET(TH!F$1,SMALL(Dong5,ROWS($1:16)),))</f>
        <v/>
      </c>
      <c r="E30" s="322" t="str">
        <f ca="1">IF(ROWS($1:16)&gt;COUNT(Dong5),"",IF(OFFSET(TH!N$1,SMALL(Dong5,ROWS($1:16)),)=$E$7,OFFSET(TH!O$1,SMALL(Dong5,ROWS($1:16)),),OFFSET(TH!N$1,SMALL(Dong5,ROWS($1:16)),)))</f>
        <v/>
      </c>
      <c r="F30" s="382">
        <f ca="1">IF(ROWS($1:16)&gt;COUNT(Dong5),0,IF(OFFSET(TH!N$1,SMALL(Dong5,ROWS($1:16)),)=$E$7,OFFSET(TH!M$1,SMALL(Dong5,ROWS($1:16)),),0))</f>
        <v>0</v>
      </c>
      <c r="G30" s="380">
        <f ca="1">IF(ROWS($1:16)&gt;COUNT(Dong5),0,IF(OFFSET(TH!O$1,SMALL(Dong5,ROWS($1:16)),)=$E$7,OFFSET(TH!M$1,SMALL(Dong5,ROWS($1:16)),),0))</f>
        <v>0</v>
      </c>
      <c r="H30" s="383">
        <f t="shared" ca="1" si="0"/>
        <v>0</v>
      </c>
      <c r="I30" s="383">
        <f t="shared" ca="1" si="1"/>
        <v>0</v>
      </c>
    </row>
    <row r="31" spans="1:9" s="18" customFormat="1" ht="18" customHeight="1">
      <c r="A31" s="322" t="str">
        <f ca="1">IF(ROWS($1:17)&gt;COUNT(Dong5),"",OFFSET(TH!C$1,SMALL(Dong5,ROWS($1:17)),))</f>
        <v/>
      </c>
      <c r="B31" s="322" t="str">
        <f ca="1">IF(ROWS($1:17)&gt;COUNT(Dong5),"",OFFSET(TH!D$1,SMALL(Dong5,ROWS($1:17)),))</f>
        <v/>
      </c>
      <c r="C31" s="322" t="str">
        <f ca="1">IF(ROWS($1:17)&gt;COUNT(Dong5),"",OFFSET(TH!E$1,SMALL(Dong5,ROWS($1:17)),))</f>
        <v/>
      </c>
      <c r="D31" s="381" t="str">
        <f ca="1">IF(ROWS($1:17)&gt;COUNT(Dong5),"",OFFSET(TH!F$1,SMALL(Dong5,ROWS($1:17)),))</f>
        <v/>
      </c>
      <c r="E31" s="322" t="str">
        <f ca="1">IF(ROWS($1:17)&gt;COUNT(Dong5),"",IF(OFFSET(TH!N$1,SMALL(Dong5,ROWS($1:17)),)=$E$7,OFFSET(TH!O$1,SMALL(Dong5,ROWS($1:17)),),OFFSET(TH!N$1,SMALL(Dong5,ROWS($1:17)),)))</f>
        <v/>
      </c>
      <c r="F31" s="382">
        <f ca="1">IF(ROWS($1:17)&gt;COUNT(Dong5),0,IF(OFFSET(TH!N$1,SMALL(Dong5,ROWS($1:17)),)=$E$7,OFFSET(TH!M$1,SMALL(Dong5,ROWS($1:17)),),0))</f>
        <v>0</v>
      </c>
      <c r="G31" s="380">
        <f ca="1">IF(ROWS($1:17)&gt;COUNT(Dong5),0,IF(OFFSET(TH!O$1,SMALL(Dong5,ROWS($1:17)),)=$E$7,OFFSET(TH!M$1,SMALL(Dong5,ROWS($1:17)),),0))</f>
        <v>0</v>
      </c>
      <c r="H31" s="383">
        <f t="shared" ca="1" si="0"/>
        <v>0</v>
      </c>
      <c r="I31" s="383">
        <f t="shared" ca="1" si="1"/>
        <v>0</v>
      </c>
    </row>
    <row r="32" spans="1:9" s="18" customFormat="1" ht="18" customHeight="1">
      <c r="A32" s="322" t="str">
        <f ca="1">IF(ROWS($1:18)&gt;COUNT(Dong5),"",OFFSET(TH!C$1,SMALL(Dong5,ROWS($1:18)),))</f>
        <v/>
      </c>
      <c r="B32" s="322" t="str">
        <f ca="1">IF(ROWS($1:18)&gt;COUNT(Dong5),"",OFFSET(TH!D$1,SMALL(Dong5,ROWS($1:18)),))</f>
        <v/>
      </c>
      <c r="C32" s="322" t="str">
        <f ca="1">IF(ROWS($1:18)&gt;COUNT(Dong5),"",OFFSET(TH!E$1,SMALL(Dong5,ROWS($1:18)),))</f>
        <v/>
      </c>
      <c r="D32" s="381" t="str">
        <f ca="1">IF(ROWS($1:18)&gt;COUNT(Dong5),"",OFFSET(TH!F$1,SMALL(Dong5,ROWS($1:18)),))</f>
        <v/>
      </c>
      <c r="E32" s="322" t="str">
        <f ca="1">IF(ROWS($1:18)&gt;COUNT(Dong5),"",IF(OFFSET(TH!N$1,SMALL(Dong5,ROWS($1:18)),)=$E$7,OFFSET(TH!O$1,SMALL(Dong5,ROWS($1:18)),),OFFSET(TH!N$1,SMALL(Dong5,ROWS($1:18)),)))</f>
        <v/>
      </c>
      <c r="F32" s="382">
        <f ca="1">IF(ROWS($1:18)&gt;COUNT(Dong5),0,IF(OFFSET(TH!N$1,SMALL(Dong5,ROWS($1:18)),)=$E$7,OFFSET(TH!M$1,SMALL(Dong5,ROWS($1:18)),),0))</f>
        <v>0</v>
      </c>
      <c r="G32" s="380">
        <f ca="1">IF(ROWS($1:18)&gt;COUNT(Dong5),0,IF(OFFSET(TH!O$1,SMALL(Dong5,ROWS($1:18)),)=$E$7,OFFSET(TH!M$1,SMALL(Dong5,ROWS($1:18)),),0))</f>
        <v>0</v>
      </c>
      <c r="H32" s="383">
        <f t="shared" ca="1" si="0"/>
        <v>0</v>
      </c>
      <c r="I32" s="383">
        <f t="shared" ca="1" si="1"/>
        <v>0</v>
      </c>
    </row>
    <row r="33" spans="1:9" s="18" customFormat="1" ht="18" customHeight="1">
      <c r="A33" s="322" t="str">
        <f ca="1">IF(ROWS($1:19)&gt;COUNT(Dong5),"",OFFSET(TH!C$1,SMALL(Dong5,ROWS($1:19)),))</f>
        <v/>
      </c>
      <c r="B33" s="322" t="str">
        <f ca="1">IF(ROWS($1:19)&gt;COUNT(Dong5),"",OFFSET(TH!D$1,SMALL(Dong5,ROWS($1:19)),))</f>
        <v/>
      </c>
      <c r="C33" s="322" t="str">
        <f ca="1">IF(ROWS($1:19)&gt;COUNT(Dong5),"",OFFSET(TH!E$1,SMALL(Dong5,ROWS($1:19)),))</f>
        <v/>
      </c>
      <c r="D33" s="381" t="str">
        <f ca="1">IF(ROWS($1:19)&gt;COUNT(Dong5),"",OFFSET(TH!F$1,SMALL(Dong5,ROWS($1:19)),))</f>
        <v/>
      </c>
      <c r="E33" s="322" t="str">
        <f ca="1">IF(ROWS($1:19)&gt;COUNT(Dong5),"",IF(OFFSET(TH!N$1,SMALL(Dong5,ROWS($1:19)),)=$E$7,OFFSET(TH!O$1,SMALL(Dong5,ROWS($1:19)),),OFFSET(TH!N$1,SMALL(Dong5,ROWS($1:19)),)))</f>
        <v/>
      </c>
      <c r="F33" s="382">
        <f ca="1">IF(ROWS($1:19)&gt;COUNT(Dong5),0,IF(OFFSET(TH!N$1,SMALL(Dong5,ROWS($1:19)),)=$E$7,OFFSET(TH!M$1,SMALL(Dong5,ROWS($1:19)),),0))</f>
        <v>0</v>
      </c>
      <c r="G33" s="380">
        <f ca="1">IF(ROWS($1:19)&gt;COUNT(Dong5),0,IF(OFFSET(TH!O$1,SMALL(Dong5,ROWS($1:19)),)=$E$7,OFFSET(TH!M$1,SMALL(Dong5,ROWS($1:19)),),0))</f>
        <v>0</v>
      </c>
      <c r="H33" s="383">
        <f t="shared" ca="1" si="0"/>
        <v>0</v>
      </c>
      <c r="I33" s="383">
        <f t="shared" ca="1" si="1"/>
        <v>0</v>
      </c>
    </row>
    <row r="34" spans="1:9" s="18" customFormat="1" ht="18" customHeight="1">
      <c r="A34" s="322" t="str">
        <f ca="1">IF(ROWS($1:20)&gt;COUNT(Dong5),"",OFFSET(TH!C$1,SMALL(Dong5,ROWS($1:20)),))</f>
        <v/>
      </c>
      <c r="B34" s="322" t="str">
        <f ca="1">IF(ROWS($1:20)&gt;COUNT(Dong5),"",OFFSET(TH!D$1,SMALL(Dong5,ROWS($1:20)),))</f>
        <v/>
      </c>
      <c r="C34" s="322" t="str">
        <f ca="1">IF(ROWS($1:20)&gt;COUNT(Dong5),"",OFFSET(TH!E$1,SMALL(Dong5,ROWS($1:20)),))</f>
        <v/>
      </c>
      <c r="D34" s="381" t="str">
        <f ca="1">IF(ROWS($1:20)&gt;COUNT(Dong5),"",OFFSET(TH!F$1,SMALL(Dong5,ROWS($1:20)),))</f>
        <v/>
      </c>
      <c r="E34" s="322" t="str">
        <f ca="1">IF(ROWS($1:20)&gt;COUNT(Dong5),"",IF(OFFSET(TH!N$1,SMALL(Dong5,ROWS($1:20)),)=$E$7,OFFSET(TH!O$1,SMALL(Dong5,ROWS($1:20)),),OFFSET(TH!N$1,SMALL(Dong5,ROWS($1:20)),)))</f>
        <v/>
      </c>
      <c r="F34" s="382">
        <f ca="1">IF(ROWS($1:20)&gt;COUNT(Dong5),0,IF(OFFSET(TH!N$1,SMALL(Dong5,ROWS($1:20)),)=$E$7,OFFSET(TH!M$1,SMALL(Dong5,ROWS($1:20)),),0))</f>
        <v>0</v>
      </c>
      <c r="G34" s="380">
        <f ca="1">IF(ROWS($1:20)&gt;COUNT(Dong5),0,IF(OFFSET(TH!O$1,SMALL(Dong5,ROWS($1:20)),)=$E$7,OFFSET(TH!M$1,SMALL(Dong5,ROWS($1:20)),),0))</f>
        <v>0</v>
      </c>
      <c r="H34" s="383">
        <f t="shared" ca="1" si="0"/>
        <v>0</v>
      </c>
      <c r="I34" s="383">
        <f t="shared" ca="1" si="1"/>
        <v>0</v>
      </c>
    </row>
    <row r="35" spans="1:9" s="18" customFormat="1" ht="18" customHeight="1">
      <c r="A35" s="322" t="str">
        <f ca="1">IF(ROWS($1:21)&gt;COUNT(Dong5),"",OFFSET(TH!C$1,SMALL(Dong5,ROWS($1:21)),))</f>
        <v/>
      </c>
      <c r="B35" s="322" t="str">
        <f ca="1">IF(ROWS($1:21)&gt;COUNT(Dong5),"",OFFSET(TH!D$1,SMALL(Dong5,ROWS($1:21)),))</f>
        <v/>
      </c>
      <c r="C35" s="322" t="str">
        <f ca="1">IF(ROWS($1:21)&gt;COUNT(Dong5),"",OFFSET(TH!E$1,SMALL(Dong5,ROWS($1:21)),))</f>
        <v/>
      </c>
      <c r="D35" s="381" t="str">
        <f ca="1">IF(ROWS($1:21)&gt;COUNT(Dong5),"",OFFSET(TH!F$1,SMALL(Dong5,ROWS($1:21)),))</f>
        <v/>
      </c>
      <c r="E35" s="322" t="str">
        <f ca="1">IF(ROWS($1:21)&gt;COUNT(Dong5),"",IF(OFFSET(TH!N$1,SMALL(Dong5,ROWS($1:21)),)=$E$7,OFFSET(TH!O$1,SMALL(Dong5,ROWS($1:21)),),OFFSET(TH!N$1,SMALL(Dong5,ROWS($1:21)),)))</f>
        <v/>
      </c>
      <c r="F35" s="382">
        <f ca="1">IF(ROWS($1:21)&gt;COUNT(Dong5),0,IF(OFFSET(TH!N$1,SMALL(Dong5,ROWS($1:21)),)=$E$7,OFFSET(TH!M$1,SMALL(Dong5,ROWS($1:21)),),0))</f>
        <v>0</v>
      </c>
      <c r="G35" s="380">
        <f ca="1">IF(ROWS($1:21)&gt;COUNT(Dong5),0,IF(OFFSET(TH!O$1,SMALL(Dong5,ROWS($1:21)),)=$E$7,OFFSET(TH!M$1,SMALL(Dong5,ROWS($1:21)),),0))</f>
        <v>0</v>
      </c>
      <c r="H35" s="383">
        <f t="shared" ca="1" si="0"/>
        <v>0</v>
      </c>
      <c r="I35" s="383">
        <f t="shared" ca="1" si="1"/>
        <v>0</v>
      </c>
    </row>
    <row r="36" spans="1:9" s="18" customFormat="1" ht="18" customHeight="1">
      <c r="A36" s="322" t="str">
        <f ca="1">IF(ROWS($1:22)&gt;COUNT(Dong5),"",OFFSET(TH!C$1,SMALL(Dong5,ROWS($1:22)),))</f>
        <v/>
      </c>
      <c r="B36" s="322" t="str">
        <f ca="1">IF(ROWS($1:22)&gt;COUNT(Dong5),"",OFFSET(TH!D$1,SMALL(Dong5,ROWS($1:22)),))</f>
        <v/>
      </c>
      <c r="C36" s="322" t="str">
        <f ca="1">IF(ROWS($1:22)&gt;COUNT(Dong5),"",OFFSET(TH!E$1,SMALL(Dong5,ROWS($1:22)),))</f>
        <v/>
      </c>
      <c r="D36" s="381" t="str">
        <f ca="1">IF(ROWS($1:22)&gt;COUNT(Dong5),"",OFFSET(TH!F$1,SMALL(Dong5,ROWS($1:22)),))</f>
        <v/>
      </c>
      <c r="E36" s="322" t="str">
        <f ca="1">IF(ROWS($1:22)&gt;COUNT(Dong5),"",IF(OFFSET(TH!N$1,SMALL(Dong5,ROWS($1:22)),)=$E$7,OFFSET(TH!O$1,SMALL(Dong5,ROWS($1:22)),),OFFSET(TH!N$1,SMALL(Dong5,ROWS($1:22)),)))</f>
        <v/>
      </c>
      <c r="F36" s="382">
        <f ca="1">IF(ROWS($1:22)&gt;COUNT(Dong5),0,IF(OFFSET(TH!N$1,SMALL(Dong5,ROWS($1:22)),)=$E$7,OFFSET(TH!M$1,SMALL(Dong5,ROWS($1:22)),),0))</f>
        <v>0</v>
      </c>
      <c r="G36" s="380">
        <f ca="1">IF(ROWS($1:22)&gt;COUNT(Dong5),0,IF(OFFSET(TH!O$1,SMALL(Dong5,ROWS($1:22)),)=$E$7,OFFSET(TH!M$1,SMALL(Dong5,ROWS($1:22)),),0))</f>
        <v>0</v>
      </c>
      <c r="H36" s="383">
        <f t="shared" ca="1" si="0"/>
        <v>0</v>
      </c>
      <c r="I36" s="383">
        <f t="shared" ca="1" si="1"/>
        <v>0</v>
      </c>
    </row>
    <row r="37" spans="1:9" s="18" customFormat="1" ht="18" customHeight="1">
      <c r="A37" s="322" t="str">
        <f ca="1">IF(ROWS($1:23)&gt;COUNT(Dong5),"",OFFSET(TH!C$1,SMALL(Dong5,ROWS($1:23)),))</f>
        <v/>
      </c>
      <c r="B37" s="322" t="str">
        <f ca="1">IF(ROWS($1:23)&gt;COUNT(Dong5),"",OFFSET(TH!D$1,SMALL(Dong5,ROWS($1:23)),))</f>
        <v/>
      </c>
      <c r="C37" s="322" t="str">
        <f ca="1">IF(ROWS($1:23)&gt;COUNT(Dong5),"",OFFSET(TH!E$1,SMALL(Dong5,ROWS($1:23)),))</f>
        <v/>
      </c>
      <c r="D37" s="381" t="str">
        <f ca="1">IF(ROWS($1:23)&gt;COUNT(Dong5),"",OFFSET(TH!F$1,SMALL(Dong5,ROWS($1:23)),))</f>
        <v/>
      </c>
      <c r="E37" s="322" t="str">
        <f ca="1">IF(ROWS($1:23)&gt;COUNT(Dong5),"",IF(OFFSET(TH!N$1,SMALL(Dong5,ROWS($1:23)),)=$E$7,OFFSET(TH!O$1,SMALL(Dong5,ROWS($1:23)),),OFFSET(TH!N$1,SMALL(Dong5,ROWS($1:23)),)))</f>
        <v/>
      </c>
      <c r="F37" s="382">
        <f ca="1">IF(ROWS($1:23)&gt;COUNT(Dong5),0,IF(OFFSET(TH!N$1,SMALL(Dong5,ROWS($1:23)),)=$E$7,OFFSET(TH!M$1,SMALL(Dong5,ROWS($1:23)),),0))</f>
        <v>0</v>
      </c>
      <c r="G37" s="380">
        <f ca="1">IF(ROWS($1:23)&gt;COUNT(Dong5),0,IF(OFFSET(TH!O$1,SMALL(Dong5,ROWS($1:23)),)=$E$7,OFFSET(TH!M$1,SMALL(Dong5,ROWS($1:23)),),0))</f>
        <v>0</v>
      </c>
      <c r="H37" s="383">
        <f t="shared" ca="1" si="0"/>
        <v>0</v>
      </c>
      <c r="I37" s="383">
        <f t="shared" ca="1" si="1"/>
        <v>0</v>
      </c>
    </row>
    <row r="38" spans="1:9" s="18" customFormat="1" ht="18" customHeight="1">
      <c r="A38" s="322" t="str">
        <f ca="1">IF(ROWS($1:24)&gt;COUNT(Dong5),"",OFFSET(TH!C$1,SMALL(Dong5,ROWS($1:24)),))</f>
        <v/>
      </c>
      <c r="B38" s="322" t="str">
        <f ca="1">IF(ROWS($1:24)&gt;COUNT(Dong5),"",OFFSET(TH!D$1,SMALL(Dong5,ROWS($1:24)),))</f>
        <v/>
      </c>
      <c r="C38" s="322" t="str">
        <f ca="1">IF(ROWS($1:24)&gt;COUNT(Dong5),"",OFFSET(TH!E$1,SMALL(Dong5,ROWS($1:24)),))</f>
        <v/>
      </c>
      <c r="D38" s="381" t="str">
        <f ca="1">IF(ROWS($1:24)&gt;COUNT(Dong5),"",OFFSET(TH!F$1,SMALL(Dong5,ROWS($1:24)),))</f>
        <v/>
      </c>
      <c r="E38" s="322" t="str">
        <f ca="1">IF(ROWS($1:24)&gt;COUNT(Dong5),"",IF(OFFSET(TH!N$1,SMALL(Dong5,ROWS($1:24)),)=$E$7,OFFSET(TH!O$1,SMALL(Dong5,ROWS($1:24)),),OFFSET(TH!N$1,SMALL(Dong5,ROWS($1:24)),)))</f>
        <v/>
      </c>
      <c r="F38" s="382">
        <f ca="1">IF(ROWS($1:24)&gt;COUNT(Dong5),0,IF(OFFSET(TH!N$1,SMALL(Dong5,ROWS($1:24)),)=$E$7,OFFSET(TH!M$1,SMALL(Dong5,ROWS($1:24)),),0))</f>
        <v>0</v>
      </c>
      <c r="G38" s="380">
        <f ca="1">IF(ROWS($1:24)&gt;COUNT(Dong5),0,IF(OFFSET(TH!O$1,SMALL(Dong5,ROWS($1:24)),)=$E$7,OFFSET(TH!M$1,SMALL(Dong5,ROWS($1:24)),),0))</f>
        <v>0</v>
      </c>
      <c r="H38" s="383">
        <f t="shared" ca="1" si="0"/>
        <v>0</v>
      </c>
      <c r="I38" s="383">
        <f t="shared" ca="1" si="1"/>
        <v>0</v>
      </c>
    </row>
    <row r="39" spans="1:9" s="18" customFormat="1" ht="18" customHeight="1">
      <c r="A39" s="322" t="str">
        <f ca="1">IF(ROWS($1:25)&gt;COUNT(Dong5),"",OFFSET(TH!C$1,SMALL(Dong5,ROWS($1:25)),))</f>
        <v/>
      </c>
      <c r="B39" s="322" t="str">
        <f ca="1">IF(ROWS($1:25)&gt;COUNT(Dong5),"",OFFSET(TH!D$1,SMALL(Dong5,ROWS($1:25)),))</f>
        <v/>
      </c>
      <c r="C39" s="322" t="str">
        <f ca="1">IF(ROWS($1:25)&gt;COUNT(Dong5),"",OFFSET(TH!E$1,SMALL(Dong5,ROWS($1:25)),))</f>
        <v/>
      </c>
      <c r="D39" s="381" t="str">
        <f ca="1">IF(ROWS($1:25)&gt;COUNT(Dong5),"",OFFSET(TH!F$1,SMALL(Dong5,ROWS($1:25)),))</f>
        <v/>
      </c>
      <c r="E39" s="322" t="str">
        <f ca="1">IF(ROWS($1:25)&gt;COUNT(Dong5),"",IF(OFFSET(TH!N$1,SMALL(Dong5,ROWS($1:25)),)=$E$7,OFFSET(TH!O$1,SMALL(Dong5,ROWS($1:25)),),OFFSET(TH!N$1,SMALL(Dong5,ROWS($1:25)),)))</f>
        <v/>
      </c>
      <c r="F39" s="382">
        <f ca="1">IF(ROWS($1:25)&gt;COUNT(Dong5),0,IF(OFFSET(TH!N$1,SMALL(Dong5,ROWS($1:25)),)=$E$7,OFFSET(TH!M$1,SMALL(Dong5,ROWS($1:25)),),0))</f>
        <v>0</v>
      </c>
      <c r="G39" s="380">
        <f ca="1">IF(ROWS($1:25)&gt;COUNT(Dong5),0,IF(OFFSET(TH!O$1,SMALL(Dong5,ROWS($1:25)),)=$E$7,OFFSET(TH!M$1,SMALL(Dong5,ROWS($1:25)),),0))</f>
        <v>0</v>
      </c>
      <c r="H39" s="383">
        <f t="shared" ca="1" si="0"/>
        <v>0</v>
      </c>
      <c r="I39" s="383">
        <f t="shared" ca="1" si="1"/>
        <v>0</v>
      </c>
    </row>
    <row r="40" spans="1:9" s="18" customFormat="1" ht="18" customHeight="1">
      <c r="A40" s="322" t="str">
        <f ca="1">IF(ROWS($1:26)&gt;COUNT(Dong5),"",OFFSET(TH!C$1,SMALL(Dong5,ROWS($1:26)),))</f>
        <v/>
      </c>
      <c r="B40" s="322" t="str">
        <f ca="1">IF(ROWS($1:26)&gt;COUNT(Dong5),"",OFFSET(TH!D$1,SMALL(Dong5,ROWS($1:26)),))</f>
        <v/>
      </c>
      <c r="C40" s="322" t="str">
        <f ca="1">IF(ROWS($1:26)&gt;COUNT(Dong5),"",OFFSET(TH!E$1,SMALL(Dong5,ROWS($1:26)),))</f>
        <v/>
      </c>
      <c r="D40" s="381" t="str">
        <f ca="1">IF(ROWS($1:26)&gt;COUNT(Dong5),"",OFFSET(TH!F$1,SMALL(Dong5,ROWS($1:26)),))</f>
        <v/>
      </c>
      <c r="E40" s="322" t="str">
        <f ca="1">IF(ROWS($1:26)&gt;COUNT(Dong5),"",IF(OFFSET(TH!N$1,SMALL(Dong5,ROWS($1:26)),)=$E$7,OFFSET(TH!O$1,SMALL(Dong5,ROWS($1:26)),),OFFSET(TH!N$1,SMALL(Dong5,ROWS($1:26)),)))</f>
        <v/>
      </c>
      <c r="F40" s="382">
        <f ca="1">IF(ROWS($1:26)&gt;COUNT(Dong5),0,IF(OFFSET(TH!N$1,SMALL(Dong5,ROWS($1:26)),)=$E$7,OFFSET(TH!M$1,SMALL(Dong5,ROWS($1:26)),),0))</f>
        <v>0</v>
      </c>
      <c r="G40" s="380">
        <f ca="1">IF(ROWS($1:26)&gt;COUNT(Dong5),0,IF(OFFSET(TH!O$1,SMALL(Dong5,ROWS($1:26)),)=$E$7,OFFSET(TH!M$1,SMALL(Dong5,ROWS($1:26)),),0))</f>
        <v>0</v>
      </c>
      <c r="H40" s="383">
        <f t="shared" ca="1" si="0"/>
        <v>0</v>
      </c>
      <c r="I40" s="383">
        <f t="shared" ca="1" si="1"/>
        <v>0</v>
      </c>
    </row>
    <row r="41" spans="1:9" s="18" customFormat="1" ht="18" customHeight="1">
      <c r="A41" s="322"/>
      <c r="B41" s="323"/>
      <c r="C41" s="322"/>
      <c r="D41" s="370" t="s">
        <v>158</v>
      </c>
      <c r="E41" s="323" t="s">
        <v>21</v>
      </c>
      <c r="F41" s="384">
        <f ca="1">SUM(F15:F40)</f>
        <v>518470991</v>
      </c>
      <c r="G41" s="384">
        <f ca="1">SUM(G15:G40)</f>
        <v>0</v>
      </c>
      <c r="H41" s="384" t="s">
        <v>21</v>
      </c>
      <c r="I41" s="384" t="s">
        <v>21</v>
      </c>
    </row>
    <row r="42" spans="1:9" s="18" customFormat="1" ht="18" customHeight="1">
      <c r="A42" s="385"/>
      <c r="B42" s="375"/>
      <c r="C42" s="385"/>
      <c r="D42" s="374" t="s">
        <v>10</v>
      </c>
      <c r="E42" s="375" t="s">
        <v>21</v>
      </c>
      <c r="F42" s="386" t="s">
        <v>21</v>
      </c>
      <c r="G42" s="386" t="s">
        <v>21</v>
      </c>
      <c r="H42" s="387">
        <f ca="1">MAX(H14+F41-G41-I14,0)</f>
        <v>518470991</v>
      </c>
      <c r="I42" s="387">
        <f ca="1">MAX(I14+G41-F41-H14,0)</f>
        <v>0</v>
      </c>
    </row>
    <row r="43" spans="1:9" s="18" customFormat="1" ht="9.75" customHeight="1">
      <c r="A43" s="337"/>
      <c r="B43" s="337"/>
      <c r="C43" s="337"/>
      <c r="E43" s="337"/>
    </row>
    <row r="44" spans="1:9" s="18" customFormat="1">
      <c r="A44" s="337"/>
      <c r="B44" s="337"/>
      <c r="C44" s="388" t="s">
        <v>250</v>
      </c>
      <c r="E44" s="337"/>
    </row>
    <row r="45" spans="1:9" s="18" customFormat="1">
      <c r="A45" s="337"/>
      <c r="B45" s="337"/>
      <c r="C45" s="28" t="s">
        <v>187</v>
      </c>
      <c r="E45" s="337"/>
    </row>
    <row r="46" spans="1:9" s="18" customFormat="1" ht="13.5" customHeight="1">
      <c r="A46" s="337"/>
      <c r="B46" s="337"/>
      <c r="C46" s="337"/>
      <c r="E46" s="1265" t="s">
        <v>188</v>
      </c>
      <c r="F46" s="1265"/>
      <c r="G46" s="1265"/>
      <c r="H46" s="1265"/>
      <c r="I46" s="1265"/>
    </row>
    <row r="47" spans="1:9" s="18" customFormat="1">
      <c r="A47" s="1265" t="s">
        <v>11</v>
      </c>
      <c r="B47" s="1265"/>
      <c r="C47" s="1265"/>
      <c r="D47" s="1265"/>
      <c r="E47" s="1265" t="s">
        <v>12</v>
      </c>
      <c r="F47" s="1265"/>
      <c r="G47" s="1265"/>
      <c r="H47" s="1265"/>
      <c r="I47" s="1265"/>
    </row>
    <row r="48" spans="1:9" s="18" customFormat="1">
      <c r="A48" s="1265" t="s">
        <v>13</v>
      </c>
      <c r="B48" s="1265"/>
      <c r="C48" s="1265"/>
      <c r="D48" s="1265"/>
      <c r="E48" s="1265" t="s">
        <v>13</v>
      </c>
      <c r="F48" s="1265"/>
      <c r="G48" s="1265"/>
      <c r="H48" s="1265"/>
      <c r="I48" s="1265"/>
    </row>
    <row r="49" spans="1:5" s="18" customFormat="1">
      <c r="A49" s="337"/>
      <c r="B49" s="337"/>
      <c r="C49" s="337"/>
      <c r="E49" s="337"/>
    </row>
  </sheetData>
  <autoFilter ref="A14:J42"/>
  <sortState ref="A15:I164">
    <sortCondition ref="A15:A164"/>
  </sortState>
  <mergeCells count="17">
    <mergeCell ref="H11:I11"/>
    <mergeCell ref="G2:I2"/>
    <mergeCell ref="G3:I4"/>
    <mergeCell ref="A5:I5"/>
    <mergeCell ref="A6:I6"/>
    <mergeCell ref="A9:I9"/>
    <mergeCell ref="C10:I10"/>
    <mergeCell ref="A11:A12"/>
    <mergeCell ref="B11:C11"/>
    <mergeCell ref="D11:D12"/>
    <mergeCell ref="E11:E12"/>
    <mergeCell ref="F11:G11"/>
    <mergeCell ref="A47:D47"/>
    <mergeCell ref="E47:I47"/>
    <mergeCell ref="A48:D48"/>
    <mergeCell ref="E48:I48"/>
    <mergeCell ref="E46:I46"/>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B1" sqref="B1:B2"/>
    </sheetView>
  </sheetViews>
  <sheetFormatPr defaultRowHeight="12.75"/>
  <cols>
    <col min="1" max="1" width="3.7109375" customWidth="1"/>
    <col min="2" max="2" width="5.28515625" customWidth="1"/>
    <col min="3" max="3" width="15.140625" customWidth="1"/>
    <col min="4" max="4" width="16"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180</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316</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825"/>
      <c r="R3" s="314"/>
      <c r="S3" s="315" t="s">
        <v>460</v>
      </c>
      <c r="T3" s="314"/>
      <c r="U3" s="315"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826"/>
      <c r="R4" s="114"/>
      <c r="S4" s="216">
        <v>2</v>
      </c>
      <c r="T4" s="114"/>
      <c r="U4" s="827" t="s">
        <v>4</v>
      </c>
      <c r="V4" s="140"/>
      <c r="W4" s="828">
        <v>1</v>
      </c>
    </row>
    <row r="5" spans="1:23" ht="15">
      <c r="A5" s="94"/>
      <c r="B5" s="103"/>
      <c r="C5" s="93"/>
      <c r="D5" s="93"/>
      <c r="E5" s="93"/>
      <c r="F5" s="94"/>
      <c r="G5" s="110"/>
      <c r="H5" s="115" t="str">
        <f>IF(ISNA(VLOOKUP($M$7,TM,3,0)),"","Ngày  "&amp;DAY(VLOOKUP($M$7,TM,3,0))&amp;"  tháng  "&amp;MONTH(VLOOKUP($M$7,TM,3,0))&amp;"  năm  "&amp;YEAR(VLOOKUP($M$7,TM,3,0)))</f>
        <v/>
      </c>
      <c r="I5" s="94"/>
      <c r="J5" s="110"/>
      <c r="K5" s="112"/>
      <c r="L5" s="94"/>
      <c r="M5" s="112"/>
      <c r="N5" s="112"/>
      <c r="O5" s="112"/>
      <c r="P5" s="113"/>
      <c r="Q5" s="825"/>
      <c r="R5" s="94"/>
      <c r="S5" s="94"/>
      <c r="T5" s="94"/>
      <c r="U5" s="94"/>
      <c r="V5" s="102"/>
      <c r="W5" s="107"/>
    </row>
    <row r="6" spans="1:23" ht="13.5">
      <c r="A6" s="118"/>
      <c r="B6" s="116"/>
      <c r="C6" s="117"/>
      <c r="D6" s="117"/>
      <c r="E6" s="117"/>
      <c r="F6" s="118"/>
      <c r="G6" s="119"/>
      <c r="H6" s="119"/>
      <c r="I6" s="119"/>
      <c r="J6" s="118"/>
      <c r="K6" s="118"/>
      <c r="L6" s="120" t="str">
        <f>"Quyển số: 0"&amp;$S$4</f>
        <v>Quyển số: 02</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C01</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IF($U$4="C","1111",IF($U$4="T",IF(ISNA(VLOOKUP($M$7,TM,10,0)),"",VLOOKUP($M$7,TM,11,0)),""))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 xml:space="preserve">Họ và tên người nhận tiền : </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 xml:space="preserve">Lý do chi : </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e">
        <f ca="1">"Viết bằng chữ: " &amp;[2]!VND('IN-TC'!D13, TRUE)</f>
        <v>#NAME?</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e">
        <f>"Kèm theo :     " &amp;IF(OR(ISNA(VLOOKUP($M$7,TM,7,0)),VLOOKUP($M$7,TM,7,0)=""),"                           ",IF(VLOOKUP($M$7,TM,7,0)&lt;&gt;"","    HĐ  "&amp;(VLOOKUP($M$7,TM,7,0)))) &amp; "     chứng từ gốc. "</f>
        <v>#N/A</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4" t="s">
        <v>125</v>
      </c>
      <c r="D24" s="94"/>
      <c r="E24" s="94"/>
      <c r="F24" s="94"/>
      <c r="G24" s="94"/>
      <c r="H24" s="334" t="str">
        <f>IF($U$4="T","","Phạm Thị Đông")</f>
        <v>Phạm Thị Đông</v>
      </c>
      <c r="I24" s="94"/>
      <c r="J24" s="334" t="s">
        <v>228</v>
      </c>
      <c r="K24" s="94"/>
      <c r="L24" s="94"/>
      <c r="M24" s="334"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1" activePane="bottomLeft" state="frozen"/>
      <selection activeCell="A10" sqref="A10"/>
      <selection pane="bottomLeft" activeCell="L11" sqref="L11"/>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268" t="s">
        <v>143</v>
      </c>
      <c r="H1" s="1268"/>
      <c r="I1" s="1268"/>
      <c r="J1" s="1268"/>
    </row>
    <row r="2" spans="1:12" s="3" customFormat="1" ht="16.5" customHeight="1">
      <c r="A2" s="129" t="s">
        <v>139</v>
      </c>
      <c r="B2" s="16"/>
      <c r="C2" s="16"/>
      <c r="D2" s="16"/>
      <c r="E2" s="16"/>
      <c r="G2" s="1269" t="s">
        <v>144</v>
      </c>
      <c r="H2" s="1269"/>
      <c r="I2" s="1269"/>
      <c r="J2" s="1269"/>
    </row>
    <row r="3" spans="1:12" s="3" customFormat="1" ht="16.5" customHeight="1">
      <c r="A3" s="4"/>
      <c r="B3" s="16"/>
      <c r="C3" s="146"/>
      <c r="D3" s="146"/>
      <c r="E3" s="16"/>
      <c r="G3" s="1269"/>
      <c r="H3" s="1269"/>
      <c r="I3" s="1269"/>
      <c r="J3" s="1269"/>
    </row>
    <row r="4" spans="1:12" s="3" customFormat="1" ht="6.75" customHeight="1">
      <c r="A4" s="16"/>
      <c r="B4" s="16"/>
      <c r="C4" s="16"/>
      <c r="D4" s="16"/>
      <c r="E4" s="16"/>
      <c r="G4" s="147"/>
      <c r="H4" s="147"/>
      <c r="I4" s="147"/>
      <c r="J4" s="147"/>
    </row>
    <row r="5" spans="1:12" ht="24.75" customHeight="1">
      <c r="A5" s="1278" t="s">
        <v>145</v>
      </c>
      <c r="B5" s="1278"/>
      <c r="C5" s="1278"/>
      <c r="D5" s="1278"/>
      <c r="E5" s="1278"/>
      <c r="F5" s="1278"/>
      <c r="G5" s="1278"/>
      <c r="H5" s="1278"/>
      <c r="I5" s="1278"/>
      <c r="J5" s="1278"/>
    </row>
    <row r="6" spans="1:12" ht="14.25" customHeight="1">
      <c r="A6" s="1280" t="str">
        <f>$L$11&amp;" / 2015"</f>
        <v>9 / 2015</v>
      </c>
      <c r="B6" s="1280"/>
      <c r="C6" s="1280"/>
      <c r="D6" s="1280"/>
      <c r="E6" s="1280"/>
      <c r="F6" s="1280"/>
      <c r="G6" s="1280"/>
      <c r="H6" s="1280"/>
      <c r="I6" s="1280"/>
      <c r="J6" s="1280"/>
    </row>
    <row r="7" spans="1:12">
      <c r="A7" s="1279" t="s">
        <v>146</v>
      </c>
      <c r="B7" s="1279"/>
      <c r="C7" s="1279"/>
      <c r="D7" s="1279"/>
      <c r="E7" s="1279"/>
      <c r="F7" s="1279"/>
      <c r="G7" s="1279"/>
      <c r="H7" s="1279"/>
      <c r="I7" s="1279"/>
      <c r="J7" s="1279"/>
    </row>
    <row r="8" spans="1:12">
      <c r="A8" s="1279" t="s">
        <v>147</v>
      </c>
      <c r="B8" s="1279"/>
      <c r="C8" s="1279"/>
      <c r="D8" s="1279"/>
      <c r="E8" s="1279"/>
      <c r="F8" s="1279"/>
      <c r="G8" s="1279"/>
      <c r="H8" s="1279"/>
      <c r="I8" s="1279"/>
      <c r="J8" s="1279"/>
    </row>
    <row r="9" spans="1:12">
      <c r="A9" s="149"/>
      <c r="I9" s="149" t="s">
        <v>148</v>
      </c>
    </row>
    <row r="10" spans="1:12" ht="33" customHeight="1" thickBot="1">
      <c r="A10" s="1282" t="s">
        <v>22</v>
      </c>
      <c r="B10" s="1282" t="s">
        <v>149</v>
      </c>
      <c r="C10" s="1281" t="s">
        <v>150</v>
      </c>
      <c r="D10" s="1281"/>
      <c r="E10" s="1281" t="s">
        <v>0</v>
      </c>
      <c r="F10" s="1282" t="s">
        <v>16</v>
      </c>
      <c r="G10" s="1281" t="s">
        <v>23</v>
      </c>
      <c r="H10" s="1281"/>
      <c r="I10" s="1281" t="s">
        <v>151</v>
      </c>
      <c r="J10" s="1281" t="s">
        <v>152</v>
      </c>
      <c r="L10" s="175"/>
    </row>
    <row r="11" spans="1:12" ht="24" customHeight="1" thickBot="1">
      <c r="A11" s="1283"/>
      <c r="B11" s="1283"/>
      <c r="C11" s="150" t="s">
        <v>153</v>
      </c>
      <c r="D11" s="150" t="s">
        <v>154</v>
      </c>
      <c r="E11" s="1281"/>
      <c r="F11" s="1283"/>
      <c r="G11" s="150" t="s">
        <v>24</v>
      </c>
      <c r="H11" s="150" t="s">
        <v>25</v>
      </c>
      <c r="I11" s="1281"/>
      <c r="J11" s="1281"/>
      <c r="L11" s="216">
        <v>9</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39250509077.5</v>
      </c>
      <c r="J13" s="154"/>
    </row>
    <row r="14" spans="1:12" ht="19.5" customHeight="1">
      <c r="A14" s="157" t="str">
        <f ca="1">IF(ROWS($1:1)&gt;COUNT(Dong1),"",OFFSET(TH!C$1,SMALL(Dong1,ROWS($1:1)),))</f>
        <v/>
      </c>
      <c r="B14" s="157" t="str">
        <f ca="1">IF(ROWS($1:1)&gt;COUNT(Dong1),"",OFFSET(TH!E$1,SMALL(Dong1,ROWS($1:1)),))</f>
        <v/>
      </c>
      <c r="C14" s="158" t="str">
        <f ca="1">IF(ROWS($1:1)&gt;COUNT(Dong1),"",IF(OFFSET(TH!N$1,SMALL(Dong1,ROWS($1:1)),)="1111",OFFSET(TH!D$1,SMALL(Dong1,ROWS($1:1)),),""))</f>
        <v/>
      </c>
      <c r="D14" s="159" t="str">
        <f ca="1">IF(ROWS($1:1)&gt;COUNT(Dong1),"",IF(OFFSET(TH!O$1,SMALL(Dong1,ROWS($1:1)),)="1111",OFFSET(TH!D$1,SMALL(Dong1,ROWS($1:1)),),""))</f>
        <v/>
      </c>
      <c r="E14" s="351" t="str">
        <f ca="1">IF(ROWS($1:1)&gt;COUNT(Dong1),"",OFFSET(TH!F$1,SMALL(Dong1,ROWS($1:1)),))</f>
        <v/>
      </c>
      <c r="F14" s="161" t="str">
        <f ca="1">IF(ROWS($1:1)&gt;COUNT(Dong1),"",IF(OFFSET(TH!O$1,SMALL(Dong1,ROWS($1:1)),)="1111",OFFSET(TH!N$1,SMALL(Dong1,ROWS($1:1)),),OFFSET(TH!O$1,SMALL(Dong1,ROWS($1:1)),)))</f>
        <v/>
      </c>
      <c r="G14" s="162" t="str">
        <f ca="1">IF(ROWS($1:1)&gt;COUNT(Dong1),"",IF(OFFSET(TH!N$1,SMALL(Dong1,ROWS($1:1)),)="1111",OFFSET(TH!M$1,SMALL(Dong1,ROWS($1:1)),),0))</f>
        <v/>
      </c>
      <c r="H14" s="160" t="str">
        <f ca="1">IF(ROWS($1:1)&gt;COUNT(Dong1),"",IF(OFFSET(TH!O$1,SMALL(Dong1,ROWS($1:1)),)="1111",OFFSET(TH!M$1,SMALL(Dong1,ROWS($1:1)),),0))</f>
        <v/>
      </c>
      <c r="I14" s="158">
        <f t="shared" ref="I14:I45" ca="1" si="0">IF(E14&lt;&gt;"",I13+G14-H14,0)</f>
        <v>0</v>
      </c>
      <c r="J14" s="163"/>
    </row>
    <row r="15" spans="1:12" ht="19.5" customHeight="1">
      <c r="A15" s="157" t="str">
        <f ca="1">IF(ROWS($1:2)&gt;COUNT(Dong1),"",OFFSET(TH!C$1,SMALL(Dong1,ROWS($1:2)),))</f>
        <v/>
      </c>
      <c r="B15" s="157" t="str">
        <f ca="1">IF(ROWS($1:2)&gt;COUNT(Dong1),"",OFFSET(TH!E$1,SMALL(Dong1,ROWS($1:2)),))</f>
        <v/>
      </c>
      <c r="C15" s="158" t="str">
        <f ca="1">IF(ROWS($1:2)&gt;COUNT(Dong1),"",IF(OFFSET(TH!N$1,SMALL(Dong1,ROWS($1:2)),)="1111",OFFSET(TH!D$1,SMALL(Dong1,ROWS($1:2)),),""))</f>
        <v/>
      </c>
      <c r="D15" s="159" t="str">
        <f ca="1">IF(ROWS($1:2)&gt;COUNT(Dong1),"",IF(OFFSET(TH!O$1,SMALL(Dong1,ROWS($1:2)),)="1111",OFFSET(TH!D$1,SMALL(Dong1,ROWS($1:2)),),""))</f>
        <v/>
      </c>
      <c r="E15" s="351" t="str">
        <f ca="1">IF(ROWS($1:2)&gt;COUNT(Dong1),"",OFFSET(TH!F$1,SMALL(Dong1,ROWS($1:2)),))</f>
        <v/>
      </c>
      <c r="F15" s="161" t="str">
        <f ca="1">IF(ROWS($1:2)&gt;COUNT(Dong1),"",IF(OFFSET(TH!O$1,SMALL(Dong1,ROWS($1:2)),)="1111",OFFSET(TH!N$1,SMALL(Dong1,ROWS($1:2)),),OFFSET(TH!O$1,SMALL(Dong1,ROWS($1:2)),)))</f>
        <v/>
      </c>
      <c r="G15" s="162" t="str">
        <f ca="1">IF(ROWS($1:2)&gt;COUNT(Dong1),"",IF(OFFSET(TH!N$1,SMALL(Dong1,ROWS($1:2)),)="1111",OFFSET(TH!M$1,SMALL(Dong1,ROWS($1:2)),),0))</f>
        <v/>
      </c>
      <c r="H15" s="160" t="str">
        <f ca="1">IF(ROWS($1:2)&gt;COUNT(Dong1),"",IF(OFFSET(TH!O$1,SMALL(Dong1,ROWS($1:2)),)="1111",OFFSET(TH!M$1,SMALL(Dong1,ROWS($1:2)),),0))</f>
        <v/>
      </c>
      <c r="I15" s="158">
        <f t="shared" ca="1" si="0"/>
        <v>0</v>
      </c>
      <c r="J15" s="163"/>
    </row>
    <row r="16" spans="1:12" ht="19.5" customHeight="1">
      <c r="A16" s="157" t="str">
        <f ca="1">IF(ROWS($1:3)&gt;COUNT(Dong1),"",OFFSET(TH!C$1,SMALL(Dong1,ROWS($1:3)),))</f>
        <v/>
      </c>
      <c r="B16" s="157" t="str">
        <f ca="1">IF(ROWS($1:3)&gt;COUNT(Dong1),"",OFFSET(TH!E$1,SMALL(Dong1,ROWS($1:3)),))</f>
        <v/>
      </c>
      <c r="C16" s="158" t="str">
        <f ca="1">IF(ROWS($1:3)&gt;COUNT(Dong1),"",IF(OFFSET(TH!N$1,SMALL(Dong1,ROWS($1:3)),)="1111",OFFSET(TH!D$1,SMALL(Dong1,ROWS($1:3)),),""))</f>
        <v/>
      </c>
      <c r="D16" s="159" t="str">
        <f ca="1">IF(ROWS($1:3)&gt;COUNT(Dong1),"",IF(OFFSET(TH!O$1,SMALL(Dong1,ROWS($1:3)),)="1111",OFFSET(TH!D$1,SMALL(Dong1,ROWS($1:3)),),""))</f>
        <v/>
      </c>
      <c r="E16" s="351" t="str">
        <f ca="1">IF(ROWS($1:3)&gt;COUNT(Dong1),"",OFFSET(TH!F$1,SMALL(Dong1,ROWS($1:3)),))</f>
        <v/>
      </c>
      <c r="F16" s="161" t="str">
        <f ca="1">IF(ROWS($1:3)&gt;COUNT(Dong1),"",IF(OFFSET(TH!O$1,SMALL(Dong1,ROWS($1:3)),)="1111",OFFSET(TH!N$1,SMALL(Dong1,ROWS($1:3)),),OFFSET(TH!O$1,SMALL(Dong1,ROWS($1:3)),)))</f>
        <v/>
      </c>
      <c r="G16" s="162" t="str">
        <f ca="1">IF(ROWS($1:3)&gt;COUNT(Dong1),"",IF(OFFSET(TH!N$1,SMALL(Dong1,ROWS($1:3)),)="1111",OFFSET(TH!M$1,SMALL(Dong1,ROWS($1:3)),),0))</f>
        <v/>
      </c>
      <c r="H16" s="160" t="str">
        <f ca="1">IF(ROWS($1:3)&gt;COUNT(Dong1),"",IF(OFFSET(TH!O$1,SMALL(Dong1,ROWS($1:3)),)="1111",OFFSET(TH!M$1,SMALL(Dong1,ROWS($1:3)),),0))</f>
        <v/>
      </c>
      <c r="I16" s="158">
        <f t="shared" ca="1" si="0"/>
        <v>0</v>
      </c>
      <c r="J16" s="163"/>
    </row>
    <row r="17" spans="1:10" ht="19.5" customHeight="1">
      <c r="A17" s="157" t="str">
        <f ca="1">IF(ROWS($1:4)&gt;COUNT(Dong1),"",OFFSET(TH!C$1,SMALL(Dong1,ROWS($1:4)),))</f>
        <v/>
      </c>
      <c r="B17" s="157" t="str">
        <f ca="1">IF(ROWS($1:4)&gt;COUNT(Dong1),"",OFFSET(TH!E$1,SMALL(Dong1,ROWS($1:4)),))</f>
        <v/>
      </c>
      <c r="C17" s="158" t="str">
        <f ca="1">IF(ROWS($1:4)&gt;COUNT(Dong1),"",IF(OFFSET(TH!N$1,SMALL(Dong1,ROWS($1:4)),)="1111",OFFSET(TH!D$1,SMALL(Dong1,ROWS($1:4)),),""))</f>
        <v/>
      </c>
      <c r="D17" s="159" t="str">
        <f ca="1">IF(ROWS($1:4)&gt;COUNT(Dong1),"",IF(OFFSET(TH!O$1,SMALL(Dong1,ROWS($1:4)),)="1111",OFFSET(TH!D$1,SMALL(Dong1,ROWS($1:4)),),""))</f>
        <v/>
      </c>
      <c r="E17" s="351" t="str">
        <f ca="1">IF(ROWS($1:4)&gt;COUNT(Dong1),"",OFFSET(TH!F$1,SMALL(Dong1,ROWS($1:4)),))</f>
        <v/>
      </c>
      <c r="F17" s="161" t="str">
        <f ca="1">IF(ROWS($1:4)&gt;COUNT(Dong1),"",IF(OFFSET(TH!O$1,SMALL(Dong1,ROWS($1:4)),)="1111",OFFSET(TH!N$1,SMALL(Dong1,ROWS($1:4)),),OFFSET(TH!O$1,SMALL(Dong1,ROWS($1:4)),)))</f>
        <v/>
      </c>
      <c r="G17" s="162" t="str">
        <f ca="1">IF(ROWS($1:4)&gt;COUNT(Dong1),"",IF(OFFSET(TH!N$1,SMALL(Dong1,ROWS($1:4)),)="1111",OFFSET(TH!M$1,SMALL(Dong1,ROWS($1:4)),),0))</f>
        <v/>
      </c>
      <c r="H17" s="160" t="str">
        <f ca="1">IF(ROWS($1:4)&gt;COUNT(Dong1),"",IF(OFFSET(TH!O$1,SMALL(Dong1,ROWS($1:4)),)="1111",OFFSET(TH!M$1,SMALL(Dong1,ROWS($1:4)),),0))</f>
        <v/>
      </c>
      <c r="I17" s="158">
        <f t="shared" ca="1" si="0"/>
        <v>0</v>
      </c>
      <c r="J17" s="163"/>
    </row>
    <row r="18" spans="1:10" ht="19.5" customHeight="1">
      <c r="A18" s="157" t="str">
        <f ca="1">IF(ROWS($1:5)&gt;COUNT(Dong1),"",OFFSET(TH!C$1,SMALL(Dong1,ROWS($1:5)),))</f>
        <v/>
      </c>
      <c r="B18" s="157" t="str">
        <f ca="1">IF(ROWS($1:5)&gt;COUNT(Dong1),"",OFFSET(TH!E$1,SMALL(Dong1,ROWS($1:5)),))</f>
        <v/>
      </c>
      <c r="C18" s="158" t="str">
        <f ca="1">IF(ROWS($1:5)&gt;COUNT(Dong1),"",IF(OFFSET(TH!N$1,SMALL(Dong1,ROWS($1:5)),)="1111",OFFSET(TH!D$1,SMALL(Dong1,ROWS($1:5)),),""))</f>
        <v/>
      </c>
      <c r="D18" s="159" t="str">
        <f ca="1">IF(ROWS($1:5)&gt;COUNT(Dong1),"",IF(OFFSET(TH!O$1,SMALL(Dong1,ROWS($1:5)),)="1111",OFFSET(TH!D$1,SMALL(Dong1,ROWS($1:5)),),""))</f>
        <v/>
      </c>
      <c r="E18" s="351" t="str">
        <f ca="1">IF(ROWS($1:5)&gt;COUNT(Dong1),"",OFFSET(TH!F$1,SMALL(Dong1,ROWS($1:5)),))</f>
        <v/>
      </c>
      <c r="F18" s="161" t="str">
        <f ca="1">IF(ROWS($1:5)&gt;COUNT(Dong1),"",IF(OFFSET(TH!O$1,SMALL(Dong1,ROWS($1:5)),)="1111",OFFSET(TH!N$1,SMALL(Dong1,ROWS($1:5)),),OFFSET(TH!O$1,SMALL(Dong1,ROWS($1:5)),)))</f>
        <v/>
      </c>
      <c r="G18" s="162" t="str">
        <f ca="1">IF(ROWS($1:5)&gt;COUNT(Dong1),"",IF(OFFSET(TH!N$1,SMALL(Dong1,ROWS($1:5)),)="1111",OFFSET(TH!M$1,SMALL(Dong1,ROWS($1:5)),),0))</f>
        <v/>
      </c>
      <c r="H18" s="160" t="str">
        <f ca="1">IF(ROWS($1:5)&gt;COUNT(Dong1),"",IF(OFFSET(TH!O$1,SMALL(Dong1,ROWS($1:5)),)="1111",OFFSET(TH!M$1,SMALL(Dong1,ROWS($1:5)),),0))</f>
        <v/>
      </c>
      <c r="I18" s="158">
        <f t="shared" ca="1" si="0"/>
        <v>0</v>
      </c>
      <c r="J18" s="163"/>
    </row>
    <row r="19" spans="1:10" ht="19.5" customHeight="1">
      <c r="A19" s="157" t="str">
        <f ca="1">IF(ROWS($1:6)&gt;COUNT(Dong1),"",OFFSET(TH!C$1,SMALL(Dong1,ROWS($1:6)),))</f>
        <v/>
      </c>
      <c r="B19" s="157" t="str">
        <f ca="1">IF(ROWS($1:6)&gt;COUNT(Dong1),"",OFFSET(TH!E$1,SMALL(Dong1,ROWS($1:6)),))</f>
        <v/>
      </c>
      <c r="C19" s="158" t="str">
        <f ca="1">IF(ROWS($1:6)&gt;COUNT(Dong1),"",IF(OFFSET(TH!N$1,SMALL(Dong1,ROWS($1:6)),)="1111",OFFSET(TH!D$1,SMALL(Dong1,ROWS($1:6)),),""))</f>
        <v/>
      </c>
      <c r="D19" s="159" t="str">
        <f ca="1">IF(ROWS($1:6)&gt;COUNT(Dong1),"",IF(OFFSET(TH!O$1,SMALL(Dong1,ROWS($1:6)),)="1111",OFFSET(TH!D$1,SMALL(Dong1,ROWS($1:6)),),""))</f>
        <v/>
      </c>
      <c r="E19" s="351" t="str">
        <f ca="1">IF(ROWS($1:6)&gt;COUNT(Dong1),"",OFFSET(TH!F$1,SMALL(Dong1,ROWS($1:6)),))</f>
        <v/>
      </c>
      <c r="F19" s="161" t="str">
        <f ca="1">IF(ROWS($1:6)&gt;COUNT(Dong1),"",IF(OFFSET(TH!O$1,SMALL(Dong1,ROWS($1:6)),)="1111",OFFSET(TH!N$1,SMALL(Dong1,ROWS($1:6)),),OFFSET(TH!O$1,SMALL(Dong1,ROWS($1:6)),)))</f>
        <v/>
      </c>
      <c r="G19" s="162" t="str">
        <f ca="1">IF(ROWS($1:6)&gt;COUNT(Dong1),"",IF(OFFSET(TH!N$1,SMALL(Dong1,ROWS($1:6)),)="1111",OFFSET(TH!M$1,SMALL(Dong1,ROWS($1:6)),),0))</f>
        <v/>
      </c>
      <c r="H19" s="160" t="str">
        <f ca="1">IF(ROWS($1:6)&gt;COUNT(Dong1),"",IF(OFFSET(TH!O$1,SMALL(Dong1,ROWS($1:6)),)="1111",OFFSET(TH!M$1,SMALL(Dong1,ROWS($1:6)),),0))</f>
        <v/>
      </c>
      <c r="I19" s="158">
        <f t="shared" ca="1" si="0"/>
        <v>0</v>
      </c>
      <c r="J19" s="163"/>
    </row>
    <row r="20" spans="1:10" ht="19.5" customHeight="1">
      <c r="A20" s="157" t="str">
        <f ca="1">IF(ROWS($1:7)&gt;COUNT(Dong1),"",OFFSET(TH!C$1,SMALL(Dong1,ROWS($1:7)),))</f>
        <v/>
      </c>
      <c r="B20" s="157" t="str">
        <f ca="1">IF(ROWS($1:7)&gt;COUNT(Dong1),"",OFFSET(TH!E$1,SMALL(Dong1,ROWS($1:7)),))</f>
        <v/>
      </c>
      <c r="C20" s="158" t="str">
        <f ca="1">IF(ROWS($1:7)&gt;COUNT(Dong1),"",IF(OFFSET(TH!N$1,SMALL(Dong1,ROWS($1:7)),)="1111",OFFSET(TH!D$1,SMALL(Dong1,ROWS($1:7)),),""))</f>
        <v/>
      </c>
      <c r="D20" s="159" t="str">
        <f ca="1">IF(ROWS($1:7)&gt;COUNT(Dong1),"",IF(OFFSET(TH!O$1,SMALL(Dong1,ROWS($1:7)),)="1111",OFFSET(TH!D$1,SMALL(Dong1,ROWS($1:7)),),""))</f>
        <v/>
      </c>
      <c r="E20" s="351" t="str">
        <f ca="1">IF(ROWS($1:7)&gt;COUNT(Dong1),"",OFFSET(TH!F$1,SMALL(Dong1,ROWS($1:7)),))</f>
        <v/>
      </c>
      <c r="F20" s="161" t="str">
        <f ca="1">IF(ROWS($1:7)&gt;COUNT(Dong1),"",IF(OFFSET(TH!O$1,SMALL(Dong1,ROWS($1:7)),)="1111",OFFSET(TH!N$1,SMALL(Dong1,ROWS($1:7)),),OFFSET(TH!O$1,SMALL(Dong1,ROWS($1:7)),)))</f>
        <v/>
      </c>
      <c r="G20" s="162" t="str">
        <f ca="1">IF(ROWS($1:7)&gt;COUNT(Dong1),"",IF(OFFSET(TH!N$1,SMALL(Dong1,ROWS($1:7)),)="1111",OFFSET(TH!M$1,SMALL(Dong1,ROWS($1:7)),),0))</f>
        <v/>
      </c>
      <c r="H20" s="160" t="str">
        <f ca="1">IF(ROWS($1:7)&gt;COUNT(Dong1),"",IF(OFFSET(TH!O$1,SMALL(Dong1,ROWS($1:7)),)="1111",OFFSET(TH!M$1,SMALL(Dong1,ROWS($1:7)),),0))</f>
        <v/>
      </c>
      <c r="I20" s="158">
        <f t="shared" ca="1" si="0"/>
        <v>0</v>
      </c>
      <c r="J20" s="163"/>
    </row>
    <row r="21" spans="1:10" ht="19.5" customHeight="1">
      <c r="A21" s="157" t="str">
        <f ca="1">IF(ROWS($1:8)&gt;COUNT(Dong1),"",OFFSET(TH!C$1,SMALL(Dong1,ROWS($1:8)),))</f>
        <v/>
      </c>
      <c r="B21" s="157" t="str">
        <f ca="1">IF(ROWS($1:8)&gt;COUNT(Dong1),"",OFFSET(TH!E$1,SMALL(Dong1,ROWS($1:8)),))</f>
        <v/>
      </c>
      <c r="C21" s="158" t="str">
        <f ca="1">IF(ROWS($1:8)&gt;COUNT(Dong1),"",IF(OFFSET(TH!N$1,SMALL(Dong1,ROWS($1:8)),)="1111",OFFSET(TH!D$1,SMALL(Dong1,ROWS($1:8)),),""))</f>
        <v/>
      </c>
      <c r="D21" s="159" t="str">
        <f ca="1">IF(ROWS($1:8)&gt;COUNT(Dong1),"",IF(OFFSET(TH!O$1,SMALL(Dong1,ROWS($1:8)),)="1111",OFFSET(TH!D$1,SMALL(Dong1,ROWS($1:8)),),""))</f>
        <v/>
      </c>
      <c r="E21" s="351" t="str">
        <f ca="1">IF(ROWS($1:8)&gt;COUNT(Dong1),"",OFFSET(TH!F$1,SMALL(Dong1,ROWS($1:8)),))</f>
        <v/>
      </c>
      <c r="F21" s="161" t="str">
        <f ca="1">IF(ROWS($1:8)&gt;COUNT(Dong1),"",IF(OFFSET(TH!O$1,SMALL(Dong1,ROWS($1:8)),)="1111",OFFSET(TH!N$1,SMALL(Dong1,ROWS($1:8)),),OFFSET(TH!O$1,SMALL(Dong1,ROWS($1:8)),)))</f>
        <v/>
      </c>
      <c r="G21" s="162" t="str">
        <f ca="1">IF(ROWS($1:8)&gt;COUNT(Dong1),"",IF(OFFSET(TH!N$1,SMALL(Dong1,ROWS($1:8)),)="1111",OFFSET(TH!M$1,SMALL(Dong1,ROWS($1:8)),),0))</f>
        <v/>
      </c>
      <c r="H21" s="160" t="str">
        <f ca="1">IF(ROWS($1:8)&gt;COUNT(Dong1),"",IF(OFFSET(TH!O$1,SMALL(Dong1,ROWS($1:8)),)="1111",OFFSET(TH!M$1,SMALL(Dong1,ROWS($1:8)),),0))</f>
        <v/>
      </c>
      <c r="I21" s="158">
        <f t="shared" ca="1" si="0"/>
        <v>0</v>
      </c>
      <c r="J21" s="163"/>
    </row>
    <row r="22" spans="1:10" ht="19.5" customHeight="1">
      <c r="A22" s="157" t="str">
        <f ca="1">IF(ROWS($1:9)&gt;COUNT(Dong1),"",OFFSET(TH!C$1,SMALL(Dong1,ROWS($1:9)),))</f>
        <v/>
      </c>
      <c r="B22" s="157" t="str">
        <f ca="1">IF(ROWS($1:9)&gt;COUNT(Dong1),"",OFFSET(TH!E$1,SMALL(Dong1,ROWS($1:9)),))</f>
        <v/>
      </c>
      <c r="C22" s="158" t="str">
        <f ca="1">IF(ROWS($1:9)&gt;COUNT(Dong1),"",IF(OFFSET(TH!N$1,SMALL(Dong1,ROWS($1:9)),)="1111",OFFSET(TH!D$1,SMALL(Dong1,ROWS($1:9)),),""))</f>
        <v/>
      </c>
      <c r="D22" s="159" t="str">
        <f ca="1">IF(ROWS($1:9)&gt;COUNT(Dong1),"",IF(OFFSET(TH!O$1,SMALL(Dong1,ROWS($1:9)),)="1111",OFFSET(TH!D$1,SMALL(Dong1,ROWS($1:9)),),""))</f>
        <v/>
      </c>
      <c r="E22" s="351" t="str">
        <f ca="1">IF(ROWS($1:9)&gt;COUNT(Dong1),"",OFFSET(TH!F$1,SMALL(Dong1,ROWS($1:9)),))</f>
        <v/>
      </c>
      <c r="F22" s="161" t="str">
        <f ca="1">IF(ROWS($1:9)&gt;COUNT(Dong1),"",IF(OFFSET(TH!O$1,SMALL(Dong1,ROWS($1:9)),)="1111",OFFSET(TH!N$1,SMALL(Dong1,ROWS($1:9)),),OFFSET(TH!O$1,SMALL(Dong1,ROWS($1:9)),)))</f>
        <v/>
      </c>
      <c r="G22" s="162" t="str">
        <f ca="1">IF(ROWS($1:9)&gt;COUNT(Dong1),"",IF(OFFSET(TH!N$1,SMALL(Dong1,ROWS($1:9)),)="1111",OFFSET(TH!M$1,SMALL(Dong1,ROWS($1:9)),),0))</f>
        <v/>
      </c>
      <c r="H22" s="160" t="str">
        <f ca="1">IF(ROWS($1:9)&gt;COUNT(Dong1),"",IF(OFFSET(TH!O$1,SMALL(Dong1,ROWS($1:9)),)="1111",OFFSET(TH!M$1,SMALL(Dong1,ROWS($1:9)),),0))</f>
        <v/>
      </c>
      <c r="I22" s="158">
        <f t="shared" ca="1" si="0"/>
        <v>0</v>
      </c>
      <c r="J22" s="163"/>
    </row>
    <row r="23" spans="1:10" ht="19.5" customHeight="1">
      <c r="A23" s="157" t="str">
        <f ca="1">IF(ROWS($1:10)&gt;COUNT(Dong1),"",OFFSET(TH!C$1,SMALL(Dong1,ROWS($1:10)),))</f>
        <v/>
      </c>
      <c r="B23" s="157" t="str">
        <f ca="1">IF(ROWS($1:10)&gt;COUNT(Dong1),"",OFFSET(TH!E$1,SMALL(Dong1,ROWS($1:10)),))</f>
        <v/>
      </c>
      <c r="C23" s="158" t="str">
        <f ca="1">IF(ROWS($1:10)&gt;COUNT(Dong1),"",IF(OFFSET(TH!N$1,SMALL(Dong1,ROWS($1:10)),)="1111",OFFSET(TH!D$1,SMALL(Dong1,ROWS($1:10)),),""))</f>
        <v/>
      </c>
      <c r="D23" s="159" t="str">
        <f ca="1">IF(ROWS($1:10)&gt;COUNT(Dong1),"",IF(OFFSET(TH!O$1,SMALL(Dong1,ROWS($1:10)),)="1111",OFFSET(TH!D$1,SMALL(Dong1,ROWS($1:10)),),""))</f>
        <v/>
      </c>
      <c r="E23" s="351" t="str">
        <f ca="1">IF(ROWS($1:10)&gt;COUNT(Dong1),"",OFFSET(TH!F$1,SMALL(Dong1,ROWS($1:10)),))</f>
        <v/>
      </c>
      <c r="F23" s="161" t="str">
        <f ca="1">IF(ROWS($1:10)&gt;COUNT(Dong1),"",IF(OFFSET(TH!O$1,SMALL(Dong1,ROWS($1:10)),)="1111",OFFSET(TH!N$1,SMALL(Dong1,ROWS($1:10)),),OFFSET(TH!O$1,SMALL(Dong1,ROWS($1:10)),)))</f>
        <v/>
      </c>
      <c r="G23" s="162" t="str">
        <f ca="1">IF(ROWS($1:10)&gt;COUNT(Dong1),"",IF(OFFSET(TH!N$1,SMALL(Dong1,ROWS($1:10)),)="1111",OFFSET(TH!M$1,SMALL(Dong1,ROWS($1:10)),),0))</f>
        <v/>
      </c>
      <c r="H23" s="160" t="str">
        <f ca="1">IF(ROWS($1:10)&gt;COUNT(Dong1),"",IF(OFFSET(TH!O$1,SMALL(Dong1,ROWS($1:10)),)="1111",OFFSET(TH!M$1,SMALL(Dong1,ROWS($1:10)),),0))</f>
        <v/>
      </c>
      <c r="I23" s="158">
        <f t="shared" ca="1" si="0"/>
        <v>0</v>
      </c>
      <c r="J23" s="163"/>
    </row>
    <row r="24" spans="1:10" ht="19.5" customHeight="1">
      <c r="A24" s="157" t="str">
        <f ca="1">IF(ROWS($1:11)&gt;COUNT(Dong1),"",OFFSET(TH!C$1,SMALL(Dong1,ROWS($1:11)),))</f>
        <v/>
      </c>
      <c r="B24" s="157" t="str">
        <f ca="1">IF(ROWS($1:11)&gt;COUNT(Dong1),"",OFFSET(TH!E$1,SMALL(Dong1,ROWS($1:11)),))</f>
        <v/>
      </c>
      <c r="C24" s="158" t="str">
        <f ca="1">IF(ROWS($1:11)&gt;COUNT(Dong1),"",IF(OFFSET(TH!N$1,SMALL(Dong1,ROWS($1:11)),)="1111",OFFSET(TH!D$1,SMALL(Dong1,ROWS($1:11)),),""))</f>
        <v/>
      </c>
      <c r="D24" s="159" t="str">
        <f ca="1">IF(ROWS($1:11)&gt;COUNT(Dong1),"",IF(OFFSET(TH!O$1,SMALL(Dong1,ROWS($1:11)),)="1111",OFFSET(TH!D$1,SMALL(Dong1,ROWS($1:11)),),""))</f>
        <v/>
      </c>
      <c r="E24" s="351" t="str">
        <f ca="1">IF(ROWS($1:11)&gt;COUNT(Dong1),"",OFFSET(TH!F$1,SMALL(Dong1,ROWS($1:11)),))</f>
        <v/>
      </c>
      <c r="F24" s="161" t="str">
        <f ca="1">IF(ROWS($1:11)&gt;COUNT(Dong1),"",IF(OFFSET(TH!O$1,SMALL(Dong1,ROWS($1:11)),)="1111",OFFSET(TH!N$1,SMALL(Dong1,ROWS($1:11)),),OFFSET(TH!O$1,SMALL(Dong1,ROWS($1:11)),)))</f>
        <v/>
      </c>
      <c r="G24" s="162" t="str">
        <f ca="1">IF(ROWS($1:11)&gt;COUNT(Dong1),"",IF(OFFSET(TH!N$1,SMALL(Dong1,ROWS($1:11)),)="1111",OFFSET(TH!M$1,SMALL(Dong1,ROWS($1:11)),),0))</f>
        <v/>
      </c>
      <c r="H24" s="160" t="str">
        <f ca="1">IF(ROWS($1:11)&gt;COUNT(Dong1),"",IF(OFFSET(TH!O$1,SMALL(Dong1,ROWS($1:11)),)="1111",OFFSET(TH!M$1,SMALL(Dong1,ROWS($1:11)),),0))</f>
        <v/>
      </c>
      <c r="I24" s="158">
        <f t="shared" ca="1" si="0"/>
        <v>0</v>
      </c>
      <c r="J24" s="163"/>
    </row>
    <row r="25" spans="1:10" ht="19.5" customHeight="1">
      <c r="A25" s="157" t="str">
        <f ca="1">IF(ROWS($1:12)&gt;COUNT(Dong1),"",OFFSET(TH!C$1,SMALL(Dong1,ROWS($1:12)),))</f>
        <v/>
      </c>
      <c r="B25" s="157" t="str">
        <f ca="1">IF(ROWS($1:12)&gt;COUNT(Dong1),"",OFFSET(TH!E$1,SMALL(Dong1,ROWS($1:12)),))</f>
        <v/>
      </c>
      <c r="C25" s="158" t="str">
        <f ca="1">IF(ROWS($1:12)&gt;COUNT(Dong1),"",IF(OFFSET(TH!N$1,SMALL(Dong1,ROWS($1:12)),)="1111",OFFSET(TH!D$1,SMALL(Dong1,ROWS($1:12)),),""))</f>
        <v/>
      </c>
      <c r="D25" s="159" t="str">
        <f ca="1">IF(ROWS($1:12)&gt;COUNT(Dong1),"",IF(OFFSET(TH!O$1,SMALL(Dong1,ROWS($1:12)),)="1111",OFFSET(TH!D$1,SMALL(Dong1,ROWS($1:12)),),""))</f>
        <v/>
      </c>
      <c r="E25" s="351" t="str">
        <f ca="1">IF(ROWS($1:12)&gt;COUNT(Dong1),"",OFFSET(TH!F$1,SMALL(Dong1,ROWS($1:12)),))</f>
        <v/>
      </c>
      <c r="F25" s="161" t="str">
        <f ca="1">IF(ROWS($1:12)&gt;COUNT(Dong1),"",IF(OFFSET(TH!O$1,SMALL(Dong1,ROWS($1:12)),)="1111",OFFSET(TH!N$1,SMALL(Dong1,ROWS($1:12)),),OFFSET(TH!O$1,SMALL(Dong1,ROWS($1:12)),)))</f>
        <v/>
      </c>
      <c r="G25" s="162" t="str">
        <f ca="1">IF(ROWS($1:12)&gt;COUNT(Dong1),"",IF(OFFSET(TH!N$1,SMALL(Dong1,ROWS($1:12)),)="1111",OFFSET(TH!M$1,SMALL(Dong1,ROWS($1:12)),),0))</f>
        <v/>
      </c>
      <c r="H25" s="160" t="str">
        <f ca="1">IF(ROWS($1:12)&gt;COUNT(Dong1),"",IF(OFFSET(TH!O$1,SMALL(Dong1,ROWS($1:12)),)="1111",OFFSET(TH!M$1,SMALL(Dong1,ROWS($1:12)),),0))</f>
        <v/>
      </c>
      <c r="I25" s="158">
        <f t="shared" ca="1" si="0"/>
        <v>0</v>
      </c>
      <c r="J25" s="163"/>
    </row>
    <row r="26" spans="1:10" ht="19.5" customHeight="1">
      <c r="A26" s="157" t="str">
        <f ca="1">IF(ROWS($1:13)&gt;COUNT(Dong1),"",OFFSET(TH!C$1,SMALL(Dong1,ROWS($1:13)),))</f>
        <v/>
      </c>
      <c r="B26" s="157" t="str">
        <f ca="1">IF(ROWS($1:13)&gt;COUNT(Dong1),"",OFFSET(TH!E$1,SMALL(Dong1,ROWS($1:13)),))</f>
        <v/>
      </c>
      <c r="C26" s="158" t="str">
        <f ca="1">IF(ROWS($1:13)&gt;COUNT(Dong1),"",IF(OFFSET(TH!N$1,SMALL(Dong1,ROWS($1:13)),)="1111",OFFSET(TH!D$1,SMALL(Dong1,ROWS($1:13)),),""))</f>
        <v/>
      </c>
      <c r="D26" s="159" t="str">
        <f ca="1">IF(ROWS($1:13)&gt;COUNT(Dong1),"",IF(OFFSET(TH!O$1,SMALL(Dong1,ROWS($1:13)),)="1111",OFFSET(TH!D$1,SMALL(Dong1,ROWS($1:13)),),""))</f>
        <v/>
      </c>
      <c r="E26" s="351" t="str">
        <f ca="1">IF(ROWS($1:13)&gt;COUNT(Dong1),"",OFFSET(TH!F$1,SMALL(Dong1,ROWS($1:13)),))</f>
        <v/>
      </c>
      <c r="F26" s="161" t="str">
        <f ca="1">IF(ROWS($1:13)&gt;COUNT(Dong1),"",IF(OFFSET(TH!O$1,SMALL(Dong1,ROWS($1:13)),)="1111",OFFSET(TH!N$1,SMALL(Dong1,ROWS($1:13)),),OFFSET(TH!O$1,SMALL(Dong1,ROWS($1:13)),)))</f>
        <v/>
      </c>
      <c r="G26" s="162" t="str">
        <f ca="1">IF(ROWS($1:13)&gt;COUNT(Dong1),"",IF(OFFSET(TH!N$1,SMALL(Dong1,ROWS($1:13)),)="1111",OFFSET(TH!M$1,SMALL(Dong1,ROWS($1:13)),),0))</f>
        <v/>
      </c>
      <c r="H26" s="160" t="str">
        <f ca="1">IF(ROWS($1:13)&gt;COUNT(Dong1),"",IF(OFFSET(TH!O$1,SMALL(Dong1,ROWS($1:13)),)="1111",OFFSET(TH!M$1,SMALL(Dong1,ROWS($1:13)),),0))</f>
        <v/>
      </c>
      <c r="I26" s="158">
        <f t="shared" ca="1" si="0"/>
        <v>0</v>
      </c>
      <c r="J26" s="163"/>
    </row>
    <row r="27" spans="1:10" ht="19.5" customHeight="1">
      <c r="A27" s="157" t="str">
        <f ca="1">IF(ROWS($1:14)&gt;COUNT(Dong1),"",OFFSET(TH!C$1,SMALL(Dong1,ROWS($1:14)),))</f>
        <v/>
      </c>
      <c r="B27" s="157" t="str">
        <f ca="1">IF(ROWS($1:14)&gt;COUNT(Dong1),"",OFFSET(TH!E$1,SMALL(Dong1,ROWS($1:14)),))</f>
        <v/>
      </c>
      <c r="C27" s="158" t="str">
        <f ca="1">IF(ROWS($1:14)&gt;COUNT(Dong1),"",IF(OFFSET(TH!N$1,SMALL(Dong1,ROWS($1:14)),)="1111",OFFSET(TH!D$1,SMALL(Dong1,ROWS($1:14)),),""))</f>
        <v/>
      </c>
      <c r="D27" s="159" t="str">
        <f ca="1">IF(ROWS($1:14)&gt;COUNT(Dong1),"",IF(OFFSET(TH!O$1,SMALL(Dong1,ROWS($1:14)),)="1111",OFFSET(TH!D$1,SMALL(Dong1,ROWS($1:14)),),""))</f>
        <v/>
      </c>
      <c r="E27" s="351" t="str">
        <f ca="1">IF(ROWS($1:14)&gt;COUNT(Dong1),"",OFFSET(TH!F$1,SMALL(Dong1,ROWS($1:14)),))</f>
        <v/>
      </c>
      <c r="F27" s="161" t="str">
        <f ca="1">IF(ROWS($1:14)&gt;COUNT(Dong1),"",IF(OFFSET(TH!O$1,SMALL(Dong1,ROWS($1:14)),)="1111",OFFSET(TH!N$1,SMALL(Dong1,ROWS($1:14)),),OFFSET(TH!O$1,SMALL(Dong1,ROWS($1:14)),)))</f>
        <v/>
      </c>
      <c r="G27" s="162" t="str">
        <f ca="1">IF(ROWS($1:14)&gt;COUNT(Dong1),"",IF(OFFSET(TH!N$1,SMALL(Dong1,ROWS($1:14)),)="1111",OFFSET(TH!M$1,SMALL(Dong1,ROWS($1:14)),),0))</f>
        <v/>
      </c>
      <c r="H27" s="160" t="str">
        <f ca="1">IF(ROWS($1:14)&gt;COUNT(Dong1),"",IF(OFFSET(TH!O$1,SMALL(Dong1,ROWS($1:14)),)="1111",OFFSET(TH!M$1,SMALL(Dong1,ROWS($1:14)),),0))</f>
        <v/>
      </c>
      <c r="I27" s="158">
        <f t="shared" ca="1" si="0"/>
        <v>0</v>
      </c>
      <c r="J27" s="163"/>
    </row>
    <row r="28" spans="1:10" ht="19.5" customHeight="1">
      <c r="A28" s="157" t="str">
        <f ca="1">IF(ROWS($1:15)&gt;COUNT(Dong1),"",OFFSET(TH!C$1,SMALL(Dong1,ROWS($1:15)),))</f>
        <v/>
      </c>
      <c r="B28" s="157" t="str">
        <f ca="1">IF(ROWS($1:15)&gt;COUNT(Dong1),"",OFFSET(TH!E$1,SMALL(Dong1,ROWS($1:15)),))</f>
        <v/>
      </c>
      <c r="C28" s="158" t="str">
        <f ca="1">IF(ROWS($1:15)&gt;COUNT(Dong1),"",IF(OFFSET(TH!N$1,SMALL(Dong1,ROWS($1:15)),)="1111",OFFSET(TH!D$1,SMALL(Dong1,ROWS($1:15)),),""))</f>
        <v/>
      </c>
      <c r="D28" s="159" t="str">
        <f ca="1">IF(ROWS($1:15)&gt;COUNT(Dong1),"",IF(OFFSET(TH!O$1,SMALL(Dong1,ROWS($1:15)),)="1111",OFFSET(TH!D$1,SMALL(Dong1,ROWS($1:15)),),""))</f>
        <v/>
      </c>
      <c r="E28" s="351" t="str">
        <f ca="1">IF(ROWS($1:15)&gt;COUNT(Dong1),"",OFFSET(TH!F$1,SMALL(Dong1,ROWS($1:15)),))</f>
        <v/>
      </c>
      <c r="F28" s="161" t="str">
        <f ca="1">IF(ROWS($1:15)&gt;COUNT(Dong1),"",IF(OFFSET(TH!O$1,SMALL(Dong1,ROWS($1:15)),)="1111",OFFSET(TH!N$1,SMALL(Dong1,ROWS($1:15)),),OFFSET(TH!O$1,SMALL(Dong1,ROWS($1:15)),)))</f>
        <v/>
      </c>
      <c r="G28" s="162" t="str">
        <f ca="1">IF(ROWS($1:15)&gt;COUNT(Dong1),"",IF(OFFSET(TH!N$1,SMALL(Dong1,ROWS($1:15)),)="1111",OFFSET(TH!M$1,SMALL(Dong1,ROWS($1:15)),),0))</f>
        <v/>
      </c>
      <c r="H28" s="160" t="str">
        <f ca="1">IF(ROWS($1:15)&gt;COUNT(Dong1),"",IF(OFFSET(TH!O$1,SMALL(Dong1,ROWS($1:15)),)="1111",OFFSET(TH!M$1,SMALL(Dong1,ROWS($1:15)),),0))</f>
        <v/>
      </c>
      <c r="I28" s="158">
        <f t="shared" ca="1" si="0"/>
        <v>0</v>
      </c>
      <c r="J28" s="163"/>
    </row>
    <row r="29" spans="1:10" ht="19.5" customHeight="1">
      <c r="A29" s="157" t="str">
        <f ca="1">IF(ROWS($1:16)&gt;COUNT(Dong1),"",OFFSET(TH!C$1,SMALL(Dong1,ROWS($1:16)),))</f>
        <v/>
      </c>
      <c r="B29" s="157" t="str">
        <f ca="1">IF(ROWS($1:16)&gt;COUNT(Dong1),"",OFFSET(TH!E$1,SMALL(Dong1,ROWS($1:16)),))</f>
        <v/>
      </c>
      <c r="C29" s="158" t="str">
        <f ca="1">IF(ROWS($1:16)&gt;COUNT(Dong1),"",IF(OFFSET(TH!N$1,SMALL(Dong1,ROWS($1:16)),)="1111",OFFSET(TH!D$1,SMALL(Dong1,ROWS($1:16)),),""))</f>
        <v/>
      </c>
      <c r="D29" s="159" t="str">
        <f ca="1">IF(ROWS($1:16)&gt;COUNT(Dong1),"",IF(OFFSET(TH!O$1,SMALL(Dong1,ROWS($1:16)),)="1111",OFFSET(TH!D$1,SMALL(Dong1,ROWS($1:16)),),""))</f>
        <v/>
      </c>
      <c r="E29" s="351" t="str">
        <f ca="1">IF(ROWS($1:16)&gt;COUNT(Dong1),"",OFFSET(TH!F$1,SMALL(Dong1,ROWS($1:16)),))</f>
        <v/>
      </c>
      <c r="F29" s="161" t="str">
        <f ca="1">IF(ROWS($1:16)&gt;COUNT(Dong1),"",IF(OFFSET(TH!O$1,SMALL(Dong1,ROWS($1:16)),)="1111",OFFSET(TH!N$1,SMALL(Dong1,ROWS($1:16)),),OFFSET(TH!O$1,SMALL(Dong1,ROWS($1:16)),)))</f>
        <v/>
      </c>
      <c r="G29" s="162" t="str">
        <f ca="1">IF(ROWS($1:16)&gt;COUNT(Dong1),"",IF(OFFSET(TH!N$1,SMALL(Dong1,ROWS($1:16)),)="1111",OFFSET(TH!M$1,SMALL(Dong1,ROWS($1:16)),),0))</f>
        <v/>
      </c>
      <c r="H29" s="160" t="str">
        <f ca="1">IF(ROWS($1:16)&gt;COUNT(Dong1),"",IF(OFFSET(TH!O$1,SMALL(Dong1,ROWS($1:16)),)="1111",OFFSET(TH!M$1,SMALL(Dong1,ROWS($1:16)),),0))</f>
        <v/>
      </c>
      <c r="I29" s="158">
        <f t="shared" ca="1" si="0"/>
        <v>0</v>
      </c>
      <c r="J29" s="163"/>
    </row>
    <row r="30" spans="1:10" ht="19.5" customHeight="1">
      <c r="A30" s="157" t="str">
        <f ca="1">IF(ROWS($1:17)&gt;COUNT(Dong1),"",OFFSET(TH!C$1,SMALL(Dong1,ROWS($1:17)),))</f>
        <v/>
      </c>
      <c r="B30" s="157" t="str">
        <f ca="1">IF(ROWS($1:17)&gt;COUNT(Dong1),"",OFFSET(TH!E$1,SMALL(Dong1,ROWS($1:17)),))</f>
        <v/>
      </c>
      <c r="C30" s="158" t="str">
        <f ca="1">IF(ROWS($1:17)&gt;COUNT(Dong1),"",IF(OFFSET(TH!N$1,SMALL(Dong1,ROWS($1:17)),)="1111",OFFSET(TH!D$1,SMALL(Dong1,ROWS($1:17)),),""))</f>
        <v/>
      </c>
      <c r="D30" s="159" t="str">
        <f ca="1">IF(ROWS($1:17)&gt;COUNT(Dong1),"",IF(OFFSET(TH!O$1,SMALL(Dong1,ROWS($1:17)),)="1111",OFFSET(TH!D$1,SMALL(Dong1,ROWS($1:17)),),""))</f>
        <v/>
      </c>
      <c r="E30" s="351" t="str">
        <f ca="1">IF(ROWS($1:17)&gt;COUNT(Dong1),"",OFFSET(TH!F$1,SMALL(Dong1,ROWS($1:17)),))</f>
        <v/>
      </c>
      <c r="F30" s="161" t="str">
        <f ca="1">IF(ROWS($1:17)&gt;COUNT(Dong1),"",IF(OFFSET(TH!O$1,SMALL(Dong1,ROWS($1:17)),)="1111",OFFSET(TH!N$1,SMALL(Dong1,ROWS($1:17)),),OFFSET(TH!O$1,SMALL(Dong1,ROWS($1:17)),)))</f>
        <v/>
      </c>
      <c r="G30" s="162" t="str">
        <f ca="1">IF(ROWS($1:17)&gt;COUNT(Dong1),"",IF(OFFSET(TH!N$1,SMALL(Dong1,ROWS($1:17)),)="1111",OFFSET(TH!M$1,SMALL(Dong1,ROWS($1:17)),),0))</f>
        <v/>
      </c>
      <c r="H30" s="160" t="str">
        <f ca="1">IF(ROWS($1:17)&gt;COUNT(Dong1),"",IF(OFFSET(TH!O$1,SMALL(Dong1,ROWS($1:17)),)="1111",OFFSET(TH!M$1,SMALL(Dong1,ROWS($1:17)),),0))</f>
        <v/>
      </c>
      <c r="I30" s="158">
        <f t="shared" ca="1" si="0"/>
        <v>0</v>
      </c>
      <c r="J30" s="163"/>
    </row>
    <row r="31" spans="1:10" ht="19.5" customHeight="1">
      <c r="A31" s="157" t="str">
        <f ca="1">IF(ROWS($1:18)&gt;COUNT(Dong1),"",OFFSET(TH!C$1,SMALL(Dong1,ROWS($1:18)),))</f>
        <v/>
      </c>
      <c r="B31" s="157" t="str">
        <f ca="1">IF(ROWS($1:18)&gt;COUNT(Dong1),"",OFFSET(TH!E$1,SMALL(Dong1,ROWS($1:18)),))</f>
        <v/>
      </c>
      <c r="C31" s="158" t="str">
        <f ca="1">IF(ROWS($1:18)&gt;COUNT(Dong1),"",IF(OFFSET(TH!N$1,SMALL(Dong1,ROWS($1:18)),)="1111",OFFSET(TH!D$1,SMALL(Dong1,ROWS($1:18)),),""))</f>
        <v/>
      </c>
      <c r="D31" s="159" t="str">
        <f ca="1">IF(ROWS($1:18)&gt;COUNT(Dong1),"",IF(OFFSET(TH!O$1,SMALL(Dong1,ROWS($1:18)),)="1111",OFFSET(TH!D$1,SMALL(Dong1,ROWS($1:18)),),""))</f>
        <v/>
      </c>
      <c r="E31" s="351" t="str">
        <f ca="1">IF(ROWS($1:18)&gt;COUNT(Dong1),"",OFFSET(TH!F$1,SMALL(Dong1,ROWS($1:18)),))</f>
        <v/>
      </c>
      <c r="F31" s="161" t="str">
        <f ca="1">IF(ROWS($1:18)&gt;COUNT(Dong1),"",IF(OFFSET(TH!O$1,SMALL(Dong1,ROWS($1:18)),)="1111",OFFSET(TH!N$1,SMALL(Dong1,ROWS($1:18)),),OFFSET(TH!O$1,SMALL(Dong1,ROWS($1:18)),)))</f>
        <v/>
      </c>
      <c r="G31" s="162" t="str">
        <f ca="1">IF(ROWS($1:18)&gt;COUNT(Dong1),"",IF(OFFSET(TH!N$1,SMALL(Dong1,ROWS($1:18)),)="1111",OFFSET(TH!M$1,SMALL(Dong1,ROWS($1:18)),),0))</f>
        <v/>
      </c>
      <c r="H31" s="160" t="str">
        <f ca="1">IF(ROWS($1:18)&gt;COUNT(Dong1),"",IF(OFFSET(TH!O$1,SMALL(Dong1,ROWS($1:18)),)="1111",OFFSET(TH!M$1,SMALL(Dong1,ROWS($1:18)),),0))</f>
        <v/>
      </c>
      <c r="I31" s="158">
        <f t="shared" ca="1" si="0"/>
        <v>0</v>
      </c>
      <c r="J31" s="163"/>
    </row>
    <row r="32" spans="1:10" ht="19.5" customHeight="1">
      <c r="A32" s="157" t="str">
        <f ca="1">IF(ROWS($1:19)&gt;COUNT(Dong1),"",OFFSET(TH!C$1,SMALL(Dong1,ROWS($1:19)),))</f>
        <v/>
      </c>
      <c r="B32" s="157" t="str">
        <f ca="1">IF(ROWS($1:19)&gt;COUNT(Dong1),"",OFFSET(TH!E$1,SMALL(Dong1,ROWS($1:19)),))</f>
        <v/>
      </c>
      <c r="C32" s="158" t="str">
        <f ca="1">IF(ROWS($1:19)&gt;COUNT(Dong1),"",IF(OFFSET(TH!N$1,SMALL(Dong1,ROWS($1:19)),)="1111",OFFSET(TH!D$1,SMALL(Dong1,ROWS($1:19)),),""))</f>
        <v/>
      </c>
      <c r="D32" s="159" t="str">
        <f ca="1">IF(ROWS($1:19)&gt;COUNT(Dong1),"",IF(OFFSET(TH!O$1,SMALL(Dong1,ROWS($1:19)),)="1111",OFFSET(TH!D$1,SMALL(Dong1,ROWS($1:19)),),""))</f>
        <v/>
      </c>
      <c r="E32" s="351" t="str">
        <f ca="1">IF(ROWS($1:19)&gt;COUNT(Dong1),"",OFFSET(TH!F$1,SMALL(Dong1,ROWS($1:19)),))</f>
        <v/>
      </c>
      <c r="F32" s="161" t="str">
        <f ca="1">IF(ROWS($1:19)&gt;COUNT(Dong1),"",IF(OFFSET(TH!O$1,SMALL(Dong1,ROWS($1:19)),)="1111",OFFSET(TH!N$1,SMALL(Dong1,ROWS($1:19)),),OFFSET(TH!O$1,SMALL(Dong1,ROWS($1:19)),)))</f>
        <v/>
      </c>
      <c r="G32" s="162" t="str">
        <f ca="1">IF(ROWS($1:19)&gt;COUNT(Dong1),"",IF(OFFSET(TH!N$1,SMALL(Dong1,ROWS($1:19)),)="1111",OFFSET(TH!M$1,SMALL(Dong1,ROWS($1:19)),),0))</f>
        <v/>
      </c>
      <c r="H32" s="160" t="str">
        <f ca="1">IF(ROWS($1:19)&gt;COUNT(Dong1),"",IF(OFFSET(TH!O$1,SMALL(Dong1,ROWS($1:19)),)="1111",OFFSET(TH!M$1,SMALL(Dong1,ROWS($1:19)),),0))</f>
        <v/>
      </c>
      <c r="I32" s="158">
        <f t="shared" ca="1" si="0"/>
        <v>0</v>
      </c>
      <c r="J32" s="163"/>
    </row>
    <row r="33" spans="1:10" ht="19.5" customHeight="1">
      <c r="A33" s="157" t="str">
        <f ca="1">IF(ROWS($1:20)&gt;COUNT(Dong1),"",OFFSET(TH!C$1,SMALL(Dong1,ROWS($1:20)),))</f>
        <v/>
      </c>
      <c r="B33" s="157" t="str">
        <f ca="1">IF(ROWS($1:20)&gt;COUNT(Dong1),"",OFFSET(TH!E$1,SMALL(Dong1,ROWS($1:20)),))</f>
        <v/>
      </c>
      <c r="C33" s="158" t="str">
        <f ca="1">IF(ROWS($1:20)&gt;COUNT(Dong1),"",IF(OFFSET(TH!N$1,SMALL(Dong1,ROWS($1:20)),)="1111",OFFSET(TH!D$1,SMALL(Dong1,ROWS($1:20)),),""))</f>
        <v/>
      </c>
      <c r="D33" s="159" t="str">
        <f ca="1">IF(ROWS($1:20)&gt;COUNT(Dong1),"",IF(OFFSET(TH!O$1,SMALL(Dong1,ROWS($1:20)),)="1111",OFFSET(TH!D$1,SMALL(Dong1,ROWS($1:20)),),""))</f>
        <v/>
      </c>
      <c r="E33" s="351" t="str">
        <f ca="1">IF(ROWS($1:20)&gt;COUNT(Dong1),"",OFFSET(TH!F$1,SMALL(Dong1,ROWS($1:20)),))</f>
        <v/>
      </c>
      <c r="F33" s="161" t="str">
        <f ca="1">IF(ROWS($1:20)&gt;COUNT(Dong1),"",IF(OFFSET(TH!O$1,SMALL(Dong1,ROWS($1:20)),)="1111",OFFSET(TH!N$1,SMALL(Dong1,ROWS($1:20)),),OFFSET(TH!O$1,SMALL(Dong1,ROWS($1:20)),)))</f>
        <v/>
      </c>
      <c r="G33" s="162" t="str">
        <f ca="1">IF(ROWS($1:20)&gt;COUNT(Dong1),"",IF(OFFSET(TH!N$1,SMALL(Dong1,ROWS($1:20)),)="1111",OFFSET(TH!M$1,SMALL(Dong1,ROWS($1:20)),),0))</f>
        <v/>
      </c>
      <c r="H33" s="160" t="str">
        <f ca="1">IF(ROWS($1:20)&gt;COUNT(Dong1),"",IF(OFFSET(TH!O$1,SMALL(Dong1,ROWS($1:20)),)="1111",OFFSET(TH!M$1,SMALL(Dong1,ROWS($1:20)),),0))</f>
        <v/>
      </c>
      <c r="I33" s="158">
        <f t="shared" ca="1" si="0"/>
        <v>0</v>
      </c>
      <c r="J33" s="163"/>
    </row>
    <row r="34" spans="1:10" ht="19.5" customHeight="1">
      <c r="A34" s="157" t="str">
        <f ca="1">IF(ROWS($1:21)&gt;COUNT(Dong1),"",OFFSET(TH!C$1,SMALL(Dong1,ROWS($1:21)),))</f>
        <v/>
      </c>
      <c r="B34" s="157" t="str">
        <f ca="1">IF(ROWS($1:21)&gt;COUNT(Dong1),"",OFFSET(TH!E$1,SMALL(Dong1,ROWS($1:21)),))</f>
        <v/>
      </c>
      <c r="C34" s="158" t="str">
        <f ca="1">IF(ROWS($1:21)&gt;COUNT(Dong1),"",IF(OFFSET(TH!N$1,SMALL(Dong1,ROWS($1:21)),)="1111",OFFSET(TH!D$1,SMALL(Dong1,ROWS($1:21)),),""))</f>
        <v/>
      </c>
      <c r="D34" s="159" t="str">
        <f ca="1">IF(ROWS($1:21)&gt;COUNT(Dong1),"",IF(OFFSET(TH!O$1,SMALL(Dong1,ROWS($1:21)),)="1111",OFFSET(TH!D$1,SMALL(Dong1,ROWS($1:21)),),""))</f>
        <v/>
      </c>
      <c r="E34" s="351" t="str">
        <f ca="1">IF(ROWS($1:21)&gt;COUNT(Dong1),"",OFFSET(TH!F$1,SMALL(Dong1,ROWS($1:21)),))</f>
        <v/>
      </c>
      <c r="F34" s="161" t="str">
        <f ca="1">IF(ROWS($1:21)&gt;COUNT(Dong1),"",IF(OFFSET(TH!O$1,SMALL(Dong1,ROWS($1:21)),)="1111",OFFSET(TH!N$1,SMALL(Dong1,ROWS($1:21)),),OFFSET(TH!O$1,SMALL(Dong1,ROWS($1:21)),)))</f>
        <v/>
      </c>
      <c r="G34" s="162" t="str">
        <f ca="1">IF(ROWS($1:21)&gt;COUNT(Dong1),"",IF(OFFSET(TH!N$1,SMALL(Dong1,ROWS($1:21)),)="1111",OFFSET(TH!M$1,SMALL(Dong1,ROWS($1:21)),),0))</f>
        <v/>
      </c>
      <c r="H34" s="160" t="str">
        <f ca="1">IF(ROWS($1:21)&gt;COUNT(Dong1),"",IF(OFFSET(TH!O$1,SMALL(Dong1,ROWS($1:21)),)="1111",OFFSET(TH!M$1,SMALL(Dong1,ROWS($1:21)),),0))</f>
        <v/>
      </c>
      <c r="I34" s="158">
        <f t="shared" ca="1" si="0"/>
        <v>0</v>
      </c>
      <c r="J34" s="163"/>
    </row>
    <row r="35" spans="1:10" ht="19.5" customHeight="1">
      <c r="A35" s="157" t="str">
        <f ca="1">IF(ROWS($1:22)&gt;COUNT(Dong1),"",OFFSET(TH!C$1,SMALL(Dong1,ROWS($1:22)),))</f>
        <v/>
      </c>
      <c r="B35" s="157" t="str">
        <f ca="1">IF(ROWS($1:22)&gt;COUNT(Dong1),"",OFFSET(TH!E$1,SMALL(Dong1,ROWS($1:22)),))</f>
        <v/>
      </c>
      <c r="C35" s="158" t="str">
        <f ca="1">IF(ROWS($1:22)&gt;COUNT(Dong1),"",IF(OFFSET(TH!N$1,SMALL(Dong1,ROWS($1:22)),)="1111",OFFSET(TH!D$1,SMALL(Dong1,ROWS($1:22)),),""))</f>
        <v/>
      </c>
      <c r="D35" s="159" t="str">
        <f ca="1">IF(ROWS($1:22)&gt;COUNT(Dong1),"",IF(OFFSET(TH!O$1,SMALL(Dong1,ROWS($1:22)),)="1111",OFFSET(TH!D$1,SMALL(Dong1,ROWS($1:22)),),""))</f>
        <v/>
      </c>
      <c r="E35" s="351" t="str">
        <f ca="1">IF(ROWS($1:22)&gt;COUNT(Dong1),"",OFFSET(TH!F$1,SMALL(Dong1,ROWS($1:22)),))</f>
        <v/>
      </c>
      <c r="F35" s="161" t="str">
        <f ca="1">IF(ROWS($1:22)&gt;COUNT(Dong1),"",IF(OFFSET(TH!O$1,SMALL(Dong1,ROWS($1:22)),)="1111",OFFSET(TH!N$1,SMALL(Dong1,ROWS($1:22)),),OFFSET(TH!O$1,SMALL(Dong1,ROWS($1:22)),)))</f>
        <v/>
      </c>
      <c r="G35" s="162" t="str">
        <f ca="1">IF(ROWS($1:22)&gt;COUNT(Dong1),"",IF(OFFSET(TH!N$1,SMALL(Dong1,ROWS($1:22)),)="1111",OFFSET(TH!M$1,SMALL(Dong1,ROWS($1:22)),),0))</f>
        <v/>
      </c>
      <c r="H35" s="160" t="str">
        <f ca="1">IF(ROWS($1:22)&gt;COUNT(Dong1),"",IF(OFFSET(TH!O$1,SMALL(Dong1,ROWS($1:22)),)="1111",OFFSET(TH!M$1,SMALL(Dong1,ROWS($1:22)),),0))</f>
        <v/>
      </c>
      <c r="I35" s="158">
        <f t="shared" ca="1" si="0"/>
        <v>0</v>
      </c>
      <c r="J35" s="163"/>
    </row>
    <row r="36" spans="1:10" ht="19.5" customHeight="1">
      <c r="A36" s="157" t="str">
        <f ca="1">IF(ROWS($1:23)&gt;COUNT(Dong1),"",OFFSET(TH!C$1,SMALL(Dong1,ROWS($1:23)),))</f>
        <v/>
      </c>
      <c r="B36" s="157" t="str">
        <f ca="1">IF(ROWS($1:23)&gt;COUNT(Dong1),"",OFFSET(TH!E$1,SMALL(Dong1,ROWS($1:23)),))</f>
        <v/>
      </c>
      <c r="C36" s="158" t="str">
        <f ca="1">IF(ROWS($1:23)&gt;COUNT(Dong1),"",IF(OFFSET(TH!N$1,SMALL(Dong1,ROWS($1:23)),)="1111",OFFSET(TH!D$1,SMALL(Dong1,ROWS($1:23)),),""))</f>
        <v/>
      </c>
      <c r="D36" s="159" t="str">
        <f ca="1">IF(ROWS($1:23)&gt;COUNT(Dong1),"",IF(OFFSET(TH!O$1,SMALL(Dong1,ROWS($1:23)),)="1111",OFFSET(TH!D$1,SMALL(Dong1,ROWS($1:23)),),""))</f>
        <v/>
      </c>
      <c r="E36" s="351" t="str">
        <f ca="1">IF(ROWS($1:23)&gt;COUNT(Dong1),"",OFFSET(TH!F$1,SMALL(Dong1,ROWS($1:23)),))</f>
        <v/>
      </c>
      <c r="F36" s="161" t="str">
        <f ca="1">IF(ROWS($1:23)&gt;COUNT(Dong1),"",IF(OFFSET(TH!O$1,SMALL(Dong1,ROWS($1:23)),)="1111",OFFSET(TH!N$1,SMALL(Dong1,ROWS($1:23)),),OFFSET(TH!O$1,SMALL(Dong1,ROWS($1:23)),)))</f>
        <v/>
      </c>
      <c r="G36" s="162" t="str">
        <f ca="1">IF(ROWS($1:23)&gt;COUNT(Dong1),"",IF(OFFSET(TH!N$1,SMALL(Dong1,ROWS($1:23)),)="1111",OFFSET(TH!M$1,SMALL(Dong1,ROWS($1:23)),),0))</f>
        <v/>
      </c>
      <c r="H36" s="160" t="str">
        <f ca="1">IF(ROWS($1:23)&gt;COUNT(Dong1),"",IF(OFFSET(TH!O$1,SMALL(Dong1,ROWS($1:23)),)="1111",OFFSET(TH!M$1,SMALL(Dong1,ROWS($1:23)),),0))</f>
        <v/>
      </c>
      <c r="I36" s="158">
        <f t="shared" ca="1" si="0"/>
        <v>0</v>
      </c>
      <c r="J36" s="163"/>
    </row>
    <row r="37" spans="1:10" ht="19.5" customHeight="1">
      <c r="A37" s="157" t="str">
        <f ca="1">IF(ROWS($1:24)&gt;COUNT(Dong1),"",OFFSET(TH!C$1,SMALL(Dong1,ROWS($1:24)),))</f>
        <v/>
      </c>
      <c r="B37" s="157" t="str">
        <f ca="1">IF(ROWS($1:24)&gt;COUNT(Dong1),"",OFFSET(TH!E$1,SMALL(Dong1,ROWS($1:24)),))</f>
        <v/>
      </c>
      <c r="C37" s="158" t="str">
        <f ca="1">IF(ROWS($1:24)&gt;COUNT(Dong1),"",IF(OFFSET(TH!N$1,SMALL(Dong1,ROWS($1:24)),)="1111",OFFSET(TH!D$1,SMALL(Dong1,ROWS($1:24)),),""))</f>
        <v/>
      </c>
      <c r="D37" s="159" t="str">
        <f ca="1">IF(ROWS($1:24)&gt;COUNT(Dong1),"",IF(OFFSET(TH!O$1,SMALL(Dong1,ROWS($1:24)),)="1111",OFFSET(TH!D$1,SMALL(Dong1,ROWS($1:24)),),""))</f>
        <v/>
      </c>
      <c r="E37" s="351" t="str">
        <f ca="1">IF(ROWS($1:24)&gt;COUNT(Dong1),"",OFFSET(TH!F$1,SMALL(Dong1,ROWS($1:24)),))</f>
        <v/>
      </c>
      <c r="F37" s="161" t="str">
        <f ca="1">IF(ROWS($1:24)&gt;COUNT(Dong1),"",IF(OFFSET(TH!O$1,SMALL(Dong1,ROWS($1:24)),)="1111",OFFSET(TH!N$1,SMALL(Dong1,ROWS($1:24)),),OFFSET(TH!O$1,SMALL(Dong1,ROWS($1:24)),)))</f>
        <v/>
      </c>
      <c r="G37" s="162" t="str">
        <f ca="1">IF(ROWS($1:24)&gt;COUNT(Dong1),"",IF(OFFSET(TH!N$1,SMALL(Dong1,ROWS($1:24)),)="1111",OFFSET(TH!M$1,SMALL(Dong1,ROWS($1:24)),),0))</f>
        <v/>
      </c>
      <c r="H37" s="160" t="str">
        <f ca="1">IF(ROWS($1:24)&gt;COUNT(Dong1),"",IF(OFFSET(TH!O$1,SMALL(Dong1,ROWS($1:24)),)="1111",OFFSET(TH!M$1,SMALL(Dong1,ROWS($1:24)),),0))</f>
        <v/>
      </c>
      <c r="I37" s="158">
        <f t="shared" ca="1" si="0"/>
        <v>0</v>
      </c>
      <c r="J37" s="163"/>
    </row>
    <row r="38" spans="1:10" ht="19.5" customHeight="1">
      <c r="A38" s="157" t="str">
        <f ca="1">IF(ROWS($1:25)&gt;COUNT(Dong1),"",OFFSET(TH!C$1,SMALL(Dong1,ROWS($1:25)),))</f>
        <v/>
      </c>
      <c r="B38" s="157" t="str">
        <f ca="1">IF(ROWS($1:25)&gt;COUNT(Dong1),"",OFFSET(TH!E$1,SMALL(Dong1,ROWS($1:25)),))</f>
        <v/>
      </c>
      <c r="C38" s="158" t="str">
        <f ca="1">IF(ROWS($1:25)&gt;COUNT(Dong1),"",IF(OFFSET(TH!N$1,SMALL(Dong1,ROWS($1:25)),)="1111",OFFSET(TH!D$1,SMALL(Dong1,ROWS($1:25)),),""))</f>
        <v/>
      </c>
      <c r="D38" s="159" t="str">
        <f ca="1">IF(ROWS($1:25)&gt;COUNT(Dong1),"",IF(OFFSET(TH!O$1,SMALL(Dong1,ROWS($1:25)),)="1111",OFFSET(TH!D$1,SMALL(Dong1,ROWS($1:25)),),""))</f>
        <v/>
      </c>
      <c r="E38" s="351" t="str">
        <f ca="1">IF(ROWS($1:25)&gt;COUNT(Dong1),"",OFFSET(TH!F$1,SMALL(Dong1,ROWS($1:25)),))</f>
        <v/>
      </c>
      <c r="F38" s="161" t="str">
        <f ca="1">IF(ROWS($1:25)&gt;COUNT(Dong1),"",IF(OFFSET(TH!O$1,SMALL(Dong1,ROWS($1:25)),)="1111",OFFSET(TH!N$1,SMALL(Dong1,ROWS($1:25)),),OFFSET(TH!O$1,SMALL(Dong1,ROWS($1:25)),)))</f>
        <v/>
      </c>
      <c r="G38" s="162" t="str">
        <f ca="1">IF(ROWS($1:25)&gt;COUNT(Dong1),"",IF(OFFSET(TH!N$1,SMALL(Dong1,ROWS($1:25)),)="1111",OFFSET(TH!M$1,SMALL(Dong1,ROWS($1:25)),),0))</f>
        <v/>
      </c>
      <c r="H38" s="160" t="str">
        <f ca="1">IF(ROWS($1:25)&gt;COUNT(Dong1),"",IF(OFFSET(TH!O$1,SMALL(Dong1,ROWS($1:25)),)="1111",OFFSET(TH!M$1,SMALL(Dong1,ROWS($1:25)),),0))</f>
        <v/>
      </c>
      <c r="I38" s="158">
        <f t="shared" ca="1" si="0"/>
        <v>0</v>
      </c>
      <c r="J38" s="163"/>
    </row>
    <row r="39" spans="1:10" ht="19.5" customHeight="1">
      <c r="A39" s="157" t="str">
        <f ca="1">IF(ROWS($1:26)&gt;COUNT(Dong1),"",OFFSET(TH!C$1,SMALL(Dong1,ROWS($1:26)),))</f>
        <v/>
      </c>
      <c r="B39" s="157" t="str">
        <f ca="1">IF(ROWS($1:26)&gt;COUNT(Dong1),"",OFFSET(TH!E$1,SMALL(Dong1,ROWS($1:26)),))</f>
        <v/>
      </c>
      <c r="C39" s="158" t="str">
        <f ca="1">IF(ROWS($1:26)&gt;COUNT(Dong1),"",IF(OFFSET(TH!N$1,SMALL(Dong1,ROWS($1:26)),)="1111",OFFSET(TH!D$1,SMALL(Dong1,ROWS($1:26)),),""))</f>
        <v/>
      </c>
      <c r="D39" s="159" t="str">
        <f ca="1">IF(ROWS($1:26)&gt;COUNT(Dong1),"",IF(OFFSET(TH!O$1,SMALL(Dong1,ROWS($1:26)),)="1111",OFFSET(TH!D$1,SMALL(Dong1,ROWS($1:26)),),""))</f>
        <v/>
      </c>
      <c r="E39" s="351" t="str">
        <f ca="1">IF(ROWS($1:26)&gt;COUNT(Dong1),"",OFFSET(TH!F$1,SMALL(Dong1,ROWS($1:26)),))</f>
        <v/>
      </c>
      <c r="F39" s="161" t="str">
        <f ca="1">IF(ROWS($1:26)&gt;COUNT(Dong1),"",IF(OFFSET(TH!O$1,SMALL(Dong1,ROWS($1:26)),)="1111",OFFSET(TH!N$1,SMALL(Dong1,ROWS($1:26)),),OFFSET(TH!O$1,SMALL(Dong1,ROWS($1:26)),)))</f>
        <v/>
      </c>
      <c r="G39" s="162" t="str">
        <f ca="1">IF(ROWS($1:26)&gt;COUNT(Dong1),"",IF(OFFSET(TH!N$1,SMALL(Dong1,ROWS($1:26)),)="1111",OFFSET(TH!M$1,SMALL(Dong1,ROWS($1:26)),),0))</f>
        <v/>
      </c>
      <c r="H39" s="160" t="str">
        <f ca="1">IF(ROWS($1:26)&gt;COUNT(Dong1),"",IF(OFFSET(TH!O$1,SMALL(Dong1,ROWS($1:26)),)="1111",OFFSET(TH!M$1,SMALL(Dong1,ROWS($1:26)),),0))</f>
        <v/>
      </c>
      <c r="I39" s="158">
        <f t="shared" ca="1" si="0"/>
        <v>0</v>
      </c>
      <c r="J39" s="163"/>
    </row>
    <row r="40" spans="1:10" ht="19.5" customHeight="1">
      <c r="A40" s="157" t="str">
        <f ca="1">IF(ROWS($1:27)&gt;COUNT(Dong1),"",OFFSET(TH!C$1,SMALL(Dong1,ROWS($1:27)),))</f>
        <v/>
      </c>
      <c r="B40" s="157" t="str">
        <f ca="1">IF(ROWS($1:27)&gt;COUNT(Dong1),"",OFFSET(TH!E$1,SMALL(Dong1,ROWS($1:27)),))</f>
        <v/>
      </c>
      <c r="C40" s="158" t="str">
        <f ca="1">IF(ROWS($1:27)&gt;COUNT(Dong1),"",IF(OFFSET(TH!N$1,SMALL(Dong1,ROWS($1:27)),)="1111",OFFSET(TH!D$1,SMALL(Dong1,ROWS($1:27)),),""))</f>
        <v/>
      </c>
      <c r="D40" s="159" t="str">
        <f ca="1">IF(ROWS($1:27)&gt;COUNT(Dong1),"",IF(OFFSET(TH!O$1,SMALL(Dong1,ROWS($1:27)),)="1111",OFFSET(TH!D$1,SMALL(Dong1,ROWS($1:27)),),""))</f>
        <v/>
      </c>
      <c r="E40" s="351" t="str">
        <f ca="1">IF(ROWS($1:27)&gt;COUNT(Dong1),"",OFFSET(TH!F$1,SMALL(Dong1,ROWS($1:27)),))</f>
        <v/>
      </c>
      <c r="F40" s="161" t="str">
        <f ca="1">IF(ROWS($1:27)&gt;COUNT(Dong1),"",IF(OFFSET(TH!O$1,SMALL(Dong1,ROWS($1:27)),)="1111",OFFSET(TH!N$1,SMALL(Dong1,ROWS($1:27)),),OFFSET(TH!O$1,SMALL(Dong1,ROWS($1:27)),)))</f>
        <v/>
      </c>
      <c r="G40" s="162" t="str">
        <f ca="1">IF(ROWS($1:27)&gt;COUNT(Dong1),"",IF(OFFSET(TH!N$1,SMALL(Dong1,ROWS($1:27)),)="1111",OFFSET(TH!M$1,SMALL(Dong1,ROWS($1:27)),),0))</f>
        <v/>
      </c>
      <c r="H40" s="160" t="str">
        <f ca="1">IF(ROWS($1:27)&gt;COUNT(Dong1),"",IF(OFFSET(TH!O$1,SMALL(Dong1,ROWS($1:27)),)="1111",OFFSET(TH!M$1,SMALL(Dong1,ROWS($1:27)),),0))</f>
        <v/>
      </c>
      <c r="I40" s="158">
        <f t="shared" ca="1" si="0"/>
        <v>0</v>
      </c>
      <c r="J40" s="163"/>
    </row>
    <row r="41" spans="1:10" ht="19.5" customHeight="1">
      <c r="A41" s="157" t="str">
        <f ca="1">IF(ROWS($1:28)&gt;COUNT(Dong1),"",OFFSET(TH!C$1,SMALL(Dong1,ROWS($1:28)),))</f>
        <v/>
      </c>
      <c r="B41" s="157" t="str">
        <f ca="1">IF(ROWS($1:28)&gt;COUNT(Dong1),"",OFFSET(TH!E$1,SMALL(Dong1,ROWS($1:28)),))</f>
        <v/>
      </c>
      <c r="C41" s="158" t="str">
        <f ca="1">IF(ROWS($1:28)&gt;COUNT(Dong1),"",IF(OFFSET(TH!N$1,SMALL(Dong1,ROWS($1:28)),)="1111",OFFSET(TH!D$1,SMALL(Dong1,ROWS($1:28)),),""))</f>
        <v/>
      </c>
      <c r="D41" s="159" t="str">
        <f ca="1">IF(ROWS($1:28)&gt;COUNT(Dong1),"",IF(OFFSET(TH!O$1,SMALL(Dong1,ROWS($1:28)),)="1111",OFFSET(TH!D$1,SMALL(Dong1,ROWS($1:28)),),""))</f>
        <v/>
      </c>
      <c r="E41" s="351" t="str">
        <f ca="1">IF(ROWS($1:28)&gt;COUNT(Dong1),"",OFFSET(TH!F$1,SMALL(Dong1,ROWS($1:28)),))</f>
        <v/>
      </c>
      <c r="F41" s="161" t="str">
        <f ca="1">IF(ROWS($1:28)&gt;COUNT(Dong1),"",IF(OFFSET(TH!O$1,SMALL(Dong1,ROWS($1:28)),)="1111",OFFSET(TH!N$1,SMALL(Dong1,ROWS($1:28)),),OFFSET(TH!O$1,SMALL(Dong1,ROWS($1:28)),)))</f>
        <v/>
      </c>
      <c r="G41" s="162" t="str">
        <f ca="1">IF(ROWS($1:28)&gt;COUNT(Dong1),"",IF(OFFSET(TH!N$1,SMALL(Dong1,ROWS($1:28)),)="1111",OFFSET(TH!M$1,SMALL(Dong1,ROWS($1:28)),),0))</f>
        <v/>
      </c>
      <c r="H41" s="160" t="str">
        <f ca="1">IF(ROWS($1:28)&gt;COUNT(Dong1),"",IF(OFFSET(TH!O$1,SMALL(Dong1,ROWS($1:28)),)="1111",OFFSET(TH!M$1,SMALL(Dong1,ROWS($1:28)),),0))</f>
        <v/>
      </c>
      <c r="I41" s="158">
        <f t="shared" ca="1" si="0"/>
        <v>0</v>
      </c>
      <c r="J41" s="163"/>
    </row>
    <row r="42" spans="1:10" ht="19.5" customHeight="1">
      <c r="A42" s="157" t="str">
        <f ca="1">IF(ROWS($1:29)&gt;COUNT(Dong1),"",OFFSET(TH!C$1,SMALL(Dong1,ROWS($1:29)),))</f>
        <v/>
      </c>
      <c r="B42" s="157" t="str">
        <f ca="1">IF(ROWS($1:29)&gt;COUNT(Dong1),"",OFFSET(TH!E$1,SMALL(Dong1,ROWS($1:29)),))</f>
        <v/>
      </c>
      <c r="C42" s="158" t="str">
        <f ca="1">IF(ROWS($1:29)&gt;COUNT(Dong1),"",IF(OFFSET(TH!N$1,SMALL(Dong1,ROWS($1:29)),)="1111",OFFSET(TH!D$1,SMALL(Dong1,ROWS($1:29)),),""))</f>
        <v/>
      </c>
      <c r="D42" s="159" t="str">
        <f ca="1">IF(ROWS($1:29)&gt;COUNT(Dong1),"",IF(OFFSET(TH!O$1,SMALL(Dong1,ROWS($1:29)),)="1111",OFFSET(TH!D$1,SMALL(Dong1,ROWS($1:29)),),""))</f>
        <v/>
      </c>
      <c r="E42" s="351" t="str">
        <f ca="1">IF(ROWS($1:29)&gt;COUNT(Dong1),"",OFFSET(TH!F$1,SMALL(Dong1,ROWS($1:29)),))</f>
        <v/>
      </c>
      <c r="F42" s="161" t="str">
        <f ca="1">IF(ROWS($1:29)&gt;COUNT(Dong1),"",IF(OFFSET(TH!O$1,SMALL(Dong1,ROWS($1:29)),)="1111",OFFSET(TH!N$1,SMALL(Dong1,ROWS($1:29)),),OFFSET(TH!O$1,SMALL(Dong1,ROWS($1:29)),)))</f>
        <v/>
      </c>
      <c r="G42" s="162" t="str">
        <f ca="1">IF(ROWS($1:29)&gt;COUNT(Dong1),"",IF(OFFSET(TH!N$1,SMALL(Dong1,ROWS($1:29)),)="1111",OFFSET(TH!M$1,SMALL(Dong1,ROWS($1:29)),),0))</f>
        <v/>
      </c>
      <c r="H42" s="160" t="str">
        <f ca="1">IF(ROWS($1:29)&gt;COUNT(Dong1),"",IF(OFFSET(TH!O$1,SMALL(Dong1,ROWS($1:29)),)="1111",OFFSET(TH!M$1,SMALL(Dong1,ROWS($1:29)),),0))</f>
        <v/>
      </c>
      <c r="I42" s="158">
        <f t="shared" ca="1" si="0"/>
        <v>0</v>
      </c>
      <c r="J42" s="163"/>
    </row>
    <row r="43" spans="1:10" ht="19.5" customHeight="1">
      <c r="A43" s="157" t="str">
        <f ca="1">IF(ROWS($1:30)&gt;COUNT(Dong1),"",OFFSET(TH!C$1,SMALL(Dong1,ROWS($1:30)),))</f>
        <v/>
      </c>
      <c r="B43" s="157" t="str">
        <f ca="1">IF(ROWS($1:30)&gt;COUNT(Dong1),"",OFFSET(TH!E$1,SMALL(Dong1,ROWS($1:30)),))</f>
        <v/>
      </c>
      <c r="C43" s="158" t="str">
        <f ca="1">IF(ROWS($1:30)&gt;COUNT(Dong1),"",IF(OFFSET(TH!N$1,SMALL(Dong1,ROWS($1:30)),)="1111",OFFSET(TH!D$1,SMALL(Dong1,ROWS($1:30)),),""))</f>
        <v/>
      </c>
      <c r="D43" s="159" t="str">
        <f ca="1">IF(ROWS($1:30)&gt;COUNT(Dong1),"",IF(OFFSET(TH!O$1,SMALL(Dong1,ROWS($1:30)),)="1111",OFFSET(TH!D$1,SMALL(Dong1,ROWS($1:30)),),""))</f>
        <v/>
      </c>
      <c r="E43" s="351" t="str">
        <f ca="1">IF(ROWS($1:30)&gt;COUNT(Dong1),"",OFFSET(TH!F$1,SMALL(Dong1,ROWS($1:30)),))</f>
        <v/>
      </c>
      <c r="F43" s="161" t="str">
        <f ca="1">IF(ROWS($1:30)&gt;COUNT(Dong1),"",IF(OFFSET(TH!O$1,SMALL(Dong1,ROWS($1:30)),)="1111",OFFSET(TH!N$1,SMALL(Dong1,ROWS($1:30)),),OFFSET(TH!O$1,SMALL(Dong1,ROWS($1:30)),)))</f>
        <v/>
      </c>
      <c r="G43" s="162" t="str">
        <f ca="1">IF(ROWS($1:30)&gt;COUNT(Dong1),"",IF(OFFSET(TH!N$1,SMALL(Dong1,ROWS($1:30)),)="1111",OFFSET(TH!M$1,SMALL(Dong1,ROWS($1:30)),),0))</f>
        <v/>
      </c>
      <c r="H43" s="160" t="str">
        <f ca="1">IF(ROWS($1:30)&gt;COUNT(Dong1),"",IF(OFFSET(TH!O$1,SMALL(Dong1,ROWS($1:30)),)="1111",OFFSET(TH!M$1,SMALL(Dong1,ROWS($1:30)),),0))</f>
        <v/>
      </c>
      <c r="I43" s="158">
        <f t="shared" ca="1" si="0"/>
        <v>0</v>
      </c>
      <c r="J43" s="163"/>
    </row>
    <row r="44" spans="1:10" ht="19.5" customHeight="1">
      <c r="A44" s="157" t="str">
        <f ca="1">IF(ROWS($1:31)&gt;COUNT(Dong1),"",OFFSET(TH!C$1,SMALL(Dong1,ROWS($1:31)),))</f>
        <v/>
      </c>
      <c r="B44" s="157" t="str">
        <f ca="1">IF(ROWS($1:31)&gt;COUNT(Dong1),"",OFFSET(TH!E$1,SMALL(Dong1,ROWS($1:31)),))</f>
        <v/>
      </c>
      <c r="C44" s="158" t="str">
        <f ca="1">IF(ROWS($1:31)&gt;COUNT(Dong1),"",IF(OFFSET(TH!N$1,SMALL(Dong1,ROWS($1:31)),)="1111",OFFSET(TH!D$1,SMALL(Dong1,ROWS($1:31)),),""))</f>
        <v/>
      </c>
      <c r="D44" s="159" t="str">
        <f ca="1">IF(ROWS($1:31)&gt;COUNT(Dong1),"",IF(OFFSET(TH!O$1,SMALL(Dong1,ROWS($1:31)),)="1111",OFFSET(TH!D$1,SMALL(Dong1,ROWS($1:31)),),""))</f>
        <v/>
      </c>
      <c r="E44" s="351" t="str">
        <f ca="1">IF(ROWS($1:31)&gt;COUNT(Dong1),"",OFFSET(TH!F$1,SMALL(Dong1,ROWS($1:31)),))</f>
        <v/>
      </c>
      <c r="F44" s="161" t="str">
        <f ca="1">IF(ROWS($1:31)&gt;COUNT(Dong1),"",IF(OFFSET(TH!O$1,SMALL(Dong1,ROWS($1:31)),)="1111",OFFSET(TH!N$1,SMALL(Dong1,ROWS($1:31)),),OFFSET(TH!O$1,SMALL(Dong1,ROWS($1:31)),)))</f>
        <v/>
      </c>
      <c r="G44" s="162" t="str">
        <f ca="1">IF(ROWS($1:31)&gt;COUNT(Dong1),"",IF(OFFSET(TH!N$1,SMALL(Dong1,ROWS($1:31)),)="1111",OFFSET(TH!M$1,SMALL(Dong1,ROWS($1:31)),),0))</f>
        <v/>
      </c>
      <c r="H44" s="160" t="str">
        <f ca="1">IF(ROWS($1:31)&gt;COUNT(Dong1),"",IF(OFFSET(TH!O$1,SMALL(Dong1,ROWS($1:31)),)="1111",OFFSET(TH!M$1,SMALL(Dong1,ROWS($1:31)),),0))</f>
        <v/>
      </c>
      <c r="I44" s="158">
        <f t="shared" ca="1" si="0"/>
        <v>0</v>
      </c>
      <c r="J44" s="163"/>
    </row>
    <row r="45" spans="1:10" ht="19.5" customHeight="1">
      <c r="A45" s="157" t="str">
        <f ca="1">IF(ROWS($1:32)&gt;COUNT(Dong1),"",OFFSET(TH!C$1,SMALL(Dong1,ROWS($1:32)),))</f>
        <v/>
      </c>
      <c r="B45" s="157" t="str">
        <f ca="1">IF(ROWS($1:32)&gt;COUNT(Dong1),"",OFFSET(TH!E$1,SMALL(Dong1,ROWS($1:32)),))</f>
        <v/>
      </c>
      <c r="C45" s="158" t="str">
        <f ca="1">IF(ROWS($1:32)&gt;COUNT(Dong1),"",IF(OFFSET(TH!N$1,SMALL(Dong1,ROWS($1:32)),)="1111",OFFSET(TH!D$1,SMALL(Dong1,ROWS($1:32)),),""))</f>
        <v/>
      </c>
      <c r="D45" s="159" t="str">
        <f ca="1">IF(ROWS($1:32)&gt;COUNT(Dong1),"",IF(OFFSET(TH!O$1,SMALL(Dong1,ROWS($1:32)),)="1111",OFFSET(TH!D$1,SMALL(Dong1,ROWS($1:32)),),""))</f>
        <v/>
      </c>
      <c r="E45" s="351" t="str">
        <f ca="1">IF(ROWS($1:32)&gt;COUNT(Dong1),"",OFFSET(TH!F$1,SMALL(Dong1,ROWS($1:32)),))</f>
        <v/>
      </c>
      <c r="F45" s="161" t="str">
        <f ca="1">IF(ROWS($1:32)&gt;COUNT(Dong1),"",IF(OFFSET(TH!O$1,SMALL(Dong1,ROWS($1:32)),)="1111",OFFSET(TH!N$1,SMALL(Dong1,ROWS($1:32)),),OFFSET(TH!O$1,SMALL(Dong1,ROWS($1:32)),)))</f>
        <v/>
      </c>
      <c r="G45" s="162" t="str">
        <f ca="1">IF(ROWS($1:32)&gt;COUNT(Dong1),"",IF(OFFSET(TH!N$1,SMALL(Dong1,ROWS($1:32)),)="1111",OFFSET(TH!M$1,SMALL(Dong1,ROWS($1:32)),),0))</f>
        <v/>
      </c>
      <c r="H45" s="160" t="str">
        <f ca="1">IF(ROWS($1:32)&gt;COUNT(Dong1),"",IF(OFFSET(TH!O$1,SMALL(Dong1,ROWS($1:32)),)="1111",OFFSET(TH!M$1,SMALL(Dong1,ROWS($1:32)),),0))</f>
        <v/>
      </c>
      <c r="I45" s="158">
        <f t="shared" ca="1" si="0"/>
        <v>0</v>
      </c>
      <c r="J45" s="163"/>
    </row>
    <row r="46" spans="1:10" ht="19.5" customHeight="1">
      <c r="A46" s="157" t="str">
        <f ca="1">IF(ROWS($1:33)&gt;COUNT(Dong1),"",OFFSET(TH!C$1,SMALL(Dong1,ROWS($1:33)),))</f>
        <v/>
      </c>
      <c r="B46" s="157" t="str">
        <f ca="1">IF(ROWS($1:33)&gt;COUNT(Dong1),"",OFFSET(TH!E$1,SMALL(Dong1,ROWS($1:33)),))</f>
        <v/>
      </c>
      <c r="C46" s="158" t="str">
        <f ca="1">IF(ROWS($1:33)&gt;COUNT(Dong1),"",IF(OFFSET(TH!N$1,SMALL(Dong1,ROWS($1:33)),)="1111",OFFSET(TH!D$1,SMALL(Dong1,ROWS($1:33)),),""))</f>
        <v/>
      </c>
      <c r="D46" s="159" t="str">
        <f ca="1">IF(ROWS($1:33)&gt;COUNT(Dong1),"",IF(OFFSET(TH!O$1,SMALL(Dong1,ROWS($1:33)),)="1111",OFFSET(TH!D$1,SMALL(Dong1,ROWS($1:33)),),""))</f>
        <v/>
      </c>
      <c r="E46" s="351" t="str">
        <f ca="1">IF(ROWS($1:33)&gt;COUNT(Dong1),"",OFFSET(TH!F$1,SMALL(Dong1,ROWS($1:33)),))</f>
        <v/>
      </c>
      <c r="F46" s="161" t="str">
        <f ca="1">IF(ROWS($1:33)&gt;COUNT(Dong1),"",IF(OFFSET(TH!O$1,SMALL(Dong1,ROWS($1:33)),)="1111",OFFSET(TH!N$1,SMALL(Dong1,ROWS($1:33)),),OFFSET(TH!O$1,SMALL(Dong1,ROWS($1:33)),)))</f>
        <v/>
      </c>
      <c r="G46" s="162" t="str">
        <f ca="1">IF(ROWS($1:33)&gt;COUNT(Dong1),"",IF(OFFSET(TH!N$1,SMALL(Dong1,ROWS($1:33)),)="1111",OFFSET(TH!M$1,SMALL(Dong1,ROWS($1:33)),),0))</f>
        <v/>
      </c>
      <c r="H46" s="160" t="str">
        <f ca="1">IF(ROWS($1:33)&gt;COUNT(Dong1),"",IF(OFFSET(TH!O$1,SMALL(Dong1,ROWS($1:33)),)="1111",OFFSET(TH!M$1,SMALL(Dong1,ROWS($1:33)),),0))</f>
        <v/>
      </c>
      <c r="I46" s="158">
        <f t="shared" ref="I46:I77" ca="1" si="1">IF(E46&lt;&gt;"",I45+G46-H46,0)</f>
        <v>0</v>
      </c>
      <c r="J46" s="163"/>
    </row>
    <row r="47" spans="1:10" ht="19.5" customHeight="1">
      <c r="A47" s="157" t="str">
        <f ca="1">IF(ROWS($1:34)&gt;COUNT(Dong1),"",OFFSET(TH!C$1,SMALL(Dong1,ROWS($1:34)),))</f>
        <v/>
      </c>
      <c r="B47" s="157" t="str">
        <f ca="1">IF(ROWS($1:34)&gt;COUNT(Dong1),"",OFFSET(TH!E$1,SMALL(Dong1,ROWS($1:34)),))</f>
        <v/>
      </c>
      <c r="C47" s="158" t="str">
        <f ca="1">IF(ROWS($1:34)&gt;COUNT(Dong1),"",IF(OFFSET(TH!N$1,SMALL(Dong1,ROWS($1:34)),)="1111",OFFSET(TH!D$1,SMALL(Dong1,ROWS($1:34)),),""))</f>
        <v/>
      </c>
      <c r="D47" s="159" t="str">
        <f ca="1">IF(ROWS($1:34)&gt;COUNT(Dong1),"",IF(OFFSET(TH!O$1,SMALL(Dong1,ROWS($1:34)),)="1111",OFFSET(TH!D$1,SMALL(Dong1,ROWS($1:34)),),""))</f>
        <v/>
      </c>
      <c r="E47" s="351" t="str">
        <f ca="1">IF(ROWS($1:34)&gt;COUNT(Dong1),"",OFFSET(TH!F$1,SMALL(Dong1,ROWS($1:34)),))</f>
        <v/>
      </c>
      <c r="F47" s="161" t="str">
        <f ca="1">IF(ROWS($1:34)&gt;COUNT(Dong1),"",IF(OFFSET(TH!O$1,SMALL(Dong1,ROWS($1:34)),)="1111",OFFSET(TH!N$1,SMALL(Dong1,ROWS($1:34)),),OFFSET(TH!O$1,SMALL(Dong1,ROWS($1:34)),)))</f>
        <v/>
      </c>
      <c r="G47" s="162" t="str">
        <f ca="1">IF(ROWS($1:34)&gt;COUNT(Dong1),"",IF(OFFSET(TH!N$1,SMALL(Dong1,ROWS($1:34)),)="1111",OFFSET(TH!M$1,SMALL(Dong1,ROWS($1:34)),),0))</f>
        <v/>
      </c>
      <c r="H47" s="160" t="str">
        <f ca="1">IF(ROWS($1:34)&gt;COUNT(Dong1),"",IF(OFFSET(TH!O$1,SMALL(Dong1,ROWS($1:34)),)="1111",OFFSET(TH!M$1,SMALL(Dong1,ROWS($1:34)),),0))</f>
        <v/>
      </c>
      <c r="I47" s="158">
        <f t="shared" ca="1" si="1"/>
        <v>0</v>
      </c>
      <c r="J47" s="163"/>
    </row>
    <row r="48" spans="1:10" ht="19.5" customHeight="1">
      <c r="A48" s="157" t="str">
        <f ca="1">IF(ROWS($1:35)&gt;COUNT(Dong1),"",OFFSET(TH!C$1,SMALL(Dong1,ROWS($1:35)),))</f>
        <v/>
      </c>
      <c r="B48" s="157" t="str">
        <f ca="1">IF(ROWS($1:35)&gt;COUNT(Dong1),"",OFFSET(TH!E$1,SMALL(Dong1,ROWS($1:35)),))</f>
        <v/>
      </c>
      <c r="C48" s="158" t="str">
        <f ca="1">IF(ROWS($1:35)&gt;COUNT(Dong1),"",IF(OFFSET(TH!N$1,SMALL(Dong1,ROWS($1:35)),)="1111",OFFSET(TH!D$1,SMALL(Dong1,ROWS($1:35)),),""))</f>
        <v/>
      </c>
      <c r="D48" s="159" t="str">
        <f ca="1">IF(ROWS($1:35)&gt;COUNT(Dong1),"",IF(OFFSET(TH!O$1,SMALL(Dong1,ROWS($1:35)),)="1111",OFFSET(TH!D$1,SMALL(Dong1,ROWS($1:35)),),""))</f>
        <v/>
      </c>
      <c r="E48" s="351" t="str">
        <f ca="1">IF(ROWS($1:35)&gt;COUNT(Dong1),"",OFFSET(TH!F$1,SMALL(Dong1,ROWS($1:35)),))</f>
        <v/>
      </c>
      <c r="F48" s="161" t="str">
        <f ca="1">IF(ROWS($1:35)&gt;COUNT(Dong1),"",IF(OFFSET(TH!O$1,SMALL(Dong1,ROWS($1:35)),)="1111",OFFSET(TH!N$1,SMALL(Dong1,ROWS($1:35)),),OFFSET(TH!O$1,SMALL(Dong1,ROWS($1:35)),)))</f>
        <v/>
      </c>
      <c r="G48" s="162" t="str">
        <f ca="1">IF(ROWS($1:35)&gt;COUNT(Dong1),"",IF(OFFSET(TH!N$1,SMALL(Dong1,ROWS($1:35)),)="1111",OFFSET(TH!M$1,SMALL(Dong1,ROWS($1:35)),),0))</f>
        <v/>
      </c>
      <c r="H48" s="160" t="str">
        <f ca="1">IF(ROWS($1:35)&gt;COUNT(Dong1),"",IF(OFFSET(TH!O$1,SMALL(Dong1,ROWS($1:35)),)="1111",OFFSET(TH!M$1,SMALL(Dong1,ROWS($1:35)),),0))</f>
        <v/>
      </c>
      <c r="I48" s="158">
        <f t="shared" ca="1" si="1"/>
        <v>0</v>
      </c>
      <c r="J48" s="163"/>
    </row>
    <row r="49" spans="1:10" ht="19.5" customHeight="1">
      <c r="A49" s="157" t="str">
        <f ca="1">IF(ROWS($1:36)&gt;COUNT(Dong1),"",OFFSET(TH!C$1,SMALL(Dong1,ROWS($1:36)),))</f>
        <v/>
      </c>
      <c r="B49" s="157" t="str">
        <f ca="1">IF(ROWS($1:36)&gt;COUNT(Dong1),"",OFFSET(TH!E$1,SMALL(Dong1,ROWS($1:36)),))</f>
        <v/>
      </c>
      <c r="C49" s="158" t="str">
        <f ca="1">IF(ROWS($1:36)&gt;COUNT(Dong1),"",IF(OFFSET(TH!N$1,SMALL(Dong1,ROWS($1:36)),)="1111",OFFSET(TH!D$1,SMALL(Dong1,ROWS($1:36)),),""))</f>
        <v/>
      </c>
      <c r="D49" s="159" t="str">
        <f ca="1">IF(ROWS($1:36)&gt;COUNT(Dong1),"",IF(OFFSET(TH!O$1,SMALL(Dong1,ROWS($1:36)),)="1111",OFFSET(TH!D$1,SMALL(Dong1,ROWS($1:36)),),""))</f>
        <v/>
      </c>
      <c r="E49" s="351" t="str">
        <f ca="1">IF(ROWS($1:36)&gt;COUNT(Dong1),"",OFFSET(TH!F$1,SMALL(Dong1,ROWS($1:36)),))</f>
        <v/>
      </c>
      <c r="F49" s="161" t="str">
        <f ca="1">IF(ROWS($1:36)&gt;COUNT(Dong1),"",IF(OFFSET(TH!O$1,SMALL(Dong1,ROWS($1:36)),)="1111",OFFSET(TH!N$1,SMALL(Dong1,ROWS($1:36)),),OFFSET(TH!O$1,SMALL(Dong1,ROWS($1:36)),)))</f>
        <v/>
      </c>
      <c r="G49" s="162" t="str">
        <f ca="1">IF(ROWS($1:36)&gt;COUNT(Dong1),"",IF(OFFSET(TH!N$1,SMALL(Dong1,ROWS($1:36)),)="1111",OFFSET(TH!M$1,SMALL(Dong1,ROWS($1:36)),),0))</f>
        <v/>
      </c>
      <c r="H49" s="160" t="str">
        <f ca="1">IF(ROWS($1:36)&gt;COUNT(Dong1),"",IF(OFFSET(TH!O$1,SMALL(Dong1,ROWS($1:36)),)="1111",OFFSET(TH!M$1,SMALL(Dong1,ROWS($1:36)),),0))</f>
        <v/>
      </c>
      <c r="I49" s="158">
        <f t="shared" ca="1" si="1"/>
        <v>0</v>
      </c>
      <c r="J49" s="163"/>
    </row>
    <row r="50" spans="1:10" ht="19.5" customHeight="1">
      <c r="A50" s="157" t="str">
        <f ca="1">IF(ROWS($1:37)&gt;COUNT(Dong1),"",OFFSET(TH!C$1,SMALL(Dong1,ROWS($1:37)),))</f>
        <v/>
      </c>
      <c r="B50" s="157" t="str">
        <f ca="1">IF(ROWS($1:37)&gt;COUNT(Dong1),"",OFFSET(TH!E$1,SMALL(Dong1,ROWS($1:37)),))</f>
        <v/>
      </c>
      <c r="C50" s="158" t="str">
        <f ca="1">IF(ROWS($1:37)&gt;COUNT(Dong1),"",IF(OFFSET(TH!N$1,SMALL(Dong1,ROWS($1:37)),)="1111",OFFSET(TH!D$1,SMALL(Dong1,ROWS($1:37)),),""))</f>
        <v/>
      </c>
      <c r="D50" s="159" t="str">
        <f ca="1">IF(ROWS($1:37)&gt;COUNT(Dong1),"",IF(OFFSET(TH!O$1,SMALL(Dong1,ROWS($1:37)),)="1111",OFFSET(TH!D$1,SMALL(Dong1,ROWS($1:37)),),""))</f>
        <v/>
      </c>
      <c r="E50" s="351" t="str">
        <f ca="1">IF(ROWS($1:37)&gt;COUNT(Dong1),"",OFFSET(TH!F$1,SMALL(Dong1,ROWS($1:37)),))</f>
        <v/>
      </c>
      <c r="F50" s="161" t="str">
        <f ca="1">IF(ROWS($1:37)&gt;COUNT(Dong1),"",IF(OFFSET(TH!O$1,SMALL(Dong1,ROWS($1:37)),)="1111",OFFSET(TH!N$1,SMALL(Dong1,ROWS($1:37)),),OFFSET(TH!O$1,SMALL(Dong1,ROWS($1:37)),)))</f>
        <v/>
      </c>
      <c r="G50" s="162" t="str">
        <f ca="1">IF(ROWS($1:37)&gt;COUNT(Dong1),"",IF(OFFSET(TH!N$1,SMALL(Dong1,ROWS($1:37)),)="1111",OFFSET(TH!M$1,SMALL(Dong1,ROWS($1:37)),),0))</f>
        <v/>
      </c>
      <c r="H50" s="160" t="str">
        <f ca="1">IF(ROWS($1:37)&gt;COUNT(Dong1),"",IF(OFFSET(TH!O$1,SMALL(Dong1,ROWS($1:37)),)="1111",OFFSET(TH!M$1,SMALL(Dong1,ROWS($1:37)),),0))</f>
        <v/>
      </c>
      <c r="I50" s="158">
        <f t="shared" ca="1" si="1"/>
        <v>0</v>
      </c>
      <c r="J50" s="163"/>
    </row>
    <row r="51" spans="1:10" ht="19.5" customHeight="1">
      <c r="A51" s="157" t="str">
        <f ca="1">IF(ROWS($1:38)&gt;COUNT(Dong1),"",OFFSET(TH!C$1,SMALL(Dong1,ROWS($1:38)),))</f>
        <v/>
      </c>
      <c r="B51" s="157" t="str">
        <f ca="1">IF(ROWS($1:38)&gt;COUNT(Dong1),"",OFFSET(TH!E$1,SMALL(Dong1,ROWS($1:38)),))</f>
        <v/>
      </c>
      <c r="C51" s="158" t="str">
        <f ca="1">IF(ROWS($1:38)&gt;COUNT(Dong1),"",IF(OFFSET(TH!N$1,SMALL(Dong1,ROWS($1:38)),)="1111",OFFSET(TH!D$1,SMALL(Dong1,ROWS($1:38)),),""))</f>
        <v/>
      </c>
      <c r="D51" s="159" t="str">
        <f ca="1">IF(ROWS($1:38)&gt;COUNT(Dong1),"",IF(OFFSET(TH!O$1,SMALL(Dong1,ROWS($1:38)),)="1111",OFFSET(TH!D$1,SMALL(Dong1,ROWS($1:38)),),""))</f>
        <v/>
      </c>
      <c r="E51" s="351" t="str">
        <f ca="1">IF(ROWS($1:38)&gt;COUNT(Dong1),"",OFFSET(TH!F$1,SMALL(Dong1,ROWS($1:38)),))</f>
        <v/>
      </c>
      <c r="F51" s="161" t="str">
        <f ca="1">IF(ROWS($1:38)&gt;COUNT(Dong1),"",IF(OFFSET(TH!O$1,SMALL(Dong1,ROWS($1:38)),)="1111",OFFSET(TH!N$1,SMALL(Dong1,ROWS($1:38)),),OFFSET(TH!O$1,SMALL(Dong1,ROWS($1:38)),)))</f>
        <v/>
      </c>
      <c r="G51" s="162" t="str">
        <f ca="1">IF(ROWS($1:38)&gt;COUNT(Dong1),"",IF(OFFSET(TH!N$1,SMALL(Dong1,ROWS($1:38)),)="1111",OFFSET(TH!M$1,SMALL(Dong1,ROWS($1:38)),),0))</f>
        <v/>
      </c>
      <c r="H51" s="160" t="str">
        <f ca="1">IF(ROWS($1:38)&gt;COUNT(Dong1),"",IF(OFFSET(TH!O$1,SMALL(Dong1,ROWS($1:38)),)="1111",OFFSET(TH!M$1,SMALL(Dong1,ROWS($1:38)),),0))</f>
        <v/>
      </c>
      <c r="I51" s="158">
        <f t="shared" ca="1" si="1"/>
        <v>0</v>
      </c>
      <c r="J51" s="163"/>
    </row>
    <row r="52" spans="1:10" ht="19.5" customHeight="1">
      <c r="A52" s="157" t="str">
        <f ca="1">IF(ROWS($1:39)&gt;COUNT(Dong1),"",OFFSET(TH!C$1,SMALL(Dong1,ROWS($1:39)),))</f>
        <v/>
      </c>
      <c r="B52" s="157" t="str">
        <f ca="1">IF(ROWS($1:39)&gt;COUNT(Dong1),"",OFFSET(TH!E$1,SMALL(Dong1,ROWS($1:39)),))</f>
        <v/>
      </c>
      <c r="C52" s="158" t="str">
        <f ca="1">IF(ROWS($1:39)&gt;COUNT(Dong1),"",IF(OFFSET(TH!N$1,SMALL(Dong1,ROWS($1:39)),)="1111",OFFSET(TH!D$1,SMALL(Dong1,ROWS($1:39)),),""))</f>
        <v/>
      </c>
      <c r="D52" s="159" t="str">
        <f ca="1">IF(ROWS($1:39)&gt;COUNT(Dong1),"",IF(OFFSET(TH!O$1,SMALL(Dong1,ROWS($1:39)),)="1111",OFFSET(TH!D$1,SMALL(Dong1,ROWS($1:39)),),""))</f>
        <v/>
      </c>
      <c r="E52" s="351" t="str">
        <f ca="1">IF(ROWS($1:39)&gt;COUNT(Dong1),"",OFFSET(TH!F$1,SMALL(Dong1,ROWS($1:39)),))</f>
        <v/>
      </c>
      <c r="F52" s="161" t="str">
        <f ca="1">IF(ROWS($1:39)&gt;COUNT(Dong1),"",IF(OFFSET(TH!O$1,SMALL(Dong1,ROWS($1:39)),)="1111",OFFSET(TH!N$1,SMALL(Dong1,ROWS($1:39)),),OFFSET(TH!O$1,SMALL(Dong1,ROWS($1:39)),)))</f>
        <v/>
      </c>
      <c r="G52" s="162" t="str">
        <f ca="1">IF(ROWS($1:39)&gt;COUNT(Dong1),"",IF(OFFSET(TH!N$1,SMALL(Dong1,ROWS($1:39)),)="1111",OFFSET(TH!M$1,SMALL(Dong1,ROWS($1:39)),),0))</f>
        <v/>
      </c>
      <c r="H52" s="160" t="str">
        <f ca="1">IF(ROWS($1:39)&gt;COUNT(Dong1),"",IF(OFFSET(TH!O$1,SMALL(Dong1,ROWS($1:39)),)="1111",OFFSET(TH!M$1,SMALL(Dong1,ROWS($1:39)),),0))</f>
        <v/>
      </c>
      <c r="I52" s="158">
        <f t="shared" ca="1" si="1"/>
        <v>0</v>
      </c>
      <c r="J52" s="163"/>
    </row>
    <row r="53" spans="1:10" ht="19.5" customHeight="1">
      <c r="A53" s="157" t="str">
        <f ca="1">IF(ROWS($1:40)&gt;COUNT(Dong1),"",OFFSET(TH!C$1,SMALL(Dong1,ROWS($1:40)),))</f>
        <v/>
      </c>
      <c r="B53" s="157" t="str">
        <f ca="1">IF(ROWS($1:40)&gt;COUNT(Dong1),"",OFFSET(TH!E$1,SMALL(Dong1,ROWS($1:40)),))</f>
        <v/>
      </c>
      <c r="C53" s="158" t="str">
        <f ca="1">IF(ROWS($1:40)&gt;COUNT(Dong1),"",IF(OFFSET(TH!N$1,SMALL(Dong1,ROWS($1:40)),)="1111",OFFSET(TH!D$1,SMALL(Dong1,ROWS($1:40)),),""))</f>
        <v/>
      </c>
      <c r="D53" s="159" t="str">
        <f ca="1">IF(ROWS($1:40)&gt;COUNT(Dong1),"",IF(OFFSET(TH!O$1,SMALL(Dong1,ROWS($1:40)),)="1111",OFFSET(TH!D$1,SMALL(Dong1,ROWS($1:40)),),""))</f>
        <v/>
      </c>
      <c r="E53" s="351" t="str">
        <f ca="1">IF(ROWS($1:40)&gt;COUNT(Dong1),"",OFFSET(TH!F$1,SMALL(Dong1,ROWS($1:40)),))</f>
        <v/>
      </c>
      <c r="F53" s="161" t="str">
        <f ca="1">IF(ROWS($1:40)&gt;COUNT(Dong1),"",IF(OFFSET(TH!O$1,SMALL(Dong1,ROWS($1:40)),)="1111",OFFSET(TH!N$1,SMALL(Dong1,ROWS($1:40)),),OFFSET(TH!O$1,SMALL(Dong1,ROWS($1:40)),)))</f>
        <v/>
      </c>
      <c r="G53" s="162" t="str">
        <f ca="1">IF(ROWS($1:40)&gt;COUNT(Dong1),"",IF(OFFSET(TH!N$1,SMALL(Dong1,ROWS($1:40)),)="1111",OFFSET(TH!M$1,SMALL(Dong1,ROWS($1:40)),),0))</f>
        <v/>
      </c>
      <c r="H53" s="160" t="str">
        <f ca="1">IF(ROWS($1:40)&gt;COUNT(Dong1),"",IF(OFFSET(TH!O$1,SMALL(Dong1,ROWS($1:40)),)="1111",OFFSET(TH!M$1,SMALL(Dong1,ROWS($1:40)),),0))</f>
        <v/>
      </c>
      <c r="I53" s="158">
        <f t="shared" ca="1" si="1"/>
        <v>0</v>
      </c>
      <c r="J53" s="163"/>
    </row>
    <row r="54" spans="1:10" ht="19.5" customHeight="1">
      <c r="A54" s="157" t="str">
        <f ca="1">IF(ROWS($1:41)&gt;COUNT(Dong1),"",OFFSET(TH!C$1,SMALL(Dong1,ROWS($1:41)),))</f>
        <v/>
      </c>
      <c r="B54" s="157" t="str">
        <f ca="1">IF(ROWS($1:41)&gt;COUNT(Dong1),"",OFFSET(TH!E$1,SMALL(Dong1,ROWS($1:41)),))</f>
        <v/>
      </c>
      <c r="C54" s="158" t="str">
        <f ca="1">IF(ROWS($1:41)&gt;COUNT(Dong1),"",IF(OFFSET(TH!N$1,SMALL(Dong1,ROWS($1:41)),)="1111",OFFSET(TH!D$1,SMALL(Dong1,ROWS($1:41)),),""))</f>
        <v/>
      </c>
      <c r="D54" s="159" t="str">
        <f ca="1">IF(ROWS($1:41)&gt;COUNT(Dong1),"",IF(OFFSET(TH!O$1,SMALL(Dong1,ROWS($1:41)),)="1111",OFFSET(TH!D$1,SMALL(Dong1,ROWS($1:41)),),""))</f>
        <v/>
      </c>
      <c r="E54" s="351" t="str">
        <f ca="1">IF(ROWS($1:41)&gt;COUNT(Dong1),"",OFFSET(TH!F$1,SMALL(Dong1,ROWS($1:41)),))</f>
        <v/>
      </c>
      <c r="F54" s="161" t="str">
        <f ca="1">IF(ROWS($1:41)&gt;COUNT(Dong1),"",IF(OFFSET(TH!O$1,SMALL(Dong1,ROWS($1:41)),)="1111",OFFSET(TH!N$1,SMALL(Dong1,ROWS($1:41)),),OFFSET(TH!O$1,SMALL(Dong1,ROWS($1:41)),)))</f>
        <v/>
      </c>
      <c r="G54" s="162" t="str">
        <f ca="1">IF(ROWS($1:41)&gt;COUNT(Dong1),"",IF(OFFSET(TH!N$1,SMALL(Dong1,ROWS($1:41)),)="1111",OFFSET(TH!M$1,SMALL(Dong1,ROWS($1:41)),),0))</f>
        <v/>
      </c>
      <c r="H54" s="160" t="str">
        <f ca="1">IF(ROWS($1:41)&gt;COUNT(Dong1),"",IF(OFFSET(TH!O$1,SMALL(Dong1,ROWS($1:41)),)="1111",OFFSET(TH!M$1,SMALL(Dong1,ROWS($1:41)),),0))</f>
        <v/>
      </c>
      <c r="I54" s="158">
        <f t="shared" ca="1" si="1"/>
        <v>0</v>
      </c>
      <c r="J54" s="163"/>
    </row>
    <row r="55" spans="1:10" ht="19.5" customHeight="1">
      <c r="A55" s="157" t="str">
        <f ca="1">IF(ROWS($1:42)&gt;COUNT(Dong1),"",OFFSET(TH!C$1,SMALL(Dong1,ROWS($1:42)),))</f>
        <v/>
      </c>
      <c r="B55" s="157" t="str">
        <f ca="1">IF(ROWS($1:42)&gt;COUNT(Dong1),"",OFFSET(TH!E$1,SMALL(Dong1,ROWS($1:42)),))</f>
        <v/>
      </c>
      <c r="C55" s="158" t="str">
        <f ca="1">IF(ROWS($1:42)&gt;COUNT(Dong1),"",IF(OFFSET(TH!N$1,SMALL(Dong1,ROWS($1:42)),)="1111",OFFSET(TH!D$1,SMALL(Dong1,ROWS($1:42)),),""))</f>
        <v/>
      </c>
      <c r="D55" s="159" t="str">
        <f ca="1">IF(ROWS($1:42)&gt;COUNT(Dong1),"",IF(OFFSET(TH!O$1,SMALL(Dong1,ROWS($1:42)),)="1111",OFFSET(TH!D$1,SMALL(Dong1,ROWS($1:42)),),""))</f>
        <v/>
      </c>
      <c r="E55" s="351" t="str">
        <f ca="1">IF(ROWS($1:42)&gt;COUNT(Dong1),"",OFFSET(TH!F$1,SMALL(Dong1,ROWS($1:42)),))</f>
        <v/>
      </c>
      <c r="F55" s="161" t="str">
        <f ca="1">IF(ROWS($1:42)&gt;COUNT(Dong1),"",IF(OFFSET(TH!O$1,SMALL(Dong1,ROWS($1:42)),)="1111",OFFSET(TH!N$1,SMALL(Dong1,ROWS($1:42)),),OFFSET(TH!O$1,SMALL(Dong1,ROWS($1:42)),)))</f>
        <v/>
      </c>
      <c r="G55" s="162" t="str">
        <f ca="1">IF(ROWS($1:42)&gt;COUNT(Dong1),"",IF(OFFSET(TH!N$1,SMALL(Dong1,ROWS($1:42)),)="1111",OFFSET(TH!M$1,SMALL(Dong1,ROWS($1:42)),),0))</f>
        <v/>
      </c>
      <c r="H55" s="160" t="str">
        <f ca="1">IF(ROWS($1:42)&gt;COUNT(Dong1),"",IF(OFFSET(TH!O$1,SMALL(Dong1,ROWS($1:42)),)="1111",OFFSET(TH!M$1,SMALL(Dong1,ROWS($1:42)),),0))</f>
        <v/>
      </c>
      <c r="I55" s="158">
        <f t="shared" ca="1" si="1"/>
        <v>0</v>
      </c>
      <c r="J55" s="163"/>
    </row>
    <row r="56" spans="1:10" ht="19.5" customHeight="1">
      <c r="A56" s="157" t="str">
        <f ca="1">IF(ROWS($1:43)&gt;COUNT(Dong1),"",OFFSET(TH!C$1,SMALL(Dong1,ROWS($1:43)),))</f>
        <v/>
      </c>
      <c r="B56" s="157" t="str">
        <f ca="1">IF(ROWS($1:43)&gt;COUNT(Dong1),"",OFFSET(TH!E$1,SMALL(Dong1,ROWS($1:43)),))</f>
        <v/>
      </c>
      <c r="C56" s="158" t="str">
        <f ca="1">IF(ROWS($1:43)&gt;COUNT(Dong1),"",IF(OFFSET(TH!N$1,SMALL(Dong1,ROWS($1:43)),)="1111",OFFSET(TH!D$1,SMALL(Dong1,ROWS($1:43)),),""))</f>
        <v/>
      </c>
      <c r="D56" s="159" t="str">
        <f ca="1">IF(ROWS($1:43)&gt;COUNT(Dong1),"",IF(OFFSET(TH!O$1,SMALL(Dong1,ROWS($1:43)),)="1111",OFFSET(TH!D$1,SMALL(Dong1,ROWS($1:43)),),""))</f>
        <v/>
      </c>
      <c r="E56" s="351" t="str">
        <f ca="1">IF(ROWS($1:43)&gt;COUNT(Dong1),"",OFFSET(TH!F$1,SMALL(Dong1,ROWS($1:43)),))</f>
        <v/>
      </c>
      <c r="F56" s="161" t="str">
        <f ca="1">IF(ROWS($1:43)&gt;COUNT(Dong1),"",IF(OFFSET(TH!O$1,SMALL(Dong1,ROWS($1:43)),)="1111",OFFSET(TH!N$1,SMALL(Dong1,ROWS($1:43)),),OFFSET(TH!O$1,SMALL(Dong1,ROWS($1:43)),)))</f>
        <v/>
      </c>
      <c r="G56" s="162" t="str">
        <f ca="1">IF(ROWS($1:43)&gt;COUNT(Dong1),"",IF(OFFSET(TH!N$1,SMALL(Dong1,ROWS($1:43)),)="1111",OFFSET(TH!M$1,SMALL(Dong1,ROWS($1:43)),),0))</f>
        <v/>
      </c>
      <c r="H56" s="160" t="str">
        <f ca="1">IF(ROWS($1:43)&gt;COUNT(Dong1),"",IF(OFFSET(TH!O$1,SMALL(Dong1,ROWS($1:43)),)="1111",OFFSET(TH!M$1,SMALL(Dong1,ROWS($1:43)),),0))</f>
        <v/>
      </c>
      <c r="I56" s="158">
        <f t="shared" ca="1" si="1"/>
        <v>0</v>
      </c>
      <c r="J56" s="163"/>
    </row>
    <row r="57" spans="1:10" ht="19.5" customHeight="1">
      <c r="A57" s="157" t="str">
        <f ca="1">IF(ROWS($1:44)&gt;COUNT(Dong1),"",OFFSET(TH!C$1,SMALL(Dong1,ROWS($1:44)),))</f>
        <v/>
      </c>
      <c r="B57" s="157" t="str">
        <f ca="1">IF(ROWS($1:44)&gt;COUNT(Dong1),"",OFFSET(TH!E$1,SMALL(Dong1,ROWS($1:44)),))</f>
        <v/>
      </c>
      <c r="C57" s="158" t="str">
        <f ca="1">IF(ROWS($1:44)&gt;COUNT(Dong1),"",IF(OFFSET(TH!N$1,SMALL(Dong1,ROWS($1:44)),)="1111",OFFSET(TH!D$1,SMALL(Dong1,ROWS($1:44)),),""))</f>
        <v/>
      </c>
      <c r="D57" s="159" t="str">
        <f ca="1">IF(ROWS($1:44)&gt;COUNT(Dong1),"",IF(OFFSET(TH!O$1,SMALL(Dong1,ROWS($1:44)),)="1111",OFFSET(TH!D$1,SMALL(Dong1,ROWS($1:44)),),""))</f>
        <v/>
      </c>
      <c r="E57" s="351" t="str">
        <f ca="1">IF(ROWS($1:44)&gt;COUNT(Dong1),"",OFFSET(TH!F$1,SMALL(Dong1,ROWS($1:44)),))</f>
        <v/>
      </c>
      <c r="F57" s="161" t="str">
        <f ca="1">IF(ROWS($1:44)&gt;COUNT(Dong1),"",IF(OFFSET(TH!O$1,SMALL(Dong1,ROWS($1:44)),)="1111",OFFSET(TH!N$1,SMALL(Dong1,ROWS($1:44)),),OFFSET(TH!O$1,SMALL(Dong1,ROWS($1:44)),)))</f>
        <v/>
      </c>
      <c r="G57" s="162" t="str">
        <f ca="1">IF(ROWS($1:44)&gt;COUNT(Dong1),"",IF(OFFSET(TH!N$1,SMALL(Dong1,ROWS($1:44)),)="1111",OFFSET(TH!M$1,SMALL(Dong1,ROWS($1:44)),),0))</f>
        <v/>
      </c>
      <c r="H57" s="160" t="str">
        <f ca="1">IF(ROWS($1:44)&gt;COUNT(Dong1),"",IF(OFFSET(TH!O$1,SMALL(Dong1,ROWS($1:44)),)="1111",OFFSET(TH!M$1,SMALL(Dong1,ROWS($1:44)),),0))</f>
        <v/>
      </c>
      <c r="I57" s="158">
        <f t="shared" ca="1" si="1"/>
        <v>0</v>
      </c>
      <c r="J57" s="163"/>
    </row>
    <row r="58" spans="1:10" ht="19.5" customHeight="1">
      <c r="A58" s="157" t="str">
        <f ca="1">IF(ROWS($1:45)&gt;COUNT(Dong1),"",OFFSET(TH!C$1,SMALL(Dong1,ROWS($1:45)),))</f>
        <v/>
      </c>
      <c r="B58" s="157" t="str">
        <f ca="1">IF(ROWS($1:45)&gt;COUNT(Dong1),"",OFFSET(TH!E$1,SMALL(Dong1,ROWS($1:45)),))</f>
        <v/>
      </c>
      <c r="C58" s="158" t="str">
        <f ca="1">IF(ROWS($1:45)&gt;COUNT(Dong1),"",IF(OFFSET(TH!N$1,SMALL(Dong1,ROWS($1:45)),)="1111",OFFSET(TH!D$1,SMALL(Dong1,ROWS($1:45)),),""))</f>
        <v/>
      </c>
      <c r="D58" s="159" t="str">
        <f ca="1">IF(ROWS($1:45)&gt;COUNT(Dong1),"",IF(OFFSET(TH!O$1,SMALL(Dong1,ROWS($1:45)),)="1111",OFFSET(TH!D$1,SMALL(Dong1,ROWS($1:45)),),""))</f>
        <v/>
      </c>
      <c r="E58" s="351" t="str">
        <f ca="1">IF(ROWS($1:45)&gt;COUNT(Dong1),"",OFFSET(TH!F$1,SMALL(Dong1,ROWS($1:45)),))</f>
        <v/>
      </c>
      <c r="F58" s="161" t="str">
        <f ca="1">IF(ROWS($1:45)&gt;COUNT(Dong1),"",IF(OFFSET(TH!O$1,SMALL(Dong1,ROWS($1:45)),)="1111",OFFSET(TH!N$1,SMALL(Dong1,ROWS($1:45)),),OFFSET(TH!O$1,SMALL(Dong1,ROWS($1:45)),)))</f>
        <v/>
      </c>
      <c r="G58" s="162" t="str">
        <f ca="1">IF(ROWS($1:45)&gt;COUNT(Dong1),"",IF(OFFSET(TH!N$1,SMALL(Dong1,ROWS($1:45)),)="1111",OFFSET(TH!M$1,SMALL(Dong1,ROWS($1:45)),),0))</f>
        <v/>
      </c>
      <c r="H58" s="160" t="str">
        <f ca="1">IF(ROWS($1:45)&gt;COUNT(Dong1),"",IF(OFFSET(TH!O$1,SMALL(Dong1,ROWS($1:45)),)="1111",OFFSET(TH!M$1,SMALL(Dong1,ROWS($1:45)),),0))</f>
        <v/>
      </c>
      <c r="I58" s="158">
        <f t="shared" ca="1" si="1"/>
        <v>0</v>
      </c>
      <c r="J58" s="163"/>
    </row>
    <row r="59" spans="1:10" ht="19.5" customHeight="1">
      <c r="A59" s="157" t="str">
        <f ca="1">IF(ROWS($1:46)&gt;COUNT(Dong1),"",OFFSET(TH!C$1,SMALL(Dong1,ROWS($1:46)),))</f>
        <v/>
      </c>
      <c r="B59" s="157" t="str">
        <f ca="1">IF(ROWS($1:46)&gt;COUNT(Dong1),"",OFFSET(TH!E$1,SMALL(Dong1,ROWS($1:46)),))</f>
        <v/>
      </c>
      <c r="C59" s="158" t="str">
        <f ca="1">IF(ROWS($1:46)&gt;COUNT(Dong1),"",IF(OFFSET(TH!N$1,SMALL(Dong1,ROWS($1:46)),)="1111",OFFSET(TH!D$1,SMALL(Dong1,ROWS($1:46)),),""))</f>
        <v/>
      </c>
      <c r="D59" s="159" t="str">
        <f ca="1">IF(ROWS($1:46)&gt;COUNT(Dong1),"",IF(OFFSET(TH!O$1,SMALL(Dong1,ROWS($1:46)),)="1111",OFFSET(TH!D$1,SMALL(Dong1,ROWS($1:46)),),""))</f>
        <v/>
      </c>
      <c r="E59" s="351" t="str">
        <f ca="1">IF(ROWS($1:46)&gt;COUNT(Dong1),"",OFFSET(TH!F$1,SMALL(Dong1,ROWS($1:46)),))</f>
        <v/>
      </c>
      <c r="F59" s="161" t="str">
        <f ca="1">IF(ROWS($1:46)&gt;COUNT(Dong1),"",IF(OFFSET(TH!O$1,SMALL(Dong1,ROWS($1:46)),)="1111",OFFSET(TH!N$1,SMALL(Dong1,ROWS($1:46)),),OFFSET(TH!O$1,SMALL(Dong1,ROWS($1:46)),)))</f>
        <v/>
      </c>
      <c r="G59" s="162" t="str">
        <f ca="1">IF(ROWS($1:46)&gt;COUNT(Dong1),"",IF(OFFSET(TH!N$1,SMALL(Dong1,ROWS($1:46)),)="1111",OFFSET(TH!M$1,SMALL(Dong1,ROWS($1:46)),),0))</f>
        <v/>
      </c>
      <c r="H59" s="160" t="str">
        <f ca="1">IF(ROWS($1:46)&gt;COUNT(Dong1),"",IF(OFFSET(TH!O$1,SMALL(Dong1,ROWS($1:46)),)="1111",OFFSET(TH!M$1,SMALL(Dong1,ROWS($1:46)),),0))</f>
        <v/>
      </c>
      <c r="I59" s="158">
        <f t="shared" ca="1" si="1"/>
        <v>0</v>
      </c>
      <c r="J59" s="163"/>
    </row>
    <row r="60" spans="1:10" ht="19.5" customHeight="1">
      <c r="A60" s="157" t="str">
        <f ca="1">IF(ROWS($1:47)&gt;COUNT(Dong1),"",OFFSET(TH!C$1,SMALL(Dong1,ROWS($1:47)),))</f>
        <v/>
      </c>
      <c r="B60" s="157" t="str">
        <f ca="1">IF(ROWS($1:47)&gt;COUNT(Dong1),"",OFFSET(TH!E$1,SMALL(Dong1,ROWS($1:47)),))</f>
        <v/>
      </c>
      <c r="C60" s="158" t="str">
        <f ca="1">IF(ROWS($1:47)&gt;COUNT(Dong1),"",IF(OFFSET(TH!N$1,SMALL(Dong1,ROWS($1:47)),)="1111",OFFSET(TH!D$1,SMALL(Dong1,ROWS($1:47)),),""))</f>
        <v/>
      </c>
      <c r="D60" s="159" t="str">
        <f ca="1">IF(ROWS($1:47)&gt;COUNT(Dong1),"",IF(OFFSET(TH!O$1,SMALL(Dong1,ROWS($1:47)),)="1111",OFFSET(TH!D$1,SMALL(Dong1,ROWS($1:47)),),""))</f>
        <v/>
      </c>
      <c r="E60" s="351" t="str">
        <f ca="1">IF(ROWS($1:47)&gt;COUNT(Dong1),"",OFFSET(TH!F$1,SMALL(Dong1,ROWS($1:47)),))</f>
        <v/>
      </c>
      <c r="F60" s="161" t="str">
        <f ca="1">IF(ROWS($1:47)&gt;COUNT(Dong1),"",IF(OFFSET(TH!O$1,SMALL(Dong1,ROWS($1:47)),)="1111",OFFSET(TH!N$1,SMALL(Dong1,ROWS($1:47)),),OFFSET(TH!O$1,SMALL(Dong1,ROWS($1:47)),)))</f>
        <v/>
      </c>
      <c r="G60" s="162" t="str">
        <f ca="1">IF(ROWS($1:47)&gt;COUNT(Dong1),"",IF(OFFSET(TH!N$1,SMALL(Dong1,ROWS($1:47)),)="1111",OFFSET(TH!M$1,SMALL(Dong1,ROWS($1:47)),),0))</f>
        <v/>
      </c>
      <c r="H60" s="160" t="str">
        <f ca="1">IF(ROWS($1:47)&gt;COUNT(Dong1),"",IF(OFFSET(TH!O$1,SMALL(Dong1,ROWS($1:47)),)="1111",OFFSET(TH!M$1,SMALL(Dong1,ROWS($1:47)),),0))</f>
        <v/>
      </c>
      <c r="I60" s="158">
        <f t="shared" ca="1" si="1"/>
        <v>0</v>
      </c>
      <c r="J60" s="163"/>
    </row>
    <row r="61" spans="1:10" ht="19.5" customHeight="1">
      <c r="A61" s="157" t="str">
        <f ca="1">IF(ROWS($1:48)&gt;COUNT(Dong1),"",OFFSET(TH!C$1,SMALL(Dong1,ROWS($1:48)),))</f>
        <v/>
      </c>
      <c r="B61" s="157" t="str">
        <f ca="1">IF(ROWS($1:48)&gt;COUNT(Dong1),"",OFFSET(TH!E$1,SMALL(Dong1,ROWS($1:48)),))</f>
        <v/>
      </c>
      <c r="C61" s="158" t="str">
        <f ca="1">IF(ROWS($1:48)&gt;COUNT(Dong1),"",IF(OFFSET(TH!N$1,SMALL(Dong1,ROWS($1:48)),)="1111",OFFSET(TH!D$1,SMALL(Dong1,ROWS($1:48)),),""))</f>
        <v/>
      </c>
      <c r="D61" s="159" t="str">
        <f ca="1">IF(ROWS($1:48)&gt;COUNT(Dong1),"",IF(OFFSET(TH!O$1,SMALL(Dong1,ROWS($1:48)),)="1111",OFFSET(TH!D$1,SMALL(Dong1,ROWS($1:48)),),""))</f>
        <v/>
      </c>
      <c r="E61" s="351" t="str">
        <f ca="1">IF(ROWS($1:48)&gt;COUNT(Dong1),"",OFFSET(TH!F$1,SMALL(Dong1,ROWS($1:48)),))</f>
        <v/>
      </c>
      <c r="F61" s="161" t="str">
        <f ca="1">IF(ROWS($1:48)&gt;COUNT(Dong1),"",IF(OFFSET(TH!O$1,SMALL(Dong1,ROWS($1:48)),)="1111",OFFSET(TH!N$1,SMALL(Dong1,ROWS($1:48)),),OFFSET(TH!O$1,SMALL(Dong1,ROWS($1:48)),)))</f>
        <v/>
      </c>
      <c r="G61" s="162" t="str">
        <f ca="1">IF(ROWS($1:48)&gt;COUNT(Dong1),"",IF(OFFSET(TH!N$1,SMALL(Dong1,ROWS($1:48)),)="1111",OFFSET(TH!M$1,SMALL(Dong1,ROWS($1:48)),),0))</f>
        <v/>
      </c>
      <c r="H61" s="160" t="str">
        <f ca="1">IF(ROWS($1:48)&gt;COUNT(Dong1),"",IF(OFFSET(TH!O$1,SMALL(Dong1,ROWS($1:48)),)="1111",OFFSET(TH!M$1,SMALL(Dong1,ROWS($1:48)),),0))</f>
        <v/>
      </c>
      <c r="I61" s="158">
        <f t="shared" ca="1" si="1"/>
        <v>0</v>
      </c>
      <c r="J61" s="163"/>
    </row>
    <row r="62" spans="1:10" ht="19.5" customHeight="1">
      <c r="A62" s="157" t="str">
        <f ca="1">IF(ROWS($1:49)&gt;COUNT(Dong1),"",OFFSET(TH!C$1,SMALL(Dong1,ROWS($1:49)),))</f>
        <v/>
      </c>
      <c r="B62" s="157" t="str">
        <f ca="1">IF(ROWS($1:49)&gt;COUNT(Dong1),"",OFFSET(TH!E$1,SMALL(Dong1,ROWS($1:49)),))</f>
        <v/>
      </c>
      <c r="C62" s="158" t="str">
        <f ca="1">IF(ROWS($1:49)&gt;COUNT(Dong1),"",IF(OFFSET(TH!N$1,SMALL(Dong1,ROWS($1:49)),)="1111",OFFSET(TH!D$1,SMALL(Dong1,ROWS($1:49)),),""))</f>
        <v/>
      </c>
      <c r="D62" s="159" t="str">
        <f ca="1">IF(ROWS($1:49)&gt;COUNT(Dong1),"",IF(OFFSET(TH!O$1,SMALL(Dong1,ROWS($1:49)),)="1111",OFFSET(TH!D$1,SMALL(Dong1,ROWS($1:49)),),""))</f>
        <v/>
      </c>
      <c r="E62" s="351" t="str">
        <f ca="1">IF(ROWS($1:49)&gt;COUNT(Dong1),"",OFFSET(TH!F$1,SMALL(Dong1,ROWS($1:49)),))</f>
        <v/>
      </c>
      <c r="F62" s="161" t="str">
        <f ca="1">IF(ROWS($1:49)&gt;COUNT(Dong1),"",IF(OFFSET(TH!O$1,SMALL(Dong1,ROWS($1:49)),)="1111",OFFSET(TH!N$1,SMALL(Dong1,ROWS($1:49)),),OFFSET(TH!O$1,SMALL(Dong1,ROWS($1:49)),)))</f>
        <v/>
      </c>
      <c r="G62" s="162" t="str">
        <f ca="1">IF(ROWS($1:49)&gt;COUNT(Dong1),"",IF(OFFSET(TH!N$1,SMALL(Dong1,ROWS($1:49)),)="1111",OFFSET(TH!M$1,SMALL(Dong1,ROWS($1:49)),),0))</f>
        <v/>
      </c>
      <c r="H62" s="160" t="str">
        <f ca="1">IF(ROWS($1:49)&gt;COUNT(Dong1),"",IF(OFFSET(TH!O$1,SMALL(Dong1,ROWS($1:49)),)="1111",OFFSET(TH!M$1,SMALL(Dong1,ROWS($1:49)),),0))</f>
        <v/>
      </c>
      <c r="I62" s="158">
        <f t="shared" ca="1" si="1"/>
        <v>0</v>
      </c>
      <c r="J62" s="163"/>
    </row>
    <row r="63" spans="1:10" ht="19.5" customHeight="1">
      <c r="A63" s="157" t="str">
        <f ca="1">IF(ROWS($1:50)&gt;COUNT(Dong1),"",OFFSET(TH!C$1,SMALL(Dong1,ROWS($1:50)),))</f>
        <v/>
      </c>
      <c r="B63" s="157" t="str">
        <f ca="1">IF(ROWS($1:50)&gt;COUNT(Dong1),"",OFFSET(TH!E$1,SMALL(Dong1,ROWS($1:50)),))</f>
        <v/>
      </c>
      <c r="C63" s="158" t="str">
        <f ca="1">IF(ROWS($1:50)&gt;COUNT(Dong1),"",IF(OFFSET(TH!N$1,SMALL(Dong1,ROWS($1:50)),)="1111",OFFSET(TH!D$1,SMALL(Dong1,ROWS($1:50)),),""))</f>
        <v/>
      </c>
      <c r="D63" s="159" t="str">
        <f ca="1">IF(ROWS($1:50)&gt;COUNT(Dong1),"",IF(OFFSET(TH!O$1,SMALL(Dong1,ROWS($1:50)),)="1111",OFFSET(TH!D$1,SMALL(Dong1,ROWS($1:50)),),""))</f>
        <v/>
      </c>
      <c r="E63" s="351" t="str">
        <f ca="1">IF(ROWS($1:50)&gt;COUNT(Dong1),"",OFFSET(TH!F$1,SMALL(Dong1,ROWS($1:50)),))</f>
        <v/>
      </c>
      <c r="F63" s="161" t="str">
        <f ca="1">IF(ROWS($1:50)&gt;COUNT(Dong1),"",IF(OFFSET(TH!O$1,SMALL(Dong1,ROWS($1:50)),)="1111",OFFSET(TH!N$1,SMALL(Dong1,ROWS($1:50)),),OFFSET(TH!O$1,SMALL(Dong1,ROWS($1:50)),)))</f>
        <v/>
      </c>
      <c r="G63" s="162" t="str">
        <f ca="1">IF(ROWS($1:50)&gt;COUNT(Dong1),"",IF(OFFSET(TH!N$1,SMALL(Dong1,ROWS($1:50)),)="1111",OFFSET(TH!M$1,SMALL(Dong1,ROWS($1:50)),),0))</f>
        <v/>
      </c>
      <c r="H63" s="160" t="str">
        <f ca="1">IF(ROWS($1:50)&gt;COUNT(Dong1),"",IF(OFFSET(TH!O$1,SMALL(Dong1,ROWS($1:50)),)="1111",OFFSET(TH!M$1,SMALL(Dong1,ROWS($1:50)),),0))</f>
        <v/>
      </c>
      <c r="I63" s="158">
        <f t="shared" ca="1" si="1"/>
        <v>0</v>
      </c>
      <c r="J63" s="163"/>
    </row>
    <row r="64" spans="1:10" ht="19.5" customHeight="1">
      <c r="A64" s="157" t="str">
        <f ca="1">IF(ROWS($1:51)&gt;COUNT(Dong1),"",OFFSET(TH!C$1,SMALL(Dong1,ROWS($1:51)),))</f>
        <v/>
      </c>
      <c r="B64" s="157" t="str">
        <f ca="1">IF(ROWS($1:51)&gt;COUNT(Dong1),"",OFFSET(TH!E$1,SMALL(Dong1,ROWS($1:51)),))</f>
        <v/>
      </c>
      <c r="C64" s="158" t="str">
        <f ca="1">IF(ROWS($1:51)&gt;COUNT(Dong1),"",IF(OFFSET(TH!N$1,SMALL(Dong1,ROWS($1:51)),)="1111",OFFSET(TH!D$1,SMALL(Dong1,ROWS($1:51)),),""))</f>
        <v/>
      </c>
      <c r="D64" s="159" t="str">
        <f ca="1">IF(ROWS($1:51)&gt;COUNT(Dong1),"",IF(OFFSET(TH!O$1,SMALL(Dong1,ROWS($1:51)),)="1111",OFFSET(TH!D$1,SMALL(Dong1,ROWS($1:51)),),""))</f>
        <v/>
      </c>
      <c r="E64" s="351" t="str">
        <f ca="1">IF(ROWS($1:51)&gt;COUNT(Dong1),"",OFFSET(TH!F$1,SMALL(Dong1,ROWS($1:51)),))</f>
        <v/>
      </c>
      <c r="F64" s="161" t="str">
        <f ca="1">IF(ROWS($1:51)&gt;COUNT(Dong1),"",IF(OFFSET(TH!O$1,SMALL(Dong1,ROWS($1:51)),)="1111",OFFSET(TH!N$1,SMALL(Dong1,ROWS($1:51)),),OFFSET(TH!O$1,SMALL(Dong1,ROWS($1:51)),)))</f>
        <v/>
      </c>
      <c r="G64" s="162" t="str">
        <f ca="1">IF(ROWS($1:51)&gt;COUNT(Dong1),"",IF(OFFSET(TH!N$1,SMALL(Dong1,ROWS($1:51)),)="1111",OFFSET(TH!M$1,SMALL(Dong1,ROWS($1:51)),),0))</f>
        <v/>
      </c>
      <c r="H64" s="160" t="str">
        <f ca="1">IF(ROWS($1:51)&gt;COUNT(Dong1),"",IF(OFFSET(TH!O$1,SMALL(Dong1,ROWS($1:51)),)="1111",OFFSET(TH!M$1,SMALL(Dong1,ROWS($1:51)),),0))</f>
        <v/>
      </c>
      <c r="I64" s="158">
        <f t="shared" ca="1" si="1"/>
        <v>0</v>
      </c>
      <c r="J64" s="163"/>
    </row>
    <row r="65" spans="1:10" ht="19.5" customHeight="1">
      <c r="A65" s="157" t="str">
        <f ca="1">IF(ROWS($1:52)&gt;COUNT(Dong1),"",OFFSET(TH!C$1,SMALL(Dong1,ROWS($1:52)),))</f>
        <v/>
      </c>
      <c r="B65" s="157" t="str">
        <f ca="1">IF(ROWS($1:52)&gt;COUNT(Dong1),"",OFFSET(TH!E$1,SMALL(Dong1,ROWS($1:52)),))</f>
        <v/>
      </c>
      <c r="C65" s="158" t="str">
        <f ca="1">IF(ROWS($1:52)&gt;COUNT(Dong1),"",IF(OFFSET(TH!N$1,SMALL(Dong1,ROWS($1:52)),)="1111",OFFSET(TH!D$1,SMALL(Dong1,ROWS($1:52)),),""))</f>
        <v/>
      </c>
      <c r="D65" s="159" t="str">
        <f ca="1">IF(ROWS($1:52)&gt;COUNT(Dong1),"",IF(OFFSET(TH!O$1,SMALL(Dong1,ROWS($1:52)),)="1111",OFFSET(TH!D$1,SMALL(Dong1,ROWS($1:52)),),""))</f>
        <v/>
      </c>
      <c r="E65" s="351" t="str">
        <f ca="1">IF(ROWS($1:52)&gt;COUNT(Dong1),"",OFFSET(TH!F$1,SMALL(Dong1,ROWS($1:52)),))</f>
        <v/>
      </c>
      <c r="F65" s="161" t="str">
        <f ca="1">IF(ROWS($1:52)&gt;COUNT(Dong1),"",IF(OFFSET(TH!O$1,SMALL(Dong1,ROWS($1:52)),)="1111",OFFSET(TH!N$1,SMALL(Dong1,ROWS($1:52)),),OFFSET(TH!O$1,SMALL(Dong1,ROWS($1:52)),)))</f>
        <v/>
      </c>
      <c r="G65" s="162" t="str">
        <f ca="1">IF(ROWS($1:52)&gt;COUNT(Dong1),"",IF(OFFSET(TH!N$1,SMALL(Dong1,ROWS($1:52)),)="1111",OFFSET(TH!M$1,SMALL(Dong1,ROWS($1:52)),),0))</f>
        <v/>
      </c>
      <c r="H65" s="160" t="str">
        <f ca="1">IF(ROWS($1:52)&gt;COUNT(Dong1),"",IF(OFFSET(TH!O$1,SMALL(Dong1,ROWS($1:52)),)="1111",OFFSET(TH!M$1,SMALL(Dong1,ROWS($1:52)),),0))</f>
        <v/>
      </c>
      <c r="I65" s="158">
        <f t="shared" ca="1" si="1"/>
        <v>0</v>
      </c>
      <c r="J65" s="163"/>
    </row>
    <row r="66" spans="1:10" ht="19.5" customHeight="1">
      <c r="A66" s="157" t="str">
        <f ca="1">IF(ROWS($1:53)&gt;COUNT(Dong1),"",OFFSET(TH!C$1,SMALL(Dong1,ROWS($1:53)),))</f>
        <v/>
      </c>
      <c r="B66" s="157" t="str">
        <f ca="1">IF(ROWS($1:53)&gt;COUNT(Dong1),"",OFFSET(TH!E$1,SMALL(Dong1,ROWS($1:53)),))</f>
        <v/>
      </c>
      <c r="C66" s="158" t="str">
        <f ca="1">IF(ROWS($1:53)&gt;COUNT(Dong1),"",IF(OFFSET(TH!N$1,SMALL(Dong1,ROWS($1:53)),)="1111",OFFSET(TH!D$1,SMALL(Dong1,ROWS($1:53)),),""))</f>
        <v/>
      </c>
      <c r="D66" s="159" t="str">
        <f ca="1">IF(ROWS($1:53)&gt;COUNT(Dong1),"",IF(OFFSET(TH!O$1,SMALL(Dong1,ROWS($1:53)),)="1111",OFFSET(TH!D$1,SMALL(Dong1,ROWS($1:53)),),""))</f>
        <v/>
      </c>
      <c r="E66" s="351" t="str">
        <f ca="1">IF(ROWS($1:53)&gt;COUNT(Dong1),"",OFFSET(TH!F$1,SMALL(Dong1,ROWS($1:53)),))</f>
        <v/>
      </c>
      <c r="F66" s="161" t="str">
        <f ca="1">IF(ROWS($1:53)&gt;COUNT(Dong1),"",IF(OFFSET(TH!O$1,SMALL(Dong1,ROWS($1:53)),)="1111",OFFSET(TH!N$1,SMALL(Dong1,ROWS($1:53)),),OFFSET(TH!O$1,SMALL(Dong1,ROWS($1:53)),)))</f>
        <v/>
      </c>
      <c r="G66" s="162" t="str">
        <f ca="1">IF(ROWS($1:53)&gt;COUNT(Dong1),"",IF(OFFSET(TH!N$1,SMALL(Dong1,ROWS($1:53)),)="1111",OFFSET(TH!M$1,SMALL(Dong1,ROWS($1:53)),),0))</f>
        <v/>
      </c>
      <c r="H66" s="160" t="str">
        <f ca="1">IF(ROWS($1:53)&gt;COUNT(Dong1),"",IF(OFFSET(TH!O$1,SMALL(Dong1,ROWS($1:53)),)="1111",OFFSET(TH!M$1,SMALL(Dong1,ROWS($1:53)),),0))</f>
        <v/>
      </c>
      <c r="I66" s="158">
        <f t="shared" ca="1" si="1"/>
        <v>0</v>
      </c>
      <c r="J66" s="163"/>
    </row>
    <row r="67" spans="1:10" ht="19.5" customHeight="1">
      <c r="A67" s="157" t="str">
        <f ca="1">IF(ROWS($1:54)&gt;COUNT(Dong1),"",OFFSET(TH!C$1,SMALL(Dong1,ROWS($1:54)),))</f>
        <v/>
      </c>
      <c r="B67" s="157" t="str">
        <f ca="1">IF(ROWS($1:54)&gt;COUNT(Dong1),"",OFFSET(TH!E$1,SMALL(Dong1,ROWS($1:54)),))</f>
        <v/>
      </c>
      <c r="C67" s="158" t="str">
        <f ca="1">IF(ROWS($1:54)&gt;COUNT(Dong1),"",IF(OFFSET(TH!N$1,SMALL(Dong1,ROWS($1:54)),)="1111",OFFSET(TH!D$1,SMALL(Dong1,ROWS($1:54)),),""))</f>
        <v/>
      </c>
      <c r="D67" s="159" t="str">
        <f ca="1">IF(ROWS($1:54)&gt;COUNT(Dong1),"",IF(OFFSET(TH!O$1,SMALL(Dong1,ROWS($1:54)),)="1111",OFFSET(TH!D$1,SMALL(Dong1,ROWS($1:54)),),""))</f>
        <v/>
      </c>
      <c r="E67" s="351" t="str">
        <f ca="1">IF(ROWS($1:54)&gt;COUNT(Dong1),"",OFFSET(TH!F$1,SMALL(Dong1,ROWS($1:54)),))</f>
        <v/>
      </c>
      <c r="F67" s="161" t="str">
        <f ca="1">IF(ROWS($1:54)&gt;COUNT(Dong1),"",IF(OFFSET(TH!O$1,SMALL(Dong1,ROWS($1:54)),)="1111",OFFSET(TH!N$1,SMALL(Dong1,ROWS($1:54)),),OFFSET(TH!O$1,SMALL(Dong1,ROWS($1:54)),)))</f>
        <v/>
      </c>
      <c r="G67" s="162" t="str">
        <f ca="1">IF(ROWS($1:54)&gt;COUNT(Dong1),"",IF(OFFSET(TH!N$1,SMALL(Dong1,ROWS($1:54)),)="1111",OFFSET(TH!M$1,SMALL(Dong1,ROWS($1:54)),),0))</f>
        <v/>
      </c>
      <c r="H67" s="160" t="str">
        <f ca="1">IF(ROWS($1:54)&gt;COUNT(Dong1),"",IF(OFFSET(TH!O$1,SMALL(Dong1,ROWS($1:54)),)="1111",OFFSET(TH!M$1,SMALL(Dong1,ROWS($1:54)),),0))</f>
        <v/>
      </c>
      <c r="I67" s="158">
        <f t="shared" ca="1" si="1"/>
        <v>0</v>
      </c>
      <c r="J67" s="163"/>
    </row>
    <row r="68" spans="1:10" ht="19.5" customHeight="1">
      <c r="A68" s="157" t="str">
        <f ca="1">IF(ROWS($1:55)&gt;COUNT(Dong1),"",OFFSET(TH!C$1,SMALL(Dong1,ROWS($1:55)),))</f>
        <v/>
      </c>
      <c r="B68" s="157" t="str">
        <f ca="1">IF(ROWS($1:55)&gt;COUNT(Dong1),"",OFFSET(TH!E$1,SMALL(Dong1,ROWS($1:55)),))</f>
        <v/>
      </c>
      <c r="C68" s="158" t="str">
        <f ca="1">IF(ROWS($1:55)&gt;COUNT(Dong1),"",IF(OFFSET(TH!N$1,SMALL(Dong1,ROWS($1:55)),)="1111",OFFSET(TH!D$1,SMALL(Dong1,ROWS($1:55)),),""))</f>
        <v/>
      </c>
      <c r="D68" s="159" t="str">
        <f ca="1">IF(ROWS($1:55)&gt;COUNT(Dong1),"",IF(OFFSET(TH!O$1,SMALL(Dong1,ROWS($1:55)),)="1111",OFFSET(TH!D$1,SMALL(Dong1,ROWS($1:55)),),""))</f>
        <v/>
      </c>
      <c r="E68" s="351" t="str">
        <f ca="1">IF(ROWS($1:55)&gt;COUNT(Dong1),"",OFFSET(TH!F$1,SMALL(Dong1,ROWS($1:55)),))</f>
        <v/>
      </c>
      <c r="F68" s="161" t="str">
        <f ca="1">IF(ROWS($1:55)&gt;COUNT(Dong1),"",IF(OFFSET(TH!O$1,SMALL(Dong1,ROWS($1:55)),)="1111",OFFSET(TH!N$1,SMALL(Dong1,ROWS($1:55)),),OFFSET(TH!O$1,SMALL(Dong1,ROWS($1:55)),)))</f>
        <v/>
      </c>
      <c r="G68" s="162" t="str">
        <f ca="1">IF(ROWS($1:55)&gt;COUNT(Dong1),"",IF(OFFSET(TH!N$1,SMALL(Dong1,ROWS($1:55)),)="1111",OFFSET(TH!M$1,SMALL(Dong1,ROWS($1:55)),),0))</f>
        <v/>
      </c>
      <c r="H68" s="160" t="str">
        <f ca="1">IF(ROWS($1:55)&gt;COUNT(Dong1),"",IF(OFFSET(TH!O$1,SMALL(Dong1,ROWS($1:55)),)="1111",OFFSET(TH!M$1,SMALL(Dong1,ROWS($1:55)),),0))</f>
        <v/>
      </c>
      <c r="I68" s="158">
        <f t="shared" ca="1" si="1"/>
        <v>0</v>
      </c>
      <c r="J68" s="163"/>
    </row>
    <row r="69" spans="1:10" ht="19.5" customHeight="1">
      <c r="A69" s="157" t="str">
        <f ca="1">IF(ROWS($1:56)&gt;COUNT(Dong1),"",OFFSET(TH!C$1,SMALL(Dong1,ROWS($1:56)),))</f>
        <v/>
      </c>
      <c r="B69" s="157" t="str">
        <f ca="1">IF(ROWS($1:56)&gt;COUNT(Dong1),"",OFFSET(TH!E$1,SMALL(Dong1,ROWS($1:56)),))</f>
        <v/>
      </c>
      <c r="C69" s="158" t="str">
        <f ca="1">IF(ROWS($1:56)&gt;COUNT(Dong1),"",IF(OFFSET(TH!N$1,SMALL(Dong1,ROWS($1:56)),)="1111",OFFSET(TH!D$1,SMALL(Dong1,ROWS($1:56)),),""))</f>
        <v/>
      </c>
      <c r="D69" s="159" t="str">
        <f ca="1">IF(ROWS($1:56)&gt;COUNT(Dong1),"",IF(OFFSET(TH!O$1,SMALL(Dong1,ROWS($1:56)),)="1111",OFFSET(TH!D$1,SMALL(Dong1,ROWS($1:56)),),""))</f>
        <v/>
      </c>
      <c r="E69" s="351" t="str">
        <f ca="1">IF(ROWS($1:56)&gt;COUNT(Dong1),"",OFFSET(TH!F$1,SMALL(Dong1,ROWS($1:56)),))</f>
        <v/>
      </c>
      <c r="F69" s="161" t="str">
        <f ca="1">IF(ROWS($1:56)&gt;COUNT(Dong1),"",IF(OFFSET(TH!O$1,SMALL(Dong1,ROWS($1:56)),)="1111",OFFSET(TH!N$1,SMALL(Dong1,ROWS($1:56)),),OFFSET(TH!O$1,SMALL(Dong1,ROWS($1:56)),)))</f>
        <v/>
      </c>
      <c r="G69" s="162" t="str">
        <f ca="1">IF(ROWS($1:56)&gt;COUNT(Dong1),"",IF(OFFSET(TH!N$1,SMALL(Dong1,ROWS($1:56)),)="1111",OFFSET(TH!M$1,SMALL(Dong1,ROWS($1:56)),),0))</f>
        <v/>
      </c>
      <c r="H69" s="160" t="str">
        <f ca="1">IF(ROWS($1:56)&gt;COUNT(Dong1),"",IF(OFFSET(TH!O$1,SMALL(Dong1,ROWS($1:56)),)="1111",OFFSET(TH!M$1,SMALL(Dong1,ROWS($1:56)),),0))</f>
        <v/>
      </c>
      <c r="I69" s="158">
        <f t="shared" ca="1" si="1"/>
        <v>0</v>
      </c>
      <c r="J69" s="163"/>
    </row>
    <row r="70" spans="1:10" ht="19.5" customHeight="1">
      <c r="A70" s="157" t="str">
        <f ca="1">IF(ROWS($1:57)&gt;COUNT(Dong1),"",OFFSET(TH!C$1,SMALL(Dong1,ROWS($1:57)),))</f>
        <v/>
      </c>
      <c r="B70" s="157" t="str">
        <f ca="1">IF(ROWS($1:57)&gt;COUNT(Dong1),"",OFFSET(TH!E$1,SMALL(Dong1,ROWS($1:57)),))</f>
        <v/>
      </c>
      <c r="C70" s="158" t="str">
        <f ca="1">IF(ROWS($1:57)&gt;COUNT(Dong1),"",IF(OFFSET(TH!N$1,SMALL(Dong1,ROWS($1:57)),)="1111",OFFSET(TH!D$1,SMALL(Dong1,ROWS($1:57)),),""))</f>
        <v/>
      </c>
      <c r="D70" s="159" t="str">
        <f ca="1">IF(ROWS($1:57)&gt;COUNT(Dong1),"",IF(OFFSET(TH!O$1,SMALL(Dong1,ROWS($1:57)),)="1111",OFFSET(TH!D$1,SMALL(Dong1,ROWS($1:57)),),""))</f>
        <v/>
      </c>
      <c r="E70" s="351" t="str">
        <f ca="1">IF(ROWS($1:57)&gt;COUNT(Dong1),"",OFFSET(TH!F$1,SMALL(Dong1,ROWS($1:57)),))</f>
        <v/>
      </c>
      <c r="F70" s="161" t="str">
        <f ca="1">IF(ROWS($1:57)&gt;COUNT(Dong1),"",IF(OFFSET(TH!O$1,SMALL(Dong1,ROWS($1:57)),)="1111",OFFSET(TH!N$1,SMALL(Dong1,ROWS($1:57)),),OFFSET(TH!O$1,SMALL(Dong1,ROWS($1:57)),)))</f>
        <v/>
      </c>
      <c r="G70" s="162" t="str">
        <f ca="1">IF(ROWS($1:57)&gt;COUNT(Dong1),"",IF(OFFSET(TH!N$1,SMALL(Dong1,ROWS($1:57)),)="1111",OFFSET(TH!M$1,SMALL(Dong1,ROWS($1:57)),),0))</f>
        <v/>
      </c>
      <c r="H70" s="160" t="str">
        <f ca="1">IF(ROWS($1:57)&gt;COUNT(Dong1),"",IF(OFFSET(TH!O$1,SMALL(Dong1,ROWS($1:57)),)="1111",OFFSET(TH!M$1,SMALL(Dong1,ROWS($1:57)),),0))</f>
        <v/>
      </c>
      <c r="I70" s="158">
        <f t="shared" ca="1" si="1"/>
        <v>0</v>
      </c>
      <c r="J70" s="163"/>
    </row>
    <row r="71" spans="1:10" ht="19.5" customHeight="1">
      <c r="A71" s="157" t="str">
        <f ca="1">IF(ROWS($1:58)&gt;COUNT(Dong1),"",OFFSET(TH!C$1,SMALL(Dong1,ROWS($1:58)),))</f>
        <v/>
      </c>
      <c r="B71" s="157" t="str">
        <f ca="1">IF(ROWS($1:58)&gt;COUNT(Dong1),"",OFFSET(TH!E$1,SMALL(Dong1,ROWS($1:58)),))</f>
        <v/>
      </c>
      <c r="C71" s="158" t="str">
        <f ca="1">IF(ROWS($1:58)&gt;COUNT(Dong1),"",IF(OFFSET(TH!N$1,SMALL(Dong1,ROWS($1:58)),)="1111",OFFSET(TH!D$1,SMALL(Dong1,ROWS($1:58)),),""))</f>
        <v/>
      </c>
      <c r="D71" s="159" t="str">
        <f ca="1">IF(ROWS($1:58)&gt;COUNT(Dong1),"",IF(OFFSET(TH!O$1,SMALL(Dong1,ROWS($1:58)),)="1111",OFFSET(TH!D$1,SMALL(Dong1,ROWS($1:58)),),""))</f>
        <v/>
      </c>
      <c r="E71" s="351" t="str">
        <f ca="1">IF(ROWS($1:58)&gt;COUNT(Dong1),"",OFFSET(TH!F$1,SMALL(Dong1,ROWS($1:58)),))</f>
        <v/>
      </c>
      <c r="F71" s="161" t="str">
        <f ca="1">IF(ROWS($1:58)&gt;COUNT(Dong1),"",IF(OFFSET(TH!O$1,SMALL(Dong1,ROWS($1:58)),)="1111",OFFSET(TH!N$1,SMALL(Dong1,ROWS($1:58)),),OFFSET(TH!O$1,SMALL(Dong1,ROWS($1:58)),)))</f>
        <v/>
      </c>
      <c r="G71" s="162" t="str">
        <f ca="1">IF(ROWS($1:58)&gt;COUNT(Dong1),"",IF(OFFSET(TH!N$1,SMALL(Dong1,ROWS($1:58)),)="1111",OFFSET(TH!M$1,SMALL(Dong1,ROWS($1:58)),),0))</f>
        <v/>
      </c>
      <c r="H71" s="160" t="str">
        <f ca="1">IF(ROWS($1:58)&gt;COUNT(Dong1),"",IF(OFFSET(TH!O$1,SMALL(Dong1,ROWS($1:58)),)="1111",OFFSET(TH!M$1,SMALL(Dong1,ROWS($1:58)),),0))</f>
        <v/>
      </c>
      <c r="I71" s="158">
        <f t="shared" ca="1" si="1"/>
        <v>0</v>
      </c>
      <c r="J71" s="163"/>
    </row>
    <row r="72" spans="1:10" ht="19.5" customHeight="1">
      <c r="A72" s="157" t="str">
        <f ca="1">IF(ROWS($1:59)&gt;COUNT(Dong1),"",OFFSET(TH!C$1,SMALL(Dong1,ROWS($1:59)),))</f>
        <v/>
      </c>
      <c r="B72" s="157" t="str">
        <f ca="1">IF(ROWS($1:59)&gt;COUNT(Dong1),"",OFFSET(TH!E$1,SMALL(Dong1,ROWS($1:59)),))</f>
        <v/>
      </c>
      <c r="C72" s="158" t="str">
        <f ca="1">IF(ROWS($1:59)&gt;COUNT(Dong1),"",IF(OFFSET(TH!N$1,SMALL(Dong1,ROWS($1:59)),)="1111",OFFSET(TH!D$1,SMALL(Dong1,ROWS($1:59)),),""))</f>
        <v/>
      </c>
      <c r="D72" s="159" t="str">
        <f ca="1">IF(ROWS($1:59)&gt;COUNT(Dong1),"",IF(OFFSET(TH!O$1,SMALL(Dong1,ROWS($1:59)),)="1111",OFFSET(TH!D$1,SMALL(Dong1,ROWS($1:59)),),""))</f>
        <v/>
      </c>
      <c r="E72" s="351" t="str">
        <f ca="1">IF(ROWS($1:59)&gt;COUNT(Dong1),"",OFFSET(TH!F$1,SMALL(Dong1,ROWS($1:59)),))</f>
        <v/>
      </c>
      <c r="F72" s="161" t="str">
        <f ca="1">IF(ROWS($1:59)&gt;COUNT(Dong1),"",IF(OFFSET(TH!O$1,SMALL(Dong1,ROWS($1:59)),)="1111",OFFSET(TH!N$1,SMALL(Dong1,ROWS($1:59)),),OFFSET(TH!O$1,SMALL(Dong1,ROWS($1:59)),)))</f>
        <v/>
      </c>
      <c r="G72" s="162" t="str">
        <f ca="1">IF(ROWS($1:59)&gt;COUNT(Dong1),"",IF(OFFSET(TH!N$1,SMALL(Dong1,ROWS($1:59)),)="1111",OFFSET(TH!M$1,SMALL(Dong1,ROWS($1:59)),),0))</f>
        <v/>
      </c>
      <c r="H72" s="160" t="str">
        <f ca="1">IF(ROWS($1:59)&gt;COUNT(Dong1),"",IF(OFFSET(TH!O$1,SMALL(Dong1,ROWS($1:59)),)="1111",OFFSET(TH!M$1,SMALL(Dong1,ROWS($1:59)),),0))</f>
        <v/>
      </c>
      <c r="I72" s="158">
        <f t="shared" ca="1" si="1"/>
        <v>0</v>
      </c>
      <c r="J72" s="163"/>
    </row>
    <row r="73" spans="1:10" ht="19.5" customHeight="1">
      <c r="A73" s="157" t="str">
        <f ca="1">IF(ROWS($1:60)&gt;COUNT(Dong1),"",OFFSET(TH!C$1,SMALL(Dong1,ROWS($1:60)),))</f>
        <v/>
      </c>
      <c r="B73" s="157" t="str">
        <f ca="1">IF(ROWS($1:60)&gt;COUNT(Dong1),"",OFFSET(TH!E$1,SMALL(Dong1,ROWS($1:60)),))</f>
        <v/>
      </c>
      <c r="C73" s="158" t="str">
        <f ca="1">IF(ROWS($1:60)&gt;COUNT(Dong1),"",IF(OFFSET(TH!N$1,SMALL(Dong1,ROWS($1:60)),)="1111",OFFSET(TH!D$1,SMALL(Dong1,ROWS($1:60)),),""))</f>
        <v/>
      </c>
      <c r="D73" s="159" t="str">
        <f ca="1">IF(ROWS($1:60)&gt;COUNT(Dong1),"",IF(OFFSET(TH!O$1,SMALL(Dong1,ROWS($1:60)),)="1111",OFFSET(TH!D$1,SMALL(Dong1,ROWS($1:60)),),""))</f>
        <v/>
      </c>
      <c r="E73" s="351" t="str">
        <f ca="1">IF(ROWS($1:60)&gt;COUNT(Dong1),"",OFFSET(TH!F$1,SMALL(Dong1,ROWS($1:60)),))</f>
        <v/>
      </c>
      <c r="F73" s="161" t="str">
        <f ca="1">IF(ROWS($1:60)&gt;COUNT(Dong1),"",IF(OFFSET(TH!O$1,SMALL(Dong1,ROWS($1:60)),)="1111",OFFSET(TH!N$1,SMALL(Dong1,ROWS($1:60)),),OFFSET(TH!O$1,SMALL(Dong1,ROWS($1:60)),)))</f>
        <v/>
      </c>
      <c r="G73" s="162" t="str">
        <f ca="1">IF(ROWS($1:60)&gt;COUNT(Dong1),"",IF(OFFSET(TH!N$1,SMALL(Dong1,ROWS($1:60)),)="1111",OFFSET(TH!M$1,SMALL(Dong1,ROWS($1:60)),),0))</f>
        <v/>
      </c>
      <c r="H73" s="160" t="str">
        <f ca="1">IF(ROWS($1:60)&gt;COUNT(Dong1),"",IF(OFFSET(TH!O$1,SMALL(Dong1,ROWS($1:60)),)="1111",OFFSET(TH!M$1,SMALL(Dong1,ROWS($1:60)),),0))</f>
        <v/>
      </c>
      <c r="I73" s="158">
        <f t="shared" ca="1" si="1"/>
        <v>0</v>
      </c>
      <c r="J73" s="163"/>
    </row>
    <row r="74" spans="1:10" ht="19.5" customHeight="1">
      <c r="A74" s="157" t="str">
        <f ca="1">IF(ROWS($1:61)&gt;COUNT(Dong1),"",OFFSET(TH!C$1,SMALL(Dong1,ROWS($1:61)),))</f>
        <v/>
      </c>
      <c r="B74" s="157" t="str">
        <f ca="1">IF(ROWS($1:61)&gt;COUNT(Dong1),"",OFFSET(TH!E$1,SMALL(Dong1,ROWS($1:61)),))</f>
        <v/>
      </c>
      <c r="C74" s="158" t="str">
        <f ca="1">IF(ROWS($1:61)&gt;COUNT(Dong1),"",IF(OFFSET(TH!N$1,SMALL(Dong1,ROWS($1:61)),)="1111",OFFSET(TH!D$1,SMALL(Dong1,ROWS($1:61)),),""))</f>
        <v/>
      </c>
      <c r="D74" s="159" t="str">
        <f ca="1">IF(ROWS($1:61)&gt;COUNT(Dong1),"",IF(OFFSET(TH!O$1,SMALL(Dong1,ROWS($1:61)),)="1111",OFFSET(TH!D$1,SMALL(Dong1,ROWS($1:61)),),""))</f>
        <v/>
      </c>
      <c r="E74" s="351" t="str">
        <f ca="1">IF(ROWS($1:61)&gt;COUNT(Dong1),"",OFFSET(TH!F$1,SMALL(Dong1,ROWS($1:61)),))</f>
        <v/>
      </c>
      <c r="F74" s="161" t="str">
        <f ca="1">IF(ROWS($1:61)&gt;COUNT(Dong1),"",IF(OFFSET(TH!O$1,SMALL(Dong1,ROWS($1:61)),)="1111",OFFSET(TH!N$1,SMALL(Dong1,ROWS($1:61)),),OFFSET(TH!O$1,SMALL(Dong1,ROWS($1:61)),)))</f>
        <v/>
      </c>
      <c r="G74" s="162" t="str">
        <f ca="1">IF(ROWS($1:61)&gt;COUNT(Dong1),"",IF(OFFSET(TH!N$1,SMALL(Dong1,ROWS($1:61)),)="1111",OFFSET(TH!M$1,SMALL(Dong1,ROWS($1:61)),),0))</f>
        <v/>
      </c>
      <c r="H74" s="160" t="str">
        <f ca="1">IF(ROWS($1:61)&gt;COUNT(Dong1),"",IF(OFFSET(TH!O$1,SMALL(Dong1,ROWS($1:61)),)="1111",OFFSET(TH!M$1,SMALL(Dong1,ROWS($1:61)),),0))</f>
        <v/>
      </c>
      <c r="I74" s="158">
        <f t="shared" ca="1" si="1"/>
        <v>0</v>
      </c>
      <c r="J74" s="163"/>
    </row>
    <row r="75" spans="1:10" ht="19.5" customHeight="1">
      <c r="A75" s="157" t="str">
        <f ca="1">IF(ROWS($1:62)&gt;COUNT(Dong1),"",OFFSET(TH!C$1,SMALL(Dong1,ROWS($1:62)),))</f>
        <v/>
      </c>
      <c r="B75" s="157" t="str">
        <f ca="1">IF(ROWS($1:62)&gt;COUNT(Dong1),"",OFFSET(TH!E$1,SMALL(Dong1,ROWS($1:62)),))</f>
        <v/>
      </c>
      <c r="C75" s="158" t="str">
        <f ca="1">IF(ROWS($1:62)&gt;COUNT(Dong1),"",IF(OFFSET(TH!N$1,SMALL(Dong1,ROWS($1:62)),)="1111",OFFSET(TH!D$1,SMALL(Dong1,ROWS($1:62)),),""))</f>
        <v/>
      </c>
      <c r="D75" s="159" t="str">
        <f ca="1">IF(ROWS($1:62)&gt;COUNT(Dong1),"",IF(OFFSET(TH!O$1,SMALL(Dong1,ROWS($1:62)),)="1111",OFFSET(TH!D$1,SMALL(Dong1,ROWS($1:62)),),""))</f>
        <v/>
      </c>
      <c r="E75" s="351" t="str">
        <f ca="1">IF(ROWS($1:62)&gt;COUNT(Dong1),"",OFFSET(TH!F$1,SMALL(Dong1,ROWS($1:62)),))</f>
        <v/>
      </c>
      <c r="F75" s="161" t="str">
        <f ca="1">IF(ROWS($1:62)&gt;COUNT(Dong1),"",IF(OFFSET(TH!O$1,SMALL(Dong1,ROWS($1:62)),)="1111",OFFSET(TH!N$1,SMALL(Dong1,ROWS($1:62)),),OFFSET(TH!O$1,SMALL(Dong1,ROWS($1:62)),)))</f>
        <v/>
      </c>
      <c r="G75" s="162" t="str">
        <f ca="1">IF(ROWS($1:62)&gt;COUNT(Dong1),"",IF(OFFSET(TH!N$1,SMALL(Dong1,ROWS($1:62)),)="1111",OFFSET(TH!M$1,SMALL(Dong1,ROWS($1:62)),),0))</f>
        <v/>
      </c>
      <c r="H75" s="160" t="str">
        <f ca="1">IF(ROWS($1:62)&gt;COUNT(Dong1),"",IF(OFFSET(TH!O$1,SMALL(Dong1,ROWS($1:62)),)="1111",OFFSET(TH!M$1,SMALL(Dong1,ROWS($1:62)),),0))</f>
        <v/>
      </c>
      <c r="I75" s="158">
        <f t="shared" ca="1" si="1"/>
        <v>0</v>
      </c>
      <c r="J75" s="163"/>
    </row>
    <row r="76" spans="1:10" ht="19.5" customHeight="1">
      <c r="A76" s="157" t="str">
        <f ca="1">IF(ROWS($1:63)&gt;COUNT(Dong1),"",OFFSET(TH!C$1,SMALL(Dong1,ROWS($1:63)),))</f>
        <v/>
      </c>
      <c r="B76" s="157" t="str">
        <f ca="1">IF(ROWS($1:63)&gt;COUNT(Dong1),"",OFFSET(TH!E$1,SMALL(Dong1,ROWS($1:63)),))</f>
        <v/>
      </c>
      <c r="C76" s="158" t="str">
        <f ca="1">IF(ROWS($1:63)&gt;COUNT(Dong1),"",IF(OFFSET(TH!N$1,SMALL(Dong1,ROWS($1:63)),)="1111",OFFSET(TH!D$1,SMALL(Dong1,ROWS($1:63)),),""))</f>
        <v/>
      </c>
      <c r="D76" s="159" t="str">
        <f ca="1">IF(ROWS($1:63)&gt;COUNT(Dong1),"",IF(OFFSET(TH!O$1,SMALL(Dong1,ROWS($1:63)),)="1111",OFFSET(TH!D$1,SMALL(Dong1,ROWS($1:63)),),""))</f>
        <v/>
      </c>
      <c r="E76" s="351" t="str">
        <f ca="1">IF(ROWS($1:63)&gt;COUNT(Dong1),"",OFFSET(TH!F$1,SMALL(Dong1,ROWS($1:63)),))</f>
        <v/>
      </c>
      <c r="F76" s="161" t="str">
        <f ca="1">IF(ROWS($1:63)&gt;COUNT(Dong1),"",IF(OFFSET(TH!O$1,SMALL(Dong1,ROWS($1:63)),)="1111",OFFSET(TH!N$1,SMALL(Dong1,ROWS($1:63)),),OFFSET(TH!O$1,SMALL(Dong1,ROWS($1:63)),)))</f>
        <v/>
      </c>
      <c r="G76" s="162" t="str">
        <f ca="1">IF(ROWS($1:63)&gt;COUNT(Dong1),"",IF(OFFSET(TH!N$1,SMALL(Dong1,ROWS($1:63)),)="1111",OFFSET(TH!M$1,SMALL(Dong1,ROWS($1:63)),),0))</f>
        <v/>
      </c>
      <c r="H76" s="160" t="str">
        <f ca="1">IF(ROWS($1:63)&gt;COUNT(Dong1),"",IF(OFFSET(TH!O$1,SMALL(Dong1,ROWS($1:63)),)="1111",OFFSET(TH!M$1,SMALL(Dong1,ROWS($1:63)),),0))</f>
        <v/>
      </c>
      <c r="I76" s="158">
        <f t="shared" ca="1" si="1"/>
        <v>0</v>
      </c>
      <c r="J76" s="163"/>
    </row>
    <row r="77" spans="1:10" ht="19.5" customHeight="1">
      <c r="A77" s="157" t="str">
        <f ca="1">IF(ROWS($1:64)&gt;COUNT(Dong1),"",OFFSET(TH!C$1,SMALL(Dong1,ROWS($1:64)),))</f>
        <v/>
      </c>
      <c r="B77" s="157" t="str">
        <f ca="1">IF(ROWS($1:64)&gt;COUNT(Dong1),"",OFFSET(TH!E$1,SMALL(Dong1,ROWS($1:64)),))</f>
        <v/>
      </c>
      <c r="C77" s="158" t="str">
        <f ca="1">IF(ROWS($1:64)&gt;COUNT(Dong1),"",IF(OFFSET(TH!N$1,SMALL(Dong1,ROWS($1:64)),)="1111",OFFSET(TH!D$1,SMALL(Dong1,ROWS($1:64)),),""))</f>
        <v/>
      </c>
      <c r="D77" s="159" t="str">
        <f ca="1">IF(ROWS($1:64)&gt;COUNT(Dong1),"",IF(OFFSET(TH!O$1,SMALL(Dong1,ROWS($1:64)),)="1111",OFFSET(TH!D$1,SMALL(Dong1,ROWS($1:64)),),""))</f>
        <v/>
      </c>
      <c r="E77" s="351" t="str">
        <f ca="1">IF(ROWS($1:64)&gt;COUNT(Dong1),"",OFFSET(TH!F$1,SMALL(Dong1,ROWS($1:64)),))</f>
        <v/>
      </c>
      <c r="F77" s="161" t="str">
        <f ca="1">IF(ROWS($1:64)&gt;COUNT(Dong1),"",IF(OFFSET(TH!O$1,SMALL(Dong1,ROWS($1:64)),)="1111",OFFSET(TH!N$1,SMALL(Dong1,ROWS($1:64)),),OFFSET(TH!O$1,SMALL(Dong1,ROWS($1:64)),)))</f>
        <v/>
      </c>
      <c r="G77" s="162" t="str">
        <f ca="1">IF(ROWS($1:64)&gt;COUNT(Dong1),"",IF(OFFSET(TH!N$1,SMALL(Dong1,ROWS($1:64)),)="1111",OFFSET(TH!M$1,SMALL(Dong1,ROWS($1:64)),),0))</f>
        <v/>
      </c>
      <c r="H77" s="160" t="str">
        <f ca="1">IF(ROWS($1:64)&gt;COUNT(Dong1),"",IF(OFFSET(TH!O$1,SMALL(Dong1,ROWS($1:64)),)="1111",OFFSET(TH!M$1,SMALL(Dong1,ROWS($1:64)),),0))</f>
        <v/>
      </c>
      <c r="I77" s="158">
        <f t="shared" ca="1" si="1"/>
        <v>0</v>
      </c>
      <c r="J77" s="163"/>
    </row>
    <row r="78" spans="1:10" ht="19.5" customHeight="1">
      <c r="A78" s="157" t="str">
        <f ca="1">IF(ROWS($1:65)&gt;COUNT(Dong1),"",OFFSET(TH!C$1,SMALL(Dong1,ROWS($1:65)),))</f>
        <v/>
      </c>
      <c r="B78" s="157" t="str">
        <f ca="1">IF(ROWS($1:65)&gt;COUNT(Dong1),"",OFFSET(TH!E$1,SMALL(Dong1,ROWS($1:65)),))</f>
        <v/>
      </c>
      <c r="C78" s="158" t="str">
        <f ca="1">IF(ROWS($1:65)&gt;COUNT(Dong1),"",IF(OFFSET(TH!N$1,SMALL(Dong1,ROWS($1:65)),)="1111",OFFSET(TH!D$1,SMALL(Dong1,ROWS($1:65)),),""))</f>
        <v/>
      </c>
      <c r="D78" s="159" t="str">
        <f ca="1">IF(ROWS($1:65)&gt;COUNT(Dong1),"",IF(OFFSET(TH!O$1,SMALL(Dong1,ROWS($1:65)),)="1111",OFFSET(TH!D$1,SMALL(Dong1,ROWS($1:65)),),""))</f>
        <v/>
      </c>
      <c r="E78" s="351" t="str">
        <f ca="1">IF(ROWS($1:65)&gt;COUNT(Dong1),"",OFFSET(TH!F$1,SMALL(Dong1,ROWS($1:65)),))</f>
        <v/>
      </c>
      <c r="F78" s="161" t="str">
        <f ca="1">IF(ROWS($1:65)&gt;COUNT(Dong1),"",IF(OFFSET(TH!O$1,SMALL(Dong1,ROWS($1:65)),)="1111",OFFSET(TH!N$1,SMALL(Dong1,ROWS($1:65)),),OFFSET(TH!O$1,SMALL(Dong1,ROWS($1:65)),)))</f>
        <v/>
      </c>
      <c r="G78" s="162" t="str">
        <f ca="1">IF(ROWS($1:65)&gt;COUNT(Dong1),"",IF(OFFSET(TH!N$1,SMALL(Dong1,ROWS($1:65)),)="1111",OFFSET(TH!M$1,SMALL(Dong1,ROWS($1:65)),),0))</f>
        <v/>
      </c>
      <c r="H78" s="160" t="str">
        <f ca="1">IF(ROWS($1:65)&gt;COUNT(Dong1),"",IF(OFFSET(TH!O$1,SMALL(Dong1,ROWS($1:65)),)="1111",OFFSET(TH!M$1,SMALL(Dong1,ROWS($1:65)),),0))</f>
        <v/>
      </c>
      <c r="I78" s="158">
        <f t="shared" ref="I78:I109" ca="1" si="2">IF(E78&lt;&gt;"",I77+G78-H78,0)</f>
        <v>0</v>
      </c>
      <c r="J78" s="163"/>
    </row>
    <row r="79" spans="1:10" ht="19.5" customHeight="1">
      <c r="A79" s="157" t="str">
        <f ca="1">IF(ROWS($1:66)&gt;COUNT(Dong1),"",OFFSET(TH!C$1,SMALL(Dong1,ROWS($1:66)),))</f>
        <v/>
      </c>
      <c r="B79" s="157" t="str">
        <f ca="1">IF(ROWS($1:66)&gt;COUNT(Dong1),"",OFFSET(TH!E$1,SMALL(Dong1,ROWS($1:66)),))</f>
        <v/>
      </c>
      <c r="C79" s="158" t="str">
        <f ca="1">IF(ROWS($1:66)&gt;COUNT(Dong1),"",IF(OFFSET(TH!N$1,SMALL(Dong1,ROWS($1:66)),)="1111",OFFSET(TH!D$1,SMALL(Dong1,ROWS($1:66)),),""))</f>
        <v/>
      </c>
      <c r="D79" s="159" t="str">
        <f ca="1">IF(ROWS($1:66)&gt;COUNT(Dong1),"",IF(OFFSET(TH!O$1,SMALL(Dong1,ROWS($1:66)),)="1111",OFFSET(TH!D$1,SMALL(Dong1,ROWS($1:66)),),""))</f>
        <v/>
      </c>
      <c r="E79" s="351" t="str">
        <f ca="1">IF(ROWS($1:66)&gt;COUNT(Dong1),"",OFFSET(TH!F$1,SMALL(Dong1,ROWS($1:66)),))</f>
        <v/>
      </c>
      <c r="F79" s="161" t="str">
        <f ca="1">IF(ROWS($1:66)&gt;COUNT(Dong1),"",IF(OFFSET(TH!O$1,SMALL(Dong1,ROWS($1:66)),)="1111",OFFSET(TH!N$1,SMALL(Dong1,ROWS($1:66)),),OFFSET(TH!O$1,SMALL(Dong1,ROWS($1:66)),)))</f>
        <v/>
      </c>
      <c r="G79" s="162" t="str">
        <f ca="1">IF(ROWS($1:66)&gt;COUNT(Dong1),"",IF(OFFSET(TH!N$1,SMALL(Dong1,ROWS($1:66)),)="1111",OFFSET(TH!M$1,SMALL(Dong1,ROWS($1:66)),),0))</f>
        <v/>
      </c>
      <c r="H79" s="160" t="str">
        <f ca="1">IF(ROWS($1:66)&gt;COUNT(Dong1),"",IF(OFFSET(TH!O$1,SMALL(Dong1,ROWS($1:66)),)="1111",OFFSET(TH!M$1,SMALL(Dong1,ROWS($1:66)),),0))</f>
        <v/>
      </c>
      <c r="I79" s="158">
        <f t="shared" ca="1" si="2"/>
        <v>0</v>
      </c>
      <c r="J79" s="163"/>
    </row>
    <row r="80" spans="1:10" ht="19.5" customHeight="1">
      <c r="A80" s="157" t="str">
        <f ca="1">IF(ROWS($1:67)&gt;COUNT(Dong1),"",OFFSET(TH!C$1,SMALL(Dong1,ROWS($1:67)),))</f>
        <v/>
      </c>
      <c r="B80" s="157" t="str">
        <f ca="1">IF(ROWS($1:67)&gt;COUNT(Dong1),"",OFFSET(TH!E$1,SMALL(Dong1,ROWS($1:67)),))</f>
        <v/>
      </c>
      <c r="C80" s="158" t="str">
        <f ca="1">IF(ROWS($1:67)&gt;COUNT(Dong1),"",IF(OFFSET(TH!N$1,SMALL(Dong1,ROWS($1:67)),)="1111",OFFSET(TH!D$1,SMALL(Dong1,ROWS($1:67)),),""))</f>
        <v/>
      </c>
      <c r="D80" s="159" t="str">
        <f ca="1">IF(ROWS($1:67)&gt;COUNT(Dong1),"",IF(OFFSET(TH!O$1,SMALL(Dong1,ROWS($1:67)),)="1111",OFFSET(TH!D$1,SMALL(Dong1,ROWS($1:67)),),""))</f>
        <v/>
      </c>
      <c r="E80" s="351" t="str">
        <f ca="1">IF(ROWS($1:67)&gt;COUNT(Dong1),"",OFFSET(TH!F$1,SMALL(Dong1,ROWS($1:67)),))</f>
        <v/>
      </c>
      <c r="F80" s="161" t="str">
        <f ca="1">IF(ROWS($1:67)&gt;COUNT(Dong1),"",IF(OFFSET(TH!O$1,SMALL(Dong1,ROWS($1:67)),)="1111",OFFSET(TH!N$1,SMALL(Dong1,ROWS($1:67)),),OFFSET(TH!O$1,SMALL(Dong1,ROWS($1:67)),)))</f>
        <v/>
      </c>
      <c r="G80" s="162" t="str">
        <f ca="1">IF(ROWS($1:67)&gt;COUNT(Dong1),"",IF(OFFSET(TH!N$1,SMALL(Dong1,ROWS($1:67)),)="1111",OFFSET(TH!M$1,SMALL(Dong1,ROWS($1:67)),),0))</f>
        <v/>
      </c>
      <c r="H80" s="160" t="str">
        <f ca="1">IF(ROWS($1:67)&gt;COUNT(Dong1),"",IF(OFFSET(TH!O$1,SMALL(Dong1,ROWS($1:67)),)="1111",OFFSET(TH!M$1,SMALL(Dong1,ROWS($1:67)),),0))</f>
        <v/>
      </c>
      <c r="I80" s="158">
        <f t="shared" ca="1" si="2"/>
        <v>0</v>
      </c>
      <c r="J80" s="163"/>
    </row>
    <row r="81" spans="1:10" ht="19.5" customHeight="1">
      <c r="A81" s="157" t="str">
        <f ca="1">IF(ROWS($1:68)&gt;COUNT(Dong1),"",OFFSET(TH!C$1,SMALL(Dong1,ROWS($1:68)),))</f>
        <v/>
      </c>
      <c r="B81" s="157" t="str">
        <f ca="1">IF(ROWS($1:68)&gt;COUNT(Dong1),"",OFFSET(TH!E$1,SMALL(Dong1,ROWS($1:68)),))</f>
        <v/>
      </c>
      <c r="C81" s="158" t="str">
        <f ca="1">IF(ROWS($1:68)&gt;COUNT(Dong1),"",IF(OFFSET(TH!N$1,SMALL(Dong1,ROWS($1:68)),)="1111",OFFSET(TH!D$1,SMALL(Dong1,ROWS($1:68)),),""))</f>
        <v/>
      </c>
      <c r="D81" s="159" t="str">
        <f ca="1">IF(ROWS($1:68)&gt;COUNT(Dong1),"",IF(OFFSET(TH!O$1,SMALL(Dong1,ROWS($1:68)),)="1111",OFFSET(TH!D$1,SMALL(Dong1,ROWS($1:68)),),""))</f>
        <v/>
      </c>
      <c r="E81" s="351" t="str">
        <f ca="1">IF(ROWS($1:68)&gt;COUNT(Dong1),"",OFFSET(TH!F$1,SMALL(Dong1,ROWS($1:68)),))</f>
        <v/>
      </c>
      <c r="F81" s="161" t="str">
        <f ca="1">IF(ROWS($1:68)&gt;COUNT(Dong1),"",IF(OFFSET(TH!O$1,SMALL(Dong1,ROWS($1:68)),)="1111",OFFSET(TH!N$1,SMALL(Dong1,ROWS($1:68)),),OFFSET(TH!O$1,SMALL(Dong1,ROWS($1:68)),)))</f>
        <v/>
      </c>
      <c r="G81" s="162" t="str">
        <f ca="1">IF(ROWS($1:68)&gt;COUNT(Dong1),"",IF(OFFSET(TH!N$1,SMALL(Dong1,ROWS($1:68)),)="1111",OFFSET(TH!M$1,SMALL(Dong1,ROWS($1:68)),),0))</f>
        <v/>
      </c>
      <c r="H81" s="160" t="str">
        <f ca="1">IF(ROWS($1:68)&gt;COUNT(Dong1),"",IF(OFFSET(TH!O$1,SMALL(Dong1,ROWS($1:68)),)="1111",OFFSET(TH!M$1,SMALL(Dong1,ROWS($1:68)),),0))</f>
        <v/>
      </c>
      <c r="I81" s="158">
        <f t="shared" ca="1" si="2"/>
        <v>0</v>
      </c>
      <c r="J81" s="163"/>
    </row>
    <row r="82" spans="1:10" ht="19.5" customHeight="1">
      <c r="A82" s="157" t="str">
        <f ca="1">IF(ROWS($1:69)&gt;COUNT(Dong1),"",OFFSET(TH!C$1,SMALL(Dong1,ROWS($1:69)),))</f>
        <v/>
      </c>
      <c r="B82" s="157" t="str">
        <f ca="1">IF(ROWS($1:69)&gt;COUNT(Dong1),"",OFFSET(TH!E$1,SMALL(Dong1,ROWS($1:69)),))</f>
        <v/>
      </c>
      <c r="C82" s="158" t="str">
        <f ca="1">IF(ROWS($1:69)&gt;COUNT(Dong1),"",IF(OFFSET(TH!N$1,SMALL(Dong1,ROWS($1:69)),)="1111",OFFSET(TH!D$1,SMALL(Dong1,ROWS($1:69)),),""))</f>
        <v/>
      </c>
      <c r="D82" s="159" t="str">
        <f ca="1">IF(ROWS($1:69)&gt;COUNT(Dong1),"",IF(OFFSET(TH!O$1,SMALL(Dong1,ROWS($1:69)),)="1111",OFFSET(TH!D$1,SMALL(Dong1,ROWS($1:69)),),""))</f>
        <v/>
      </c>
      <c r="E82" s="351" t="str">
        <f ca="1">IF(ROWS($1:69)&gt;COUNT(Dong1),"",OFFSET(TH!F$1,SMALL(Dong1,ROWS($1:69)),))</f>
        <v/>
      </c>
      <c r="F82" s="161" t="str">
        <f ca="1">IF(ROWS($1:69)&gt;COUNT(Dong1),"",IF(OFFSET(TH!O$1,SMALL(Dong1,ROWS($1:69)),)="1111",OFFSET(TH!N$1,SMALL(Dong1,ROWS($1:69)),),OFFSET(TH!O$1,SMALL(Dong1,ROWS($1:69)),)))</f>
        <v/>
      </c>
      <c r="G82" s="162" t="str">
        <f ca="1">IF(ROWS($1:69)&gt;COUNT(Dong1),"",IF(OFFSET(TH!N$1,SMALL(Dong1,ROWS($1:69)),)="1111",OFFSET(TH!M$1,SMALL(Dong1,ROWS($1:69)),),0))</f>
        <v/>
      </c>
      <c r="H82" s="160" t="str">
        <f ca="1">IF(ROWS($1:69)&gt;COUNT(Dong1),"",IF(OFFSET(TH!O$1,SMALL(Dong1,ROWS($1:69)),)="1111",OFFSET(TH!M$1,SMALL(Dong1,ROWS($1:69)),),0))</f>
        <v/>
      </c>
      <c r="I82" s="158">
        <f t="shared" ca="1" si="2"/>
        <v>0</v>
      </c>
      <c r="J82" s="163"/>
    </row>
    <row r="83" spans="1:10" ht="19.5" customHeight="1">
      <c r="A83" s="157" t="str">
        <f ca="1">IF(ROWS($1:70)&gt;COUNT(Dong1),"",OFFSET(TH!C$1,SMALL(Dong1,ROWS($1:70)),))</f>
        <v/>
      </c>
      <c r="B83" s="157" t="str">
        <f ca="1">IF(ROWS($1:70)&gt;COUNT(Dong1),"",OFFSET(TH!E$1,SMALL(Dong1,ROWS($1:70)),))</f>
        <v/>
      </c>
      <c r="C83" s="158" t="str">
        <f ca="1">IF(ROWS($1:70)&gt;COUNT(Dong1),"",IF(OFFSET(TH!N$1,SMALL(Dong1,ROWS($1:70)),)="1111",OFFSET(TH!D$1,SMALL(Dong1,ROWS($1:70)),),""))</f>
        <v/>
      </c>
      <c r="D83" s="159" t="str">
        <f ca="1">IF(ROWS($1:70)&gt;COUNT(Dong1),"",IF(OFFSET(TH!O$1,SMALL(Dong1,ROWS($1:70)),)="1111",OFFSET(TH!D$1,SMALL(Dong1,ROWS($1:70)),),""))</f>
        <v/>
      </c>
      <c r="E83" s="351" t="str">
        <f ca="1">IF(ROWS($1:70)&gt;COUNT(Dong1),"",OFFSET(TH!F$1,SMALL(Dong1,ROWS($1:70)),))</f>
        <v/>
      </c>
      <c r="F83" s="161" t="str">
        <f ca="1">IF(ROWS($1:70)&gt;COUNT(Dong1),"",IF(OFFSET(TH!O$1,SMALL(Dong1,ROWS($1:70)),)="1111",OFFSET(TH!N$1,SMALL(Dong1,ROWS($1:70)),),OFFSET(TH!O$1,SMALL(Dong1,ROWS($1:70)),)))</f>
        <v/>
      </c>
      <c r="G83" s="162" t="str">
        <f ca="1">IF(ROWS($1:70)&gt;COUNT(Dong1),"",IF(OFFSET(TH!N$1,SMALL(Dong1,ROWS($1:70)),)="1111",OFFSET(TH!M$1,SMALL(Dong1,ROWS($1:70)),),0))</f>
        <v/>
      </c>
      <c r="H83" s="160" t="str">
        <f ca="1">IF(ROWS($1:70)&gt;COUNT(Dong1),"",IF(OFFSET(TH!O$1,SMALL(Dong1,ROWS($1:70)),)="1111",OFFSET(TH!M$1,SMALL(Dong1,ROWS($1:70)),),0))</f>
        <v/>
      </c>
      <c r="I83" s="158">
        <f t="shared" ca="1" si="2"/>
        <v>0</v>
      </c>
      <c r="J83" s="163"/>
    </row>
    <row r="84" spans="1:10" ht="19.5" customHeight="1">
      <c r="A84" s="157" t="str">
        <f ca="1">IF(ROWS($1:71)&gt;COUNT(Dong1),"",OFFSET(TH!C$1,SMALL(Dong1,ROWS($1:71)),))</f>
        <v/>
      </c>
      <c r="B84" s="157" t="str">
        <f ca="1">IF(ROWS($1:71)&gt;COUNT(Dong1),"",OFFSET(TH!E$1,SMALL(Dong1,ROWS($1:71)),))</f>
        <v/>
      </c>
      <c r="C84" s="158" t="str">
        <f ca="1">IF(ROWS($1:71)&gt;COUNT(Dong1),"",IF(OFFSET(TH!N$1,SMALL(Dong1,ROWS($1:71)),)="1111",OFFSET(TH!D$1,SMALL(Dong1,ROWS($1:71)),),""))</f>
        <v/>
      </c>
      <c r="D84" s="159" t="str">
        <f ca="1">IF(ROWS($1:71)&gt;COUNT(Dong1),"",IF(OFFSET(TH!O$1,SMALL(Dong1,ROWS($1:71)),)="1111",OFFSET(TH!D$1,SMALL(Dong1,ROWS($1:71)),),""))</f>
        <v/>
      </c>
      <c r="E84" s="351" t="str">
        <f ca="1">IF(ROWS($1:71)&gt;COUNT(Dong1),"",OFFSET(TH!F$1,SMALL(Dong1,ROWS($1:71)),))</f>
        <v/>
      </c>
      <c r="F84" s="161" t="str">
        <f ca="1">IF(ROWS($1:71)&gt;COUNT(Dong1),"",IF(OFFSET(TH!O$1,SMALL(Dong1,ROWS($1:71)),)="1111",OFFSET(TH!N$1,SMALL(Dong1,ROWS($1:71)),),OFFSET(TH!O$1,SMALL(Dong1,ROWS($1:71)),)))</f>
        <v/>
      </c>
      <c r="G84" s="162" t="str">
        <f ca="1">IF(ROWS($1:71)&gt;COUNT(Dong1),"",IF(OFFSET(TH!N$1,SMALL(Dong1,ROWS($1:71)),)="1111",OFFSET(TH!M$1,SMALL(Dong1,ROWS($1:71)),),0))</f>
        <v/>
      </c>
      <c r="H84" s="160" t="str">
        <f ca="1">IF(ROWS($1:71)&gt;COUNT(Dong1),"",IF(OFFSET(TH!O$1,SMALL(Dong1,ROWS($1:71)),)="1111",OFFSET(TH!M$1,SMALL(Dong1,ROWS($1:71)),),0))</f>
        <v/>
      </c>
      <c r="I84" s="158">
        <f t="shared" ca="1" si="2"/>
        <v>0</v>
      </c>
      <c r="J84" s="163"/>
    </row>
    <row r="85" spans="1:10" ht="19.5" customHeight="1">
      <c r="A85" s="157" t="str">
        <f ca="1">IF(ROWS($1:72)&gt;COUNT(Dong1),"",OFFSET(TH!C$1,SMALL(Dong1,ROWS($1:72)),))</f>
        <v/>
      </c>
      <c r="B85" s="157" t="str">
        <f ca="1">IF(ROWS($1:72)&gt;COUNT(Dong1),"",OFFSET(TH!E$1,SMALL(Dong1,ROWS($1:72)),))</f>
        <v/>
      </c>
      <c r="C85" s="158" t="str">
        <f ca="1">IF(ROWS($1:72)&gt;COUNT(Dong1),"",IF(OFFSET(TH!N$1,SMALL(Dong1,ROWS($1:72)),)="1111",OFFSET(TH!D$1,SMALL(Dong1,ROWS($1:72)),),""))</f>
        <v/>
      </c>
      <c r="D85" s="159" t="str">
        <f ca="1">IF(ROWS($1:72)&gt;COUNT(Dong1),"",IF(OFFSET(TH!O$1,SMALL(Dong1,ROWS($1:72)),)="1111",OFFSET(TH!D$1,SMALL(Dong1,ROWS($1:72)),),""))</f>
        <v/>
      </c>
      <c r="E85" s="351" t="str">
        <f ca="1">IF(ROWS($1:72)&gt;COUNT(Dong1),"",OFFSET(TH!F$1,SMALL(Dong1,ROWS($1:72)),))</f>
        <v/>
      </c>
      <c r="F85" s="161" t="str">
        <f ca="1">IF(ROWS($1:72)&gt;COUNT(Dong1),"",IF(OFFSET(TH!O$1,SMALL(Dong1,ROWS($1:72)),)="1111",OFFSET(TH!N$1,SMALL(Dong1,ROWS($1:72)),),OFFSET(TH!O$1,SMALL(Dong1,ROWS($1:72)),)))</f>
        <v/>
      </c>
      <c r="G85" s="162" t="str">
        <f ca="1">IF(ROWS($1:72)&gt;COUNT(Dong1),"",IF(OFFSET(TH!N$1,SMALL(Dong1,ROWS($1:72)),)="1111",OFFSET(TH!M$1,SMALL(Dong1,ROWS($1:72)),),0))</f>
        <v/>
      </c>
      <c r="H85" s="160" t="str">
        <f ca="1">IF(ROWS($1:72)&gt;COUNT(Dong1),"",IF(OFFSET(TH!O$1,SMALL(Dong1,ROWS($1:72)),)="1111",OFFSET(TH!M$1,SMALL(Dong1,ROWS($1:72)),),0))</f>
        <v/>
      </c>
      <c r="I85" s="158">
        <f t="shared" ca="1" si="2"/>
        <v>0</v>
      </c>
      <c r="J85" s="163"/>
    </row>
    <row r="86" spans="1:10" ht="19.5" customHeight="1">
      <c r="A86" s="157" t="str">
        <f ca="1">IF(ROWS($1:73)&gt;COUNT(Dong1),"",OFFSET(TH!C$1,SMALL(Dong1,ROWS($1:73)),))</f>
        <v/>
      </c>
      <c r="B86" s="157" t="str">
        <f ca="1">IF(ROWS($1:73)&gt;COUNT(Dong1),"",OFFSET(TH!E$1,SMALL(Dong1,ROWS($1:73)),))</f>
        <v/>
      </c>
      <c r="C86" s="158" t="str">
        <f ca="1">IF(ROWS($1:73)&gt;COUNT(Dong1),"",IF(OFFSET(TH!N$1,SMALL(Dong1,ROWS($1:73)),)="1111",OFFSET(TH!D$1,SMALL(Dong1,ROWS($1:73)),),""))</f>
        <v/>
      </c>
      <c r="D86" s="159" t="str">
        <f ca="1">IF(ROWS($1:73)&gt;COUNT(Dong1),"",IF(OFFSET(TH!O$1,SMALL(Dong1,ROWS($1:73)),)="1111",OFFSET(TH!D$1,SMALL(Dong1,ROWS($1:73)),),""))</f>
        <v/>
      </c>
      <c r="E86" s="351" t="str">
        <f ca="1">IF(ROWS($1:73)&gt;COUNT(Dong1),"",OFFSET(TH!F$1,SMALL(Dong1,ROWS($1:73)),))</f>
        <v/>
      </c>
      <c r="F86" s="161" t="str">
        <f ca="1">IF(ROWS($1:73)&gt;COUNT(Dong1),"",IF(OFFSET(TH!O$1,SMALL(Dong1,ROWS($1:73)),)="1111",OFFSET(TH!N$1,SMALL(Dong1,ROWS($1:73)),),OFFSET(TH!O$1,SMALL(Dong1,ROWS($1:73)),)))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IF(ROWS($1:73)&gt;COUNT(Dong1),"",IF(OFFSET(TH!O$1,SMALL(Dong1,ROWS($1:73)),)="1111",OFFSET(TH!M$1,SMALL(Dong1,ROWS($1:73)),),0))</f>
        <v/>
      </c>
      <c r="I86" s="158">
        <f t="shared" ca="1" si="2"/>
        <v>0</v>
      </c>
      <c r="J86" s="163"/>
    </row>
    <row r="87" spans="1:10" ht="19.5" customHeight="1">
      <c r="A87" s="157" t="str">
        <f ca="1">IF(ROWS($1:74)&gt;COUNT(Dong1),"",OFFSET(TH!C$1,SMALL(Dong1,ROWS($1:74)),))</f>
        <v/>
      </c>
      <c r="B87" s="157" t="str">
        <f ca="1">IF(ROWS($1:74)&gt;COUNT(Dong1),"",OFFSET(TH!E$1,SMALL(Dong1,ROWS($1:74)),))</f>
        <v/>
      </c>
      <c r="C87" s="158" t="str">
        <f ca="1">IF(ROWS($1:74)&gt;COUNT(Dong1),"",IF(OFFSET(TH!N$1,SMALL(Dong1,ROWS($1:74)),)="1111",OFFSET(TH!D$1,SMALL(Dong1,ROWS($1:74)),),""))</f>
        <v/>
      </c>
      <c r="D87" s="159" t="str">
        <f ca="1">IF(ROWS($1:74)&gt;COUNT(Dong1),"",IF(OFFSET(TH!O$1,SMALL(Dong1,ROWS($1:74)),)="1111",OFFSET(TH!D$1,SMALL(Dong1,ROWS($1:74)),),""))</f>
        <v/>
      </c>
      <c r="E87" s="351" t="str">
        <f ca="1">IF(ROWS($1:74)&gt;COUNT(Dong1),"",OFFSET(TH!F$1,SMALL(Dong1,ROWS($1:74)),))</f>
        <v/>
      </c>
      <c r="F87" s="161" t="str">
        <f ca="1">IF(ROWS($1:74)&gt;COUNT(Dong1),"",IF(OFFSET(TH!O$1,SMALL(Dong1,ROWS($1:74)),)="1111",OFFSET(TH!N$1,SMALL(Dong1,ROWS($1:74)),),OFFSET(TH!O$1,SMALL(Dong1,ROWS($1:74)),)))</f>
        <v/>
      </c>
      <c r="G87" s="162" t="str">
        <f ca="1">IF(ROWS($1:74)&gt;COUNT(Dong1),"",IF(OFFSET(TH!N$1,SMALL(Dong1,ROWS($1:74)),)="1111",OFFSET(TH!M$1,SMALL(Dong1,ROWS($1:74)),),0))</f>
        <v/>
      </c>
      <c r="H87" s="160" t="str">
        <f ca="1">IF(ROWS($1:74)&gt;COUNT(Dong1),"",IF(OFFSET(TH!O$1,SMALL(Dong1,ROWS($1:74)),)="1111",OFFSET(TH!M$1,SMALL(Dong1,ROWS($1:74)),),0))</f>
        <v/>
      </c>
      <c r="I87" s="158">
        <f t="shared" ca="1" si="2"/>
        <v>0</v>
      </c>
      <c r="J87" s="163"/>
    </row>
    <row r="88" spans="1:10" ht="19.5" customHeight="1">
      <c r="A88" s="157" t="str">
        <f ca="1">IF(ROWS($1:75)&gt;COUNT(Dong1),"",OFFSET(TH!C$1,SMALL(Dong1,ROWS($1:75)),))</f>
        <v/>
      </c>
      <c r="B88" s="157" t="str">
        <f ca="1">IF(ROWS($1:75)&gt;COUNT(Dong1),"",OFFSET(TH!E$1,SMALL(Dong1,ROWS($1:75)),))</f>
        <v/>
      </c>
      <c r="C88" s="158" t="str">
        <f ca="1">IF(ROWS($1:75)&gt;COUNT(Dong1),"",IF(OFFSET(TH!N$1,SMALL(Dong1,ROWS($1:75)),)="1111",OFFSET(TH!D$1,SMALL(Dong1,ROWS($1:75)),),""))</f>
        <v/>
      </c>
      <c r="D88" s="159" t="str">
        <f ca="1">IF(ROWS($1:75)&gt;COUNT(Dong1),"",IF(OFFSET(TH!O$1,SMALL(Dong1,ROWS($1:75)),)="1111",OFFSET(TH!D$1,SMALL(Dong1,ROWS($1:75)),),""))</f>
        <v/>
      </c>
      <c r="E88" s="351" t="str">
        <f ca="1">IF(ROWS($1:75)&gt;COUNT(Dong1),"",OFFSET(TH!F$1,SMALL(Dong1,ROWS($1:75)),))</f>
        <v/>
      </c>
      <c r="F88" s="161" t="str">
        <f ca="1">IF(ROWS($1:75)&gt;COUNT(Dong1),"",IF(OFFSET(TH!O$1,SMALL(Dong1,ROWS($1:75)),)="1111",OFFSET(TH!N$1,SMALL(Dong1,ROWS($1:75)),),OFFSET(TH!O$1,SMALL(Dong1,ROWS($1:75)),)))</f>
        <v/>
      </c>
      <c r="G88" s="162" t="str">
        <f ca="1">IF(ROWS($1:75)&gt;COUNT(Dong1),"",IF(OFFSET(TH!N$1,SMALL(Dong1,ROWS($1:75)),)="1111",OFFSET(TH!M$1,SMALL(Dong1,ROWS($1:75)),),0))</f>
        <v/>
      </c>
      <c r="H88" s="160" t="str">
        <f ca="1">IF(ROWS($1:75)&gt;COUNT(Dong1),"",IF(OFFSET(TH!O$1,SMALL(Dong1,ROWS($1:75)),)="1111",OFFSET(TH!M$1,SMALL(Dong1,ROWS($1:75)),),0))</f>
        <v/>
      </c>
      <c r="I88" s="158">
        <f t="shared" ca="1" si="2"/>
        <v>0</v>
      </c>
      <c r="J88" s="163"/>
    </row>
    <row r="89" spans="1:10" ht="19.5" customHeight="1">
      <c r="A89" s="157" t="str">
        <f ca="1">IF(ROWS($1:76)&gt;COUNT(Dong1),"",OFFSET(TH!C$1,SMALL(Dong1,ROWS($1:76)),))</f>
        <v/>
      </c>
      <c r="B89" s="157" t="str">
        <f ca="1">IF(ROWS($1:76)&gt;COUNT(Dong1),"",OFFSET(TH!E$1,SMALL(Dong1,ROWS($1:76)),))</f>
        <v/>
      </c>
      <c r="C89" s="158" t="str">
        <f ca="1">IF(ROWS($1:76)&gt;COUNT(Dong1),"",IF(OFFSET(TH!N$1,SMALL(Dong1,ROWS($1:76)),)="1111",OFFSET(TH!D$1,SMALL(Dong1,ROWS($1:76)),),""))</f>
        <v/>
      </c>
      <c r="D89" s="159" t="str">
        <f ca="1">IF(ROWS($1:76)&gt;COUNT(Dong1),"",IF(OFFSET(TH!O$1,SMALL(Dong1,ROWS($1:76)),)="1111",OFFSET(TH!D$1,SMALL(Dong1,ROWS($1:76)),),""))</f>
        <v/>
      </c>
      <c r="E89" s="351" t="str">
        <f ca="1">IF(ROWS($1:76)&gt;COUNT(Dong1),"",OFFSET(TH!F$1,SMALL(Dong1,ROWS($1:76)),))</f>
        <v/>
      </c>
      <c r="F89" s="161" t="str">
        <f ca="1">IF(ROWS($1:76)&gt;COUNT(Dong1),"",IF(OFFSET(TH!O$1,SMALL(Dong1,ROWS($1:76)),)="1111",OFFSET(TH!N$1,SMALL(Dong1,ROWS($1:76)),),OFFSET(TH!O$1,SMALL(Dong1,ROWS($1:76)),)))</f>
        <v/>
      </c>
      <c r="G89" s="162" t="str">
        <f ca="1">IF(ROWS($1:76)&gt;COUNT(Dong1),"",IF(OFFSET(TH!N$1,SMALL(Dong1,ROWS($1:76)),)="1111",OFFSET(TH!M$1,SMALL(Dong1,ROWS($1:76)),),0))</f>
        <v/>
      </c>
      <c r="H89" s="160" t="str">
        <f ca="1">IF(ROWS($1:76)&gt;COUNT(Dong1),"",IF(OFFSET(TH!O$1,SMALL(Dong1,ROWS($1:76)),)="1111",OFFSET(TH!M$1,SMALL(Dong1,ROWS($1:76)),),0))</f>
        <v/>
      </c>
      <c r="I89" s="158">
        <f t="shared" ca="1" si="2"/>
        <v>0</v>
      </c>
      <c r="J89" s="163"/>
    </row>
    <row r="90" spans="1:10" ht="19.5" customHeight="1">
      <c r="A90" s="157" t="str">
        <f ca="1">IF(ROWS($1:77)&gt;COUNT(Dong1),"",OFFSET(TH!C$1,SMALL(Dong1,ROWS($1:77)),))</f>
        <v/>
      </c>
      <c r="B90" s="157" t="str">
        <f ca="1">IF(ROWS($1:77)&gt;COUNT(Dong1),"",OFFSET(TH!E$1,SMALL(Dong1,ROWS($1:77)),))</f>
        <v/>
      </c>
      <c r="C90" s="158" t="str">
        <f ca="1">IF(ROWS($1:77)&gt;COUNT(Dong1),"",IF(OFFSET(TH!N$1,SMALL(Dong1,ROWS($1:77)),)="1111",OFFSET(TH!D$1,SMALL(Dong1,ROWS($1:77)),),""))</f>
        <v/>
      </c>
      <c r="D90" s="159" t="str">
        <f ca="1">IF(ROWS($1:77)&gt;COUNT(Dong1),"",IF(OFFSET(TH!O$1,SMALL(Dong1,ROWS($1:77)),)="1111",OFFSET(TH!D$1,SMALL(Dong1,ROWS($1:77)),),""))</f>
        <v/>
      </c>
      <c r="E90" s="351" t="str">
        <f ca="1">IF(ROWS($1:77)&gt;COUNT(Dong1),"",OFFSET(TH!F$1,SMALL(Dong1,ROWS($1:77)),))</f>
        <v/>
      </c>
      <c r="F90" s="161" t="str">
        <f ca="1">IF(ROWS($1:77)&gt;COUNT(Dong1),"",IF(OFFSET(TH!O$1,SMALL(Dong1,ROWS($1:77)),)="1111",OFFSET(TH!N$1,SMALL(Dong1,ROWS($1:77)),),OFFSET(TH!O$1,SMALL(Dong1,ROWS($1:77)),)))</f>
        <v/>
      </c>
      <c r="G90" s="162" t="str">
        <f ca="1">IF(ROWS($1:77)&gt;COUNT(Dong1),"",IF(OFFSET(TH!N$1,SMALL(Dong1,ROWS($1:77)),)="1111",OFFSET(TH!M$1,SMALL(Dong1,ROWS($1:77)),),0))</f>
        <v/>
      </c>
      <c r="H90" s="160" t="str">
        <f ca="1">IF(ROWS($1:77)&gt;COUNT(Dong1),"",IF(OFFSET(TH!O$1,SMALL(Dong1,ROWS($1:77)),)="1111",OFFSET(TH!M$1,SMALL(Dong1,ROWS($1:77)),),0))</f>
        <v/>
      </c>
      <c r="I90" s="158">
        <f t="shared" ca="1" si="2"/>
        <v>0</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51"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51"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51"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51"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51"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51"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51"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51"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51"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51"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51"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51"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51"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51"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51"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51"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51"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51"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51"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51"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51"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51"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51"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51"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51"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51"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51"/>
      <c r="F117" s="161"/>
      <c r="G117" s="162"/>
      <c r="H117" s="160"/>
      <c r="I117" s="158"/>
      <c r="J117" s="163"/>
    </row>
    <row r="118" spans="1:12" ht="19.5" customHeight="1">
      <c r="A118" s="157"/>
      <c r="B118" s="157"/>
      <c r="C118" s="158"/>
      <c r="D118" s="159"/>
      <c r="E118" s="351"/>
      <c r="F118" s="161"/>
      <c r="G118" s="162"/>
      <c r="H118" s="160"/>
      <c r="I118" s="158"/>
      <c r="J118" s="163"/>
    </row>
    <row r="119" spans="1:12" ht="19.5" customHeight="1">
      <c r="A119" s="157"/>
      <c r="B119" s="157"/>
      <c r="C119" s="158"/>
      <c r="D119" s="159"/>
      <c r="E119" s="351"/>
      <c r="F119" s="161"/>
      <c r="G119" s="162"/>
      <c r="H119" s="160"/>
      <c r="I119" s="158"/>
      <c r="J119" s="163"/>
    </row>
    <row r="120" spans="1:12" ht="19.5" customHeight="1">
      <c r="A120" s="164"/>
      <c r="B120" s="163"/>
      <c r="C120" s="163"/>
      <c r="D120" s="163"/>
      <c r="E120" s="352"/>
      <c r="F120" s="165"/>
      <c r="G120" s="163"/>
      <c r="H120" s="163"/>
      <c r="I120" s="158"/>
      <c r="J120" s="163"/>
    </row>
    <row r="121" spans="1:12" s="153" customFormat="1" ht="19.5" customHeight="1">
      <c r="A121" s="166"/>
      <c r="B121" s="166"/>
      <c r="C121" s="166"/>
      <c r="D121" s="166"/>
      <c r="E121" s="166" t="s">
        <v>158</v>
      </c>
      <c r="F121" s="167" t="s">
        <v>21</v>
      </c>
      <c r="G121" s="166">
        <f ca="1">SUM(G14:G120)</f>
        <v>0</v>
      </c>
      <c r="H121" s="166">
        <f ca="1">SUM(H14:H120)</f>
        <v>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39250509077.5</v>
      </c>
      <c r="J122" s="169" t="s">
        <v>21</v>
      </c>
    </row>
    <row r="123" spans="1:12">
      <c r="L123" s="388" t="s">
        <v>250</v>
      </c>
    </row>
    <row r="124" spans="1:12">
      <c r="A124" s="171" t="s">
        <v>233</v>
      </c>
      <c r="L124" s="388" t="s">
        <v>251</v>
      </c>
    </row>
    <row r="125" spans="1:12">
      <c r="A125" s="220" t="e">
        <f ca="1">"- Ngày mở sổ: "&amp;DAY($A$14)&amp;"/"&amp;MONTH($A$14)&amp;"/ 2015"</f>
        <v>#VALUE!</v>
      </c>
      <c r="L125" s="388" t="s">
        <v>160</v>
      </c>
    </row>
    <row r="126" spans="1:12">
      <c r="I126" s="308" t="str">
        <f>"Ngày "&amp;IF(OR($L$11=4,$L$11=6,$L$11=9,$L$11=11),"30",IF($L$11=2,"28","31"))&amp;" tháng "&amp;$L$11&amp;"  năm  2016 "</f>
        <v xml:space="preserve">Ngày 30 tháng 9  năm  2016 </v>
      </c>
      <c r="L126" s="388" t="s">
        <v>233</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9" t="s">
        <v>228</v>
      </c>
      <c r="I135" s="350"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B5" workbookViewId="0">
      <pane ySplit="7" topLeftCell="A12" activePane="bottomLeft" state="frozen"/>
      <selection activeCell="A5" sqref="A5"/>
      <selection pane="bottomLeft" activeCell="K14" sqref="K14"/>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16.42578125" style="212" customWidth="1"/>
    <col min="7" max="7" width="16.28515625" style="212" customWidth="1"/>
    <col min="8" max="8" width="17.140625" style="685"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19" width="12.7109375" style="212" customWidth="1"/>
    <col min="20" max="20" width="12" style="212" bestFit="1" customWidth="1"/>
    <col min="21" max="16384" width="9.140625" style="212"/>
  </cols>
  <sheetData>
    <row r="1" spans="1:20" s="177" customFormat="1" ht="16.5" customHeight="1">
      <c r="A1" s="124" t="s">
        <v>138</v>
      </c>
      <c r="B1" s="178"/>
      <c r="C1" s="179"/>
      <c r="F1" s="353"/>
      <c r="G1" s="355" t="s">
        <v>234</v>
      </c>
      <c r="H1" s="964"/>
      <c r="I1" s="353"/>
      <c r="K1" s="180"/>
      <c r="L1" s="180"/>
    </row>
    <row r="2" spans="1:20" s="177" customFormat="1" ht="16.5" customHeight="1">
      <c r="A2" s="357" t="s">
        <v>139</v>
      </c>
      <c r="B2" s="215"/>
      <c r="C2" s="215"/>
      <c r="D2" s="215"/>
      <c r="F2" s="354"/>
      <c r="G2" s="356" t="s">
        <v>235</v>
      </c>
      <c r="H2" s="965"/>
      <c r="I2" s="354"/>
      <c r="K2" s="181"/>
      <c r="L2" s="181"/>
    </row>
    <row r="3" spans="1:20" s="177" customFormat="1" ht="16.5" customHeight="1">
      <c r="A3" s="215"/>
      <c r="B3" s="215"/>
      <c r="C3" s="215"/>
      <c r="D3" s="215"/>
      <c r="F3" s="354"/>
      <c r="G3" s="356" t="s">
        <v>236</v>
      </c>
      <c r="H3" s="965"/>
      <c r="I3" s="354"/>
    </row>
    <row r="4" spans="1:20" s="177" customFormat="1" ht="19.5" customHeight="1">
      <c r="A4" s="1286" t="s">
        <v>165</v>
      </c>
      <c r="B4" s="1286"/>
      <c r="C4" s="1286"/>
      <c r="D4" s="1286"/>
      <c r="E4" s="1286"/>
      <c r="F4" s="1286"/>
      <c r="G4" s="1286"/>
      <c r="H4" s="1286"/>
      <c r="I4" s="1286"/>
    </row>
    <row r="5" spans="1:20" s="177" customFormat="1" ht="15">
      <c r="A5" s="1287" t="str">
        <f>"Nơi mở tài khoản giao dịch: "&amp;IF($M$9="Q11","Ngân Hàng Eximbank Quận 11",IF($M$9="Q4","Ngân Hàng Eximbank Quận 4","Ngân Hàng PV Combank - CN Gia Định"))</f>
        <v>Nơi mở tài khoản giao dịch: Ngân Hàng Eximbank Quận 4</v>
      </c>
      <c r="B5" s="1287"/>
      <c r="C5" s="1287"/>
      <c r="D5" s="1287"/>
      <c r="E5" s="1287"/>
      <c r="F5" s="1287"/>
      <c r="G5" s="1287"/>
      <c r="H5" s="1287"/>
      <c r="I5" s="1287"/>
    </row>
    <row r="6" spans="1:20" s="177" customFormat="1" ht="15">
      <c r="D6" s="410" t="s">
        <v>268</v>
      </c>
      <c r="E6" s="1287" t="str">
        <f>IF($H$6="VNĐ",IF($M$9="Q11","1015 148 5100 9180",IF($M$9="Q4","1402 148 5100 9465","0000 0000 6072")),IF($M$9="Q11","1015 148 5100 9193",IF($M$9="Q4","1402 148 5100 9479","3700 0000 6072")))</f>
        <v>1402 148 5100 9479</v>
      </c>
      <c r="F6" s="1287"/>
      <c r="G6" s="1287"/>
      <c r="H6" s="966" t="s">
        <v>226</v>
      </c>
      <c r="I6" s="411" t="str">
        <f>IF(H6="VNĐ","1121",IF(H6="USD","1122",""))</f>
        <v>1122</v>
      </c>
      <c r="O6" s="1284" t="s">
        <v>641</v>
      </c>
      <c r="P6" s="1284" t="s">
        <v>640</v>
      </c>
      <c r="Q6" s="1284" t="s">
        <v>639</v>
      </c>
      <c r="R6" s="1288" t="s">
        <v>813</v>
      </c>
      <c r="S6" s="1284" t="s">
        <v>644</v>
      </c>
    </row>
    <row r="7" spans="1:20" s="177" customFormat="1" ht="8.25" customHeight="1">
      <c r="A7" s="182"/>
      <c r="B7" s="183"/>
      <c r="C7" s="182"/>
      <c r="D7" s="183"/>
      <c r="E7" s="183"/>
      <c r="F7" s="183"/>
      <c r="G7" s="183"/>
      <c r="H7" s="967"/>
      <c r="I7" s="183"/>
      <c r="O7" s="1285"/>
      <c r="P7" s="1285"/>
      <c r="Q7" s="1285"/>
      <c r="R7" s="1289"/>
      <c r="S7" s="1285"/>
    </row>
    <row r="8" spans="1:20" s="184" customFormat="1" ht="22.5" customHeight="1" thickBot="1">
      <c r="A8" s="1292" t="s">
        <v>166</v>
      </c>
      <c r="B8" s="1294" t="s">
        <v>1</v>
      </c>
      <c r="C8" s="1295"/>
      <c r="D8" s="1290" t="s">
        <v>0</v>
      </c>
      <c r="E8" s="1296" t="s">
        <v>16</v>
      </c>
      <c r="F8" s="1294" t="s">
        <v>167</v>
      </c>
      <c r="G8" s="1294"/>
      <c r="H8" s="1295"/>
      <c r="I8" s="1290" t="s">
        <v>152</v>
      </c>
      <c r="K8" s="175"/>
      <c r="L8" s="177"/>
      <c r="O8" s="786" t="s">
        <v>643</v>
      </c>
      <c r="P8" s="400">
        <v>18.63</v>
      </c>
      <c r="Q8" s="400">
        <v>25.49</v>
      </c>
      <c r="R8" s="400">
        <v>280.35000000000002</v>
      </c>
      <c r="S8" s="400">
        <v>0</v>
      </c>
      <c r="T8" s="788">
        <f>SUM(P8:S8)</f>
        <v>324.47000000000003</v>
      </c>
    </row>
    <row r="9" spans="1:20" s="184" customFormat="1" ht="22.5" customHeight="1" thickBot="1">
      <c r="A9" s="1293"/>
      <c r="B9" s="185" t="s">
        <v>17</v>
      </c>
      <c r="C9" s="186" t="s">
        <v>168</v>
      </c>
      <c r="D9" s="1291"/>
      <c r="E9" s="1297"/>
      <c r="F9" s="395" t="s">
        <v>169</v>
      </c>
      <c r="G9" s="187" t="s">
        <v>170</v>
      </c>
      <c r="H9" s="968" t="s">
        <v>171</v>
      </c>
      <c r="I9" s="1291"/>
      <c r="K9" s="783">
        <v>2</v>
      </c>
      <c r="L9" s="177"/>
      <c r="M9" s="784" t="s">
        <v>639</v>
      </c>
      <c r="O9" s="785" t="s">
        <v>642</v>
      </c>
      <c r="P9" s="787">
        <v>3051780</v>
      </c>
      <c r="Q9" s="787">
        <v>2167691</v>
      </c>
      <c r="R9" s="787">
        <v>4052956</v>
      </c>
      <c r="S9" s="787">
        <v>109992</v>
      </c>
      <c r="T9" s="789">
        <f>SUM(P9:S9)</f>
        <v>9382419</v>
      </c>
    </row>
    <row r="10" spans="1:20" s="190" customFormat="1" ht="15">
      <c r="A10" s="188" t="s">
        <v>2</v>
      </c>
      <c r="B10" s="189" t="s">
        <v>3</v>
      </c>
      <c r="C10" s="188" t="s">
        <v>4</v>
      </c>
      <c r="D10" s="189" t="s">
        <v>5</v>
      </c>
      <c r="E10" s="189" t="s">
        <v>6</v>
      </c>
      <c r="F10" s="189">
        <v>1</v>
      </c>
      <c r="G10" s="189">
        <v>2</v>
      </c>
      <c r="H10" s="189">
        <v>3</v>
      </c>
      <c r="I10" s="189" t="s">
        <v>155</v>
      </c>
      <c r="L10" s="177"/>
    </row>
    <row r="11" spans="1:20" s="194" customFormat="1" ht="20.25" customHeight="1">
      <c r="A11" s="191"/>
      <c r="B11" s="192"/>
      <c r="C11" s="191"/>
      <c r="D11" s="193" t="s">
        <v>7</v>
      </c>
      <c r="E11" s="193"/>
      <c r="F11" s="790"/>
      <c r="G11" s="790"/>
      <c r="H11" s="790">
        <f>IF($H$6="USD",IF($M$9="Q11",$P$8,IF($M$9="Q4",$Q$8,$R$8))+SUMIF(_N112,"x",_TH)-SUMIF(_C112,"x",_TH),IF($M$9="Q11",$P$9,IF($M$9="Q4",$Q$9,$R$9))+SUMIF(_N112,"x",TH)-SUMIF(_C112,"x",TH))</f>
        <v>51.019999999996799</v>
      </c>
      <c r="I11" s="790"/>
      <c r="L11" s="177"/>
    </row>
    <row r="12" spans="1:20" s="184" customFormat="1" ht="20.25" customHeight="1">
      <c r="A12" s="195">
        <f ca="1">IF(ROWS($1:1)&gt;COUNT(Dong2),"",OFFSET(TH!C$1,SMALL(Dong2,ROWS($1:1)),))</f>
        <v>42793</v>
      </c>
      <c r="B12" s="195" t="str">
        <f ca="1">IF(ROWS($1:1)&gt;COUNT(Dong2),"",OFFSET(TH!D$1,SMALL(Dong2,ROWS($1:1)),))</f>
        <v>GBC</v>
      </c>
      <c r="C12" s="195">
        <f ca="1">IF(ROWS($1:1)&gt;COUNT(Dong2),"",OFFSET(TH!E$1,SMALL(Dong2,ROWS($1:1)),))</f>
        <v>42793</v>
      </c>
      <c r="D12" s="358" t="str">
        <f ca="1">IF(ROWS($1:1)&gt;COUNT(Dong2),"",OFFSET(TH!F$1,SMALL(Dong2,ROWS($1:1)),))</f>
        <v>Bán NT</v>
      </c>
      <c r="E12" s="195" t="str">
        <f ca="1">IF(ROWS($1:1)&gt;COUNT(Dong2),"",IF(OFFSET(TH!O$1,SMALL(Dong2,ROWS($1:1)),)=$I$6,OFFSET(TH!N$1,SMALL(Dong2,ROWS($1:1)),),OFFSET(TH!O$1,SMALL(Dong2,ROWS($1:1)),)))</f>
        <v>1121</v>
      </c>
      <c r="F12" s="976">
        <f ca="1">IF(ROWS($1:1)&gt;COUNT(Dong2),"",IF(AND(IF($M$9="Q11",LEFT(OFFSET(TH!G$1,SMALL(Dong2,ROWS($1:1)),),3)=$M$9,LEFT(OFFSET(TH!G$1,SMALL(Dong2,ROWS($1:1)),),2)=$M$9),OFFSET(TH!N$1,SMALL(Dong2,ROWS($1:1)),)=$I$6),IF($I$6="1121",OFFSET(TH!M$1,SMALL(Dong2,ROWS($1:1)),),OFFSET(TH!K$1,SMALL(Dong2,ROWS($1:1)),)),0))</f>
        <v>0</v>
      </c>
      <c r="G12" s="976">
        <f ca="1">IF(ROWS($1:1)&gt;COUNT(Dong2),"",IF(AND(IF($M$9="Q11",RIGHT(OFFSET(TH!G$1,SMALL(Dong2,ROWS($1:1)),),3)=$M$9,RIGHT(OFFSET(TH!G$1,SMALL(Dong2,ROWS($1:1)),),2)=$M$9),OFFSET(TH!O$1,SMALL(Dong2,ROWS($1:1)),)=$I$6),IF($I$6="1121",OFFSET(TH!M$1,SMALL(Dong2,ROWS($1:1)),),OFFSET(TH!K$1,SMALL(Dong2,ROWS($1:1)),)),0))</f>
        <v>450000</v>
      </c>
      <c r="H12" s="791">
        <f ca="1">IF(A12&lt;&gt;"",H11+F12-G12,0)</f>
        <v>-449948.98</v>
      </c>
      <c r="I12" s="791"/>
      <c r="L12" s="177"/>
    </row>
    <row r="13" spans="1:20" s="184" customFormat="1" ht="20.25" customHeight="1">
      <c r="A13" s="195">
        <f ca="1">IF(ROWS($1:2)&gt;COUNT(Dong2),"",OFFSET(TH!C$1,SMALL(Dong2,ROWS($1:2)),))</f>
        <v>42774</v>
      </c>
      <c r="B13" s="195" t="str">
        <f ca="1">IF(ROWS($1:2)&gt;COUNT(Dong2),"",OFFSET(TH!D$1,SMALL(Dong2,ROWS($1:2)),))</f>
        <v>GBN</v>
      </c>
      <c r="C13" s="195">
        <f ca="1">IF(ROWS($1:2)&gt;COUNT(Dong2),"",OFFSET(TH!E$1,SMALL(Dong2,ROWS($1:2)),))</f>
        <v>42774</v>
      </c>
      <c r="D13" s="358" t="str">
        <f ca="1">IF(ROWS($1:2)&gt;COUNT(Dong2),"",OFFSET(TH!F$1,SMALL(Dong2,ROWS($1:2)),))</f>
        <v>Trả vay KU 1402LDS201601563</v>
      </c>
      <c r="E13" s="195" t="str">
        <f ca="1">IF(ROWS($1:2)&gt;COUNT(Dong2),"",IF(OFFSET(TH!O$1,SMALL(Dong2,ROWS($1:2)),)=$I$6,OFFSET(TH!N$1,SMALL(Dong2,ROWS($1:2)),),OFFSET(TH!O$1,SMALL(Dong2,ROWS($1:2)),)))</f>
        <v>3412</v>
      </c>
      <c r="F13" s="976">
        <f ca="1">IF(ROWS($1:2)&gt;COUNT(Dong2),"",IF(AND(IF($M$9="Q11",LEFT(OFFSET(TH!G$1,SMALL(Dong2,ROWS($1:2)),),3)=$M$9,LEFT(OFFSET(TH!G$1,SMALL(Dong2,ROWS($1:2)),),2)=$M$9),OFFSET(TH!N$1,SMALL(Dong2,ROWS($1:2)),)=$I$6),IF($I$6="1121",OFFSET(TH!M$1,SMALL(Dong2,ROWS($1:2)),),OFFSET(TH!K$1,SMALL(Dong2,ROWS($1:2)),)),0))</f>
        <v>0</v>
      </c>
      <c r="G13" s="976">
        <f ca="1">IF(ROWS($1:2)&gt;COUNT(Dong2),"",IF(AND(IF($M$9="Q11",RIGHT(OFFSET(TH!G$1,SMALL(Dong2,ROWS($1:2)),),3)=$M$9,RIGHT(OFFSET(TH!G$1,SMALL(Dong2,ROWS($1:2)),),2)=$M$9),OFFSET(TH!O$1,SMALL(Dong2,ROWS($1:2)),)=$I$6),IF($I$6="1121",OFFSET(TH!M$1,SMALL(Dong2,ROWS($1:2)),),OFFSET(TH!K$1,SMALL(Dong2,ROWS($1:2)),)),0))</f>
        <v>52300</v>
      </c>
      <c r="H13" s="791">
        <f t="shared" ref="H13:H37" ca="1" si="0">IF(A13&lt;&gt;"",H12+F13-G13,0)</f>
        <v>-502248.98</v>
      </c>
      <c r="I13" s="791"/>
      <c r="L13" s="177"/>
    </row>
    <row r="14" spans="1:20" s="184" customFormat="1" ht="20.25" customHeight="1">
      <c r="A14" s="195">
        <f ca="1">IF(ROWS($1:3)&gt;COUNT(Dong2),"",OFFSET(TH!C$1,SMALL(Dong2,ROWS($1:3)),))</f>
        <v>42774</v>
      </c>
      <c r="B14" s="195" t="str">
        <f ca="1">IF(ROWS($1:3)&gt;COUNT(Dong2),"",OFFSET(TH!D$1,SMALL(Dong2,ROWS($1:3)),))</f>
        <v>GBN</v>
      </c>
      <c r="C14" s="195">
        <f ca="1">IF(ROWS($1:3)&gt;COUNT(Dong2),"",OFFSET(TH!E$1,SMALL(Dong2,ROWS($1:3)),))</f>
        <v>42774</v>
      </c>
      <c r="D14" s="358" t="str">
        <f ca="1">IF(ROWS($1:3)&gt;COUNT(Dong2),"",OFFSET(TH!F$1,SMALL(Dong2,ROWS($1:3)),))</f>
        <v>Trả lãi vay</v>
      </c>
      <c r="E14" s="195" t="str">
        <f ca="1">IF(ROWS($1:3)&gt;COUNT(Dong2),"",IF(OFFSET(TH!O$1,SMALL(Dong2,ROWS($1:3)),)=$I$6,OFFSET(TH!N$1,SMALL(Dong2,ROWS($1:3)),),OFFSET(TH!O$1,SMALL(Dong2,ROWS($1:3)),)))</f>
        <v>635</v>
      </c>
      <c r="F14" s="976">
        <f ca="1">IF(ROWS($1:3)&gt;COUNT(Dong2),"",IF(AND(IF($M$9="Q11",LEFT(OFFSET(TH!G$1,SMALL(Dong2,ROWS($1:3)),),3)=$M$9,LEFT(OFFSET(TH!G$1,SMALL(Dong2,ROWS($1:3)),),2)=$M$9),OFFSET(TH!N$1,SMALL(Dong2,ROWS($1:3)),)=$I$6),IF($I$6="1121",OFFSET(TH!M$1,SMALL(Dong2,ROWS($1:3)),),OFFSET(TH!K$1,SMALL(Dong2,ROWS($1:3)),)),0))</f>
        <v>0</v>
      </c>
      <c r="G14" s="976">
        <f ca="1">IF(ROWS($1:3)&gt;COUNT(Dong2),"",IF(AND(IF($M$9="Q11",RIGHT(OFFSET(TH!G$1,SMALL(Dong2,ROWS($1:3)),),3)=$M$9,RIGHT(OFFSET(TH!G$1,SMALL(Dong2,ROWS($1:3)),),2)=$M$9),OFFSET(TH!O$1,SMALL(Dong2,ROWS($1:3)),)=$I$6),IF($I$6="1121",OFFSET(TH!M$1,SMALL(Dong2,ROWS($1:3)),),OFFSET(TH!K$1,SMALL(Dong2,ROWS($1:3)),)),0))</f>
        <v>111.14</v>
      </c>
      <c r="H14" s="791">
        <f t="shared" ca="1" si="0"/>
        <v>-502360.12</v>
      </c>
      <c r="I14" s="791"/>
      <c r="L14" s="177"/>
    </row>
    <row r="15" spans="1:20" s="184" customFormat="1" ht="20.25" customHeight="1">
      <c r="A15" s="195">
        <f ca="1">IF(ROWS($1:4)&gt;COUNT(Dong2),"",OFFSET(TH!C$1,SMALL(Dong2,ROWS($1:4)),))</f>
        <v>42781</v>
      </c>
      <c r="B15" s="195" t="str">
        <f ca="1">IF(ROWS($1:4)&gt;COUNT(Dong2),"",OFFSET(TH!D$1,SMALL(Dong2,ROWS($1:4)),))</f>
        <v>GBN</v>
      </c>
      <c r="C15" s="195">
        <f ca="1">IF(ROWS($1:4)&gt;COUNT(Dong2),"",OFFSET(TH!E$1,SMALL(Dong2,ROWS($1:4)),))</f>
        <v>42781</v>
      </c>
      <c r="D15" s="358" t="str">
        <f ca="1">IF(ROWS($1:4)&gt;COUNT(Dong2),"",OFFSET(TH!F$1,SMALL(Dong2,ROWS($1:4)),))</f>
        <v>Trả lãi vay</v>
      </c>
      <c r="E15" s="195" t="str">
        <f ca="1">IF(ROWS($1:4)&gt;COUNT(Dong2),"",IF(OFFSET(TH!O$1,SMALL(Dong2,ROWS($1:4)),)=$I$6,OFFSET(TH!N$1,SMALL(Dong2,ROWS($1:4)),),OFFSET(TH!O$1,SMALL(Dong2,ROWS($1:4)),)))</f>
        <v>635</v>
      </c>
      <c r="F15" s="976">
        <f ca="1">IF(ROWS($1:4)&gt;COUNT(Dong2),"",IF(AND(IF($M$9="Q11",LEFT(OFFSET(TH!G$1,SMALL(Dong2,ROWS($1:4)),),3)=$M$9,LEFT(OFFSET(TH!G$1,SMALL(Dong2,ROWS($1:4)),),2)=$M$9),OFFSET(TH!N$1,SMALL(Dong2,ROWS($1:4)),)=$I$6),IF($I$6="1121",OFFSET(TH!M$1,SMALL(Dong2,ROWS($1:4)),),OFFSET(TH!K$1,SMALL(Dong2,ROWS($1:4)),)),0))</f>
        <v>0</v>
      </c>
      <c r="G15" s="976">
        <f ca="1">IF(ROWS($1:4)&gt;COUNT(Dong2),"",IF(AND(IF($M$9="Q11",RIGHT(OFFSET(TH!G$1,SMALL(Dong2,ROWS($1:4)),),3)=$M$9,RIGHT(OFFSET(TH!G$1,SMALL(Dong2,ROWS($1:4)),),2)=$M$9),OFFSET(TH!O$1,SMALL(Dong2,ROWS($1:4)),)=$I$6),IF($I$6="1121",OFFSET(TH!M$1,SMALL(Dong2,ROWS($1:4)),),OFFSET(TH!K$1,SMALL(Dong2,ROWS($1:4)),)),0))</f>
        <v>240.25</v>
      </c>
      <c r="H15" s="791">
        <f t="shared" ca="1" si="0"/>
        <v>-502600.37</v>
      </c>
      <c r="I15" s="791"/>
      <c r="L15" s="177"/>
    </row>
    <row r="16" spans="1:20" s="184" customFormat="1" ht="20.25" customHeight="1">
      <c r="A16" s="195">
        <f ca="1">IF(ROWS($1:5)&gt;COUNT(Dong2),"",OFFSET(TH!C$1,SMALL(Dong2,ROWS($1:5)),))</f>
        <v>42781</v>
      </c>
      <c r="B16" s="195" t="str">
        <f ca="1">IF(ROWS($1:5)&gt;COUNT(Dong2),"",OFFSET(TH!D$1,SMALL(Dong2,ROWS($1:5)),))</f>
        <v>GBN</v>
      </c>
      <c r="C16" s="195">
        <f ca="1">IF(ROWS($1:5)&gt;COUNT(Dong2),"",OFFSET(TH!E$1,SMALL(Dong2,ROWS($1:5)),))</f>
        <v>42781</v>
      </c>
      <c r="D16" s="358" t="str">
        <f ca="1">IF(ROWS($1:5)&gt;COUNT(Dong2),"",OFFSET(TH!F$1,SMALL(Dong2,ROWS($1:5)),))</f>
        <v>Trả lãi vay</v>
      </c>
      <c r="E16" s="195" t="str">
        <f ca="1">IF(ROWS($1:5)&gt;COUNT(Dong2),"",IF(OFFSET(TH!O$1,SMALL(Dong2,ROWS($1:5)),)=$I$6,OFFSET(TH!N$1,SMALL(Dong2,ROWS($1:5)),),OFFSET(TH!O$1,SMALL(Dong2,ROWS($1:5)),)))</f>
        <v>635</v>
      </c>
      <c r="F16" s="976">
        <f ca="1">IF(ROWS($1:5)&gt;COUNT(Dong2),"",IF(AND(IF($M$9="Q11",LEFT(OFFSET(TH!G$1,SMALL(Dong2,ROWS($1:5)),),3)=$M$9,LEFT(OFFSET(TH!G$1,SMALL(Dong2,ROWS($1:5)),),2)=$M$9),OFFSET(TH!N$1,SMALL(Dong2,ROWS($1:5)),)=$I$6),IF($I$6="1121",OFFSET(TH!M$1,SMALL(Dong2,ROWS($1:5)),),OFFSET(TH!K$1,SMALL(Dong2,ROWS($1:5)),)),0))</f>
        <v>0</v>
      </c>
      <c r="G16" s="976">
        <f ca="1">IF(ROWS($1:5)&gt;COUNT(Dong2),"",IF(AND(IF($M$9="Q11",RIGHT(OFFSET(TH!G$1,SMALL(Dong2,ROWS($1:5)),),3)=$M$9,RIGHT(OFFSET(TH!G$1,SMALL(Dong2,ROWS($1:5)),),2)=$M$9),OFFSET(TH!O$1,SMALL(Dong2,ROWS($1:5)),)=$I$6),IF($I$6="1121",OFFSET(TH!M$1,SMALL(Dong2,ROWS($1:5)),),OFFSET(TH!K$1,SMALL(Dong2,ROWS($1:5)),)),0))</f>
        <v>151.77000000000001</v>
      </c>
      <c r="H16" s="791">
        <f t="shared" ca="1" si="0"/>
        <v>-502752.14</v>
      </c>
      <c r="I16" s="791"/>
      <c r="L16" s="177"/>
    </row>
    <row r="17" spans="1:15" s="184" customFormat="1" ht="20.25" customHeight="1">
      <c r="A17" s="195">
        <f ca="1">IF(ROWS($1:6)&gt;COUNT(Dong2),"",OFFSET(TH!C$1,SMALL(Dong2,ROWS($1:6)),))</f>
        <v>42781</v>
      </c>
      <c r="B17" s="195" t="str">
        <f ca="1">IF(ROWS($1:6)&gt;COUNT(Dong2),"",OFFSET(TH!D$1,SMALL(Dong2,ROWS($1:6)),))</f>
        <v>GBN</v>
      </c>
      <c r="C17" s="195">
        <f ca="1">IF(ROWS($1:6)&gt;COUNT(Dong2),"",OFFSET(TH!E$1,SMALL(Dong2,ROWS($1:6)),))</f>
        <v>42781</v>
      </c>
      <c r="D17" s="358" t="str">
        <f ca="1">IF(ROWS($1:6)&gt;COUNT(Dong2),"",OFFSET(TH!F$1,SMALL(Dong2,ROWS($1:6)),))</f>
        <v>Trả lãi vay</v>
      </c>
      <c r="E17" s="195" t="str">
        <f ca="1">IF(ROWS($1:6)&gt;COUNT(Dong2),"",IF(OFFSET(TH!O$1,SMALL(Dong2,ROWS($1:6)),)=$I$6,OFFSET(TH!N$1,SMALL(Dong2,ROWS($1:6)),),OFFSET(TH!O$1,SMALL(Dong2,ROWS($1:6)),)))</f>
        <v>635</v>
      </c>
      <c r="F17" s="976">
        <f ca="1">IF(ROWS($1:6)&gt;COUNT(Dong2),"",IF(AND(IF($M$9="Q11",LEFT(OFFSET(TH!G$1,SMALL(Dong2,ROWS($1:6)),),3)=$M$9,LEFT(OFFSET(TH!G$1,SMALL(Dong2,ROWS($1:6)),),2)=$M$9),OFFSET(TH!N$1,SMALL(Dong2,ROWS($1:6)),)=$I$6),IF($I$6="1121",OFFSET(TH!M$1,SMALL(Dong2,ROWS($1:6)),),OFFSET(TH!K$1,SMALL(Dong2,ROWS($1:6)),)),0))</f>
        <v>0</v>
      </c>
      <c r="G17" s="976">
        <f ca="1">IF(ROWS($1:6)&gt;COUNT(Dong2),"",IF(AND(IF($M$9="Q11",RIGHT(OFFSET(TH!G$1,SMALL(Dong2,ROWS($1:6)),),3)=$M$9,RIGHT(OFFSET(TH!G$1,SMALL(Dong2,ROWS($1:6)),),2)=$M$9),OFFSET(TH!O$1,SMALL(Dong2,ROWS($1:6)),)=$I$6),IF($I$6="1121",OFFSET(TH!M$1,SMALL(Dong2,ROWS($1:6)),),OFFSET(TH!K$1,SMALL(Dong2,ROWS($1:6)),)),0))</f>
        <v>116.46</v>
      </c>
      <c r="H17" s="791">
        <f t="shared" ca="1" si="0"/>
        <v>-502868.60000000003</v>
      </c>
      <c r="I17" s="791"/>
      <c r="L17" s="177"/>
    </row>
    <row r="18" spans="1:15" s="184" customFormat="1" ht="20.25" customHeight="1">
      <c r="A18" s="195">
        <f ca="1">IF(ROWS($1:7)&gt;COUNT(Dong2),"",OFFSET(TH!C$1,SMALL(Dong2,ROWS($1:7)),))</f>
        <v>42774</v>
      </c>
      <c r="B18" s="195" t="str">
        <f ca="1">IF(ROWS($1:7)&gt;COUNT(Dong2),"",OFFSET(TH!D$1,SMALL(Dong2,ROWS($1:7)),))</f>
        <v>GBN</v>
      </c>
      <c r="C18" s="195">
        <f ca="1">IF(ROWS($1:7)&gt;COUNT(Dong2),"",OFFSET(TH!E$1,SMALL(Dong2,ROWS($1:7)),))</f>
        <v>42774</v>
      </c>
      <c r="D18" s="358" t="str">
        <f ca="1">IF(ROWS($1:7)&gt;COUNT(Dong2),"",OFFSET(TH!F$1,SMALL(Dong2,ROWS($1:7)),))</f>
        <v>Chuyển NT</v>
      </c>
      <c r="E18" s="195" t="str">
        <f ca="1">IF(ROWS($1:7)&gt;COUNT(Dong2),"",IF(OFFSET(TH!O$1,SMALL(Dong2,ROWS($1:7)),)=$I$6,OFFSET(TH!N$1,SMALL(Dong2,ROWS($1:7)),),OFFSET(TH!O$1,SMALL(Dong2,ROWS($1:7)),)))</f>
        <v>1122</v>
      </c>
      <c r="F18" s="976">
        <f ca="1">IF(ROWS($1:7)&gt;COUNT(Dong2),"",IF(AND(IF($M$9="Q11",LEFT(OFFSET(TH!G$1,SMALL(Dong2,ROWS($1:7)),),3)=$M$9,LEFT(OFFSET(TH!G$1,SMALL(Dong2,ROWS($1:7)),),2)=$M$9),OFFSET(TH!N$1,SMALL(Dong2,ROWS($1:7)),)=$I$6),IF($I$6="1121",OFFSET(TH!M$1,SMALL(Dong2,ROWS($1:7)),),OFFSET(TH!K$1,SMALL(Dong2,ROWS($1:7)),)),0))</f>
        <v>53000</v>
      </c>
      <c r="G18" s="976">
        <f ca="1">IF(ROWS($1:7)&gt;COUNT(Dong2),"",IF(AND(IF($M$9="Q11",RIGHT(OFFSET(TH!G$1,SMALL(Dong2,ROWS($1:7)),),3)=$M$9,RIGHT(OFFSET(TH!G$1,SMALL(Dong2,ROWS($1:7)),),2)=$M$9),OFFSET(TH!O$1,SMALL(Dong2,ROWS($1:7)),)=$I$6),IF($I$6="1121",OFFSET(TH!M$1,SMALL(Dong2,ROWS($1:7)),),OFFSET(TH!K$1,SMALL(Dong2,ROWS($1:7)),)),0))</f>
        <v>0</v>
      </c>
      <c r="H18" s="791">
        <f t="shared" ca="1" si="0"/>
        <v>-449868.60000000003</v>
      </c>
      <c r="I18" s="791"/>
      <c r="L18" s="177"/>
    </row>
    <row r="19" spans="1:15" s="184" customFormat="1" ht="20.25" customHeight="1">
      <c r="A19" s="195">
        <f ca="1">IF(ROWS($1:8)&gt;COUNT(Dong2),"",OFFSET(TH!C$1,SMALL(Dong2,ROWS($1:8)),))</f>
        <v>42793</v>
      </c>
      <c r="B19" s="195" t="str">
        <f ca="1">IF(ROWS($1:8)&gt;COUNT(Dong2),"",OFFSET(TH!D$1,SMALL(Dong2,ROWS($1:8)),))</f>
        <v>GBN</v>
      </c>
      <c r="C19" s="195">
        <f ca="1">IF(ROWS($1:8)&gt;COUNT(Dong2),"",OFFSET(TH!E$1,SMALL(Dong2,ROWS($1:8)),))</f>
        <v>42793</v>
      </c>
      <c r="D19" s="358" t="str">
        <f ca="1">IF(ROWS($1:8)&gt;COUNT(Dong2),"",OFFSET(TH!F$1,SMALL(Dong2,ROWS($1:8)),))</f>
        <v>Chuyển NT</v>
      </c>
      <c r="E19" s="195" t="str">
        <f ca="1">IF(ROWS($1:8)&gt;COUNT(Dong2),"",IF(OFFSET(TH!O$1,SMALL(Dong2,ROWS($1:8)),)=$I$6,OFFSET(TH!N$1,SMALL(Dong2,ROWS($1:8)),),OFFSET(TH!O$1,SMALL(Dong2,ROWS($1:8)),)))</f>
        <v>1122</v>
      </c>
      <c r="F19" s="976">
        <f ca="1">IF(ROWS($1:8)&gt;COUNT(Dong2),"",IF(AND(IF($M$9="Q11",LEFT(OFFSET(TH!G$1,SMALL(Dong2,ROWS($1:8)),),3)=$M$9,LEFT(OFFSET(TH!G$1,SMALL(Dong2,ROWS($1:8)),),2)=$M$9),OFFSET(TH!N$1,SMALL(Dong2,ROWS($1:8)),)=$I$6),IF($I$6="1121",OFFSET(TH!M$1,SMALL(Dong2,ROWS($1:8)),),OFFSET(TH!K$1,SMALL(Dong2,ROWS($1:8)),)),0))</f>
        <v>450000</v>
      </c>
      <c r="G19" s="976">
        <f ca="1">IF(ROWS($1:8)&gt;COUNT(Dong2),"",IF(AND(IF($M$9="Q11",RIGHT(OFFSET(TH!G$1,SMALL(Dong2,ROWS($1:8)),),3)=$M$9,RIGHT(OFFSET(TH!G$1,SMALL(Dong2,ROWS($1:8)),),2)=$M$9),OFFSET(TH!O$1,SMALL(Dong2,ROWS($1:8)),)=$I$6),IF($I$6="1121",OFFSET(TH!M$1,SMALL(Dong2,ROWS($1:8)),),OFFSET(TH!K$1,SMALL(Dong2,ROWS($1:8)),)),0))</f>
        <v>0</v>
      </c>
      <c r="H19" s="791">
        <f t="shared" ca="1" si="0"/>
        <v>131.39999999996508</v>
      </c>
      <c r="I19" s="791"/>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8" t="str">
        <f ca="1">IF(ROWS($1:9)&gt;COUNT(Dong2),"",OFFSET(TH!F$1,SMALL(Dong2,ROWS($1:9)),))</f>
        <v/>
      </c>
      <c r="E20" s="195" t="str">
        <f ca="1">IF(ROWS($1:9)&gt;COUNT(Dong2),"",IF(OFFSET(TH!O$1,SMALL(Dong2,ROWS($1:9)),)=$I$6,OFFSET(TH!N$1,SMALL(Dong2,ROWS($1:9)),),OFFSET(TH!O$1,SMALL(Dong2,ROWS($1:9)),)))</f>
        <v/>
      </c>
      <c r="F20" s="976" t="str">
        <f ca="1">IF(ROWS($1:9)&gt;COUNT(Dong2),"",IF(AND(IF($M$9="Q11",LEFT(OFFSET(TH!G$1,SMALL(Dong2,ROWS($1:9)),),3)=$M$9,LEFT(OFFSET(TH!G$1,SMALL(Dong2,ROWS($1:9)),),2)=$M$9),OFFSET(TH!N$1,SMALL(Dong2,ROWS($1:9)),)=$I$6),IF($I$6="1121",OFFSET(TH!M$1,SMALL(Dong2,ROWS($1:9)),),OFFSET(TH!K$1,SMALL(Dong2,ROWS($1:9)),)),0))</f>
        <v/>
      </c>
      <c r="G20" s="976" t="str">
        <f ca="1">IF(ROWS($1:9)&gt;COUNT(Dong2),"",IF(AND(IF($M$9="Q11",RIGHT(OFFSET(TH!G$1,SMALL(Dong2,ROWS($1:9)),),3)=$M$9,RIGHT(OFFSET(TH!G$1,SMALL(Dong2,ROWS($1:9)),),2)=$M$9),OFFSET(TH!O$1,SMALL(Dong2,ROWS($1:9)),)=$I$6),IF($I$6="1121",OFFSET(TH!M$1,SMALL(Dong2,ROWS($1:9)),),OFFSET(TH!K$1,SMALL(Dong2,ROWS($1:9)),)),0))</f>
        <v/>
      </c>
      <c r="H20" s="791">
        <f t="shared" ca="1" si="0"/>
        <v>0</v>
      </c>
      <c r="I20" s="791"/>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8" t="str">
        <f ca="1">IF(ROWS($1:10)&gt;COUNT(Dong2),"",OFFSET(TH!F$1,SMALL(Dong2,ROWS($1:10)),))</f>
        <v/>
      </c>
      <c r="E21" s="195" t="str">
        <f ca="1">IF(ROWS($1:10)&gt;COUNT(Dong2),"",IF(OFFSET(TH!O$1,SMALL(Dong2,ROWS($1:10)),)=$I$6,OFFSET(TH!N$1,SMALL(Dong2,ROWS($1:10)),),OFFSET(TH!O$1,SMALL(Dong2,ROWS($1:10)),)))</f>
        <v/>
      </c>
      <c r="F21" s="976" t="str">
        <f ca="1">IF(ROWS($1:10)&gt;COUNT(Dong2),"",IF(AND(IF($M$9="Q11",LEFT(OFFSET(TH!G$1,SMALL(Dong2,ROWS($1:10)),),3)=$M$9,LEFT(OFFSET(TH!G$1,SMALL(Dong2,ROWS($1:10)),),2)=$M$9),OFFSET(TH!N$1,SMALL(Dong2,ROWS($1:10)),)=$I$6),IF($I$6="1121",OFFSET(TH!M$1,SMALL(Dong2,ROWS($1:10)),),OFFSET(TH!K$1,SMALL(Dong2,ROWS($1:10)),)),0))</f>
        <v/>
      </c>
      <c r="G21" s="976" t="str">
        <f ca="1">IF(ROWS($1:10)&gt;COUNT(Dong2),"",IF(AND(IF($M$9="Q11",RIGHT(OFFSET(TH!G$1,SMALL(Dong2,ROWS($1:10)),),3)=$M$9,RIGHT(OFFSET(TH!G$1,SMALL(Dong2,ROWS($1:10)),),2)=$M$9),OFFSET(TH!O$1,SMALL(Dong2,ROWS($1:10)),)=$I$6),IF($I$6="1121",OFFSET(TH!M$1,SMALL(Dong2,ROWS($1:10)),),OFFSET(TH!K$1,SMALL(Dong2,ROWS($1:10)),)),0))</f>
        <v/>
      </c>
      <c r="H21" s="791">
        <f t="shared" ca="1" si="0"/>
        <v>0</v>
      </c>
      <c r="I21" s="791"/>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8" t="str">
        <f ca="1">IF(ROWS($1:11)&gt;COUNT(Dong2),"",OFFSET(TH!F$1,SMALL(Dong2,ROWS($1:11)),))</f>
        <v/>
      </c>
      <c r="E22" s="195" t="str">
        <f ca="1">IF(ROWS($1:11)&gt;COUNT(Dong2),"",IF(OFFSET(TH!O$1,SMALL(Dong2,ROWS($1:11)),)=$I$6,OFFSET(TH!N$1,SMALL(Dong2,ROWS($1:11)),),OFFSET(TH!O$1,SMALL(Dong2,ROWS($1:11)),)))</f>
        <v/>
      </c>
      <c r="F22" s="976" t="str">
        <f ca="1">IF(ROWS($1:11)&gt;COUNT(Dong2),"",IF(AND(IF($M$9="Q11",LEFT(OFFSET(TH!G$1,SMALL(Dong2,ROWS($1:11)),),3)=$M$9,LEFT(OFFSET(TH!G$1,SMALL(Dong2,ROWS($1:11)),),2)=$M$9),OFFSET(TH!N$1,SMALL(Dong2,ROWS($1:11)),)=$I$6),IF($I$6="1121",OFFSET(TH!M$1,SMALL(Dong2,ROWS($1:11)),),OFFSET(TH!K$1,SMALL(Dong2,ROWS($1:11)),)),0))</f>
        <v/>
      </c>
      <c r="G22" s="976" t="str">
        <f ca="1">IF(ROWS($1:11)&gt;COUNT(Dong2),"",IF(AND(IF($M$9="Q11",RIGHT(OFFSET(TH!G$1,SMALL(Dong2,ROWS($1:11)),),3)=$M$9,RIGHT(OFFSET(TH!G$1,SMALL(Dong2,ROWS($1:11)),),2)=$M$9),OFFSET(TH!O$1,SMALL(Dong2,ROWS($1:11)),)=$I$6),IF($I$6="1121",OFFSET(TH!M$1,SMALL(Dong2,ROWS($1:11)),),OFFSET(TH!K$1,SMALL(Dong2,ROWS($1:11)),)),0))</f>
        <v/>
      </c>
      <c r="H22" s="791">
        <f t="shared" ca="1" si="0"/>
        <v>0</v>
      </c>
      <c r="I22" s="791"/>
      <c r="L22" s="177"/>
      <c r="O22" s="789"/>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8" t="str">
        <f ca="1">IF(ROWS($1:12)&gt;COUNT(Dong2),"",OFFSET(TH!F$1,SMALL(Dong2,ROWS($1:12)),))</f>
        <v/>
      </c>
      <c r="E23" s="195" t="str">
        <f ca="1">IF(ROWS($1:12)&gt;COUNT(Dong2),"",IF(OFFSET(TH!O$1,SMALL(Dong2,ROWS($1:12)),)=$I$6,OFFSET(TH!N$1,SMALL(Dong2,ROWS($1:12)),),OFFSET(TH!O$1,SMALL(Dong2,ROWS($1:12)),)))</f>
        <v/>
      </c>
      <c r="F23" s="976" t="str">
        <f ca="1">IF(ROWS($1:12)&gt;COUNT(Dong2),"",IF(AND(IF($M$9="Q11",LEFT(OFFSET(TH!G$1,SMALL(Dong2,ROWS($1:12)),),3)=$M$9,LEFT(OFFSET(TH!G$1,SMALL(Dong2,ROWS($1:12)),),2)=$M$9),OFFSET(TH!N$1,SMALL(Dong2,ROWS($1:12)),)=$I$6),IF($I$6="1121",OFFSET(TH!M$1,SMALL(Dong2,ROWS($1:12)),),OFFSET(TH!K$1,SMALL(Dong2,ROWS($1:12)),)),0))</f>
        <v/>
      </c>
      <c r="G23" s="976" t="str">
        <f ca="1">IF(ROWS($1:12)&gt;COUNT(Dong2),"",IF(AND(IF($M$9="Q11",RIGHT(OFFSET(TH!G$1,SMALL(Dong2,ROWS($1:12)),),3)=$M$9,RIGHT(OFFSET(TH!G$1,SMALL(Dong2,ROWS($1:12)),),2)=$M$9),OFFSET(TH!O$1,SMALL(Dong2,ROWS($1:12)),)=$I$6),IF($I$6="1121",OFFSET(TH!M$1,SMALL(Dong2,ROWS($1:12)),),OFFSET(TH!K$1,SMALL(Dong2,ROWS($1:12)),)),0))</f>
        <v/>
      </c>
      <c r="H23" s="791">
        <f t="shared" ca="1" si="0"/>
        <v>0</v>
      </c>
      <c r="I23" s="791"/>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8" t="str">
        <f ca="1">IF(ROWS($1:13)&gt;COUNT(Dong2),"",OFFSET(TH!F$1,SMALL(Dong2,ROWS($1:13)),))</f>
        <v/>
      </c>
      <c r="E24" s="195" t="str">
        <f ca="1">IF(ROWS($1:13)&gt;COUNT(Dong2),"",IF(OFFSET(TH!O$1,SMALL(Dong2,ROWS($1:13)),)=$I$6,OFFSET(TH!N$1,SMALL(Dong2,ROWS($1:13)),),OFFSET(TH!O$1,SMALL(Dong2,ROWS($1:13)),)))</f>
        <v/>
      </c>
      <c r="F24" s="976" t="str">
        <f ca="1">IF(ROWS($1:13)&gt;COUNT(Dong2),"",IF(AND(IF($M$9="Q11",LEFT(OFFSET(TH!G$1,SMALL(Dong2,ROWS($1:13)),),3)=$M$9,LEFT(OFFSET(TH!G$1,SMALL(Dong2,ROWS($1:13)),),2)=$M$9),OFFSET(TH!N$1,SMALL(Dong2,ROWS($1:13)),)=$I$6),IF($I$6="1121",OFFSET(TH!M$1,SMALL(Dong2,ROWS($1:13)),),OFFSET(TH!K$1,SMALL(Dong2,ROWS($1:13)),)),0))</f>
        <v/>
      </c>
      <c r="G24" s="976" t="str">
        <f ca="1">IF(ROWS($1:13)&gt;COUNT(Dong2),"",IF(AND(IF($M$9="Q11",RIGHT(OFFSET(TH!G$1,SMALL(Dong2,ROWS($1:13)),),3)=$M$9,RIGHT(OFFSET(TH!G$1,SMALL(Dong2,ROWS($1:13)),),2)=$M$9),OFFSET(TH!O$1,SMALL(Dong2,ROWS($1:13)),)=$I$6),IF($I$6="1121",OFFSET(TH!M$1,SMALL(Dong2,ROWS($1:13)),),OFFSET(TH!K$1,SMALL(Dong2,ROWS($1:13)),)),0))</f>
        <v/>
      </c>
      <c r="H24" s="791">
        <f t="shared" ca="1" si="0"/>
        <v>0</v>
      </c>
      <c r="I24" s="791"/>
      <c r="L24" s="177"/>
      <c r="O24" s="963"/>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8" t="str">
        <f ca="1">IF(ROWS($1:14)&gt;COUNT(Dong2),"",OFFSET(TH!F$1,SMALL(Dong2,ROWS($1:14)),))</f>
        <v/>
      </c>
      <c r="E25" s="195" t="str">
        <f ca="1">IF(ROWS($1:14)&gt;COUNT(Dong2),"",IF(OFFSET(TH!O$1,SMALL(Dong2,ROWS($1:14)),)=$I$6,OFFSET(TH!N$1,SMALL(Dong2,ROWS($1:14)),),OFFSET(TH!O$1,SMALL(Dong2,ROWS($1:14)),)))</f>
        <v/>
      </c>
      <c r="F25" s="976" t="str">
        <f ca="1">IF(ROWS($1:14)&gt;COUNT(Dong2),"",IF(AND(IF($M$9="Q11",LEFT(OFFSET(TH!G$1,SMALL(Dong2,ROWS($1:14)),),3)=$M$9,LEFT(OFFSET(TH!G$1,SMALL(Dong2,ROWS($1:14)),),2)=$M$9),OFFSET(TH!N$1,SMALL(Dong2,ROWS($1:14)),)=$I$6),IF($I$6="1121",OFFSET(TH!M$1,SMALL(Dong2,ROWS($1:14)),),OFFSET(TH!K$1,SMALL(Dong2,ROWS($1:14)),)),0))</f>
        <v/>
      </c>
      <c r="G25" s="976" t="str">
        <f ca="1">IF(ROWS($1:14)&gt;COUNT(Dong2),"",IF(AND(IF($M$9="Q11",RIGHT(OFFSET(TH!G$1,SMALL(Dong2,ROWS($1:14)),),3)=$M$9,RIGHT(OFFSET(TH!G$1,SMALL(Dong2,ROWS($1:14)),),2)=$M$9),OFFSET(TH!O$1,SMALL(Dong2,ROWS($1:14)),)=$I$6),IF($I$6="1121",OFFSET(TH!M$1,SMALL(Dong2,ROWS($1:14)),),OFFSET(TH!K$1,SMALL(Dong2,ROWS($1:14)),)),0))</f>
        <v/>
      </c>
      <c r="H25" s="791">
        <f t="shared" ca="1" si="0"/>
        <v>0</v>
      </c>
      <c r="I25" s="791"/>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8" t="str">
        <f ca="1">IF(ROWS($1:15)&gt;COUNT(Dong2),"",OFFSET(TH!F$1,SMALL(Dong2,ROWS($1:15)),))</f>
        <v/>
      </c>
      <c r="E26" s="195" t="str">
        <f ca="1">IF(ROWS($1:15)&gt;COUNT(Dong2),"",IF(OFFSET(TH!O$1,SMALL(Dong2,ROWS($1:15)),)=$I$6,OFFSET(TH!N$1,SMALL(Dong2,ROWS($1:15)),),OFFSET(TH!O$1,SMALL(Dong2,ROWS($1:15)),)))</f>
        <v/>
      </c>
      <c r="F26" s="976" t="str">
        <f ca="1">IF(ROWS($1:15)&gt;COUNT(Dong2),"",IF(AND(IF($M$9="Q11",LEFT(OFFSET(TH!G$1,SMALL(Dong2,ROWS($1:15)),),3)=$M$9,LEFT(OFFSET(TH!G$1,SMALL(Dong2,ROWS($1:15)),),2)=$M$9),OFFSET(TH!N$1,SMALL(Dong2,ROWS($1:15)),)=$I$6),IF($I$6="1121",OFFSET(TH!M$1,SMALL(Dong2,ROWS($1:15)),),OFFSET(TH!K$1,SMALL(Dong2,ROWS($1:15)),)),0))</f>
        <v/>
      </c>
      <c r="G26" s="976" t="str">
        <f ca="1">IF(ROWS($1:15)&gt;COUNT(Dong2),"",IF(AND(IF($M$9="Q11",RIGHT(OFFSET(TH!G$1,SMALL(Dong2,ROWS($1:15)),),3)=$M$9,RIGHT(OFFSET(TH!G$1,SMALL(Dong2,ROWS($1:15)),),2)=$M$9),OFFSET(TH!O$1,SMALL(Dong2,ROWS($1:15)),)=$I$6),IF($I$6="1121",OFFSET(TH!M$1,SMALL(Dong2,ROWS($1:15)),),OFFSET(TH!K$1,SMALL(Dong2,ROWS($1:15)),)),0))</f>
        <v/>
      </c>
      <c r="H26" s="791">
        <f t="shared" ca="1" si="0"/>
        <v>0</v>
      </c>
      <c r="I26" s="791"/>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8" t="str">
        <f ca="1">IF(ROWS($1:16)&gt;COUNT(Dong2),"",OFFSET(TH!F$1,SMALL(Dong2,ROWS($1:16)),))</f>
        <v/>
      </c>
      <c r="E27" s="195" t="str">
        <f ca="1">IF(ROWS($1:16)&gt;COUNT(Dong2),"",IF(OFFSET(TH!O$1,SMALL(Dong2,ROWS($1:16)),)=$I$6,OFFSET(TH!N$1,SMALL(Dong2,ROWS($1:16)),),OFFSET(TH!O$1,SMALL(Dong2,ROWS($1:16)),)))</f>
        <v/>
      </c>
      <c r="F27" s="976" t="str">
        <f ca="1">IF(ROWS($1:16)&gt;COUNT(Dong2),"",IF(AND(IF($M$9="Q11",LEFT(OFFSET(TH!G$1,SMALL(Dong2,ROWS($1:16)),),3)=$M$9,LEFT(OFFSET(TH!G$1,SMALL(Dong2,ROWS($1:16)),),2)=$M$9),OFFSET(TH!N$1,SMALL(Dong2,ROWS($1:16)),)=$I$6),IF($I$6="1121",OFFSET(TH!M$1,SMALL(Dong2,ROWS($1:16)),),OFFSET(TH!K$1,SMALL(Dong2,ROWS($1:16)),)),0))</f>
        <v/>
      </c>
      <c r="G27" s="976" t="str">
        <f ca="1">IF(ROWS($1:16)&gt;COUNT(Dong2),"",IF(AND(IF($M$9="Q11",RIGHT(OFFSET(TH!G$1,SMALL(Dong2,ROWS($1:16)),),3)=$M$9,RIGHT(OFFSET(TH!G$1,SMALL(Dong2,ROWS($1:16)),),2)=$M$9),OFFSET(TH!O$1,SMALL(Dong2,ROWS($1:16)),)=$I$6),IF($I$6="1121",OFFSET(TH!M$1,SMALL(Dong2,ROWS($1:16)),),OFFSET(TH!K$1,SMALL(Dong2,ROWS($1:16)),)),0))</f>
        <v/>
      </c>
      <c r="H27" s="791">
        <f t="shared" ca="1" si="0"/>
        <v>0</v>
      </c>
      <c r="I27" s="791"/>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8" t="str">
        <f ca="1">IF(ROWS($1:17)&gt;COUNT(Dong2),"",OFFSET(TH!F$1,SMALL(Dong2,ROWS($1:17)),))</f>
        <v/>
      </c>
      <c r="E28" s="195" t="str">
        <f ca="1">IF(ROWS($1:17)&gt;COUNT(Dong2),"",IF(OFFSET(TH!O$1,SMALL(Dong2,ROWS($1:17)),)=$I$6,OFFSET(TH!N$1,SMALL(Dong2,ROWS($1:17)),),OFFSET(TH!O$1,SMALL(Dong2,ROWS($1:17)),)))</f>
        <v/>
      </c>
      <c r="F28" s="976" t="str">
        <f ca="1">IF(ROWS($1:17)&gt;COUNT(Dong2),"",IF(AND(IF($M$9="Q11",LEFT(OFFSET(TH!G$1,SMALL(Dong2,ROWS($1:17)),),3)=$M$9,LEFT(OFFSET(TH!G$1,SMALL(Dong2,ROWS($1:17)),),2)=$M$9),OFFSET(TH!N$1,SMALL(Dong2,ROWS($1:17)),)=$I$6),IF($I$6="1121",OFFSET(TH!M$1,SMALL(Dong2,ROWS($1:17)),),OFFSET(TH!K$1,SMALL(Dong2,ROWS($1:17)),)),0))</f>
        <v/>
      </c>
      <c r="G28" s="976" t="str">
        <f ca="1">IF(ROWS($1:17)&gt;COUNT(Dong2),"",IF(AND(IF($M$9="Q11",RIGHT(OFFSET(TH!G$1,SMALL(Dong2,ROWS($1:17)),),3)=$M$9,RIGHT(OFFSET(TH!G$1,SMALL(Dong2,ROWS($1:17)),),2)=$M$9),OFFSET(TH!O$1,SMALL(Dong2,ROWS($1:17)),)=$I$6),IF($I$6="1121",OFFSET(TH!M$1,SMALL(Dong2,ROWS($1:17)),),OFFSET(TH!K$1,SMALL(Dong2,ROWS($1:17)),)),0))</f>
        <v/>
      </c>
      <c r="H28" s="791">
        <f t="shared" ca="1" si="0"/>
        <v>0</v>
      </c>
      <c r="I28" s="791"/>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8" t="str">
        <f ca="1">IF(ROWS($1:18)&gt;COUNT(Dong2),"",OFFSET(TH!F$1,SMALL(Dong2,ROWS($1:18)),))</f>
        <v/>
      </c>
      <c r="E29" s="195" t="str">
        <f ca="1">IF(ROWS($1:18)&gt;COUNT(Dong2),"",IF(OFFSET(TH!O$1,SMALL(Dong2,ROWS($1:18)),)=$I$6,OFFSET(TH!N$1,SMALL(Dong2,ROWS($1:18)),),OFFSET(TH!O$1,SMALL(Dong2,ROWS($1:18)),)))</f>
        <v/>
      </c>
      <c r="F29" s="976" t="str">
        <f ca="1">IF(ROWS($1:18)&gt;COUNT(Dong2),"",IF(AND(IF($M$9="Q11",LEFT(OFFSET(TH!G$1,SMALL(Dong2,ROWS($1:18)),),3)=$M$9,LEFT(OFFSET(TH!G$1,SMALL(Dong2,ROWS($1:18)),),2)=$M$9),OFFSET(TH!N$1,SMALL(Dong2,ROWS($1:18)),)=$I$6),IF($I$6="1121",OFFSET(TH!M$1,SMALL(Dong2,ROWS($1:18)),),OFFSET(TH!K$1,SMALL(Dong2,ROWS($1:18)),)),0))</f>
        <v/>
      </c>
      <c r="G29" s="976" t="str">
        <f ca="1">IF(ROWS($1:18)&gt;COUNT(Dong2),"",IF(AND(IF($M$9="Q11",RIGHT(OFFSET(TH!G$1,SMALL(Dong2,ROWS($1:18)),),3)=$M$9,RIGHT(OFFSET(TH!G$1,SMALL(Dong2,ROWS($1:18)),),2)=$M$9),OFFSET(TH!O$1,SMALL(Dong2,ROWS($1:18)),)=$I$6),IF($I$6="1121",OFFSET(TH!M$1,SMALL(Dong2,ROWS($1:18)),),OFFSET(TH!K$1,SMALL(Dong2,ROWS($1:18)),)),0))</f>
        <v/>
      </c>
      <c r="H29" s="791">
        <f t="shared" ca="1" si="0"/>
        <v>0</v>
      </c>
      <c r="I29" s="791"/>
      <c r="L29" s="177"/>
    </row>
    <row r="30" spans="1:15" s="1027" customFormat="1" ht="20.25" customHeight="1">
      <c r="A30" s="1023" t="str">
        <f ca="1">IF(ROWS($1:19)&gt;COUNT(Dong2),"",OFFSET(TH!C$1,SMALL(Dong2,ROWS($1:19)),))</f>
        <v/>
      </c>
      <c r="B30" s="1023" t="str">
        <f ca="1">IF(ROWS($1:19)&gt;COUNT(Dong2),"",OFFSET(TH!D$1,SMALL(Dong2,ROWS($1:19)),))</f>
        <v/>
      </c>
      <c r="C30" s="1023" t="str">
        <f ca="1">IF(ROWS($1:19)&gt;COUNT(Dong2),"",OFFSET(TH!E$1,SMALL(Dong2,ROWS($1:19)),))</f>
        <v/>
      </c>
      <c r="D30" s="1024" t="str">
        <f ca="1">IF(ROWS($1:19)&gt;COUNT(Dong2),"",OFFSET(TH!F$1,SMALL(Dong2,ROWS($1:19)),))</f>
        <v/>
      </c>
      <c r="E30" s="1023" t="str">
        <f ca="1">IF(ROWS($1:19)&gt;COUNT(Dong2),"",IF(OFFSET(TH!O$1,SMALL(Dong2,ROWS($1:19)),)=$I$6,OFFSET(TH!N$1,SMALL(Dong2,ROWS($1:19)),),OFFSET(TH!O$1,SMALL(Dong2,ROWS($1:19)),)))</f>
        <v/>
      </c>
      <c r="F30" s="1025" t="str">
        <f ca="1">IF(ROWS($1:19)&gt;COUNT(Dong2),"",IF(AND(IF($M$9="Q11",LEFT(OFFSET(TH!G$1,SMALL(Dong2,ROWS($1:19)),),3)=$M$9,LEFT(OFFSET(TH!G$1,SMALL(Dong2,ROWS($1:19)),),2)=$M$9),OFFSET(TH!N$1,SMALL(Dong2,ROWS($1:19)),)=$I$6),IF($I$6="1121",OFFSET(TH!M$1,SMALL(Dong2,ROWS($1:19)),),OFFSET(TH!K$1,SMALL(Dong2,ROWS($1:19)),)),0))</f>
        <v/>
      </c>
      <c r="G30" s="1025" t="str">
        <f ca="1">IF(ROWS($1:19)&gt;COUNT(Dong2),"",IF(AND(IF($M$9="Q11",RIGHT(OFFSET(TH!G$1,SMALL(Dong2,ROWS($1:19)),),3)=$M$9,RIGHT(OFFSET(TH!G$1,SMALL(Dong2,ROWS($1:19)),),2)=$M$9),OFFSET(TH!O$1,SMALL(Dong2,ROWS($1:19)),)=$I$6),IF($I$6="1121",OFFSET(TH!M$1,SMALL(Dong2,ROWS($1:19)),),OFFSET(TH!K$1,SMALL(Dong2,ROWS($1:19)),)),0))</f>
        <v/>
      </c>
      <c r="H30" s="1026">
        <f t="shared" ca="1" si="0"/>
        <v>0</v>
      </c>
      <c r="I30" s="1026"/>
      <c r="L30" s="1028"/>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8" t="str">
        <f ca="1">IF(ROWS($1:20)&gt;COUNT(Dong2),"",OFFSET(TH!F$1,SMALL(Dong2,ROWS($1:20)),))</f>
        <v/>
      </c>
      <c r="E31" s="195" t="str">
        <f ca="1">IF(ROWS($1:20)&gt;COUNT(Dong2),"",IF(OFFSET(TH!O$1,SMALL(Dong2,ROWS($1:20)),)=$I$6,OFFSET(TH!N$1,SMALL(Dong2,ROWS($1:20)),),OFFSET(TH!O$1,SMALL(Dong2,ROWS($1:20)),)))</f>
        <v/>
      </c>
      <c r="F31" s="976" t="str">
        <f ca="1">IF(ROWS($1:20)&gt;COUNT(Dong2),"",IF(AND(IF($M$9="Q11",LEFT(OFFSET(TH!G$1,SMALL(Dong2,ROWS($1:20)),),3)=$M$9,LEFT(OFFSET(TH!G$1,SMALL(Dong2,ROWS($1:20)),),2)=$M$9),OFFSET(TH!N$1,SMALL(Dong2,ROWS($1:20)),)=$I$6),IF($I$6="1121",OFFSET(TH!M$1,SMALL(Dong2,ROWS($1:20)),),OFFSET(TH!K$1,SMALL(Dong2,ROWS($1:20)),)),0))</f>
        <v/>
      </c>
      <c r="G31" s="976" t="str">
        <f ca="1">IF(ROWS($1:20)&gt;COUNT(Dong2),"",IF(AND(IF($M$9="Q11",RIGHT(OFFSET(TH!G$1,SMALL(Dong2,ROWS($1:20)),),3)=$M$9,RIGHT(OFFSET(TH!G$1,SMALL(Dong2,ROWS($1:20)),),2)=$M$9),OFFSET(TH!O$1,SMALL(Dong2,ROWS($1:20)),)=$I$6),IF($I$6="1121",OFFSET(TH!M$1,SMALL(Dong2,ROWS($1:20)),),OFFSET(TH!K$1,SMALL(Dong2,ROWS($1:20)),)),0))</f>
        <v/>
      </c>
      <c r="H31" s="791">
        <f t="shared" ca="1" si="0"/>
        <v>0</v>
      </c>
      <c r="I31" s="791"/>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8" t="str">
        <f ca="1">IF(ROWS($1:21)&gt;COUNT(Dong2),"",OFFSET(TH!F$1,SMALL(Dong2,ROWS($1:21)),))</f>
        <v/>
      </c>
      <c r="E32" s="195" t="str">
        <f ca="1">IF(ROWS($1:21)&gt;COUNT(Dong2),"",IF(OFFSET(TH!O$1,SMALL(Dong2,ROWS($1:21)),)=$I$6,OFFSET(TH!N$1,SMALL(Dong2,ROWS($1:21)),),OFFSET(TH!O$1,SMALL(Dong2,ROWS($1:21)),)))</f>
        <v/>
      </c>
      <c r="F32" s="976" t="str">
        <f ca="1">IF(ROWS($1:21)&gt;COUNT(Dong2),"",IF(AND(IF($M$9="Q11",LEFT(OFFSET(TH!G$1,SMALL(Dong2,ROWS($1:21)),),3)=$M$9,LEFT(OFFSET(TH!G$1,SMALL(Dong2,ROWS($1:21)),),2)=$M$9),OFFSET(TH!N$1,SMALL(Dong2,ROWS($1:21)),)=$I$6),IF($I$6="1121",OFFSET(TH!M$1,SMALL(Dong2,ROWS($1:21)),),OFFSET(TH!K$1,SMALL(Dong2,ROWS($1:21)),)),0))</f>
        <v/>
      </c>
      <c r="G32" s="976" t="str">
        <f ca="1">IF(ROWS($1:21)&gt;COUNT(Dong2),"",IF(AND(IF($M$9="Q11",RIGHT(OFFSET(TH!G$1,SMALL(Dong2,ROWS($1:21)),),3)=$M$9,RIGHT(OFFSET(TH!G$1,SMALL(Dong2,ROWS($1:21)),),2)=$M$9),OFFSET(TH!O$1,SMALL(Dong2,ROWS($1:21)),)=$I$6),IF($I$6="1121",OFFSET(TH!M$1,SMALL(Dong2,ROWS($1:21)),),OFFSET(TH!K$1,SMALL(Dong2,ROWS($1:21)),)),0))</f>
        <v/>
      </c>
      <c r="H32" s="791">
        <f t="shared" ca="1" si="0"/>
        <v>0</v>
      </c>
      <c r="I32" s="791"/>
      <c r="L32" s="177"/>
    </row>
    <row r="33" spans="1:17" s="184" customFormat="1" ht="20.25" customHeight="1">
      <c r="A33" s="195" t="str">
        <f ca="1">IF(ROWS($1:22)&gt;COUNT(Dong2),"",OFFSET(TH!C$1,SMALL(Dong2,ROWS($1:22)),))</f>
        <v/>
      </c>
      <c r="B33" s="195" t="str">
        <f ca="1">IF(ROWS($1:22)&gt;COUNT(Dong2),"",OFFSET(TH!D$1,SMALL(Dong2,ROWS($1:22)),))</f>
        <v/>
      </c>
      <c r="C33" s="195" t="str">
        <f ca="1">IF(ROWS($1:22)&gt;COUNT(Dong2),"",OFFSET(TH!E$1,SMALL(Dong2,ROWS($1:22)),))</f>
        <v/>
      </c>
      <c r="D33" s="358" t="str">
        <f ca="1">IF(ROWS($1:22)&gt;COUNT(Dong2),"",OFFSET(TH!F$1,SMALL(Dong2,ROWS($1:22)),))</f>
        <v/>
      </c>
      <c r="E33" s="195" t="str">
        <f ca="1">IF(ROWS($1:22)&gt;COUNT(Dong2),"",IF(OFFSET(TH!O$1,SMALL(Dong2,ROWS($1:22)),)=$I$6,OFFSET(TH!N$1,SMALL(Dong2,ROWS($1:22)),),OFFSET(TH!O$1,SMALL(Dong2,ROWS($1:22)),)))</f>
        <v/>
      </c>
      <c r="F33" s="976" t="str">
        <f ca="1">IF(ROWS($1:22)&gt;COUNT(Dong2),"",IF(AND(IF($M$9="Q11",LEFT(OFFSET(TH!G$1,SMALL(Dong2,ROWS($1:22)),),3)=$M$9,LEFT(OFFSET(TH!G$1,SMALL(Dong2,ROWS($1:22)),),2)=$M$9),OFFSET(TH!N$1,SMALL(Dong2,ROWS($1:22)),)=$I$6),IF($I$6="1121",OFFSET(TH!M$1,SMALL(Dong2,ROWS($1:22)),),OFFSET(TH!K$1,SMALL(Dong2,ROWS($1:22)),)),0))</f>
        <v/>
      </c>
      <c r="G33" s="976" t="str">
        <f ca="1">IF(ROWS($1:22)&gt;COUNT(Dong2),"",IF(AND(IF($M$9="Q11",RIGHT(OFFSET(TH!G$1,SMALL(Dong2,ROWS($1:22)),),3)=$M$9,RIGHT(OFFSET(TH!G$1,SMALL(Dong2,ROWS($1:22)),),2)=$M$9),OFFSET(TH!O$1,SMALL(Dong2,ROWS($1:22)),)=$I$6),IF($I$6="1121",OFFSET(TH!M$1,SMALL(Dong2,ROWS($1:22)),),OFFSET(TH!K$1,SMALL(Dong2,ROWS($1:22)),)),0))</f>
        <v/>
      </c>
      <c r="H33" s="791">
        <f t="shared" ca="1" si="0"/>
        <v>0</v>
      </c>
      <c r="I33" s="791"/>
      <c r="L33" s="177"/>
    </row>
    <row r="34" spans="1:17" s="184" customFormat="1" ht="20.25" customHeight="1">
      <c r="A34" s="195" t="str">
        <f ca="1">IF(ROWS($1:23)&gt;COUNT(Dong2),"",OFFSET(TH!C$1,SMALL(Dong2,ROWS($1:23)),))</f>
        <v/>
      </c>
      <c r="B34" s="195" t="str">
        <f ca="1">IF(ROWS($1:23)&gt;COUNT(Dong2),"",OFFSET(TH!D$1,SMALL(Dong2,ROWS($1:23)),))</f>
        <v/>
      </c>
      <c r="C34" s="195" t="str">
        <f ca="1">IF(ROWS($1:23)&gt;COUNT(Dong2),"",OFFSET(TH!E$1,SMALL(Dong2,ROWS($1:23)),))</f>
        <v/>
      </c>
      <c r="D34" s="358" t="str">
        <f ca="1">IF(ROWS($1:23)&gt;COUNT(Dong2),"",OFFSET(TH!F$1,SMALL(Dong2,ROWS($1:23)),))</f>
        <v/>
      </c>
      <c r="E34" s="195" t="str">
        <f ca="1">IF(ROWS($1:23)&gt;COUNT(Dong2),"",IF(OFFSET(TH!O$1,SMALL(Dong2,ROWS($1:23)),)=$I$6,OFFSET(TH!N$1,SMALL(Dong2,ROWS($1:23)),),OFFSET(TH!O$1,SMALL(Dong2,ROWS($1:23)),)))</f>
        <v/>
      </c>
      <c r="F34" s="976" t="str">
        <f ca="1">IF(ROWS($1:23)&gt;COUNT(Dong2),"",IF(AND(IF($M$9="Q11",LEFT(OFFSET(TH!G$1,SMALL(Dong2,ROWS($1:23)),),3)=$M$9,LEFT(OFFSET(TH!G$1,SMALL(Dong2,ROWS($1:23)),),2)=$M$9),OFFSET(TH!N$1,SMALL(Dong2,ROWS($1:23)),)=$I$6),IF($I$6="1121",OFFSET(TH!M$1,SMALL(Dong2,ROWS($1:23)),),OFFSET(TH!K$1,SMALL(Dong2,ROWS($1:23)),)),0))</f>
        <v/>
      </c>
      <c r="G34" s="976" t="str">
        <f ca="1">IF(ROWS($1:23)&gt;COUNT(Dong2),"",IF(AND(IF($M$9="Q11",RIGHT(OFFSET(TH!G$1,SMALL(Dong2,ROWS($1:23)),),3)=$M$9,RIGHT(OFFSET(TH!G$1,SMALL(Dong2,ROWS($1:23)),),2)=$M$9),OFFSET(TH!O$1,SMALL(Dong2,ROWS($1:23)),)=$I$6),IF($I$6="1121",OFFSET(TH!M$1,SMALL(Dong2,ROWS($1:23)),),OFFSET(TH!K$1,SMALL(Dong2,ROWS($1:23)),)),0))</f>
        <v/>
      </c>
      <c r="H34" s="791">
        <f t="shared" ca="1" si="0"/>
        <v>0</v>
      </c>
      <c r="I34" s="791"/>
      <c r="L34" s="177"/>
    </row>
    <row r="35" spans="1:17" s="184" customFormat="1" ht="20.25" customHeight="1">
      <c r="A35" s="195" t="str">
        <f ca="1">IF(ROWS($1:24)&gt;COUNT(Dong2),"",OFFSET(TH!C$1,SMALL(Dong2,ROWS($1:24)),))</f>
        <v/>
      </c>
      <c r="B35" s="195" t="str">
        <f ca="1">IF(ROWS($1:24)&gt;COUNT(Dong2),"",OFFSET(TH!D$1,SMALL(Dong2,ROWS($1:24)),))</f>
        <v/>
      </c>
      <c r="C35" s="195" t="str">
        <f ca="1">IF(ROWS($1:24)&gt;COUNT(Dong2),"",OFFSET(TH!E$1,SMALL(Dong2,ROWS($1:24)),))</f>
        <v/>
      </c>
      <c r="D35" s="358" t="str">
        <f ca="1">IF(ROWS($1:24)&gt;COUNT(Dong2),"",OFFSET(TH!F$1,SMALL(Dong2,ROWS($1:24)),))</f>
        <v/>
      </c>
      <c r="E35" s="195" t="str">
        <f ca="1">IF(ROWS($1:24)&gt;COUNT(Dong2),"",IF(OFFSET(TH!O$1,SMALL(Dong2,ROWS($1:24)),)=$I$6,OFFSET(TH!N$1,SMALL(Dong2,ROWS($1:24)),),OFFSET(TH!O$1,SMALL(Dong2,ROWS($1:24)),)))</f>
        <v/>
      </c>
      <c r="F35" s="976" t="str">
        <f ca="1">IF(ROWS($1:24)&gt;COUNT(Dong2),"",IF(AND(IF($M$9="Q11",LEFT(OFFSET(TH!G$1,SMALL(Dong2,ROWS($1:24)),),3)=$M$9,LEFT(OFFSET(TH!G$1,SMALL(Dong2,ROWS($1:24)),),2)=$M$9),OFFSET(TH!N$1,SMALL(Dong2,ROWS($1:24)),)=$I$6),IF($I$6="1121",OFFSET(TH!M$1,SMALL(Dong2,ROWS($1:24)),),OFFSET(TH!K$1,SMALL(Dong2,ROWS($1:24)),)),0))</f>
        <v/>
      </c>
      <c r="G35" s="976" t="str">
        <f ca="1">IF(ROWS($1:24)&gt;COUNT(Dong2),"",IF(AND(IF($M$9="Q11",RIGHT(OFFSET(TH!G$1,SMALL(Dong2,ROWS($1:24)),),3)=$M$9,RIGHT(OFFSET(TH!G$1,SMALL(Dong2,ROWS($1:24)),),2)=$M$9),OFFSET(TH!O$1,SMALL(Dong2,ROWS($1:24)),)=$I$6),IF($I$6="1121",OFFSET(TH!M$1,SMALL(Dong2,ROWS($1:24)),),OFFSET(TH!K$1,SMALL(Dong2,ROWS($1:24)),)),0))</f>
        <v/>
      </c>
      <c r="H35" s="791">
        <f t="shared" ca="1" si="0"/>
        <v>0</v>
      </c>
      <c r="I35" s="791"/>
      <c r="L35" s="177"/>
    </row>
    <row r="36" spans="1:17" s="184" customFormat="1" ht="20.25" customHeight="1">
      <c r="A36" s="195" t="str">
        <f ca="1">IF(ROWS($1:25)&gt;COUNT(Dong2),"",OFFSET(TH!C$1,SMALL(Dong2,ROWS($1:25)),))</f>
        <v/>
      </c>
      <c r="B36" s="195" t="str">
        <f ca="1">IF(ROWS($1:25)&gt;COUNT(Dong2),"",OFFSET(TH!D$1,SMALL(Dong2,ROWS($1:25)),))</f>
        <v/>
      </c>
      <c r="C36" s="195" t="str">
        <f ca="1">IF(ROWS($1:25)&gt;COUNT(Dong2),"",OFFSET(TH!E$1,SMALL(Dong2,ROWS($1:25)),))</f>
        <v/>
      </c>
      <c r="D36" s="358" t="str">
        <f ca="1">IF(ROWS($1:25)&gt;COUNT(Dong2),"",OFFSET(TH!F$1,SMALL(Dong2,ROWS($1:25)),))</f>
        <v/>
      </c>
      <c r="E36" s="195" t="str">
        <f ca="1">IF(ROWS($1:25)&gt;COUNT(Dong2),"",IF(OFFSET(TH!O$1,SMALL(Dong2,ROWS($1:25)),)=$I$6,OFFSET(TH!N$1,SMALL(Dong2,ROWS($1:25)),),OFFSET(TH!O$1,SMALL(Dong2,ROWS($1:25)),)))</f>
        <v/>
      </c>
      <c r="F36" s="976" t="str">
        <f ca="1">IF(ROWS($1:25)&gt;COUNT(Dong2),"",IF(AND(IF($M$9="Q11",LEFT(OFFSET(TH!G$1,SMALL(Dong2,ROWS($1:25)),),3)=$M$9,LEFT(OFFSET(TH!G$1,SMALL(Dong2,ROWS($1:25)),),2)=$M$9),OFFSET(TH!N$1,SMALL(Dong2,ROWS($1:25)),)=$I$6),IF($I$6="1121",OFFSET(TH!M$1,SMALL(Dong2,ROWS($1:25)),),OFFSET(TH!K$1,SMALL(Dong2,ROWS($1:25)),)),0))</f>
        <v/>
      </c>
      <c r="G36" s="976" t="str">
        <f ca="1">IF(ROWS($1:25)&gt;COUNT(Dong2),"",IF(AND(IF($M$9="Q11",RIGHT(OFFSET(TH!G$1,SMALL(Dong2,ROWS($1:25)),),3)=$M$9,RIGHT(OFFSET(TH!G$1,SMALL(Dong2,ROWS($1:25)),),2)=$M$9),OFFSET(TH!O$1,SMALL(Dong2,ROWS($1:25)),)=$I$6),IF($I$6="1121",OFFSET(TH!M$1,SMALL(Dong2,ROWS($1:25)),),OFFSET(TH!K$1,SMALL(Dong2,ROWS($1:25)),)),0))</f>
        <v/>
      </c>
      <c r="H36" s="791">
        <f t="shared" ca="1" si="0"/>
        <v>0</v>
      </c>
      <c r="I36" s="791"/>
      <c r="L36" s="177"/>
    </row>
    <row r="37" spans="1:17" s="184" customFormat="1" ht="20.25" customHeight="1">
      <c r="A37" s="195" t="str">
        <f ca="1">IF(ROWS($1:26)&gt;COUNT(Dong2),"",OFFSET(TH!C$1,SMALL(Dong2,ROWS($1:26)),))</f>
        <v/>
      </c>
      <c r="B37" s="195" t="str">
        <f ca="1">IF(ROWS($1:26)&gt;COUNT(Dong2),"",OFFSET(TH!D$1,SMALL(Dong2,ROWS($1:26)),))</f>
        <v/>
      </c>
      <c r="C37" s="195" t="str">
        <f ca="1">IF(ROWS($1:26)&gt;COUNT(Dong2),"",OFFSET(TH!E$1,SMALL(Dong2,ROWS($1:26)),))</f>
        <v/>
      </c>
      <c r="D37" s="358" t="str">
        <f ca="1">IF(ROWS($1:26)&gt;COUNT(Dong2),"",OFFSET(TH!F$1,SMALL(Dong2,ROWS($1:26)),))</f>
        <v/>
      </c>
      <c r="E37" s="195" t="str">
        <f ca="1">IF(ROWS($1:26)&gt;COUNT(Dong2),"",IF(OFFSET(TH!O$1,SMALL(Dong2,ROWS($1:26)),)=$I$6,OFFSET(TH!N$1,SMALL(Dong2,ROWS($1:26)),),OFFSET(TH!O$1,SMALL(Dong2,ROWS($1:26)),)))</f>
        <v/>
      </c>
      <c r="F37" s="976" t="str">
        <f ca="1">IF(ROWS($1:26)&gt;COUNT(Dong2),"",IF(AND(IF($M$9="Q11",LEFT(OFFSET(TH!G$1,SMALL(Dong2,ROWS($1:26)),),3)=$M$9,LEFT(OFFSET(TH!G$1,SMALL(Dong2,ROWS($1:26)),),2)=$M$9),OFFSET(TH!N$1,SMALL(Dong2,ROWS($1:26)),)=$I$6),IF($I$6="1121",OFFSET(TH!M$1,SMALL(Dong2,ROWS($1:26)),),OFFSET(TH!K$1,SMALL(Dong2,ROWS($1:26)),)),0))</f>
        <v/>
      </c>
      <c r="G37" s="976" t="str">
        <f ca="1">IF(ROWS($1:26)&gt;COUNT(Dong2),"",IF(AND(IF($M$9="Q11",RIGHT(OFFSET(TH!G$1,SMALL(Dong2,ROWS($1:26)),),3)=$M$9,RIGHT(OFFSET(TH!G$1,SMALL(Dong2,ROWS($1:26)),),2)=$M$9),OFFSET(TH!O$1,SMALL(Dong2,ROWS($1:26)),)=$I$6),IF($I$6="1121",OFFSET(TH!M$1,SMALL(Dong2,ROWS($1:26)),),OFFSET(TH!K$1,SMALL(Dong2,ROWS($1:26)),)),0))</f>
        <v/>
      </c>
      <c r="H37" s="791">
        <f t="shared" ca="1" si="0"/>
        <v>0</v>
      </c>
      <c r="I37" s="791"/>
      <c r="L37" s="177"/>
    </row>
    <row r="38" spans="1:17" s="184" customFormat="1" ht="20.25" customHeight="1">
      <c r="A38" s="195" t="str">
        <f ca="1">IF(ROWS($1:27)&gt;COUNT(Dong2),"",OFFSET(TH!C$1,SMALL(Dong2,ROWS($1:27)),))</f>
        <v/>
      </c>
      <c r="B38" s="195" t="str">
        <f ca="1">IF(ROWS($1:27)&gt;COUNT(Dong2),"",OFFSET(TH!D$1,SMALL(Dong2,ROWS($1:27)),))</f>
        <v/>
      </c>
      <c r="C38" s="195" t="str">
        <f ca="1">IF(ROWS($1:27)&gt;COUNT(Dong2),"",OFFSET(TH!E$1,SMALL(Dong2,ROWS($1:27)),))</f>
        <v/>
      </c>
      <c r="D38" s="358" t="str">
        <f ca="1">IF(ROWS($1:27)&gt;COUNT(Dong2),"",OFFSET(TH!F$1,SMALL(Dong2,ROWS($1:27)),))</f>
        <v/>
      </c>
      <c r="E38" s="195" t="str">
        <f ca="1">IF(ROWS($1:27)&gt;COUNT(Dong2),"",IF(OFFSET(TH!O$1,SMALL(Dong2,ROWS($1:27)),)=$I$6,OFFSET(TH!N$1,SMALL(Dong2,ROWS($1:27)),),OFFSET(TH!O$1,SMALL(Dong2,ROWS($1:27)),)))</f>
        <v/>
      </c>
      <c r="F38" s="976" t="str">
        <f ca="1">IF(ROWS($1:27)&gt;COUNT(Dong2),"",IF(AND(IF($M$9="Q11",LEFT(OFFSET(TH!G$1,SMALL(Dong2,ROWS($1:27)),),3)=$M$9,LEFT(OFFSET(TH!G$1,SMALL(Dong2,ROWS($1:27)),),2)=$M$9),OFFSET(TH!N$1,SMALL(Dong2,ROWS($1:27)),)=$I$6),IF($I$6="1121",OFFSET(TH!M$1,SMALL(Dong2,ROWS($1:27)),),OFFSET(TH!K$1,SMALL(Dong2,ROWS($1:27)),)),0))</f>
        <v/>
      </c>
      <c r="G38" s="976" t="str">
        <f ca="1">IF(ROWS($1:27)&gt;COUNT(Dong2),"",IF(AND(IF($M$9="Q11",RIGHT(OFFSET(TH!G$1,SMALL(Dong2,ROWS($1:27)),),3)=$M$9,RIGHT(OFFSET(TH!G$1,SMALL(Dong2,ROWS($1:27)),),2)=$M$9),OFFSET(TH!O$1,SMALL(Dong2,ROWS($1:27)),)=$I$6),IF($I$6="1121",OFFSET(TH!M$1,SMALL(Dong2,ROWS($1:27)),),OFFSET(TH!K$1,SMALL(Dong2,ROWS($1:27)),)),0))</f>
        <v/>
      </c>
      <c r="H38" s="791">
        <f t="shared" ref="H38:H83" ca="1" si="1">IF(A38&lt;&gt;"",H37+F38-G38,0)</f>
        <v>0</v>
      </c>
      <c r="I38" s="791"/>
      <c r="L38" s="177"/>
    </row>
    <row r="39" spans="1:17" s="184" customFormat="1" ht="20.25" customHeight="1">
      <c r="A39" s="195" t="str">
        <f ca="1">IF(ROWS($1:28)&gt;COUNT(Dong2),"",OFFSET(TH!C$1,SMALL(Dong2,ROWS($1:28)),))</f>
        <v/>
      </c>
      <c r="B39" s="195" t="str">
        <f ca="1">IF(ROWS($1:28)&gt;COUNT(Dong2),"",OFFSET(TH!D$1,SMALL(Dong2,ROWS($1:28)),))</f>
        <v/>
      </c>
      <c r="C39" s="195" t="str">
        <f ca="1">IF(ROWS($1:28)&gt;COUNT(Dong2),"",OFFSET(TH!E$1,SMALL(Dong2,ROWS($1:28)),))</f>
        <v/>
      </c>
      <c r="D39" s="358" t="str">
        <f ca="1">IF(ROWS($1:28)&gt;COUNT(Dong2),"",OFFSET(TH!F$1,SMALL(Dong2,ROWS($1:28)),))</f>
        <v/>
      </c>
      <c r="E39" s="195" t="str">
        <f ca="1">IF(ROWS($1:28)&gt;COUNT(Dong2),"",IF(OFFSET(TH!O$1,SMALL(Dong2,ROWS($1:28)),)=$I$6,OFFSET(TH!N$1,SMALL(Dong2,ROWS($1:28)),),OFFSET(TH!O$1,SMALL(Dong2,ROWS($1:28)),)))</f>
        <v/>
      </c>
      <c r="F39" s="976" t="str">
        <f ca="1">IF(ROWS($1:28)&gt;COUNT(Dong2),"",IF(AND(IF($M$9="Q11",LEFT(OFFSET(TH!G$1,SMALL(Dong2,ROWS($1:28)),),3)=$M$9,LEFT(OFFSET(TH!G$1,SMALL(Dong2,ROWS($1:28)),),2)=$M$9),OFFSET(TH!N$1,SMALL(Dong2,ROWS($1:28)),)=$I$6),IF($I$6="1121",OFFSET(TH!M$1,SMALL(Dong2,ROWS($1:28)),),OFFSET(TH!K$1,SMALL(Dong2,ROWS($1:28)),)),0))</f>
        <v/>
      </c>
      <c r="G39" s="976" t="str">
        <f ca="1">IF(ROWS($1:28)&gt;COUNT(Dong2),"",IF(AND(IF($M$9="Q11",RIGHT(OFFSET(TH!G$1,SMALL(Dong2,ROWS($1:28)),),3)=$M$9,RIGHT(OFFSET(TH!G$1,SMALL(Dong2,ROWS($1:28)),),2)=$M$9),OFFSET(TH!O$1,SMALL(Dong2,ROWS($1:28)),)=$I$6),IF($I$6="1121",OFFSET(TH!M$1,SMALL(Dong2,ROWS($1:28)),),OFFSET(TH!K$1,SMALL(Dong2,ROWS($1:28)),)),0))</f>
        <v/>
      </c>
      <c r="H39" s="791">
        <f t="shared" ca="1" si="1"/>
        <v>0</v>
      </c>
      <c r="I39" s="791"/>
      <c r="L39" s="177"/>
    </row>
    <row r="40" spans="1:17" s="184" customFormat="1" ht="20.25" customHeight="1">
      <c r="A40" s="195" t="str">
        <f ca="1">IF(ROWS($1:29)&gt;COUNT(Dong2),"",OFFSET(TH!C$1,SMALL(Dong2,ROWS($1:29)),))</f>
        <v/>
      </c>
      <c r="B40" s="195" t="str">
        <f ca="1">IF(ROWS($1:29)&gt;COUNT(Dong2),"",OFFSET(TH!D$1,SMALL(Dong2,ROWS($1:29)),))</f>
        <v/>
      </c>
      <c r="C40" s="195" t="str">
        <f ca="1">IF(ROWS($1:29)&gt;COUNT(Dong2),"",OFFSET(TH!E$1,SMALL(Dong2,ROWS($1:29)),))</f>
        <v/>
      </c>
      <c r="D40" s="358" t="str">
        <f ca="1">IF(ROWS($1:29)&gt;COUNT(Dong2),"",OFFSET(TH!F$1,SMALL(Dong2,ROWS($1:29)),))</f>
        <v/>
      </c>
      <c r="E40" s="195" t="str">
        <f ca="1">IF(ROWS($1:29)&gt;COUNT(Dong2),"",IF(OFFSET(TH!O$1,SMALL(Dong2,ROWS($1:29)),)=$I$6,OFFSET(TH!N$1,SMALL(Dong2,ROWS($1:29)),),OFFSET(TH!O$1,SMALL(Dong2,ROWS($1:29)),)))</f>
        <v/>
      </c>
      <c r="F40" s="976" t="str">
        <f ca="1">IF(ROWS($1:29)&gt;COUNT(Dong2),"",IF(AND(IF($M$9="Q11",LEFT(OFFSET(TH!G$1,SMALL(Dong2,ROWS($1:29)),),3)=$M$9,LEFT(OFFSET(TH!G$1,SMALL(Dong2,ROWS($1:29)),),2)=$M$9),OFFSET(TH!N$1,SMALL(Dong2,ROWS($1:29)),)=$I$6),IF($I$6="1121",OFFSET(TH!M$1,SMALL(Dong2,ROWS($1:29)),),OFFSET(TH!K$1,SMALL(Dong2,ROWS($1:29)),)),0))</f>
        <v/>
      </c>
      <c r="G40" s="976" t="str">
        <f ca="1">IF(ROWS($1:29)&gt;COUNT(Dong2),"",IF(AND(IF($M$9="Q11",RIGHT(OFFSET(TH!G$1,SMALL(Dong2,ROWS($1:29)),),3)=$M$9,RIGHT(OFFSET(TH!G$1,SMALL(Dong2,ROWS($1:29)),),2)=$M$9),OFFSET(TH!O$1,SMALL(Dong2,ROWS($1:29)),)=$I$6),IF($I$6="1121",OFFSET(TH!M$1,SMALL(Dong2,ROWS($1:29)),),OFFSET(TH!K$1,SMALL(Dong2,ROWS($1:29)),)),0))</f>
        <v/>
      </c>
      <c r="H40" s="791">
        <f t="shared" ca="1" si="1"/>
        <v>0</v>
      </c>
      <c r="I40" s="791"/>
    </row>
    <row r="41" spans="1:17" s="184" customFormat="1" ht="20.25" customHeight="1">
      <c r="A41" s="195" t="str">
        <f ca="1">IF(ROWS($1:30)&gt;COUNT(Dong2),"",OFFSET(TH!C$1,SMALL(Dong2,ROWS($1:30)),))</f>
        <v/>
      </c>
      <c r="B41" s="195" t="str">
        <f ca="1">IF(ROWS($1:30)&gt;COUNT(Dong2),"",OFFSET(TH!D$1,SMALL(Dong2,ROWS($1:30)),))</f>
        <v/>
      </c>
      <c r="C41" s="195" t="str">
        <f ca="1">IF(ROWS($1:30)&gt;COUNT(Dong2),"",OFFSET(TH!E$1,SMALL(Dong2,ROWS($1:30)),))</f>
        <v/>
      </c>
      <c r="D41" s="358" t="str">
        <f ca="1">IF(ROWS($1:30)&gt;COUNT(Dong2),"",OFFSET(TH!F$1,SMALL(Dong2,ROWS($1:30)),))</f>
        <v/>
      </c>
      <c r="E41" s="195" t="str">
        <f ca="1">IF(ROWS($1:30)&gt;COUNT(Dong2),"",IF(OFFSET(TH!O$1,SMALL(Dong2,ROWS($1:30)),)=$I$6,OFFSET(TH!N$1,SMALL(Dong2,ROWS($1:30)),),OFFSET(TH!O$1,SMALL(Dong2,ROWS($1:30)),)))</f>
        <v/>
      </c>
      <c r="F41" s="976" t="str">
        <f ca="1">IF(ROWS($1:30)&gt;COUNT(Dong2),"",IF(AND(IF($M$9="Q11",LEFT(OFFSET(TH!G$1,SMALL(Dong2,ROWS($1:30)),),3)=$M$9,LEFT(OFFSET(TH!G$1,SMALL(Dong2,ROWS($1:30)),),2)=$M$9),OFFSET(TH!N$1,SMALL(Dong2,ROWS($1:30)),)=$I$6),IF($I$6="1121",OFFSET(TH!M$1,SMALL(Dong2,ROWS($1:30)),),OFFSET(TH!K$1,SMALL(Dong2,ROWS($1:30)),)),0))</f>
        <v/>
      </c>
      <c r="G41" s="976" t="str">
        <f ca="1">IF(ROWS($1:30)&gt;COUNT(Dong2),"",IF(AND(IF($M$9="Q11",RIGHT(OFFSET(TH!G$1,SMALL(Dong2,ROWS($1:30)),),3)=$M$9,RIGHT(OFFSET(TH!G$1,SMALL(Dong2,ROWS($1:30)),),2)=$M$9),OFFSET(TH!O$1,SMALL(Dong2,ROWS($1:30)),)=$I$6),IF($I$6="1121",OFFSET(TH!M$1,SMALL(Dong2,ROWS($1:30)),),OFFSET(TH!K$1,SMALL(Dong2,ROWS($1:30)),)),0))</f>
        <v/>
      </c>
      <c r="H41" s="791">
        <f t="shared" ca="1" si="1"/>
        <v>0</v>
      </c>
      <c r="I41" s="791"/>
    </row>
    <row r="42" spans="1:17" s="184" customFormat="1" ht="20.25" customHeight="1">
      <c r="A42" s="195" t="str">
        <f ca="1">IF(ROWS($1:31)&gt;COUNT(Dong2),"",OFFSET(TH!C$1,SMALL(Dong2,ROWS($1:31)),))</f>
        <v/>
      </c>
      <c r="B42" s="195" t="str">
        <f ca="1">IF(ROWS($1:31)&gt;COUNT(Dong2),"",OFFSET(TH!D$1,SMALL(Dong2,ROWS($1:31)),))</f>
        <v/>
      </c>
      <c r="C42" s="195" t="str">
        <f ca="1">IF(ROWS($1:31)&gt;COUNT(Dong2),"",OFFSET(TH!E$1,SMALL(Dong2,ROWS($1:31)),))</f>
        <v/>
      </c>
      <c r="D42" s="358" t="str">
        <f ca="1">IF(ROWS($1:31)&gt;COUNT(Dong2),"",OFFSET(TH!F$1,SMALL(Dong2,ROWS($1:31)),))</f>
        <v/>
      </c>
      <c r="E42" s="195" t="str">
        <f ca="1">IF(ROWS($1:31)&gt;COUNT(Dong2),"",IF(OFFSET(TH!O$1,SMALL(Dong2,ROWS($1:31)),)=$I$6,OFFSET(TH!N$1,SMALL(Dong2,ROWS($1:31)),),OFFSET(TH!O$1,SMALL(Dong2,ROWS($1:31)),)))</f>
        <v/>
      </c>
      <c r="F42" s="976" t="str">
        <f ca="1">IF(ROWS($1:31)&gt;COUNT(Dong2),"",IF(AND(IF($M$9="Q11",LEFT(OFFSET(TH!G$1,SMALL(Dong2,ROWS($1:31)),),3)=$M$9,LEFT(OFFSET(TH!G$1,SMALL(Dong2,ROWS($1:31)),),2)=$M$9),OFFSET(TH!N$1,SMALL(Dong2,ROWS($1:31)),)=$I$6),IF($I$6="1121",OFFSET(TH!M$1,SMALL(Dong2,ROWS($1:31)),),OFFSET(TH!K$1,SMALL(Dong2,ROWS($1:31)),)),0))</f>
        <v/>
      </c>
      <c r="G42" s="976" t="str">
        <f ca="1">IF(ROWS($1:31)&gt;COUNT(Dong2),"",IF(AND(IF($M$9="Q11",RIGHT(OFFSET(TH!G$1,SMALL(Dong2,ROWS($1:31)),),3)=$M$9,RIGHT(OFFSET(TH!G$1,SMALL(Dong2,ROWS($1:31)),),2)=$M$9),OFFSET(TH!O$1,SMALL(Dong2,ROWS($1:31)),)=$I$6),IF($I$6="1121",OFFSET(TH!M$1,SMALL(Dong2,ROWS($1:31)),),OFFSET(TH!K$1,SMALL(Dong2,ROWS($1:31)),)),0))</f>
        <v/>
      </c>
      <c r="H42" s="791">
        <f t="shared" ca="1" si="1"/>
        <v>0</v>
      </c>
      <c r="I42" s="791"/>
    </row>
    <row r="43" spans="1:17" s="184" customFormat="1" ht="20.25" customHeight="1">
      <c r="A43" s="195" t="str">
        <f ca="1">IF(ROWS($1:32)&gt;COUNT(Dong2),"",OFFSET(TH!C$1,SMALL(Dong2,ROWS($1:32)),))</f>
        <v/>
      </c>
      <c r="B43" s="195" t="str">
        <f ca="1">IF(ROWS($1:32)&gt;COUNT(Dong2),"",OFFSET(TH!D$1,SMALL(Dong2,ROWS($1:32)),))</f>
        <v/>
      </c>
      <c r="C43" s="195" t="str">
        <f ca="1">IF(ROWS($1:32)&gt;COUNT(Dong2),"",OFFSET(TH!E$1,SMALL(Dong2,ROWS($1:32)),))</f>
        <v/>
      </c>
      <c r="D43" s="358" t="str">
        <f ca="1">IF(ROWS($1:32)&gt;COUNT(Dong2),"",OFFSET(TH!F$1,SMALL(Dong2,ROWS($1:32)),))</f>
        <v/>
      </c>
      <c r="E43" s="195" t="str">
        <f ca="1">IF(ROWS($1:32)&gt;COUNT(Dong2),"",IF(OFFSET(TH!O$1,SMALL(Dong2,ROWS($1:32)),)=$I$6,OFFSET(TH!N$1,SMALL(Dong2,ROWS($1:32)),),OFFSET(TH!O$1,SMALL(Dong2,ROWS($1:32)),)))</f>
        <v/>
      </c>
      <c r="F43" s="976" t="str">
        <f ca="1">IF(ROWS($1:32)&gt;COUNT(Dong2),"",IF(AND(IF($M$9="Q11",LEFT(OFFSET(TH!G$1,SMALL(Dong2,ROWS($1:32)),),3)=$M$9,LEFT(OFFSET(TH!G$1,SMALL(Dong2,ROWS($1:32)),),2)=$M$9),OFFSET(TH!N$1,SMALL(Dong2,ROWS($1:32)),)=$I$6),IF($I$6="1121",OFFSET(TH!M$1,SMALL(Dong2,ROWS($1:32)),),OFFSET(TH!K$1,SMALL(Dong2,ROWS($1:32)),)),0))</f>
        <v/>
      </c>
      <c r="G43" s="976" t="str">
        <f ca="1">IF(ROWS($1:32)&gt;COUNT(Dong2),"",IF(AND(IF($M$9="Q11",RIGHT(OFFSET(TH!G$1,SMALL(Dong2,ROWS($1:32)),),3)=$M$9,RIGHT(OFFSET(TH!G$1,SMALL(Dong2,ROWS($1:32)),),2)=$M$9),OFFSET(TH!O$1,SMALL(Dong2,ROWS($1:32)),)=$I$6),IF($I$6="1121",OFFSET(TH!M$1,SMALL(Dong2,ROWS($1:32)),),OFFSET(TH!K$1,SMALL(Dong2,ROWS($1:32)),)),0))</f>
        <v/>
      </c>
      <c r="H43" s="791">
        <f t="shared" ca="1" si="1"/>
        <v>0</v>
      </c>
      <c r="I43" s="791"/>
    </row>
    <row r="44" spans="1:17" s="184" customFormat="1" ht="20.25" customHeight="1">
      <c r="A44" s="195" t="str">
        <f ca="1">IF(ROWS($1:33)&gt;COUNT(Dong2),"",OFFSET(TH!C$1,SMALL(Dong2,ROWS($1:33)),))</f>
        <v/>
      </c>
      <c r="B44" s="195" t="str">
        <f ca="1">IF(ROWS($1:33)&gt;COUNT(Dong2),"",OFFSET(TH!D$1,SMALL(Dong2,ROWS($1:33)),))</f>
        <v/>
      </c>
      <c r="C44" s="195" t="str">
        <f ca="1">IF(ROWS($1:33)&gt;COUNT(Dong2),"",OFFSET(TH!E$1,SMALL(Dong2,ROWS($1:33)),))</f>
        <v/>
      </c>
      <c r="D44" s="358" t="str">
        <f ca="1">IF(ROWS($1:33)&gt;COUNT(Dong2),"",OFFSET(TH!F$1,SMALL(Dong2,ROWS($1:33)),))</f>
        <v/>
      </c>
      <c r="E44" s="195" t="str">
        <f ca="1">IF(ROWS($1:33)&gt;COUNT(Dong2),"",IF(OFFSET(TH!O$1,SMALL(Dong2,ROWS($1:33)),)=$I$6,OFFSET(TH!N$1,SMALL(Dong2,ROWS($1:33)),),OFFSET(TH!O$1,SMALL(Dong2,ROWS($1:33)),)))</f>
        <v/>
      </c>
      <c r="F44" s="976" t="str">
        <f ca="1">IF(ROWS($1:33)&gt;COUNT(Dong2),"",IF(AND(IF($M$9="Q11",LEFT(OFFSET(TH!G$1,SMALL(Dong2,ROWS($1:33)),),3)=$M$9,LEFT(OFFSET(TH!G$1,SMALL(Dong2,ROWS($1:33)),),2)=$M$9),OFFSET(TH!N$1,SMALL(Dong2,ROWS($1:33)),)=$I$6),IF($I$6="1121",OFFSET(TH!M$1,SMALL(Dong2,ROWS($1:33)),),OFFSET(TH!K$1,SMALL(Dong2,ROWS($1:33)),)),0))</f>
        <v/>
      </c>
      <c r="G44" s="976" t="str">
        <f ca="1">IF(ROWS($1:33)&gt;COUNT(Dong2),"",IF(AND(IF($M$9="Q11",RIGHT(OFFSET(TH!G$1,SMALL(Dong2,ROWS($1:33)),),3)=$M$9,RIGHT(OFFSET(TH!G$1,SMALL(Dong2,ROWS($1:33)),),2)=$M$9),OFFSET(TH!O$1,SMALL(Dong2,ROWS($1:33)),)=$I$6),IF($I$6="1121",OFFSET(TH!M$1,SMALL(Dong2,ROWS($1:33)),),OFFSET(TH!K$1,SMALL(Dong2,ROWS($1:33)),)),0))</f>
        <v/>
      </c>
      <c r="H44" s="791">
        <f t="shared" ca="1" si="1"/>
        <v>0</v>
      </c>
      <c r="I44" s="791"/>
    </row>
    <row r="45" spans="1:17" s="184" customFormat="1" ht="20.25" customHeight="1">
      <c r="A45" s="195" t="str">
        <f ca="1">IF(ROWS($1:34)&gt;COUNT(Dong2),"",OFFSET(TH!C$1,SMALL(Dong2,ROWS($1:34)),))</f>
        <v/>
      </c>
      <c r="B45" s="195" t="str">
        <f ca="1">IF(ROWS($1:34)&gt;COUNT(Dong2),"",OFFSET(TH!D$1,SMALL(Dong2,ROWS($1:34)),))</f>
        <v/>
      </c>
      <c r="C45" s="195" t="str">
        <f ca="1">IF(ROWS($1:34)&gt;COUNT(Dong2),"",OFFSET(TH!E$1,SMALL(Dong2,ROWS($1:34)),))</f>
        <v/>
      </c>
      <c r="D45" s="358" t="str">
        <f ca="1">IF(ROWS($1:34)&gt;COUNT(Dong2),"",OFFSET(TH!F$1,SMALL(Dong2,ROWS($1:34)),))</f>
        <v/>
      </c>
      <c r="E45" s="195" t="str">
        <f ca="1">IF(ROWS($1:34)&gt;COUNT(Dong2),"",IF(OFFSET(TH!O$1,SMALL(Dong2,ROWS($1:34)),)=$I$6,OFFSET(TH!N$1,SMALL(Dong2,ROWS($1:34)),),OFFSET(TH!O$1,SMALL(Dong2,ROWS($1:34)),)))</f>
        <v/>
      </c>
      <c r="F45" s="976" t="str">
        <f ca="1">IF(ROWS($1:34)&gt;COUNT(Dong2),"",IF(AND(IF($M$9="Q11",LEFT(OFFSET(TH!G$1,SMALL(Dong2,ROWS($1:34)),),3)=$M$9,LEFT(OFFSET(TH!G$1,SMALL(Dong2,ROWS($1:34)),),2)=$M$9),OFFSET(TH!N$1,SMALL(Dong2,ROWS($1:34)),)=$I$6),IF($I$6="1121",OFFSET(TH!M$1,SMALL(Dong2,ROWS($1:34)),),OFFSET(TH!K$1,SMALL(Dong2,ROWS($1:34)),)),0))</f>
        <v/>
      </c>
      <c r="G45" s="976" t="str">
        <f ca="1">IF(ROWS($1:34)&gt;COUNT(Dong2),"",IF(AND(IF($M$9="Q11",RIGHT(OFFSET(TH!G$1,SMALL(Dong2,ROWS($1:34)),),3)=$M$9,RIGHT(OFFSET(TH!G$1,SMALL(Dong2,ROWS($1:34)),),2)=$M$9),OFFSET(TH!O$1,SMALL(Dong2,ROWS($1:34)),)=$I$6),IF($I$6="1121",OFFSET(TH!M$1,SMALL(Dong2,ROWS($1:34)),),OFFSET(TH!K$1,SMALL(Dong2,ROWS($1:34)),)),0))</f>
        <v/>
      </c>
      <c r="H45" s="791">
        <f t="shared" ca="1" si="1"/>
        <v>0</v>
      </c>
      <c r="I45" s="791"/>
      <c r="P45" s="184">
        <v>280.35000000000002</v>
      </c>
      <c r="Q45" s="1029">
        <f>P45*22750</f>
        <v>6377962.5000000009</v>
      </c>
    </row>
    <row r="46" spans="1:17" s="184" customFormat="1" ht="20.25" customHeight="1">
      <c r="A46" s="195" t="str">
        <f ca="1">IF(ROWS($1:35)&gt;COUNT(Dong2),"",OFFSET(TH!C$1,SMALL(Dong2,ROWS($1:35)),))</f>
        <v/>
      </c>
      <c r="B46" s="195" t="str">
        <f ca="1">IF(ROWS($1:35)&gt;COUNT(Dong2),"",OFFSET(TH!D$1,SMALL(Dong2,ROWS($1:35)),))</f>
        <v/>
      </c>
      <c r="C46" s="195" t="str">
        <f ca="1">IF(ROWS($1:35)&gt;COUNT(Dong2),"",OFFSET(TH!E$1,SMALL(Dong2,ROWS($1:35)),))</f>
        <v/>
      </c>
      <c r="D46" s="358" t="str">
        <f ca="1">IF(ROWS($1:35)&gt;COUNT(Dong2),"",OFFSET(TH!F$1,SMALL(Dong2,ROWS($1:35)),))</f>
        <v/>
      </c>
      <c r="E46" s="195" t="str">
        <f ca="1">IF(ROWS($1:35)&gt;COUNT(Dong2),"",IF(OFFSET(TH!O$1,SMALL(Dong2,ROWS($1:35)),)=$I$6,OFFSET(TH!N$1,SMALL(Dong2,ROWS($1:35)),),OFFSET(TH!O$1,SMALL(Dong2,ROWS($1:35)),)))</f>
        <v/>
      </c>
      <c r="F46" s="976" t="str">
        <f ca="1">IF(ROWS($1:35)&gt;COUNT(Dong2),"",IF(AND(IF($M$9="Q11",LEFT(OFFSET(TH!G$1,SMALL(Dong2,ROWS($1:35)),),3)=$M$9,LEFT(OFFSET(TH!G$1,SMALL(Dong2,ROWS($1:35)),),2)=$M$9),OFFSET(TH!N$1,SMALL(Dong2,ROWS($1:35)),)=$I$6),IF($I$6="1121",OFFSET(TH!M$1,SMALL(Dong2,ROWS($1:35)),),OFFSET(TH!K$1,SMALL(Dong2,ROWS($1:35)),)),0))</f>
        <v/>
      </c>
      <c r="G46" s="976" t="str">
        <f ca="1">IF(ROWS($1:35)&gt;COUNT(Dong2),"",IF(AND(IF($M$9="Q11",RIGHT(OFFSET(TH!G$1,SMALL(Dong2,ROWS($1:35)),),3)=$M$9,RIGHT(OFFSET(TH!G$1,SMALL(Dong2,ROWS($1:35)),),2)=$M$9),OFFSET(TH!O$1,SMALL(Dong2,ROWS($1:35)),)=$I$6),IF($I$6="1121",OFFSET(TH!M$1,SMALL(Dong2,ROWS($1:35)),),OFFSET(TH!K$1,SMALL(Dong2,ROWS($1:35)),)),0))</f>
        <v/>
      </c>
      <c r="H46" s="791">
        <f t="shared" ca="1" si="1"/>
        <v>0</v>
      </c>
      <c r="I46" s="791"/>
      <c r="P46" s="184">
        <v>18.63</v>
      </c>
      <c r="Q46" s="1029">
        <f t="shared" ref="Q46:Q47" si="2">P46*22750</f>
        <v>423832.5</v>
      </c>
    </row>
    <row r="47" spans="1:17" s="184" customFormat="1" ht="20.25" customHeight="1">
      <c r="A47" s="195" t="str">
        <f ca="1">IF(ROWS($1:36)&gt;COUNT(Dong2),"",OFFSET(TH!C$1,SMALL(Dong2,ROWS($1:36)),))</f>
        <v/>
      </c>
      <c r="B47" s="195" t="str">
        <f ca="1">IF(ROWS($1:36)&gt;COUNT(Dong2),"",OFFSET(TH!D$1,SMALL(Dong2,ROWS($1:36)),))</f>
        <v/>
      </c>
      <c r="C47" s="195" t="str">
        <f ca="1">IF(ROWS($1:36)&gt;COUNT(Dong2),"",OFFSET(TH!E$1,SMALL(Dong2,ROWS($1:36)),))</f>
        <v/>
      </c>
      <c r="D47" s="358" t="str">
        <f ca="1">IF(ROWS($1:36)&gt;COUNT(Dong2),"",OFFSET(TH!F$1,SMALL(Dong2,ROWS($1:36)),))</f>
        <v/>
      </c>
      <c r="E47" s="195" t="str">
        <f ca="1">IF(ROWS($1:36)&gt;COUNT(Dong2),"",IF(OFFSET(TH!O$1,SMALL(Dong2,ROWS($1:36)),)=$I$6,OFFSET(TH!N$1,SMALL(Dong2,ROWS($1:36)),),OFFSET(TH!O$1,SMALL(Dong2,ROWS($1:36)),)))</f>
        <v/>
      </c>
      <c r="F47" s="976" t="str">
        <f ca="1">IF(ROWS($1:36)&gt;COUNT(Dong2),"",IF(AND(IF($M$9="Q11",LEFT(OFFSET(TH!G$1,SMALL(Dong2,ROWS($1:36)),),3)=$M$9,LEFT(OFFSET(TH!G$1,SMALL(Dong2,ROWS($1:36)),),2)=$M$9),OFFSET(TH!N$1,SMALL(Dong2,ROWS($1:36)),)=$I$6),IF($I$6="1121",OFFSET(TH!M$1,SMALL(Dong2,ROWS($1:36)),),OFFSET(TH!K$1,SMALL(Dong2,ROWS($1:36)),)),0))</f>
        <v/>
      </c>
      <c r="G47" s="976" t="str">
        <f ca="1">IF(ROWS($1:36)&gt;COUNT(Dong2),"",IF(AND(IF($M$9="Q11",RIGHT(OFFSET(TH!G$1,SMALL(Dong2,ROWS($1:36)),),3)=$M$9,RIGHT(OFFSET(TH!G$1,SMALL(Dong2,ROWS($1:36)),),2)=$M$9),OFFSET(TH!O$1,SMALL(Dong2,ROWS($1:36)),)=$I$6),IF($I$6="1121",OFFSET(TH!M$1,SMALL(Dong2,ROWS($1:36)),),OFFSET(TH!K$1,SMALL(Dong2,ROWS($1:36)),)),0))</f>
        <v/>
      </c>
      <c r="H47" s="791">
        <f t="shared" ca="1" si="1"/>
        <v>0</v>
      </c>
      <c r="I47" s="791"/>
      <c r="P47" s="184">
        <v>25.49</v>
      </c>
      <c r="Q47" s="1029">
        <f t="shared" si="2"/>
        <v>579897.5</v>
      </c>
    </row>
    <row r="48" spans="1:17" s="184" customFormat="1" ht="20.25" customHeight="1">
      <c r="A48" s="195" t="str">
        <f ca="1">IF(ROWS($1:37)&gt;COUNT(Dong2),"",OFFSET(TH!C$1,SMALL(Dong2,ROWS($1:37)),))</f>
        <v/>
      </c>
      <c r="B48" s="195" t="str">
        <f ca="1">IF(ROWS($1:37)&gt;COUNT(Dong2),"",OFFSET(TH!D$1,SMALL(Dong2,ROWS($1:37)),))</f>
        <v/>
      </c>
      <c r="C48" s="195" t="str">
        <f ca="1">IF(ROWS($1:37)&gt;COUNT(Dong2),"",OFFSET(TH!E$1,SMALL(Dong2,ROWS($1:37)),))</f>
        <v/>
      </c>
      <c r="D48" s="358" t="str">
        <f ca="1">IF(ROWS($1:37)&gt;COUNT(Dong2),"",OFFSET(TH!F$1,SMALL(Dong2,ROWS($1:37)),))</f>
        <v/>
      </c>
      <c r="E48" s="195" t="str">
        <f ca="1">IF(ROWS($1:37)&gt;COUNT(Dong2),"",IF(OFFSET(TH!O$1,SMALL(Dong2,ROWS($1:37)),)=$I$6,OFFSET(TH!N$1,SMALL(Dong2,ROWS($1:37)),),OFFSET(TH!O$1,SMALL(Dong2,ROWS($1:37)),)))</f>
        <v/>
      </c>
      <c r="F48" s="976" t="str">
        <f ca="1">IF(ROWS($1:37)&gt;COUNT(Dong2),"",IF(AND(IF($M$9="Q11",LEFT(OFFSET(TH!G$1,SMALL(Dong2,ROWS($1:37)),),3)=$M$9,LEFT(OFFSET(TH!G$1,SMALL(Dong2,ROWS($1:37)),),2)=$M$9),OFFSET(TH!N$1,SMALL(Dong2,ROWS($1:37)),)=$I$6),IF($I$6="1121",OFFSET(TH!M$1,SMALL(Dong2,ROWS($1:37)),),OFFSET(TH!K$1,SMALL(Dong2,ROWS($1:37)),)),0))</f>
        <v/>
      </c>
      <c r="G48" s="976" t="str">
        <f ca="1">IF(ROWS($1:37)&gt;COUNT(Dong2),"",IF(AND(IF($M$9="Q11",RIGHT(OFFSET(TH!G$1,SMALL(Dong2,ROWS($1:37)),),3)=$M$9,RIGHT(OFFSET(TH!G$1,SMALL(Dong2,ROWS($1:37)),),2)=$M$9),OFFSET(TH!O$1,SMALL(Dong2,ROWS($1:37)),)=$I$6),IF($I$6="1121",OFFSET(TH!M$1,SMALL(Dong2,ROWS($1:37)),),OFFSET(TH!K$1,SMALL(Dong2,ROWS($1:37)),)),0))</f>
        <v/>
      </c>
      <c r="H48" s="791">
        <f t="shared" ca="1" si="1"/>
        <v>0</v>
      </c>
      <c r="I48" s="791"/>
      <c r="Q48" s="1029">
        <v>73786813.650024414</v>
      </c>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8" t="str">
        <f ca="1">IF(ROWS($1:38)&gt;COUNT(Dong2),"",OFFSET(TH!F$1,SMALL(Dong2,ROWS($1:38)),))</f>
        <v/>
      </c>
      <c r="E49" s="195" t="str">
        <f ca="1">IF(ROWS($1:38)&gt;COUNT(Dong2),"",IF(OFFSET(TH!O$1,SMALL(Dong2,ROWS($1:38)),)=$I$6,OFFSET(TH!N$1,SMALL(Dong2,ROWS($1:38)),),OFFSET(TH!O$1,SMALL(Dong2,ROWS($1:38)),)))</f>
        <v/>
      </c>
      <c r="F49" s="976" t="str">
        <f ca="1">IF(ROWS($1:38)&gt;COUNT(Dong2),"",IF(AND(IF($M$9="Q11",LEFT(OFFSET(TH!G$1,SMALL(Dong2,ROWS($1:38)),),3)=$M$9,LEFT(OFFSET(TH!G$1,SMALL(Dong2,ROWS($1:38)),),2)=$M$9),OFFSET(TH!N$1,SMALL(Dong2,ROWS($1:38)),)=$I$6),IF($I$6="1121",OFFSET(TH!M$1,SMALL(Dong2,ROWS($1:38)),),OFFSET(TH!K$1,SMALL(Dong2,ROWS($1:38)),)),0))</f>
        <v/>
      </c>
      <c r="G49" s="976" t="str">
        <f ca="1">IF(ROWS($1:38)&gt;COUNT(Dong2),"",IF(AND(IF($M$9="Q11",RIGHT(OFFSET(TH!G$1,SMALL(Dong2,ROWS($1:38)),),3)=$M$9,RIGHT(OFFSET(TH!G$1,SMALL(Dong2,ROWS($1:38)),),2)=$M$9),OFFSET(TH!O$1,SMALL(Dong2,ROWS($1:38)),)=$I$6),IF($I$6="1121",OFFSET(TH!M$1,SMALL(Dong2,ROWS($1:38)),),OFFSET(TH!K$1,SMALL(Dong2,ROWS($1:38)),)),0))</f>
        <v/>
      </c>
      <c r="H49" s="791">
        <f t="shared" ca="1" si="1"/>
        <v>0</v>
      </c>
      <c r="I49" s="791"/>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8" t="str">
        <f ca="1">IF(ROWS($1:39)&gt;COUNT(Dong2),"",OFFSET(TH!F$1,SMALL(Dong2,ROWS($1:39)),))</f>
        <v/>
      </c>
      <c r="E50" s="195" t="str">
        <f ca="1">IF(ROWS($1:39)&gt;COUNT(Dong2),"",IF(OFFSET(TH!O$1,SMALL(Dong2,ROWS($1:39)),)=$I$6,OFFSET(TH!N$1,SMALL(Dong2,ROWS($1:39)),),OFFSET(TH!O$1,SMALL(Dong2,ROWS($1:39)),)))</f>
        <v/>
      </c>
      <c r="F50" s="976" t="str">
        <f ca="1">IF(ROWS($1:39)&gt;COUNT(Dong2),"",IF(AND(IF($M$9="Q11",LEFT(OFFSET(TH!G$1,SMALL(Dong2,ROWS($1:39)),),3)=$M$9,LEFT(OFFSET(TH!G$1,SMALL(Dong2,ROWS($1:39)),),2)=$M$9),OFFSET(TH!N$1,SMALL(Dong2,ROWS($1:39)),)=$I$6),IF($I$6="1121",OFFSET(TH!M$1,SMALL(Dong2,ROWS($1:39)),),OFFSET(TH!K$1,SMALL(Dong2,ROWS($1:39)),)),0))</f>
        <v/>
      </c>
      <c r="G50" s="976" t="str">
        <f ca="1">IF(ROWS($1:39)&gt;COUNT(Dong2),"",IF(AND(IF($M$9="Q11",RIGHT(OFFSET(TH!G$1,SMALL(Dong2,ROWS($1:39)),),3)=$M$9,RIGHT(OFFSET(TH!G$1,SMALL(Dong2,ROWS($1:39)),),2)=$M$9),OFFSET(TH!O$1,SMALL(Dong2,ROWS($1:39)),)=$I$6),IF($I$6="1121",OFFSET(TH!M$1,SMALL(Dong2,ROWS($1:39)),),OFFSET(TH!K$1,SMALL(Dong2,ROWS($1:39)),)),0))</f>
        <v/>
      </c>
      <c r="H50" s="791">
        <f t="shared" ca="1" si="1"/>
        <v>0</v>
      </c>
      <c r="I50" s="791"/>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8" t="str">
        <f ca="1">IF(ROWS($1:40)&gt;COUNT(Dong2),"",OFFSET(TH!F$1,SMALL(Dong2,ROWS($1:40)),))</f>
        <v/>
      </c>
      <c r="E51" s="195" t="str">
        <f ca="1">IF(ROWS($1:40)&gt;COUNT(Dong2),"",IF(OFFSET(TH!O$1,SMALL(Dong2,ROWS($1:40)),)=$I$6,OFFSET(TH!N$1,SMALL(Dong2,ROWS($1:40)),),OFFSET(TH!O$1,SMALL(Dong2,ROWS($1:40)),)))</f>
        <v/>
      </c>
      <c r="F51" s="976" t="str">
        <f ca="1">IF(ROWS($1:40)&gt;COUNT(Dong2),"",IF(AND(IF($M$9="Q11",LEFT(OFFSET(TH!G$1,SMALL(Dong2,ROWS($1:40)),),3)=$M$9,LEFT(OFFSET(TH!G$1,SMALL(Dong2,ROWS($1:40)),),2)=$M$9),OFFSET(TH!N$1,SMALL(Dong2,ROWS($1:40)),)=$I$6),IF($I$6="1121",OFFSET(TH!M$1,SMALL(Dong2,ROWS($1:40)),),OFFSET(TH!K$1,SMALL(Dong2,ROWS($1:40)),)),0))</f>
        <v/>
      </c>
      <c r="G51" s="976" t="str">
        <f ca="1">IF(ROWS($1:40)&gt;COUNT(Dong2),"",IF(AND(IF($M$9="Q11",RIGHT(OFFSET(TH!G$1,SMALL(Dong2,ROWS($1:40)),),3)=$M$9,RIGHT(OFFSET(TH!G$1,SMALL(Dong2,ROWS($1:40)),),2)=$M$9),OFFSET(TH!O$1,SMALL(Dong2,ROWS($1:40)),)=$I$6),IF($I$6="1121",OFFSET(TH!M$1,SMALL(Dong2,ROWS($1:40)),),OFFSET(TH!K$1,SMALL(Dong2,ROWS($1:40)),)),0))</f>
        <v/>
      </c>
      <c r="H51" s="791">
        <f t="shared" ca="1" si="1"/>
        <v>0</v>
      </c>
      <c r="I51" s="791"/>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8" t="str">
        <f ca="1">IF(ROWS($1:41)&gt;COUNT(Dong2),"",OFFSET(TH!F$1,SMALL(Dong2,ROWS($1:41)),))</f>
        <v/>
      </c>
      <c r="E52" s="195" t="str">
        <f ca="1">IF(ROWS($1:41)&gt;COUNT(Dong2),"",IF(OFFSET(TH!O$1,SMALL(Dong2,ROWS($1:41)),)=$I$6,OFFSET(TH!N$1,SMALL(Dong2,ROWS($1:41)),),OFFSET(TH!O$1,SMALL(Dong2,ROWS($1:41)),)))</f>
        <v/>
      </c>
      <c r="F52" s="976" t="str">
        <f ca="1">IF(ROWS($1:41)&gt;COUNT(Dong2),"",IF(AND(IF($M$9="Q11",LEFT(OFFSET(TH!G$1,SMALL(Dong2,ROWS($1:41)),),3)=$M$9,LEFT(OFFSET(TH!G$1,SMALL(Dong2,ROWS($1:41)),),2)=$M$9),OFFSET(TH!N$1,SMALL(Dong2,ROWS($1:41)),)=$I$6),IF($I$6="1121",OFFSET(TH!M$1,SMALL(Dong2,ROWS($1:41)),),OFFSET(TH!K$1,SMALL(Dong2,ROWS($1:41)),)),0))</f>
        <v/>
      </c>
      <c r="G52" s="976" t="str">
        <f ca="1">IF(ROWS($1:41)&gt;COUNT(Dong2),"",IF(AND(IF($M$9="Q11",RIGHT(OFFSET(TH!G$1,SMALL(Dong2,ROWS($1:41)),),3)=$M$9,RIGHT(OFFSET(TH!G$1,SMALL(Dong2,ROWS($1:41)),),2)=$M$9),OFFSET(TH!O$1,SMALL(Dong2,ROWS($1:41)),)=$I$6),IF($I$6="1121",OFFSET(TH!M$1,SMALL(Dong2,ROWS($1:41)),),OFFSET(TH!K$1,SMALL(Dong2,ROWS($1:41)),)),0))</f>
        <v/>
      </c>
      <c r="H52" s="791">
        <f t="shared" ca="1" si="1"/>
        <v>0</v>
      </c>
      <c r="I52" s="791"/>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8" t="str">
        <f ca="1">IF(ROWS($1:42)&gt;COUNT(Dong2),"",OFFSET(TH!F$1,SMALL(Dong2,ROWS($1:42)),))</f>
        <v/>
      </c>
      <c r="E53" s="195" t="str">
        <f ca="1">IF(ROWS($1:42)&gt;COUNT(Dong2),"",IF(OFFSET(TH!O$1,SMALL(Dong2,ROWS($1:42)),)=$I$6,OFFSET(TH!N$1,SMALL(Dong2,ROWS($1:42)),),OFFSET(TH!O$1,SMALL(Dong2,ROWS($1:42)),)))</f>
        <v/>
      </c>
      <c r="F53" s="976" t="str">
        <f ca="1">IF(ROWS($1:42)&gt;COUNT(Dong2),"",IF(AND(IF($M$9="Q11",LEFT(OFFSET(TH!G$1,SMALL(Dong2,ROWS($1:42)),),3)=$M$9,LEFT(OFFSET(TH!G$1,SMALL(Dong2,ROWS($1:42)),),2)=$M$9),OFFSET(TH!N$1,SMALL(Dong2,ROWS($1:42)),)=$I$6),IF($I$6="1121",OFFSET(TH!M$1,SMALL(Dong2,ROWS($1:42)),),OFFSET(TH!K$1,SMALL(Dong2,ROWS($1:42)),)),0))</f>
        <v/>
      </c>
      <c r="G53" s="976" t="str">
        <f ca="1">IF(ROWS($1:42)&gt;COUNT(Dong2),"",IF(AND(IF($M$9="Q11",RIGHT(OFFSET(TH!G$1,SMALL(Dong2,ROWS($1:42)),),3)=$M$9,RIGHT(OFFSET(TH!G$1,SMALL(Dong2,ROWS($1:42)),),2)=$M$9),OFFSET(TH!O$1,SMALL(Dong2,ROWS($1:42)),)=$I$6),IF($I$6="1121",OFFSET(TH!M$1,SMALL(Dong2,ROWS($1:42)),),OFFSET(TH!K$1,SMALL(Dong2,ROWS($1:42)),)),0))</f>
        <v/>
      </c>
      <c r="H53" s="791">
        <f t="shared" ca="1" si="1"/>
        <v>0</v>
      </c>
      <c r="I53" s="791"/>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8" t="str">
        <f ca="1">IF(ROWS($1:43)&gt;COUNT(Dong2),"",OFFSET(TH!F$1,SMALL(Dong2,ROWS($1:43)),))</f>
        <v/>
      </c>
      <c r="E54" s="195" t="str">
        <f ca="1">IF(ROWS($1:43)&gt;COUNT(Dong2),"",IF(OFFSET(TH!O$1,SMALL(Dong2,ROWS($1:43)),)=$I$6,OFFSET(TH!N$1,SMALL(Dong2,ROWS($1:43)),),OFFSET(TH!O$1,SMALL(Dong2,ROWS($1:43)),)))</f>
        <v/>
      </c>
      <c r="F54" s="976" t="str">
        <f ca="1">IF(ROWS($1:43)&gt;COUNT(Dong2),"",IF(AND(IF($M$9="Q11",LEFT(OFFSET(TH!G$1,SMALL(Dong2,ROWS($1:43)),),3)=$M$9,LEFT(OFFSET(TH!G$1,SMALL(Dong2,ROWS($1:43)),),2)=$M$9),OFFSET(TH!N$1,SMALL(Dong2,ROWS($1:43)),)=$I$6),IF($I$6="1121",OFFSET(TH!M$1,SMALL(Dong2,ROWS($1:43)),),OFFSET(TH!K$1,SMALL(Dong2,ROWS($1:43)),)),0))</f>
        <v/>
      </c>
      <c r="G54" s="976" t="str">
        <f ca="1">IF(ROWS($1:43)&gt;COUNT(Dong2),"",IF(AND(IF($M$9="Q11",RIGHT(OFFSET(TH!G$1,SMALL(Dong2,ROWS($1:43)),),3)=$M$9,RIGHT(OFFSET(TH!G$1,SMALL(Dong2,ROWS($1:43)),),2)=$M$9),OFFSET(TH!O$1,SMALL(Dong2,ROWS($1:43)),)=$I$6),IF($I$6="1121",OFFSET(TH!M$1,SMALL(Dong2,ROWS($1:43)),),OFFSET(TH!K$1,SMALL(Dong2,ROWS($1:43)),)),0))</f>
        <v/>
      </c>
      <c r="H54" s="791">
        <f t="shared" ca="1" si="1"/>
        <v>0</v>
      </c>
      <c r="I54" s="791"/>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8" t="str">
        <f ca="1">IF(ROWS($1:44)&gt;COUNT(Dong2),"",OFFSET(TH!F$1,SMALL(Dong2,ROWS($1:44)),))</f>
        <v/>
      </c>
      <c r="E55" s="195" t="str">
        <f ca="1">IF(ROWS($1:44)&gt;COUNT(Dong2),"",IF(OFFSET(TH!O$1,SMALL(Dong2,ROWS($1:44)),)=$I$6,OFFSET(TH!N$1,SMALL(Dong2,ROWS($1:44)),),OFFSET(TH!O$1,SMALL(Dong2,ROWS($1:44)),)))</f>
        <v/>
      </c>
      <c r="F55" s="976" t="str">
        <f ca="1">IF(ROWS($1:44)&gt;COUNT(Dong2),"",IF(AND(IF($M$9="Q11",LEFT(OFFSET(TH!G$1,SMALL(Dong2,ROWS($1:44)),),3)=$M$9,LEFT(OFFSET(TH!G$1,SMALL(Dong2,ROWS($1:44)),),2)=$M$9),OFFSET(TH!N$1,SMALL(Dong2,ROWS($1:44)),)=$I$6),IF($I$6="1121",OFFSET(TH!M$1,SMALL(Dong2,ROWS($1:44)),),OFFSET(TH!K$1,SMALL(Dong2,ROWS($1:44)),)),0))</f>
        <v/>
      </c>
      <c r="G55" s="976" t="str">
        <f ca="1">IF(ROWS($1:44)&gt;COUNT(Dong2),"",IF(AND(IF($M$9="Q11",RIGHT(OFFSET(TH!G$1,SMALL(Dong2,ROWS($1:44)),),3)=$M$9,RIGHT(OFFSET(TH!G$1,SMALL(Dong2,ROWS($1:44)),),2)=$M$9),OFFSET(TH!O$1,SMALL(Dong2,ROWS($1:44)),)=$I$6),IF($I$6="1121",OFFSET(TH!M$1,SMALL(Dong2,ROWS($1:44)),),OFFSET(TH!K$1,SMALL(Dong2,ROWS($1:44)),)),0))</f>
        <v/>
      </c>
      <c r="H55" s="791">
        <f t="shared" ca="1" si="1"/>
        <v>0</v>
      </c>
      <c r="I55" s="791"/>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8" t="str">
        <f ca="1">IF(ROWS($1:45)&gt;COUNT(Dong2),"",OFFSET(TH!F$1,SMALL(Dong2,ROWS($1:45)),))</f>
        <v/>
      </c>
      <c r="E56" s="195" t="str">
        <f ca="1">IF(ROWS($1:45)&gt;COUNT(Dong2),"",IF(OFFSET(TH!O$1,SMALL(Dong2,ROWS($1:45)),)=$I$6,OFFSET(TH!N$1,SMALL(Dong2,ROWS($1:45)),),OFFSET(TH!O$1,SMALL(Dong2,ROWS($1:45)),)))</f>
        <v/>
      </c>
      <c r="F56" s="976" t="str">
        <f ca="1">IF(ROWS($1:45)&gt;COUNT(Dong2),"",IF(AND(IF($M$9="Q11",LEFT(OFFSET(TH!G$1,SMALL(Dong2,ROWS($1:45)),),3)=$M$9,LEFT(OFFSET(TH!G$1,SMALL(Dong2,ROWS($1:45)),),2)=$M$9),OFFSET(TH!N$1,SMALL(Dong2,ROWS($1:45)),)=$I$6),IF($I$6="1121",OFFSET(TH!M$1,SMALL(Dong2,ROWS($1:45)),),OFFSET(TH!K$1,SMALL(Dong2,ROWS($1:45)),)),0))</f>
        <v/>
      </c>
      <c r="G56" s="976" t="str">
        <f ca="1">IF(ROWS($1:45)&gt;COUNT(Dong2),"",IF(AND(IF($M$9="Q11",RIGHT(OFFSET(TH!G$1,SMALL(Dong2,ROWS($1:45)),),3)=$M$9,RIGHT(OFFSET(TH!G$1,SMALL(Dong2,ROWS($1:45)),),2)=$M$9),OFFSET(TH!O$1,SMALL(Dong2,ROWS($1:45)),)=$I$6),IF($I$6="1121",OFFSET(TH!M$1,SMALL(Dong2,ROWS($1:45)),),OFFSET(TH!K$1,SMALL(Dong2,ROWS($1:45)),)),0))</f>
        <v/>
      </c>
      <c r="H56" s="791">
        <f t="shared" ca="1" si="1"/>
        <v>0</v>
      </c>
      <c r="I56" s="791"/>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8" t="str">
        <f ca="1">IF(ROWS($1:46)&gt;COUNT(Dong2),"",OFFSET(TH!F$1,SMALL(Dong2,ROWS($1:46)),))</f>
        <v/>
      </c>
      <c r="E57" s="195" t="str">
        <f ca="1">IF(ROWS($1:46)&gt;COUNT(Dong2),"",IF(OFFSET(TH!O$1,SMALL(Dong2,ROWS($1:46)),)=$I$6,OFFSET(TH!N$1,SMALL(Dong2,ROWS($1:46)),),OFFSET(TH!O$1,SMALL(Dong2,ROWS($1:46)),)))</f>
        <v/>
      </c>
      <c r="F57" s="976" t="str">
        <f ca="1">IF(ROWS($1:46)&gt;COUNT(Dong2),"",IF(AND(IF($M$9="Q11",LEFT(OFFSET(TH!G$1,SMALL(Dong2,ROWS($1:46)),),3)=$M$9,LEFT(OFFSET(TH!G$1,SMALL(Dong2,ROWS($1:46)),),2)=$M$9),OFFSET(TH!N$1,SMALL(Dong2,ROWS($1:46)),)=$I$6),IF($I$6="1121",OFFSET(TH!M$1,SMALL(Dong2,ROWS($1:46)),),OFFSET(TH!K$1,SMALL(Dong2,ROWS($1:46)),)),0))</f>
        <v/>
      </c>
      <c r="G57" s="976" t="str">
        <f ca="1">IF(ROWS($1:46)&gt;COUNT(Dong2),"",IF(AND(IF($M$9="Q11",RIGHT(OFFSET(TH!G$1,SMALL(Dong2,ROWS($1:46)),),3)=$M$9,RIGHT(OFFSET(TH!G$1,SMALL(Dong2,ROWS($1:46)),),2)=$M$9),OFFSET(TH!O$1,SMALL(Dong2,ROWS($1:46)),)=$I$6),IF($I$6="1121",OFFSET(TH!M$1,SMALL(Dong2,ROWS($1:46)),),OFFSET(TH!K$1,SMALL(Dong2,ROWS($1:46)),)),0))</f>
        <v/>
      </c>
      <c r="H57" s="791">
        <f t="shared" ca="1" si="1"/>
        <v>0</v>
      </c>
      <c r="I57" s="791"/>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8" t="str">
        <f ca="1">IF(ROWS($1:47)&gt;COUNT(Dong2),"",OFFSET(TH!F$1,SMALL(Dong2,ROWS($1:47)),))</f>
        <v/>
      </c>
      <c r="E58" s="195" t="str">
        <f ca="1">IF(ROWS($1:47)&gt;COUNT(Dong2),"",IF(OFFSET(TH!O$1,SMALL(Dong2,ROWS($1:47)),)=$I$6,OFFSET(TH!N$1,SMALL(Dong2,ROWS($1:47)),),OFFSET(TH!O$1,SMALL(Dong2,ROWS($1:47)),)))</f>
        <v/>
      </c>
      <c r="F58" s="976" t="str">
        <f ca="1">IF(ROWS($1:47)&gt;COUNT(Dong2),"",IF(AND(IF($M$9="Q11",LEFT(OFFSET(TH!G$1,SMALL(Dong2,ROWS($1:47)),),3)=$M$9,LEFT(OFFSET(TH!G$1,SMALL(Dong2,ROWS($1:47)),),2)=$M$9),OFFSET(TH!N$1,SMALL(Dong2,ROWS($1:47)),)=$I$6),IF($I$6="1121",OFFSET(TH!M$1,SMALL(Dong2,ROWS($1:47)),),OFFSET(TH!K$1,SMALL(Dong2,ROWS($1:47)),)),0))</f>
        <v/>
      </c>
      <c r="G58" s="976" t="str">
        <f ca="1">IF(ROWS($1:47)&gt;COUNT(Dong2),"",IF(AND(IF($M$9="Q11",RIGHT(OFFSET(TH!G$1,SMALL(Dong2,ROWS($1:47)),),3)=$M$9,RIGHT(OFFSET(TH!G$1,SMALL(Dong2,ROWS($1:47)),),2)=$M$9),OFFSET(TH!O$1,SMALL(Dong2,ROWS($1:47)),)=$I$6),IF($I$6="1121",OFFSET(TH!M$1,SMALL(Dong2,ROWS($1:47)),),OFFSET(TH!K$1,SMALL(Dong2,ROWS($1:47)),)),0))</f>
        <v/>
      </c>
      <c r="H58" s="791">
        <f t="shared" ca="1" si="1"/>
        <v>0</v>
      </c>
      <c r="I58" s="791"/>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8" t="str">
        <f ca="1">IF(ROWS($1:48)&gt;COUNT(Dong2),"",OFFSET(TH!F$1,SMALL(Dong2,ROWS($1:48)),))</f>
        <v/>
      </c>
      <c r="E59" s="195" t="str">
        <f ca="1">IF(ROWS($1:48)&gt;COUNT(Dong2),"",IF(OFFSET(TH!O$1,SMALL(Dong2,ROWS($1:48)),)=$I$6,OFFSET(TH!N$1,SMALL(Dong2,ROWS($1:48)),),OFFSET(TH!O$1,SMALL(Dong2,ROWS($1:48)),)))</f>
        <v/>
      </c>
      <c r="F59" s="976" t="str">
        <f ca="1">IF(ROWS($1:48)&gt;COUNT(Dong2),"",IF(AND(IF($M$9="Q11",LEFT(OFFSET(TH!G$1,SMALL(Dong2,ROWS($1:48)),),3)=$M$9,LEFT(OFFSET(TH!G$1,SMALL(Dong2,ROWS($1:48)),),2)=$M$9),OFFSET(TH!N$1,SMALL(Dong2,ROWS($1:48)),)=$I$6),IF($I$6="1121",OFFSET(TH!M$1,SMALL(Dong2,ROWS($1:48)),),OFFSET(TH!K$1,SMALL(Dong2,ROWS($1:48)),)),0))</f>
        <v/>
      </c>
      <c r="G59" s="976" t="str">
        <f ca="1">IF(ROWS($1:48)&gt;COUNT(Dong2),"",IF(AND(IF($M$9="Q11",RIGHT(OFFSET(TH!G$1,SMALL(Dong2,ROWS($1:48)),),3)=$M$9,RIGHT(OFFSET(TH!G$1,SMALL(Dong2,ROWS($1:48)),),2)=$M$9),OFFSET(TH!O$1,SMALL(Dong2,ROWS($1:48)),)=$I$6),IF($I$6="1121",OFFSET(TH!M$1,SMALL(Dong2,ROWS($1:48)),),OFFSET(TH!K$1,SMALL(Dong2,ROWS($1:48)),)),0))</f>
        <v/>
      </c>
      <c r="H59" s="791">
        <f t="shared" ca="1" si="1"/>
        <v>0</v>
      </c>
      <c r="I59" s="791"/>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8" t="str">
        <f ca="1">IF(ROWS($1:49)&gt;COUNT(Dong2),"",OFFSET(TH!F$1,SMALL(Dong2,ROWS($1:49)),))</f>
        <v/>
      </c>
      <c r="E60" s="195" t="str">
        <f ca="1">IF(ROWS($1:49)&gt;COUNT(Dong2),"",IF(OFFSET(TH!O$1,SMALL(Dong2,ROWS($1:49)),)=$I$6,OFFSET(TH!N$1,SMALL(Dong2,ROWS($1:49)),),OFFSET(TH!O$1,SMALL(Dong2,ROWS($1:49)),)))</f>
        <v/>
      </c>
      <c r="F60" s="976" t="str">
        <f ca="1">IF(ROWS($1:49)&gt;COUNT(Dong2),"",IF(AND(IF($M$9="Q11",LEFT(OFFSET(TH!G$1,SMALL(Dong2,ROWS($1:49)),),3)=$M$9,LEFT(OFFSET(TH!G$1,SMALL(Dong2,ROWS($1:49)),),2)=$M$9),OFFSET(TH!N$1,SMALL(Dong2,ROWS($1:49)),)=$I$6),IF($I$6="1121",OFFSET(TH!M$1,SMALL(Dong2,ROWS($1:49)),),OFFSET(TH!K$1,SMALL(Dong2,ROWS($1:49)),)),0))</f>
        <v/>
      </c>
      <c r="G60" s="976" t="str">
        <f ca="1">IF(ROWS($1:49)&gt;COUNT(Dong2),"",IF(AND(IF($M$9="Q11",RIGHT(OFFSET(TH!G$1,SMALL(Dong2,ROWS($1:49)),),3)=$M$9,RIGHT(OFFSET(TH!G$1,SMALL(Dong2,ROWS($1:49)),),2)=$M$9),OFFSET(TH!O$1,SMALL(Dong2,ROWS($1:49)),)=$I$6),IF($I$6="1121",OFFSET(TH!M$1,SMALL(Dong2,ROWS($1:49)),),OFFSET(TH!K$1,SMALL(Dong2,ROWS($1:49)),)),0))</f>
        <v/>
      </c>
      <c r="H60" s="791">
        <f t="shared" ca="1" si="1"/>
        <v>0</v>
      </c>
      <c r="I60" s="791"/>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8" t="str">
        <f ca="1">IF(ROWS($1:50)&gt;COUNT(Dong2),"",OFFSET(TH!F$1,SMALL(Dong2,ROWS($1:50)),))</f>
        <v/>
      </c>
      <c r="E61" s="195" t="str">
        <f ca="1">IF(ROWS($1:50)&gt;COUNT(Dong2),"",IF(OFFSET(TH!O$1,SMALL(Dong2,ROWS($1:50)),)=$I$6,OFFSET(TH!N$1,SMALL(Dong2,ROWS($1:50)),),OFFSET(TH!O$1,SMALL(Dong2,ROWS($1:50)),)))</f>
        <v/>
      </c>
      <c r="F61" s="976" t="str">
        <f ca="1">IF(ROWS($1:50)&gt;COUNT(Dong2),"",IF(AND(IF($M$9="Q11",LEFT(OFFSET(TH!G$1,SMALL(Dong2,ROWS($1:50)),),3)=$M$9,LEFT(OFFSET(TH!G$1,SMALL(Dong2,ROWS($1:50)),),2)=$M$9),OFFSET(TH!N$1,SMALL(Dong2,ROWS($1:50)),)=$I$6),IF($I$6="1121",OFFSET(TH!M$1,SMALL(Dong2,ROWS($1:50)),),OFFSET(TH!K$1,SMALL(Dong2,ROWS($1:50)),)),0))</f>
        <v/>
      </c>
      <c r="G61" s="976" t="str">
        <f ca="1">IF(ROWS($1:50)&gt;COUNT(Dong2),"",IF(AND(IF($M$9="Q11",RIGHT(OFFSET(TH!G$1,SMALL(Dong2,ROWS($1:50)),),3)=$M$9,RIGHT(OFFSET(TH!G$1,SMALL(Dong2,ROWS($1:50)),),2)=$M$9),OFFSET(TH!O$1,SMALL(Dong2,ROWS($1:50)),)=$I$6),IF($I$6="1121",OFFSET(TH!M$1,SMALL(Dong2,ROWS($1:50)),),OFFSET(TH!K$1,SMALL(Dong2,ROWS($1:50)),)),0))</f>
        <v/>
      </c>
      <c r="H61" s="791">
        <f t="shared" ca="1" si="1"/>
        <v>0</v>
      </c>
      <c r="I61" s="791"/>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8" t="str">
        <f ca="1">IF(ROWS($1:51)&gt;COUNT(Dong2),"",OFFSET(TH!F$1,SMALL(Dong2,ROWS($1:51)),))</f>
        <v/>
      </c>
      <c r="E62" s="195" t="str">
        <f ca="1">IF(ROWS($1:51)&gt;COUNT(Dong2),"",IF(OFFSET(TH!O$1,SMALL(Dong2,ROWS($1:51)),)=$I$6,OFFSET(TH!N$1,SMALL(Dong2,ROWS($1:51)),),OFFSET(TH!O$1,SMALL(Dong2,ROWS($1:51)),)))</f>
        <v/>
      </c>
      <c r="F62" s="976" t="str">
        <f ca="1">IF(ROWS($1:51)&gt;COUNT(Dong2),"",IF(AND(IF($M$9="Q11",LEFT(OFFSET(TH!G$1,SMALL(Dong2,ROWS($1:51)),),3)=$M$9,LEFT(OFFSET(TH!G$1,SMALL(Dong2,ROWS($1:51)),),2)=$M$9),OFFSET(TH!N$1,SMALL(Dong2,ROWS($1:51)),)=$I$6),IF($I$6="1121",OFFSET(TH!M$1,SMALL(Dong2,ROWS($1:51)),),OFFSET(TH!K$1,SMALL(Dong2,ROWS($1:51)),)),0))</f>
        <v/>
      </c>
      <c r="G62" s="976" t="str">
        <f ca="1">IF(ROWS($1:51)&gt;COUNT(Dong2),"",IF(AND(IF($M$9="Q11",RIGHT(OFFSET(TH!G$1,SMALL(Dong2,ROWS($1:51)),),3)=$M$9,RIGHT(OFFSET(TH!G$1,SMALL(Dong2,ROWS($1:51)),),2)=$M$9),OFFSET(TH!O$1,SMALL(Dong2,ROWS($1:51)),)=$I$6),IF($I$6="1121",OFFSET(TH!M$1,SMALL(Dong2,ROWS($1:51)),),OFFSET(TH!K$1,SMALL(Dong2,ROWS($1:51)),)),0))</f>
        <v/>
      </c>
      <c r="H62" s="791">
        <f t="shared" ca="1" si="1"/>
        <v>0</v>
      </c>
      <c r="I62" s="791"/>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8" t="str">
        <f ca="1">IF(ROWS($1:52)&gt;COUNT(Dong2),"",OFFSET(TH!F$1,SMALL(Dong2,ROWS($1:52)),))</f>
        <v/>
      </c>
      <c r="E63" s="195" t="str">
        <f ca="1">IF(ROWS($1:52)&gt;COUNT(Dong2),"",IF(OFFSET(TH!O$1,SMALL(Dong2,ROWS($1:52)),)=$I$6,OFFSET(TH!N$1,SMALL(Dong2,ROWS($1:52)),),OFFSET(TH!O$1,SMALL(Dong2,ROWS($1:52)),)))</f>
        <v/>
      </c>
      <c r="F63" s="976" t="str">
        <f ca="1">IF(ROWS($1:52)&gt;COUNT(Dong2),"",IF(AND(IF($M$9="Q11",LEFT(OFFSET(TH!G$1,SMALL(Dong2,ROWS($1:52)),),3)=$M$9,LEFT(OFFSET(TH!G$1,SMALL(Dong2,ROWS($1:52)),),2)=$M$9),OFFSET(TH!N$1,SMALL(Dong2,ROWS($1:52)),)=$I$6),IF($I$6="1121",OFFSET(TH!M$1,SMALL(Dong2,ROWS($1:52)),),OFFSET(TH!K$1,SMALL(Dong2,ROWS($1:52)),)),0))</f>
        <v/>
      </c>
      <c r="G63" s="976" t="str">
        <f ca="1">IF(ROWS($1:52)&gt;COUNT(Dong2),"",IF(AND(IF($M$9="Q11",RIGHT(OFFSET(TH!G$1,SMALL(Dong2,ROWS($1:52)),),3)=$M$9,RIGHT(OFFSET(TH!G$1,SMALL(Dong2,ROWS($1:52)),),2)=$M$9),OFFSET(TH!O$1,SMALL(Dong2,ROWS($1:52)),)=$I$6),IF($I$6="1121",OFFSET(TH!M$1,SMALL(Dong2,ROWS($1:52)),),OFFSET(TH!K$1,SMALL(Dong2,ROWS($1:52)),)),0))</f>
        <v/>
      </c>
      <c r="H63" s="791">
        <f t="shared" ca="1" si="1"/>
        <v>0</v>
      </c>
      <c r="I63" s="791"/>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8" t="str">
        <f ca="1">IF(ROWS($1:53)&gt;COUNT(Dong2),"",OFFSET(TH!F$1,SMALL(Dong2,ROWS($1:53)),))</f>
        <v/>
      </c>
      <c r="E64" s="195" t="str">
        <f ca="1">IF(ROWS($1:53)&gt;COUNT(Dong2),"",IF(OFFSET(TH!O$1,SMALL(Dong2,ROWS($1:53)),)=$I$6,OFFSET(TH!N$1,SMALL(Dong2,ROWS($1:53)),),OFFSET(TH!O$1,SMALL(Dong2,ROWS($1:53)),)))</f>
        <v/>
      </c>
      <c r="F64" s="976" t="str">
        <f ca="1">IF(ROWS($1:53)&gt;COUNT(Dong2),"",IF(AND(IF($M$9="Q11",LEFT(OFFSET(TH!G$1,SMALL(Dong2,ROWS($1:53)),),3)=$M$9,LEFT(OFFSET(TH!G$1,SMALL(Dong2,ROWS($1:53)),),2)=$M$9),OFFSET(TH!N$1,SMALL(Dong2,ROWS($1:53)),)=$I$6),IF($I$6="1121",OFFSET(TH!M$1,SMALL(Dong2,ROWS($1:53)),),OFFSET(TH!K$1,SMALL(Dong2,ROWS($1:53)),)),0))</f>
        <v/>
      </c>
      <c r="G64" s="976" t="str">
        <f ca="1">IF(ROWS($1:53)&gt;COUNT(Dong2),"",IF(AND(IF($M$9="Q11",RIGHT(OFFSET(TH!G$1,SMALL(Dong2,ROWS($1:53)),),3)=$M$9,RIGHT(OFFSET(TH!G$1,SMALL(Dong2,ROWS($1:53)),),2)=$M$9),OFFSET(TH!O$1,SMALL(Dong2,ROWS($1:53)),)=$I$6),IF($I$6="1121",OFFSET(TH!M$1,SMALL(Dong2,ROWS($1:53)),),OFFSET(TH!K$1,SMALL(Dong2,ROWS($1:53)),)),0))</f>
        <v/>
      </c>
      <c r="H64" s="791">
        <f t="shared" ca="1" si="1"/>
        <v>0</v>
      </c>
      <c r="I64" s="791"/>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8" t="str">
        <f ca="1">IF(ROWS($1:54)&gt;COUNT(Dong2),"",OFFSET(TH!F$1,SMALL(Dong2,ROWS($1:54)),))</f>
        <v/>
      </c>
      <c r="E65" s="195" t="str">
        <f ca="1">IF(ROWS($1:54)&gt;COUNT(Dong2),"",IF(OFFSET(TH!O$1,SMALL(Dong2,ROWS($1:54)),)=$I$6,OFFSET(TH!N$1,SMALL(Dong2,ROWS($1:54)),),OFFSET(TH!O$1,SMALL(Dong2,ROWS($1:54)),)))</f>
        <v/>
      </c>
      <c r="F65" s="976" t="str">
        <f ca="1">IF(ROWS($1:54)&gt;COUNT(Dong2),"",IF(AND(IF($M$9="Q11",LEFT(OFFSET(TH!G$1,SMALL(Dong2,ROWS($1:54)),),3)=$M$9,LEFT(OFFSET(TH!G$1,SMALL(Dong2,ROWS($1:54)),),2)=$M$9),OFFSET(TH!N$1,SMALL(Dong2,ROWS($1:54)),)=$I$6),IF($I$6="1121",OFFSET(TH!M$1,SMALL(Dong2,ROWS($1:54)),),OFFSET(TH!K$1,SMALL(Dong2,ROWS($1:54)),)),0))</f>
        <v/>
      </c>
      <c r="G65" s="976" t="str">
        <f ca="1">IF(ROWS($1:54)&gt;COUNT(Dong2),"",IF(AND(IF($M$9="Q11",RIGHT(OFFSET(TH!G$1,SMALL(Dong2,ROWS($1:54)),),3)=$M$9,RIGHT(OFFSET(TH!G$1,SMALL(Dong2,ROWS($1:54)),),2)=$M$9),OFFSET(TH!O$1,SMALL(Dong2,ROWS($1:54)),)=$I$6),IF($I$6="1121",OFFSET(TH!M$1,SMALL(Dong2,ROWS($1:54)),),OFFSET(TH!K$1,SMALL(Dong2,ROWS($1:54)),)),0))</f>
        <v/>
      </c>
      <c r="H65" s="791">
        <f t="shared" ca="1" si="1"/>
        <v>0</v>
      </c>
      <c r="I65" s="791"/>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8" t="str">
        <f ca="1">IF(ROWS($1:55)&gt;COUNT(Dong2),"",OFFSET(TH!F$1,SMALL(Dong2,ROWS($1:55)),))</f>
        <v/>
      </c>
      <c r="E66" s="195" t="str">
        <f ca="1">IF(ROWS($1:55)&gt;COUNT(Dong2),"",IF(OFFSET(TH!O$1,SMALL(Dong2,ROWS($1:55)),)=$I$6,OFFSET(TH!N$1,SMALL(Dong2,ROWS($1:55)),),OFFSET(TH!O$1,SMALL(Dong2,ROWS($1:55)),)))</f>
        <v/>
      </c>
      <c r="F66" s="976" t="str">
        <f ca="1">IF(ROWS($1:55)&gt;COUNT(Dong2),"",IF(AND(IF($M$9="Q11",LEFT(OFFSET(TH!G$1,SMALL(Dong2,ROWS($1:55)),),3)=$M$9,LEFT(OFFSET(TH!G$1,SMALL(Dong2,ROWS($1:55)),),2)=$M$9),OFFSET(TH!N$1,SMALL(Dong2,ROWS($1:55)),)=$I$6),IF($I$6="1121",OFFSET(TH!M$1,SMALL(Dong2,ROWS($1:55)),),OFFSET(TH!K$1,SMALL(Dong2,ROWS($1:55)),)),0))</f>
        <v/>
      </c>
      <c r="G66" s="976" t="str">
        <f ca="1">IF(ROWS($1:55)&gt;COUNT(Dong2),"",IF(AND(IF($M$9="Q11",RIGHT(OFFSET(TH!G$1,SMALL(Dong2,ROWS($1:55)),),3)=$M$9,RIGHT(OFFSET(TH!G$1,SMALL(Dong2,ROWS($1:55)),),2)=$M$9),OFFSET(TH!O$1,SMALL(Dong2,ROWS($1:55)),)=$I$6),IF($I$6="1121",OFFSET(TH!M$1,SMALL(Dong2,ROWS($1:55)),),OFFSET(TH!K$1,SMALL(Dong2,ROWS($1:55)),)),0))</f>
        <v/>
      </c>
      <c r="H66" s="791">
        <f t="shared" ca="1" si="1"/>
        <v>0</v>
      </c>
      <c r="I66" s="791"/>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8" t="str">
        <f ca="1">IF(ROWS($1:56)&gt;COUNT(Dong2),"",OFFSET(TH!F$1,SMALL(Dong2,ROWS($1:56)),))</f>
        <v/>
      </c>
      <c r="E67" s="195" t="str">
        <f ca="1">IF(ROWS($1:56)&gt;COUNT(Dong2),"",IF(OFFSET(TH!O$1,SMALL(Dong2,ROWS($1:56)),)=$I$6,OFFSET(TH!N$1,SMALL(Dong2,ROWS($1:56)),),OFFSET(TH!O$1,SMALL(Dong2,ROWS($1:56)),)))</f>
        <v/>
      </c>
      <c r="F67" s="976" t="str">
        <f ca="1">IF(ROWS($1:56)&gt;COUNT(Dong2),"",IF(AND(IF($M$9="Q11",LEFT(OFFSET(TH!G$1,SMALL(Dong2,ROWS($1:56)),),3)=$M$9,LEFT(OFFSET(TH!G$1,SMALL(Dong2,ROWS($1:56)),),2)=$M$9),OFFSET(TH!N$1,SMALL(Dong2,ROWS($1:56)),)=$I$6),IF($I$6="1121",OFFSET(TH!M$1,SMALL(Dong2,ROWS($1:56)),),OFFSET(TH!K$1,SMALL(Dong2,ROWS($1:56)),)),0))</f>
        <v/>
      </c>
      <c r="G67" s="976" t="str">
        <f ca="1">IF(ROWS($1:56)&gt;COUNT(Dong2),"",IF(AND(IF($M$9="Q11",RIGHT(OFFSET(TH!G$1,SMALL(Dong2,ROWS($1:56)),),3)=$M$9,RIGHT(OFFSET(TH!G$1,SMALL(Dong2,ROWS($1:56)),),2)=$M$9),OFFSET(TH!O$1,SMALL(Dong2,ROWS($1:56)),)=$I$6),IF($I$6="1121",OFFSET(TH!M$1,SMALL(Dong2,ROWS($1:56)),),OFFSET(TH!K$1,SMALL(Dong2,ROWS($1:56)),)),0))</f>
        <v/>
      </c>
      <c r="H67" s="791">
        <f t="shared" ca="1" si="1"/>
        <v>0</v>
      </c>
      <c r="I67" s="791"/>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8" t="str">
        <f ca="1">IF(ROWS($1:57)&gt;COUNT(Dong2),"",OFFSET(TH!F$1,SMALL(Dong2,ROWS($1:57)),))</f>
        <v/>
      </c>
      <c r="E68" s="195" t="str">
        <f ca="1">IF(ROWS($1:57)&gt;COUNT(Dong2),"",IF(OFFSET(TH!O$1,SMALL(Dong2,ROWS($1:57)),)=$I$6,OFFSET(TH!N$1,SMALL(Dong2,ROWS($1:57)),),OFFSET(TH!O$1,SMALL(Dong2,ROWS($1:57)),)))</f>
        <v/>
      </c>
      <c r="F68" s="976" t="str">
        <f ca="1">IF(ROWS($1:57)&gt;COUNT(Dong2),"",IF(AND(IF($M$9="Q11",LEFT(OFFSET(TH!G$1,SMALL(Dong2,ROWS($1:57)),),3)=$M$9,LEFT(OFFSET(TH!G$1,SMALL(Dong2,ROWS($1:57)),),2)=$M$9),OFFSET(TH!N$1,SMALL(Dong2,ROWS($1:57)),)=$I$6),IF($I$6="1121",OFFSET(TH!M$1,SMALL(Dong2,ROWS($1:57)),),OFFSET(TH!K$1,SMALL(Dong2,ROWS($1:57)),)),0))</f>
        <v/>
      </c>
      <c r="G68" s="976" t="str">
        <f ca="1">IF(ROWS($1:57)&gt;COUNT(Dong2),"",IF(AND(IF($M$9="Q11",RIGHT(OFFSET(TH!G$1,SMALL(Dong2,ROWS($1:57)),),3)=$M$9,RIGHT(OFFSET(TH!G$1,SMALL(Dong2,ROWS($1:57)),),2)=$M$9),OFFSET(TH!O$1,SMALL(Dong2,ROWS($1:57)),)=$I$6),IF($I$6="1121",OFFSET(TH!M$1,SMALL(Dong2,ROWS($1:57)),),OFFSET(TH!K$1,SMALL(Dong2,ROWS($1:57)),)),0))</f>
        <v/>
      </c>
      <c r="H68" s="791">
        <f t="shared" ca="1" si="1"/>
        <v>0</v>
      </c>
      <c r="I68" s="791"/>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8" t="str">
        <f ca="1">IF(ROWS($1:58)&gt;COUNT(Dong2),"",OFFSET(TH!F$1,SMALL(Dong2,ROWS($1:58)),))</f>
        <v/>
      </c>
      <c r="E69" s="195" t="str">
        <f ca="1">IF(ROWS($1:58)&gt;COUNT(Dong2),"",IF(OFFSET(TH!O$1,SMALL(Dong2,ROWS($1:58)),)=$I$6,OFFSET(TH!N$1,SMALL(Dong2,ROWS($1:58)),),OFFSET(TH!O$1,SMALL(Dong2,ROWS($1:58)),)))</f>
        <v/>
      </c>
      <c r="F69" s="976" t="str">
        <f ca="1">IF(ROWS($1:58)&gt;COUNT(Dong2),"",IF(AND(IF($M$9="Q11",LEFT(OFFSET(TH!G$1,SMALL(Dong2,ROWS($1:58)),),3)=$M$9,LEFT(OFFSET(TH!G$1,SMALL(Dong2,ROWS($1:58)),),2)=$M$9),OFFSET(TH!N$1,SMALL(Dong2,ROWS($1:58)),)=$I$6),IF($I$6="1121",OFFSET(TH!M$1,SMALL(Dong2,ROWS($1:58)),),OFFSET(TH!K$1,SMALL(Dong2,ROWS($1:58)),)),0))</f>
        <v/>
      </c>
      <c r="G69" s="976" t="str">
        <f ca="1">IF(ROWS($1:58)&gt;COUNT(Dong2),"",IF(AND(IF($M$9="Q11",RIGHT(OFFSET(TH!G$1,SMALL(Dong2,ROWS($1:58)),),3)=$M$9,RIGHT(OFFSET(TH!G$1,SMALL(Dong2,ROWS($1:58)),),2)=$M$9),OFFSET(TH!O$1,SMALL(Dong2,ROWS($1:58)),)=$I$6),IF($I$6="1121",OFFSET(TH!M$1,SMALL(Dong2,ROWS($1:58)),),OFFSET(TH!K$1,SMALL(Dong2,ROWS($1:58)),)),0))</f>
        <v/>
      </c>
      <c r="H69" s="791">
        <f t="shared" ca="1" si="1"/>
        <v>0</v>
      </c>
      <c r="I69" s="791"/>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8" t="str">
        <f ca="1">IF(ROWS($1:59)&gt;COUNT(Dong2),"",OFFSET(TH!F$1,SMALL(Dong2,ROWS($1:59)),))</f>
        <v/>
      </c>
      <c r="E70" s="195" t="str">
        <f ca="1">IF(ROWS($1:59)&gt;COUNT(Dong2),"",IF(OFFSET(TH!O$1,SMALL(Dong2,ROWS($1:59)),)=$I$6,OFFSET(TH!N$1,SMALL(Dong2,ROWS($1:59)),),OFFSET(TH!O$1,SMALL(Dong2,ROWS($1:59)),)))</f>
        <v/>
      </c>
      <c r="F70" s="976" t="str">
        <f ca="1">IF(ROWS($1:59)&gt;COUNT(Dong2),"",IF(AND(IF($M$9="Q11",LEFT(OFFSET(TH!G$1,SMALL(Dong2,ROWS($1:59)),),3)=$M$9,LEFT(OFFSET(TH!G$1,SMALL(Dong2,ROWS($1:59)),),2)=$M$9),OFFSET(TH!N$1,SMALL(Dong2,ROWS($1:59)),)=$I$6),IF($I$6="1121",OFFSET(TH!M$1,SMALL(Dong2,ROWS($1:59)),),OFFSET(TH!K$1,SMALL(Dong2,ROWS($1:59)),)),0))</f>
        <v/>
      </c>
      <c r="G70" s="976" t="str">
        <f ca="1">IF(ROWS($1:59)&gt;COUNT(Dong2),"",IF(AND(IF($M$9="Q11",RIGHT(OFFSET(TH!G$1,SMALL(Dong2,ROWS($1:59)),),3)=$M$9,RIGHT(OFFSET(TH!G$1,SMALL(Dong2,ROWS($1:59)),),2)=$M$9),OFFSET(TH!O$1,SMALL(Dong2,ROWS($1:59)),)=$I$6),IF($I$6="1121",OFFSET(TH!M$1,SMALL(Dong2,ROWS($1:59)),),OFFSET(TH!K$1,SMALL(Dong2,ROWS($1:59)),)),0))</f>
        <v/>
      </c>
      <c r="H70" s="791">
        <f t="shared" ca="1" si="1"/>
        <v>0</v>
      </c>
      <c r="I70" s="791"/>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8" t="str">
        <f ca="1">IF(ROWS($1:60)&gt;COUNT(Dong2),"",OFFSET(TH!F$1,SMALL(Dong2,ROWS($1:60)),))</f>
        <v/>
      </c>
      <c r="E71" s="195" t="str">
        <f ca="1">IF(ROWS($1:60)&gt;COUNT(Dong2),"",IF(OFFSET(TH!O$1,SMALL(Dong2,ROWS($1:60)),)=$I$6,OFFSET(TH!N$1,SMALL(Dong2,ROWS($1:60)),),OFFSET(TH!O$1,SMALL(Dong2,ROWS($1:60)),)))</f>
        <v/>
      </c>
      <c r="F71" s="976" t="str">
        <f ca="1">IF(ROWS($1:60)&gt;COUNT(Dong2),"",IF(AND(IF($M$9="Q11",LEFT(OFFSET(TH!G$1,SMALL(Dong2,ROWS($1:60)),),3)=$M$9,LEFT(OFFSET(TH!G$1,SMALL(Dong2,ROWS($1:60)),),2)=$M$9),OFFSET(TH!N$1,SMALL(Dong2,ROWS($1:60)),)=$I$6),IF($I$6="1121",OFFSET(TH!M$1,SMALL(Dong2,ROWS($1:60)),),OFFSET(TH!K$1,SMALL(Dong2,ROWS($1:60)),)),0))</f>
        <v/>
      </c>
      <c r="G71" s="976" t="str">
        <f ca="1">IF(ROWS($1:60)&gt;COUNT(Dong2),"",IF(AND(IF($M$9="Q11",RIGHT(OFFSET(TH!G$1,SMALL(Dong2,ROWS($1:60)),),3)=$M$9,RIGHT(OFFSET(TH!G$1,SMALL(Dong2,ROWS($1:60)),),2)=$M$9),OFFSET(TH!O$1,SMALL(Dong2,ROWS($1:60)),)=$I$6),IF($I$6="1121",OFFSET(TH!M$1,SMALL(Dong2,ROWS($1:60)),),OFFSET(TH!K$1,SMALL(Dong2,ROWS($1:60)),)),0))</f>
        <v/>
      </c>
      <c r="H71" s="791">
        <f t="shared" ca="1" si="1"/>
        <v>0</v>
      </c>
      <c r="I71" s="791"/>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8" t="str">
        <f ca="1">IF(ROWS($1:61)&gt;COUNT(Dong2),"",OFFSET(TH!F$1,SMALL(Dong2,ROWS($1:61)),))</f>
        <v/>
      </c>
      <c r="E72" s="195" t="str">
        <f ca="1">IF(ROWS($1:61)&gt;COUNT(Dong2),"",IF(OFFSET(TH!O$1,SMALL(Dong2,ROWS($1:61)),)=$I$6,OFFSET(TH!N$1,SMALL(Dong2,ROWS($1:61)),),OFFSET(TH!O$1,SMALL(Dong2,ROWS($1:61)),)))</f>
        <v/>
      </c>
      <c r="F72" s="976" t="str">
        <f ca="1">IF(ROWS($1:61)&gt;COUNT(Dong2),"",IF(AND(IF($M$9="Q11",LEFT(OFFSET(TH!G$1,SMALL(Dong2,ROWS($1:61)),),3)=$M$9,LEFT(OFFSET(TH!G$1,SMALL(Dong2,ROWS($1:61)),),2)=$M$9),OFFSET(TH!N$1,SMALL(Dong2,ROWS($1:61)),)=$I$6),IF($I$6="1121",OFFSET(TH!M$1,SMALL(Dong2,ROWS($1:61)),),OFFSET(TH!K$1,SMALL(Dong2,ROWS($1:61)),)),0))</f>
        <v/>
      </c>
      <c r="G72" s="976" t="str">
        <f ca="1">IF(ROWS($1:61)&gt;COUNT(Dong2),"",IF(AND(IF($M$9="Q11",RIGHT(OFFSET(TH!G$1,SMALL(Dong2,ROWS($1:61)),),3)=$M$9,RIGHT(OFFSET(TH!G$1,SMALL(Dong2,ROWS($1:61)),),2)=$M$9),OFFSET(TH!O$1,SMALL(Dong2,ROWS($1:61)),)=$I$6),IF($I$6="1121",OFFSET(TH!M$1,SMALL(Dong2,ROWS($1:61)),),OFFSET(TH!K$1,SMALL(Dong2,ROWS($1:61)),)),0))</f>
        <v/>
      </c>
      <c r="H72" s="791">
        <f t="shared" ca="1" si="1"/>
        <v>0</v>
      </c>
      <c r="I72" s="791"/>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8" t="str">
        <f ca="1">IF(ROWS($1:62)&gt;COUNT(Dong2),"",OFFSET(TH!F$1,SMALL(Dong2,ROWS($1:62)),))</f>
        <v/>
      </c>
      <c r="E73" s="195" t="str">
        <f ca="1">IF(ROWS($1:62)&gt;COUNT(Dong2),"",IF(OFFSET(TH!O$1,SMALL(Dong2,ROWS($1:62)),)=$I$6,OFFSET(TH!N$1,SMALL(Dong2,ROWS($1:62)),),OFFSET(TH!O$1,SMALL(Dong2,ROWS($1:62)),)))</f>
        <v/>
      </c>
      <c r="F73" s="976" t="str">
        <f ca="1">IF(ROWS($1:62)&gt;COUNT(Dong2),"",IF(AND(IF($M$9="Q11",LEFT(OFFSET(TH!G$1,SMALL(Dong2,ROWS($1:62)),),3)=$M$9,LEFT(OFFSET(TH!G$1,SMALL(Dong2,ROWS($1:62)),),2)=$M$9),OFFSET(TH!N$1,SMALL(Dong2,ROWS($1:62)),)=$I$6),IF($I$6="1121",OFFSET(TH!M$1,SMALL(Dong2,ROWS($1:62)),),OFFSET(TH!K$1,SMALL(Dong2,ROWS($1:62)),)),0))</f>
        <v/>
      </c>
      <c r="G73" s="976" t="str">
        <f ca="1">IF(ROWS($1:62)&gt;COUNT(Dong2),"",IF(AND(IF($M$9="Q11",RIGHT(OFFSET(TH!G$1,SMALL(Dong2,ROWS($1:62)),),3)=$M$9,RIGHT(OFFSET(TH!G$1,SMALL(Dong2,ROWS($1:62)),),2)=$M$9),OFFSET(TH!O$1,SMALL(Dong2,ROWS($1:62)),)=$I$6),IF($I$6="1121",OFFSET(TH!M$1,SMALL(Dong2,ROWS($1:62)),),OFFSET(TH!K$1,SMALL(Dong2,ROWS($1:62)),)),0))</f>
        <v/>
      </c>
      <c r="H73" s="791">
        <f t="shared" ca="1" si="1"/>
        <v>0</v>
      </c>
      <c r="I73" s="791"/>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8" t="str">
        <f ca="1">IF(ROWS($1:63)&gt;COUNT(Dong2),"",OFFSET(TH!F$1,SMALL(Dong2,ROWS($1:63)),))</f>
        <v/>
      </c>
      <c r="E74" s="195" t="str">
        <f ca="1">IF(ROWS($1:63)&gt;COUNT(Dong2),"",IF(OFFSET(TH!O$1,SMALL(Dong2,ROWS($1:63)),)=$I$6,OFFSET(TH!N$1,SMALL(Dong2,ROWS($1:63)),),OFFSET(TH!O$1,SMALL(Dong2,ROWS($1:63)),)))</f>
        <v/>
      </c>
      <c r="F74" s="976" t="str">
        <f ca="1">IF(ROWS($1:63)&gt;COUNT(Dong2),"",IF(AND(IF($M$9="Q11",LEFT(OFFSET(TH!G$1,SMALL(Dong2,ROWS($1:63)),),3)=$M$9,LEFT(OFFSET(TH!G$1,SMALL(Dong2,ROWS($1:63)),),2)=$M$9),OFFSET(TH!N$1,SMALL(Dong2,ROWS($1:63)),)=$I$6),IF($I$6="1121",OFFSET(TH!M$1,SMALL(Dong2,ROWS($1:63)),),OFFSET(TH!K$1,SMALL(Dong2,ROWS($1:63)),)),0))</f>
        <v/>
      </c>
      <c r="G74" s="976" t="str">
        <f ca="1">IF(ROWS($1:63)&gt;COUNT(Dong2),"",IF(AND(IF($M$9="Q11",RIGHT(OFFSET(TH!G$1,SMALL(Dong2,ROWS($1:63)),),3)=$M$9,RIGHT(OFFSET(TH!G$1,SMALL(Dong2,ROWS($1:63)),),2)=$M$9),OFFSET(TH!O$1,SMALL(Dong2,ROWS($1:63)),)=$I$6),IF($I$6="1121",OFFSET(TH!M$1,SMALL(Dong2,ROWS($1:63)),),OFFSET(TH!K$1,SMALL(Dong2,ROWS($1:63)),)),0))</f>
        <v/>
      </c>
      <c r="H74" s="791">
        <f t="shared" ca="1" si="1"/>
        <v>0</v>
      </c>
      <c r="I74" s="791"/>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8" t="str">
        <f ca="1">IF(ROWS($1:64)&gt;COUNT(Dong2),"",OFFSET(TH!F$1,SMALL(Dong2,ROWS($1:64)),))</f>
        <v/>
      </c>
      <c r="E75" s="195" t="str">
        <f ca="1">IF(ROWS($1:64)&gt;COUNT(Dong2),"",IF(OFFSET(TH!O$1,SMALL(Dong2,ROWS($1:64)),)=$I$6,OFFSET(TH!N$1,SMALL(Dong2,ROWS($1:64)),),OFFSET(TH!O$1,SMALL(Dong2,ROWS($1:64)),)))</f>
        <v/>
      </c>
      <c r="F75" s="976" t="str">
        <f ca="1">IF(ROWS($1:64)&gt;COUNT(Dong2),"",IF(AND(IF($M$9="Q11",LEFT(OFFSET(TH!G$1,SMALL(Dong2,ROWS($1:64)),),3)=$M$9,LEFT(OFFSET(TH!G$1,SMALL(Dong2,ROWS($1:64)),),2)=$M$9),OFFSET(TH!N$1,SMALL(Dong2,ROWS($1:64)),)=$I$6),IF($I$6="1121",OFFSET(TH!M$1,SMALL(Dong2,ROWS($1:64)),),OFFSET(TH!K$1,SMALL(Dong2,ROWS($1:64)),)),0))</f>
        <v/>
      </c>
      <c r="G75" s="976" t="str">
        <f ca="1">IF(ROWS($1:64)&gt;COUNT(Dong2),"",IF(AND(IF($M$9="Q11",RIGHT(OFFSET(TH!G$1,SMALL(Dong2,ROWS($1:64)),),3)=$M$9,RIGHT(OFFSET(TH!G$1,SMALL(Dong2,ROWS($1:64)),),2)=$M$9),OFFSET(TH!O$1,SMALL(Dong2,ROWS($1:64)),)=$I$6),IF($I$6="1121",OFFSET(TH!M$1,SMALL(Dong2,ROWS($1:64)),),OFFSET(TH!K$1,SMALL(Dong2,ROWS($1:64)),)),0))</f>
        <v/>
      </c>
      <c r="H75" s="791">
        <f t="shared" ca="1" si="1"/>
        <v>0</v>
      </c>
      <c r="I75" s="791"/>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8" t="str">
        <f ca="1">IF(ROWS($1:65)&gt;COUNT(Dong2),"",OFFSET(TH!F$1,SMALL(Dong2,ROWS($1:65)),))</f>
        <v/>
      </c>
      <c r="E76" s="195" t="str">
        <f ca="1">IF(ROWS($1:65)&gt;COUNT(Dong2),"",IF(OFFSET(TH!O$1,SMALL(Dong2,ROWS($1:65)),)=$I$6,OFFSET(TH!N$1,SMALL(Dong2,ROWS($1:65)),),OFFSET(TH!O$1,SMALL(Dong2,ROWS($1:65)),)))</f>
        <v/>
      </c>
      <c r="F76" s="976" t="str">
        <f ca="1">IF(ROWS($1:65)&gt;COUNT(Dong2),"",IF(AND(IF($M$9="Q11",LEFT(OFFSET(TH!G$1,SMALL(Dong2,ROWS($1:65)),),3)=$M$9,LEFT(OFFSET(TH!G$1,SMALL(Dong2,ROWS($1:65)),),2)=$M$9),OFFSET(TH!N$1,SMALL(Dong2,ROWS($1:65)),)=$I$6),IF($I$6="1121",OFFSET(TH!M$1,SMALL(Dong2,ROWS($1:65)),),OFFSET(TH!K$1,SMALL(Dong2,ROWS($1:65)),)),0))</f>
        <v/>
      </c>
      <c r="G76" s="976" t="str">
        <f ca="1">IF(ROWS($1:65)&gt;COUNT(Dong2),"",IF(AND(IF($M$9="Q11",RIGHT(OFFSET(TH!G$1,SMALL(Dong2,ROWS($1:65)),),3)=$M$9,RIGHT(OFFSET(TH!G$1,SMALL(Dong2,ROWS($1:65)),),2)=$M$9),OFFSET(TH!O$1,SMALL(Dong2,ROWS($1:65)),)=$I$6),IF($I$6="1121",OFFSET(TH!M$1,SMALL(Dong2,ROWS($1:65)),),OFFSET(TH!K$1,SMALL(Dong2,ROWS($1:65)),)),0))</f>
        <v/>
      </c>
      <c r="H76" s="791">
        <f t="shared" ca="1" si="1"/>
        <v>0</v>
      </c>
      <c r="I76" s="791"/>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8" t="str">
        <f ca="1">IF(ROWS($1:66)&gt;COUNT(Dong2),"",OFFSET(TH!F$1,SMALL(Dong2,ROWS($1:66)),))</f>
        <v/>
      </c>
      <c r="E77" s="195" t="str">
        <f ca="1">IF(ROWS($1:66)&gt;COUNT(Dong2),"",IF(OFFSET(TH!O$1,SMALL(Dong2,ROWS($1:66)),)=$I$6,OFFSET(TH!N$1,SMALL(Dong2,ROWS($1:66)),),OFFSET(TH!O$1,SMALL(Dong2,ROWS($1:66)),)))</f>
        <v/>
      </c>
      <c r="F77" s="976" t="str">
        <f ca="1">IF(ROWS($1:66)&gt;COUNT(Dong2),"",IF(AND(IF($M$9="Q11",LEFT(OFFSET(TH!G$1,SMALL(Dong2,ROWS($1:66)),),3)=$M$9,LEFT(OFFSET(TH!G$1,SMALL(Dong2,ROWS($1:66)),),2)=$M$9),OFFSET(TH!N$1,SMALL(Dong2,ROWS($1:66)),)=$I$6),IF($I$6="1121",OFFSET(TH!M$1,SMALL(Dong2,ROWS($1:66)),),OFFSET(TH!K$1,SMALL(Dong2,ROWS($1:66)),)),0))</f>
        <v/>
      </c>
      <c r="G77" s="976" t="str">
        <f ca="1">IF(ROWS($1:66)&gt;COUNT(Dong2),"",IF(AND(IF($M$9="Q11",RIGHT(OFFSET(TH!G$1,SMALL(Dong2,ROWS($1:66)),),3)=$M$9,RIGHT(OFFSET(TH!G$1,SMALL(Dong2,ROWS($1:66)),),2)=$M$9),OFFSET(TH!O$1,SMALL(Dong2,ROWS($1:66)),)=$I$6),IF($I$6="1121",OFFSET(TH!M$1,SMALL(Dong2,ROWS($1:66)),),OFFSET(TH!K$1,SMALL(Dong2,ROWS($1:66)),)),0))</f>
        <v/>
      </c>
      <c r="H77" s="791">
        <f t="shared" ca="1" si="1"/>
        <v>0</v>
      </c>
      <c r="I77" s="791"/>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8" t="str">
        <f ca="1">IF(ROWS($1:67)&gt;COUNT(Dong2),"",OFFSET(TH!F$1,SMALL(Dong2,ROWS($1:67)),))</f>
        <v/>
      </c>
      <c r="E78" s="195" t="str">
        <f ca="1">IF(ROWS($1:67)&gt;COUNT(Dong2),"",IF(OFFSET(TH!O$1,SMALL(Dong2,ROWS($1:67)),)=$I$6,OFFSET(TH!N$1,SMALL(Dong2,ROWS($1:67)),),OFFSET(TH!O$1,SMALL(Dong2,ROWS($1:67)),)))</f>
        <v/>
      </c>
      <c r="F78" s="976" t="str">
        <f ca="1">IF(ROWS($1:67)&gt;COUNT(Dong2),"",IF(AND(IF($M$9="Q11",LEFT(OFFSET(TH!G$1,SMALL(Dong2,ROWS($1:67)),),3)=$M$9,LEFT(OFFSET(TH!G$1,SMALL(Dong2,ROWS($1:67)),),2)=$M$9),OFFSET(TH!N$1,SMALL(Dong2,ROWS($1:67)),)=$I$6),IF($I$6="1121",OFFSET(TH!M$1,SMALL(Dong2,ROWS($1:67)),),OFFSET(TH!K$1,SMALL(Dong2,ROWS($1:67)),)),0))</f>
        <v/>
      </c>
      <c r="G78" s="976" t="str">
        <f ca="1">IF(ROWS($1:67)&gt;COUNT(Dong2),"",IF(AND(IF($M$9="Q11",RIGHT(OFFSET(TH!G$1,SMALL(Dong2,ROWS($1:67)),),3)=$M$9,RIGHT(OFFSET(TH!G$1,SMALL(Dong2,ROWS($1:67)),),2)=$M$9),OFFSET(TH!O$1,SMALL(Dong2,ROWS($1:67)),)=$I$6),IF($I$6="1121",OFFSET(TH!M$1,SMALL(Dong2,ROWS($1:67)),),OFFSET(TH!K$1,SMALL(Dong2,ROWS($1:67)),)),0))</f>
        <v/>
      </c>
      <c r="H78" s="791">
        <f t="shared" ca="1" si="1"/>
        <v>0</v>
      </c>
      <c r="I78" s="791"/>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8" t="str">
        <f ca="1">IF(ROWS($1:68)&gt;COUNT(Dong2),"",OFFSET(TH!F$1,SMALL(Dong2,ROWS($1:68)),))</f>
        <v/>
      </c>
      <c r="E79" s="195" t="str">
        <f ca="1">IF(ROWS($1:68)&gt;COUNT(Dong2),"",IF(OFFSET(TH!O$1,SMALL(Dong2,ROWS($1:68)),)=$I$6,OFFSET(TH!N$1,SMALL(Dong2,ROWS($1:68)),),OFFSET(TH!O$1,SMALL(Dong2,ROWS($1:68)),)))</f>
        <v/>
      </c>
      <c r="F79" s="976" t="str">
        <f ca="1">IF(ROWS($1:68)&gt;COUNT(Dong2),"",IF(AND(IF($M$9="Q11",LEFT(OFFSET(TH!G$1,SMALL(Dong2,ROWS($1:68)),),3)=$M$9,LEFT(OFFSET(TH!G$1,SMALL(Dong2,ROWS($1:68)),),2)=$M$9),OFFSET(TH!N$1,SMALL(Dong2,ROWS($1:68)),)=$I$6),IF($I$6="1121",OFFSET(TH!M$1,SMALL(Dong2,ROWS($1:68)),),OFFSET(TH!K$1,SMALL(Dong2,ROWS($1:68)),)),0))</f>
        <v/>
      </c>
      <c r="G79" s="976" t="str">
        <f ca="1">IF(ROWS($1:68)&gt;COUNT(Dong2),"",IF(AND(IF($M$9="Q11",RIGHT(OFFSET(TH!G$1,SMALL(Dong2,ROWS($1:68)),),3)=$M$9,RIGHT(OFFSET(TH!G$1,SMALL(Dong2,ROWS($1:68)),),2)=$M$9),OFFSET(TH!O$1,SMALL(Dong2,ROWS($1:68)),)=$I$6),IF($I$6="1121",OFFSET(TH!M$1,SMALL(Dong2,ROWS($1:68)),),OFFSET(TH!K$1,SMALL(Dong2,ROWS($1:68)),)),0))</f>
        <v/>
      </c>
      <c r="H79" s="791">
        <f t="shared" ca="1" si="1"/>
        <v>0</v>
      </c>
      <c r="I79" s="791"/>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8" t="str">
        <f ca="1">IF(ROWS($1:69)&gt;COUNT(Dong2),"",OFFSET(TH!F$1,SMALL(Dong2,ROWS($1:69)),))</f>
        <v/>
      </c>
      <c r="E80" s="195" t="str">
        <f ca="1">IF(ROWS($1:69)&gt;COUNT(Dong2),"",IF(OFFSET(TH!O$1,SMALL(Dong2,ROWS($1:69)),)=$I$6,OFFSET(TH!N$1,SMALL(Dong2,ROWS($1:69)),),OFFSET(TH!O$1,SMALL(Dong2,ROWS($1:69)),)))</f>
        <v/>
      </c>
      <c r="F80" s="976" t="str">
        <f ca="1">IF(ROWS($1:69)&gt;COUNT(Dong2),"",IF(AND(IF($M$9="Q11",LEFT(OFFSET(TH!G$1,SMALL(Dong2,ROWS($1:69)),),3)=$M$9,LEFT(OFFSET(TH!G$1,SMALL(Dong2,ROWS($1:69)),),2)=$M$9),OFFSET(TH!N$1,SMALL(Dong2,ROWS($1:69)),)=$I$6),IF($I$6="1121",OFFSET(TH!M$1,SMALL(Dong2,ROWS($1:69)),),OFFSET(TH!K$1,SMALL(Dong2,ROWS($1:69)),)),0))</f>
        <v/>
      </c>
      <c r="G80" s="976" t="str">
        <f ca="1">IF(ROWS($1:69)&gt;COUNT(Dong2),"",IF(AND(IF($M$9="Q11",RIGHT(OFFSET(TH!G$1,SMALL(Dong2,ROWS($1:69)),),3)=$M$9,RIGHT(OFFSET(TH!G$1,SMALL(Dong2,ROWS($1:69)),),2)=$M$9),OFFSET(TH!O$1,SMALL(Dong2,ROWS($1:69)),)=$I$6),IF($I$6="1121",OFFSET(TH!M$1,SMALL(Dong2,ROWS($1:69)),),OFFSET(TH!K$1,SMALL(Dong2,ROWS($1:69)),)),0))</f>
        <v/>
      </c>
      <c r="H80" s="791">
        <f t="shared" ca="1" si="1"/>
        <v>0</v>
      </c>
      <c r="I80" s="791"/>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8" t="str">
        <f ca="1">IF(ROWS($1:70)&gt;COUNT(Dong2),"",OFFSET(TH!F$1,SMALL(Dong2,ROWS($1:70)),))</f>
        <v/>
      </c>
      <c r="E81" s="195" t="str">
        <f ca="1">IF(ROWS($1:70)&gt;COUNT(Dong2),"",IF(OFFSET(TH!O$1,SMALL(Dong2,ROWS($1:70)),)=$I$6,OFFSET(TH!N$1,SMALL(Dong2,ROWS($1:70)),),OFFSET(TH!O$1,SMALL(Dong2,ROWS($1:70)),)))</f>
        <v/>
      </c>
      <c r="F81" s="976" t="str">
        <f ca="1">IF(ROWS($1:70)&gt;COUNT(Dong2),"",IF(AND(IF($M$9="Q11",LEFT(OFFSET(TH!G$1,SMALL(Dong2,ROWS($1:70)),),3)=$M$9,LEFT(OFFSET(TH!G$1,SMALL(Dong2,ROWS($1:70)),),2)=$M$9),OFFSET(TH!N$1,SMALL(Dong2,ROWS($1:70)),)=$I$6),IF($I$6="1121",OFFSET(TH!M$1,SMALL(Dong2,ROWS($1:70)),),OFFSET(TH!K$1,SMALL(Dong2,ROWS($1:70)),)),0))</f>
        <v/>
      </c>
      <c r="G81" s="976" t="str">
        <f ca="1">IF(ROWS($1:70)&gt;COUNT(Dong2),"",IF(AND(IF($M$9="Q11",RIGHT(OFFSET(TH!G$1,SMALL(Dong2,ROWS($1:70)),),3)=$M$9,RIGHT(OFFSET(TH!G$1,SMALL(Dong2,ROWS($1:70)),),2)=$M$9),OFFSET(TH!O$1,SMALL(Dong2,ROWS($1:70)),)=$I$6),IF($I$6="1121",OFFSET(TH!M$1,SMALL(Dong2,ROWS($1:70)),),OFFSET(TH!K$1,SMALL(Dong2,ROWS($1:70)),)),0))</f>
        <v/>
      </c>
      <c r="H81" s="791">
        <f t="shared" ca="1" si="1"/>
        <v>0</v>
      </c>
      <c r="I81" s="791"/>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8" t="str">
        <f ca="1">IF(ROWS($1:71)&gt;COUNT(Dong2),"",OFFSET(TH!F$1,SMALL(Dong2,ROWS($1:71)),))</f>
        <v/>
      </c>
      <c r="E82" s="195" t="str">
        <f ca="1">IF(ROWS($1:71)&gt;COUNT(Dong2),"",IF(OFFSET(TH!O$1,SMALL(Dong2,ROWS($1:71)),)=$I$6,OFFSET(TH!N$1,SMALL(Dong2,ROWS($1:71)),),OFFSET(TH!O$1,SMALL(Dong2,ROWS($1:71)),)))</f>
        <v/>
      </c>
      <c r="F82" s="976" t="str">
        <f ca="1">IF(ROWS($1:71)&gt;COUNT(Dong2),"",IF(AND(IF($M$9="Q11",LEFT(OFFSET(TH!G$1,SMALL(Dong2,ROWS($1:71)),),3)=$M$9,LEFT(OFFSET(TH!G$1,SMALL(Dong2,ROWS($1:71)),),2)=$M$9),OFFSET(TH!N$1,SMALL(Dong2,ROWS($1:71)),)=$I$6),IF($I$6="1121",OFFSET(TH!M$1,SMALL(Dong2,ROWS($1:71)),),OFFSET(TH!K$1,SMALL(Dong2,ROWS($1:71)),)),0))</f>
        <v/>
      </c>
      <c r="G82" s="976" t="str">
        <f ca="1">IF(ROWS($1:71)&gt;COUNT(Dong2),"",IF(AND(IF($M$9="Q11",RIGHT(OFFSET(TH!G$1,SMALL(Dong2,ROWS($1:71)),),3)=$M$9,RIGHT(OFFSET(TH!G$1,SMALL(Dong2,ROWS($1:71)),),2)=$M$9),OFFSET(TH!O$1,SMALL(Dong2,ROWS($1:71)),)=$I$6),IF($I$6="1121",OFFSET(TH!M$1,SMALL(Dong2,ROWS($1:71)),),OFFSET(TH!K$1,SMALL(Dong2,ROWS($1:71)),)),0))</f>
        <v/>
      </c>
      <c r="H82" s="791">
        <f t="shared" ca="1" si="1"/>
        <v>0</v>
      </c>
      <c r="I82" s="791"/>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8" t="str">
        <f ca="1">IF(ROWS($1:72)&gt;COUNT(Dong2),"",OFFSET(TH!F$1,SMALL(Dong2,ROWS($1:72)),))</f>
        <v/>
      </c>
      <c r="E83" s="195" t="str">
        <f ca="1">IF(ROWS($1:72)&gt;COUNT(Dong2),"",IF(OFFSET(TH!O$1,SMALL(Dong2,ROWS($1:72)),)=$I$6,OFFSET(TH!N$1,SMALL(Dong2,ROWS($1:72)),),OFFSET(TH!O$1,SMALL(Dong2,ROWS($1:72)),)))</f>
        <v/>
      </c>
      <c r="F83" s="976" t="str">
        <f ca="1">IF(ROWS($1:72)&gt;COUNT(Dong2),"",IF(AND(IF($M$9="Q11",LEFT(OFFSET(TH!G$1,SMALL(Dong2,ROWS($1:72)),),3)=$M$9,LEFT(OFFSET(TH!G$1,SMALL(Dong2,ROWS($1:72)),),2)=$M$9),OFFSET(TH!N$1,SMALL(Dong2,ROWS($1:72)),)=$I$6),IF($I$6="1121",OFFSET(TH!M$1,SMALL(Dong2,ROWS($1:72)),),OFFSET(TH!K$1,SMALL(Dong2,ROWS($1:72)),)),0))</f>
        <v/>
      </c>
      <c r="G83" s="976" t="str">
        <f ca="1">IF(ROWS($1:72)&gt;COUNT(Dong2),"",IF(AND(IF($M$9="Q11",RIGHT(OFFSET(TH!G$1,SMALL(Dong2,ROWS($1:72)),),3)=$M$9,RIGHT(OFFSET(TH!G$1,SMALL(Dong2,ROWS($1:72)),),2)=$M$9),OFFSET(TH!O$1,SMALL(Dong2,ROWS($1:72)),)=$I$6),IF($I$6="1121",OFFSET(TH!M$1,SMALL(Dong2,ROWS($1:72)),),OFFSET(TH!K$1,SMALL(Dong2,ROWS($1:72)),)),0))</f>
        <v/>
      </c>
      <c r="H83" s="791">
        <f t="shared" ca="1" si="1"/>
        <v>0</v>
      </c>
      <c r="I83" s="791"/>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8" t="str">
        <f ca="1">IF(ROWS($1:73)&gt;COUNT(Dong2),"",OFFSET(TH!F$1,SMALL(Dong2,ROWS($1:73)),))</f>
        <v/>
      </c>
      <c r="E84" s="195" t="str">
        <f ca="1">IF(ROWS($1:73)&gt;COUNT(Dong2),"",IF(OFFSET(TH!O$1,SMALL(Dong2,ROWS($1:73)),)=$I$6,OFFSET(TH!N$1,SMALL(Dong2,ROWS($1:73)),),OFFSET(TH!O$1,SMALL(Dong2,ROWS($1:73)),)))</f>
        <v/>
      </c>
      <c r="F84" s="976" t="str">
        <f ca="1">IF(ROWS($1:73)&gt;COUNT(Dong2),"",IF(AND(IF($M$9="Q11",LEFT(OFFSET(TH!G$1,SMALL(Dong2,ROWS($1:73)),),3)=$M$9,LEFT(OFFSET(TH!G$1,SMALL(Dong2,ROWS($1:73)),),2)=$M$9),OFFSET(TH!N$1,SMALL(Dong2,ROWS($1:73)),)=$I$6),IF($I$6="1121",OFFSET(TH!M$1,SMALL(Dong2,ROWS($1:73)),),OFFSET(TH!K$1,SMALL(Dong2,ROWS($1:73)),)),0))</f>
        <v/>
      </c>
      <c r="G84" s="976" t="str">
        <f ca="1">IF(ROWS($1:73)&gt;COUNT(Dong2),"",IF(AND(IF($M$9="Q11",RIGHT(OFFSET(TH!G$1,SMALL(Dong2,ROWS($1:73)),),3)=$M$9,RIGHT(OFFSET(TH!G$1,SMALL(Dong2,ROWS($1:73)),),2)=$M$9),OFFSET(TH!O$1,SMALL(Dong2,ROWS($1:73)),)=$I$6),IF($I$6="1121",OFFSET(TH!M$1,SMALL(Dong2,ROWS($1:73)),),OFFSET(TH!K$1,SMALL(Dong2,ROWS($1:73)),)),0))</f>
        <v/>
      </c>
      <c r="H84" s="791">
        <f t="shared" ref="H84:H123" ca="1" si="3">IF(A84&lt;&gt;"",H83+F84-G84,0)</f>
        <v>0</v>
      </c>
      <c r="I84" s="791"/>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8" t="str">
        <f ca="1">IF(ROWS($1:74)&gt;COUNT(Dong2),"",OFFSET(TH!F$1,SMALL(Dong2,ROWS($1:74)),))</f>
        <v/>
      </c>
      <c r="E85" s="195" t="str">
        <f ca="1">IF(ROWS($1:74)&gt;COUNT(Dong2),"",IF(OFFSET(TH!O$1,SMALL(Dong2,ROWS($1:74)),)=$I$6,OFFSET(TH!N$1,SMALL(Dong2,ROWS($1:74)),),OFFSET(TH!O$1,SMALL(Dong2,ROWS($1:74)),)))</f>
        <v/>
      </c>
      <c r="F85" s="976" t="str">
        <f ca="1">IF(ROWS($1:74)&gt;COUNT(Dong2),"",IF(AND(IF($M$9="Q11",LEFT(OFFSET(TH!G$1,SMALL(Dong2,ROWS($1:74)),),3)=$M$9,LEFT(OFFSET(TH!G$1,SMALL(Dong2,ROWS($1:74)),),2)=$M$9),OFFSET(TH!N$1,SMALL(Dong2,ROWS($1:74)),)=$I$6),IF($I$6="1121",OFFSET(TH!M$1,SMALL(Dong2,ROWS($1:74)),),OFFSET(TH!K$1,SMALL(Dong2,ROWS($1:74)),)),0))</f>
        <v/>
      </c>
      <c r="G85" s="976" t="str">
        <f ca="1">IF(ROWS($1:74)&gt;COUNT(Dong2),"",IF(AND(IF($M$9="Q11",RIGHT(OFFSET(TH!G$1,SMALL(Dong2,ROWS($1:74)),),3)=$M$9,RIGHT(OFFSET(TH!G$1,SMALL(Dong2,ROWS($1:74)),),2)=$M$9),OFFSET(TH!O$1,SMALL(Dong2,ROWS($1:74)),)=$I$6),IF($I$6="1121",OFFSET(TH!M$1,SMALL(Dong2,ROWS($1:74)),),OFFSET(TH!K$1,SMALL(Dong2,ROWS($1:74)),)),0))</f>
        <v/>
      </c>
      <c r="H85" s="791">
        <f t="shared" ca="1" si="3"/>
        <v>0</v>
      </c>
      <c r="I85" s="791"/>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8" t="str">
        <f ca="1">IF(ROWS($1:75)&gt;COUNT(Dong2),"",OFFSET(TH!F$1,SMALL(Dong2,ROWS($1:75)),))</f>
        <v/>
      </c>
      <c r="E86" s="195" t="str">
        <f ca="1">IF(ROWS($1:75)&gt;COUNT(Dong2),"",IF(OFFSET(TH!O$1,SMALL(Dong2,ROWS($1:75)),)=$I$6,OFFSET(TH!N$1,SMALL(Dong2,ROWS($1:75)),),OFFSET(TH!O$1,SMALL(Dong2,ROWS($1:75)),)))</f>
        <v/>
      </c>
      <c r="F86" s="976" t="str">
        <f ca="1">IF(ROWS($1:75)&gt;COUNT(Dong2),"",IF(AND(IF($M$9="Q11",LEFT(OFFSET(TH!G$1,SMALL(Dong2,ROWS($1:75)),),3)=$M$9,LEFT(OFFSET(TH!G$1,SMALL(Dong2,ROWS($1:75)),),2)=$M$9),OFFSET(TH!N$1,SMALL(Dong2,ROWS($1:75)),)=$I$6),IF($I$6="1121",OFFSET(TH!M$1,SMALL(Dong2,ROWS($1:75)),),OFFSET(TH!K$1,SMALL(Dong2,ROWS($1:75)),)),0))</f>
        <v/>
      </c>
      <c r="G86" s="976" t="str">
        <f ca="1">IF(ROWS($1:75)&gt;COUNT(Dong2),"",IF(AND(IF($M$9="Q11",RIGHT(OFFSET(TH!G$1,SMALL(Dong2,ROWS($1:75)),),3)=$M$9,RIGHT(OFFSET(TH!G$1,SMALL(Dong2,ROWS($1:75)),),2)=$M$9),OFFSET(TH!O$1,SMALL(Dong2,ROWS($1:75)),)=$I$6),IF($I$6="1121",OFFSET(TH!M$1,SMALL(Dong2,ROWS($1:75)),),OFFSET(TH!K$1,SMALL(Dong2,ROWS($1:75)),)),0))</f>
        <v/>
      </c>
      <c r="H86" s="791">
        <f t="shared" ca="1" si="3"/>
        <v>0</v>
      </c>
      <c r="I86" s="791"/>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8" t="str">
        <f ca="1">IF(ROWS($1:76)&gt;COUNT(Dong2),"",OFFSET(TH!F$1,SMALL(Dong2,ROWS($1:76)),))</f>
        <v/>
      </c>
      <c r="E87" s="195" t="str">
        <f ca="1">IF(ROWS($1:76)&gt;COUNT(Dong2),"",IF(OFFSET(TH!O$1,SMALL(Dong2,ROWS($1:76)),)=$I$6,OFFSET(TH!N$1,SMALL(Dong2,ROWS($1:76)),),OFFSET(TH!O$1,SMALL(Dong2,ROWS($1:76)),)))</f>
        <v/>
      </c>
      <c r="F87" s="976" t="str">
        <f ca="1">IF(ROWS($1:76)&gt;COUNT(Dong2),"",IF(AND(IF($M$9="Q11",LEFT(OFFSET(TH!G$1,SMALL(Dong2,ROWS($1:76)),),3)=$M$9,LEFT(OFFSET(TH!G$1,SMALL(Dong2,ROWS($1:76)),),2)=$M$9),OFFSET(TH!N$1,SMALL(Dong2,ROWS($1:76)),)=$I$6),IF($I$6="1121",OFFSET(TH!M$1,SMALL(Dong2,ROWS($1:76)),),OFFSET(TH!K$1,SMALL(Dong2,ROWS($1:76)),)),0))</f>
        <v/>
      </c>
      <c r="G87" s="976" t="str">
        <f ca="1">IF(ROWS($1:76)&gt;COUNT(Dong2),"",IF(AND(IF($M$9="Q11",RIGHT(OFFSET(TH!G$1,SMALL(Dong2,ROWS($1:76)),),3)=$M$9,RIGHT(OFFSET(TH!G$1,SMALL(Dong2,ROWS($1:76)),),2)=$M$9),OFFSET(TH!O$1,SMALL(Dong2,ROWS($1:76)),)=$I$6),IF($I$6="1121",OFFSET(TH!M$1,SMALL(Dong2,ROWS($1:76)),),OFFSET(TH!K$1,SMALL(Dong2,ROWS($1:76)),)),0))</f>
        <v/>
      </c>
      <c r="H87" s="791">
        <f t="shared" ca="1" si="3"/>
        <v>0</v>
      </c>
      <c r="I87" s="791"/>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8" t="str">
        <f ca="1">IF(ROWS($1:77)&gt;COUNT(Dong2),"",OFFSET(TH!F$1,SMALL(Dong2,ROWS($1:77)),))</f>
        <v/>
      </c>
      <c r="E88" s="195" t="str">
        <f ca="1">IF(ROWS($1:77)&gt;COUNT(Dong2),"",IF(OFFSET(TH!O$1,SMALL(Dong2,ROWS($1:77)),)=$I$6,OFFSET(TH!N$1,SMALL(Dong2,ROWS($1:77)),),OFFSET(TH!O$1,SMALL(Dong2,ROWS($1:77)),)))</f>
        <v/>
      </c>
      <c r="F88" s="976" t="str">
        <f ca="1">IF(ROWS($1:77)&gt;COUNT(Dong2),"",IF(AND(IF($M$9="Q11",LEFT(OFFSET(TH!G$1,SMALL(Dong2,ROWS($1:77)),),3)=$M$9,LEFT(OFFSET(TH!G$1,SMALL(Dong2,ROWS($1:77)),),2)=$M$9),OFFSET(TH!N$1,SMALL(Dong2,ROWS($1:77)),)=$I$6),IF($I$6="1121",OFFSET(TH!M$1,SMALL(Dong2,ROWS($1:77)),),OFFSET(TH!K$1,SMALL(Dong2,ROWS($1:77)),)),0))</f>
        <v/>
      </c>
      <c r="G88" s="976" t="str">
        <f ca="1">IF(ROWS($1:77)&gt;COUNT(Dong2),"",IF(AND(IF($M$9="Q11",RIGHT(OFFSET(TH!G$1,SMALL(Dong2,ROWS($1:77)),),3)=$M$9,RIGHT(OFFSET(TH!G$1,SMALL(Dong2,ROWS($1:77)),),2)=$M$9),OFFSET(TH!O$1,SMALL(Dong2,ROWS($1:77)),)=$I$6),IF($I$6="1121",OFFSET(TH!M$1,SMALL(Dong2,ROWS($1:77)),),OFFSET(TH!K$1,SMALL(Dong2,ROWS($1:77)),)),0))</f>
        <v/>
      </c>
      <c r="H88" s="791">
        <f t="shared" ca="1" si="3"/>
        <v>0</v>
      </c>
      <c r="I88" s="791"/>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8" t="str">
        <f ca="1">IF(ROWS($1:78)&gt;COUNT(Dong2),"",OFFSET(TH!F$1,SMALL(Dong2,ROWS($1:78)),))</f>
        <v/>
      </c>
      <c r="E89" s="195" t="str">
        <f ca="1">IF(ROWS($1:78)&gt;COUNT(Dong2),"",IF(OFFSET(TH!O$1,SMALL(Dong2,ROWS($1:78)),)=$I$6,OFFSET(TH!N$1,SMALL(Dong2,ROWS($1:78)),),OFFSET(TH!O$1,SMALL(Dong2,ROWS($1:78)),)))</f>
        <v/>
      </c>
      <c r="F89" s="976" t="str">
        <f ca="1">IF(ROWS($1:78)&gt;COUNT(Dong2),"",IF(AND(IF($M$9="Q11",LEFT(OFFSET(TH!G$1,SMALL(Dong2,ROWS($1:78)),),3)=$M$9,LEFT(OFFSET(TH!G$1,SMALL(Dong2,ROWS($1:78)),),2)=$M$9),OFFSET(TH!N$1,SMALL(Dong2,ROWS($1:78)),)=$I$6),IF($I$6="1121",OFFSET(TH!M$1,SMALL(Dong2,ROWS($1:78)),),OFFSET(TH!K$1,SMALL(Dong2,ROWS($1:78)),)),0))</f>
        <v/>
      </c>
      <c r="G89" s="976" t="str">
        <f ca="1">IF(ROWS($1:78)&gt;COUNT(Dong2),"",IF(AND(IF($M$9="Q11",RIGHT(OFFSET(TH!G$1,SMALL(Dong2,ROWS($1:78)),),3)=$M$9,RIGHT(OFFSET(TH!G$1,SMALL(Dong2,ROWS($1:78)),),2)=$M$9),OFFSET(TH!O$1,SMALL(Dong2,ROWS($1:78)),)=$I$6),IF($I$6="1121",OFFSET(TH!M$1,SMALL(Dong2,ROWS($1:78)),),OFFSET(TH!K$1,SMALL(Dong2,ROWS($1:78)),)),0))</f>
        <v/>
      </c>
      <c r="H89" s="791">
        <f t="shared" ca="1" si="3"/>
        <v>0</v>
      </c>
      <c r="I89" s="791"/>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8" t="str">
        <f ca="1">IF(ROWS($1:79)&gt;COUNT(Dong2),"",OFFSET(TH!F$1,SMALL(Dong2,ROWS($1:79)),))</f>
        <v/>
      </c>
      <c r="E90" s="195" t="str">
        <f ca="1">IF(ROWS($1:79)&gt;COUNT(Dong2),"",IF(OFFSET(TH!O$1,SMALL(Dong2,ROWS($1:79)),)=$I$6,OFFSET(TH!N$1,SMALL(Dong2,ROWS($1:79)),),OFFSET(TH!O$1,SMALL(Dong2,ROWS($1:79)),)))</f>
        <v/>
      </c>
      <c r="F90" s="976" t="str">
        <f ca="1">IF(ROWS($1:79)&gt;COUNT(Dong2),"",IF(AND(IF($M$9="Q11",LEFT(OFFSET(TH!G$1,SMALL(Dong2,ROWS($1:79)),),3)=$M$9,LEFT(OFFSET(TH!G$1,SMALL(Dong2,ROWS($1:79)),),2)=$M$9),OFFSET(TH!N$1,SMALL(Dong2,ROWS($1:79)),)=$I$6),IF($I$6="1121",OFFSET(TH!M$1,SMALL(Dong2,ROWS($1:79)),),OFFSET(TH!K$1,SMALL(Dong2,ROWS($1:79)),)),0))</f>
        <v/>
      </c>
      <c r="G90" s="976" t="str">
        <f ca="1">IF(ROWS($1:79)&gt;COUNT(Dong2),"",IF(AND(IF($M$9="Q11",RIGHT(OFFSET(TH!G$1,SMALL(Dong2,ROWS($1:79)),),3)=$M$9,RIGHT(OFFSET(TH!G$1,SMALL(Dong2,ROWS($1:79)),),2)=$M$9),OFFSET(TH!O$1,SMALL(Dong2,ROWS($1:79)),)=$I$6),IF($I$6="1121",OFFSET(TH!M$1,SMALL(Dong2,ROWS($1:79)),),OFFSET(TH!K$1,SMALL(Dong2,ROWS($1:79)),)),0))</f>
        <v/>
      </c>
      <c r="H90" s="791">
        <f t="shared" ca="1" si="3"/>
        <v>0</v>
      </c>
      <c r="I90" s="791"/>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8" t="str">
        <f ca="1">IF(ROWS($1:80)&gt;COUNT(Dong2),"",OFFSET(TH!F$1,SMALL(Dong2,ROWS($1:80)),))</f>
        <v/>
      </c>
      <c r="E91" s="195" t="str">
        <f ca="1">IF(ROWS($1:80)&gt;COUNT(Dong2),"",IF(OFFSET(TH!O$1,SMALL(Dong2,ROWS($1:80)),)=$I$6,OFFSET(TH!N$1,SMALL(Dong2,ROWS($1:80)),),OFFSET(TH!O$1,SMALL(Dong2,ROWS($1:80)),)))</f>
        <v/>
      </c>
      <c r="F91" s="976" t="str">
        <f ca="1">IF(ROWS($1:80)&gt;COUNT(Dong2),"",IF(AND(IF($M$9="Q11",LEFT(OFFSET(TH!G$1,SMALL(Dong2,ROWS($1:80)),),3)=$M$9,LEFT(OFFSET(TH!G$1,SMALL(Dong2,ROWS($1:80)),),2)=$M$9),OFFSET(TH!N$1,SMALL(Dong2,ROWS($1:80)),)=$I$6),IF($I$6="1121",OFFSET(TH!M$1,SMALL(Dong2,ROWS($1:80)),),OFFSET(TH!K$1,SMALL(Dong2,ROWS($1:80)),)),0))</f>
        <v/>
      </c>
      <c r="G91" s="976" t="str">
        <f ca="1">IF(ROWS($1:80)&gt;COUNT(Dong2),"",IF(AND(IF($M$9="Q11",RIGHT(OFFSET(TH!G$1,SMALL(Dong2,ROWS($1:80)),),3)=$M$9,RIGHT(OFFSET(TH!G$1,SMALL(Dong2,ROWS($1:80)),),2)=$M$9),OFFSET(TH!O$1,SMALL(Dong2,ROWS($1:80)),)=$I$6),IF($I$6="1121",OFFSET(TH!M$1,SMALL(Dong2,ROWS($1:80)),),OFFSET(TH!K$1,SMALL(Dong2,ROWS($1:80)),)),0))</f>
        <v/>
      </c>
      <c r="H91" s="791">
        <f t="shared" ca="1" si="3"/>
        <v>0</v>
      </c>
      <c r="I91" s="791"/>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8" t="str">
        <f ca="1">IF(ROWS($1:81)&gt;COUNT(Dong2),"",OFFSET(TH!F$1,SMALL(Dong2,ROWS($1:81)),))</f>
        <v/>
      </c>
      <c r="E92" s="195" t="str">
        <f ca="1">IF(ROWS($1:81)&gt;COUNT(Dong2),"",IF(OFFSET(TH!O$1,SMALL(Dong2,ROWS($1:81)),)=$I$6,OFFSET(TH!N$1,SMALL(Dong2,ROWS($1:81)),),OFFSET(TH!O$1,SMALL(Dong2,ROWS($1:81)),)))</f>
        <v/>
      </c>
      <c r="F92" s="976" t="str">
        <f ca="1">IF(ROWS($1:81)&gt;COUNT(Dong2),"",IF(AND(IF($M$9="Q11",LEFT(OFFSET(TH!G$1,SMALL(Dong2,ROWS($1:81)),),3)=$M$9,LEFT(OFFSET(TH!G$1,SMALL(Dong2,ROWS($1:81)),),2)=$M$9),OFFSET(TH!N$1,SMALL(Dong2,ROWS($1:81)),)=$I$6),IF($I$6="1121",OFFSET(TH!M$1,SMALL(Dong2,ROWS($1:81)),),OFFSET(TH!K$1,SMALL(Dong2,ROWS($1:81)),)),0))</f>
        <v/>
      </c>
      <c r="G92" s="976" t="str">
        <f ca="1">IF(ROWS($1:81)&gt;COUNT(Dong2),"",IF(AND(IF($M$9="Q11",RIGHT(OFFSET(TH!G$1,SMALL(Dong2,ROWS($1:81)),),3)=$M$9,RIGHT(OFFSET(TH!G$1,SMALL(Dong2,ROWS($1:81)),),2)=$M$9),OFFSET(TH!O$1,SMALL(Dong2,ROWS($1:81)),)=$I$6),IF($I$6="1121",OFFSET(TH!M$1,SMALL(Dong2,ROWS($1:81)),),OFFSET(TH!K$1,SMALL(Dong2,ROWS($1:81)),)),0))</f>
        <v/>
      </c>
      <c r="H92" s="791">
        <f t="shared" ca="1" si="3"/>
        <v>0</v>
      </c>
      <c r="I92" s="791"/>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8" t="str">
        <f ca="1">IF(ROWS($1:82)&gt;COUNT(Dong2),"",OFFSET(TH!F$1,SMALL(Dong2,ROWS($1:82)),))</f>
        <v/>
      </c>
      <c r="E93" s="195" t="str">
        <f ca="1">IF(ROWS($1:82)&gt;COUNT(Dong2),"",IF(OFFSET(TH!O$1,SMALL(Dong2,ROWS($1:82)),)=$I$6,OFFSET(TH!N$1,SMALL(Dong2,ROWS($1:82)),),OFFSET(TH!O$1,SMALL(Dong2,ROWS($1:82)),)))</f>
        <v/>
      </c>
      <c r="F93" s="976" t="str">
        <f ca="1">IF(ROWS($1:82)&gt;COUNT(Dong2),"",IF(AND(IF($M$9="Q11",LEFT(OFFSET(TH!G$1,SMALL(Dong2,ROWS($1:82)),),3)=$M$9,LEFT(OFFSET(TH!G$1,SMALL(Dong2,ROWS($1:82)),),2)=$M$9),OFFSET(TH!N$1,SMALL(Dong2,ROWS($1:82)),)=$I$6),IF($I$6="1121",OFFSET(TH!M$1,SMALL(Dong2,ROWS($1:82)),),OFFSET(TH!K$1,SMALL(Dong2,ROWS($1:82)),)),0))</f>
        <v/>
      </c>
      <c r="G93" s="976" t="str">
        <f ca="1">IF(ROWS($1:82)&gt;COUNT(Dong2),"",IF(AND(IF($M$9="Q11",RIGHT(OFFSET(TH!G$1,SMALL(Dong2,ROWS($1:82)),),3)=$M$9,RIGHT(OFFSET(TH!G$1,SMALL(Dong2,ROWS($1:82)),),2)=$M$9),OFFSET(TH!O$1,SMALL(Dong2,ROWS($1:82)),)=$I$6),IF($I$6="1121",OFFSET(TH!M$1,SMALL(Dong2,ROWS($1:82)),),OFFSET(TH!K$1,SMALL(Dong2,ROWS($1:82)),)),0))</f>
        <v/>
      </c>
      <c r="H93" s="791">
        <f t="shared" ca="1" si="3"/>
        <v>0</v>
      </c>
      <c r="I93" s="791"/>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8" t="str">
        <f ca="1">IF(ROWS($1:83)&gt;COUNT(Dong2),"",OFFSET(TH!F$1,SMALL(Dong2,ROWS($1:83)),))</f>
        <v/>
      </c>
      <c r="E94" s="195" t="str">
        <f ca="1">IF(ROWS($1:83)&gt;COUNT(Dong2),"",IF(OFFSET(TH!O$1,SMALL(Dong2,ROWS($1:83)),)=$I$6,OFFSET(TH!N$1,SMALL(Dong2,ROWS($1:83)),),OFFSET(TH!O$1,SMALL(Dong2,ROWS($1:83)),)))</f>
        <v/>
      </c>
      <c r="F94" s="976" t="str">
        <f ca="1">IF(ROWS($1:83)&gt;COUNT(Dong2),"",IF(AND(IF($M$9="Q11",LEFT(OFFSET(TH!G$1,SMALL(Dong2,ROWS($1:83)),),3)=$M$9,LEFT(OFFSET(TH!G$1,SMALL(Dong2,ROWS($1:83)),),2)=$M$9),OFFSET(TH!N$1,SMALL(Dong2,ROWS($1:83)),)=$I$6),IF($I$6="1121",OFFSET(TH!M$1,SMALL(Dong2,ROWS($1:83)),),OFFSET(TH!K$1,SMALL(Dong2,ROWS($1:83)),)),0))</f>
        <v/>
      </c>
      <c r="G94" s="976" t="str">
        <f ca="1">IF(ROWS($1:83)&gt;COUNT(Dong2),"",IF(AND(IF($M$9="Q11",RIGHT(OFFSET(TH!G$1,SMALL(Dong2,ROWS($1:83)),),3)=$M$9,RIGHT(OFFSET(TH!G$1,SMALL(Dong2,ROWS($1:83)),),2)=$M$9),OFFSET(TH!O$1,SMALL(Dong2,ROWS($1:83)),)=$I$6),IF($I$6="1121",OFFSET(TH!M$1,SMALL(Dong2,ROWS($1:83)),),OFFSET(TH!K$1,SMALL(Dong2,ROWS($1:83)),)),0))</f>
        <v/>
      </c>
      <c r="H94" s="791">
        <f t="shared" ca="1" si="3"/>
        <v>0</v>
      </c>
      <c r="I94" s="791"/>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8" t="str">
        <f ca="1">IF(ROWS($1:84)&gt;COUNT(Dong2),"",OFFSET(TH!F$1,SMALL(Dong2,ROWS($1:84)),))</f>
        <v/>
      </c>
      <c r="E95" s="195" t="str">
        <f ca="1">IF(ROWS($1:84)&gt;COUNT(Dong2),"",IF(OFFSET(TH!O$1,SMALL(Dong2,ROWS($1:84)),)=$I$6,OFFSET(TH!N$1,SMALL(Dong2,ROWS($1:84)),),OFFSET(TH!O$1,SMALL(Dong2,ROWS($1:84)),)))</f>
        <v/>
      </c>
      <c r="F95" s="976" t="str">
        <f ca="1">IF(ROWS($1:84)&gt;COUNT(Dong2),"",IF(AND(IF($M$9="Q11",LEFT(OFFSET(TH!G$1,SMALL(Dong2,ROWS($1:84)),),3)=$M$9,LEFT(OFFSET(TH!G$1,SMALL(Dong2,ROWS($1:84)),),2)=$M$9),OFFSET(TH!N$1,SMALL(Dong2,ROWS($1:84)),)=$I$6),IF($I$6="1121",OFFSET(TH!M$1,SMALL(Dong2,ROWS($1:84)),),OFFSET(TH!K$1,SMALL(Dong2,ROWS($1:84)),)),0))</f>
        <v/>
      </c>
      <c r="G95" s="976" t="str">
        <f ca="1">IF(ROWS($1:84)&gt;COUNT(Dong2),"",IF(AND(IF($M$9="Q11",RIGHT(OFFSET(TH!G$1,SMALL(Dong2,ROWS($1:84)),),3)=$M$9,RIGHT(OFFSET(TH!G$1,SMALL(Dong2,ROWS($1:84)),),2)=$M$9),OFFSET(TH!O$1,SMALL(Dong2,ROWS($1:84)),)=$I$6),IF($I$6="1121",OFFSET(TH!M$1,SMALL(Dong2,ROWS($1:84)),),OFFSET(TH!K$1,SMALL(Dong2,ROWS($1:84)),)),0))</f>
        <v/>
      </c>
      <c r="H95" s="791">
        <f t="shared" ca="1" si="3"/>
        <v>0</v>
      </c>
      <c r="I95" s="791"/>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8" t="str">
        <f ca="1">IF(ROWS($1:85)&gt;COUNT(Dong2),"",OFFSET(TH!F$1,SMALL(Dong2,ROWS($1:85)),))</f>
        <v/>
      </c>
      <c r="E96" s="195" t="str">
        <f ca="1">IF(ROWS($1:85)&gt;COUNT(Dong2),"",IF(OFFSET(TH!O$1,SMALL(Dong2,ROWS($1:85)),)=$I$6,OFFSET(TH!N$1,SMALL(Dong2,ROWS($1:85)),),OFFSET(TH!O$1,SMALL(Dong2,ROWS($1:85)),)))</f>
        <v/>
      </c>
      <c r="F96" s="976" t="str">
        <f ca="1">IF(ROWS($1:85)&gt;COUNT(Dong2),"",IF(AND(IF($M$9="Q11",LEFT(OFFSET(TH!G$1,SMALL(Dong2,ROWS($1:85)),),3)=$M$9,LEFT(OFFSET(TH!G$1,SMALL(Dong2,ROWS($1:85)),),2)=$M$9),OFFSET(TH!N$1,SMALL(Dong2,ROWS($1:85)),)=$I$6),IF($I$6="1121",OFFSET(TH!M$1,SMALL(Dong2,ROWS($1:85)),),OFFSET(TH!K$1,SMALL(Dong2,ROWS($1:85)),)),0))</f>
        <v/>
      </c>
      <c r="G96" s="976" t="str">
        <f ca="1">IF(ROWS($1:85)&gt;COUNT(Dong2),"",IF(AND(IF($M$9="Q11",RIGHT(OFFSET(TH!G$1,SMALL(Dong2,ROWS($1:85)),),3)=$M$9,RIGHT(OFFSET(TH!G$1,SMALL(Dong2,ROWS($1:85)),),2)=$M$9),OFFSET(TH!O$1,SMALL(Dong2,ROWS($1:85)),)=$I$6),IF($I$6="1121",OFFSET(TH!M$1,SMALL(Dong2,ROWS($1:85)),),OFFSET(TH!K$1,SMALL(Dong2,ROWS($1:85)),)),0))</f>
        <v/>
      </c>
      <c r="H96" s="791">
        <f t="shared" ca="1" si="3"/>
        <v>0</v>
      </c>
      <c r="I96" s="791"/>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8" t="str">
        <f ca="1">IF(ROWS($1:86)&gt;COUNT(Dong2),"",OFFSET(TH!F$1,SMALL(Dong2,ROWS($1:86)),))</f>
        <v/>
      </c>
      <c r="E97" s="195" t="str">
        <f ca="1">IF(ROWS($1:86)&gt;COUNT(Dong2),"",IF(OFFSET(TH!O$1,SMALL(Dong2,ROWS($1:86)),)=$I$6,OFFSET(TH!N$1,SMALL(Dong2,ROWS($1:86)),),OFFSET(TH!O$1,SMALL(Dong2,ROWS($1:86)),)))</f>
        <v/>
      </c>
      <c r="F97" s="976" t="str">
        <f ca="1">IF(ROWS($1:86)&gt;COUNT(Dong2),"",IF(AND(IF($M$9="Q11",LEFT(OFFSET(TH!G$1,SMALL(Dong2,ROWS($1:86)),),3)=$M$9,LEFT(OFFSET(TH!G$1,SMALL(Dong2,ROWS($1:86)),),2)=$M$9),OFFSET(TH!N$1,SMALL(Dong2,ROWS($1:86)),)=$I$6),IF($I$6="1121",OFFSET(TH!M$1,SMALL(Dong2,ROWS($1:86)),),OFFSET(TH!K$1,SMALL(Dong2,ROWS($1:86)),)),0))</f>
        <v/>
      </c>
      <c r="G97" s="976" t="str">
        <f ca="1">IF(ROWS($1:86)&gt;COUNT(Dong2),"",IF(AND(IF($M$9="Q11",RIGHT(OFFSET(TH!G$1,SMALL(Dong2,ROWS($1:86)),),3)=$M$9,RIGHT(OFFSET(TH!G$1,SMALL(Dong2,ROWS($1:86)),),2)=$M$9),OFFSET(TH!O$1,SMALL(Dong2,ROWS($1:86)),)=$I$6),IF($I$6="1121",OFFSET(TH!M$1,SMALL(Dong2,ROWS($1:86)),),OFFSET(TH!K$1,SMALL(Dong2,ROWS($1:86)),)),0))</f>
        <v/>
      </c>
      <c r="H97" s="791">
        <f t="shared" ca="1" si="3"/>
        <v>0</v>
      </c>
      <c r="I97" s="791"/>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8" t="str">
        <f ca="1">IF(ROWS($1:87)&gt;COUNT(Dong2),"",OFFSET(TH!F$1,SMALL(Dong2,ROWS($1:87)),))</f>
        <v/>
      </c>
      <c r="E98" s="195" t="str">
        <f ca="1">IF(ROWS($1:87)&gt;COUNT(Dong2),"",IF(OFFSET(TH!O$1,SMALL(Dong2,ROWS($1:87)),)=$I$6,OFFSET(TH!N$1,SMALL(Dong2,ROWS($1:87)),),OFFSET(TH!O$1,SMALL(Dong2,ROWS($1:87)),)))</f>
        <v/>
      </c>
      <c r="F98" s="976" t="str">
        <f ca="1">IF(ROWS($1:87)&gt;COUNT(Dong2),"",IF(AND(IF($M$9="Q11",LEFT(OFFSET(TH!G$1,SMALL(Dong2,ROWS($1:87)),),3)=$M$9,LEFT(OFFSET(TH!G$1,SMALL(Dong2,ROWS($1:87)),),2)=$M$9),OFFSET(TH!N$1,SMALL(Dong2,ROWS($1:87)),)=$I$6),IF($I$6="1121",OFFSET(TH!M$1,SMALL(Dong2,ROWS($1:87)),),OFFSET(TH!K$1,SMALL(Dong2,ROWS($1:87)),)),0))</f>
        <v/>
      </c>
      <c r="G98" s="976" t="str">
        <f ca="1">IF(ROWS($1:87)&gt;COUNT(Dong2),"",IF(AND(IF($M$9="Q11",RIGHT(OFFSET(TH!G$1,SMALL(Dong2,ROWS($1:87)),),3)=$M$9,RIGHT(OFFSET(TH!G$1,SMALL(Dong2,ROWS($1:87)),),2)=$M$9),OFFSET(TH!O$1,SMALL(Dong2,ROWS($1:87)),)=$I$6),IF($I$6="1121",OFFSET(TH!M$1,SMALL(Dong2,ROWS($1:87)),),OFFSET(TH!K$1,SMALL(Dong2,ROWS($1:87)),)),0))</f>
        <v/>
      </c>
      <c r="H98" s="791">
        <f t="shared" ca="1" si="3"/>
        <v>0</v>
      </c>
      <c r="I98" s="791"/>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8" t="str">
        <f ca="1">IF(ROWS($1:88)&gt;COUNT(Dong2),"",OFFSET(TH!F$1,SMALL(Dong2,ROWS($1:88)),))</f>
        <v/>
      </c>
      <c r="E99" s="195" t="str">
        <f ca="1">IF(ROWS($1:88)&gt;COUNT(Dong2),"",IF(OFFSET(TH!O$1,SMALL(Dong2,ROWS($1:88)),)=$I$6,OFFSET(TH!N$1,SMALL(Dong2,ROWS($1:88)),),OFFSET(TH!O$1,SMALL(Dong2,ROWS($1:88)),)))</f>
        <v/>
      </c>
      <c r="F99" s="976" t="str">
        <f ca="1">IF(ROWS($1:88)&gt;COUNT(Dong2),"",IF(AND(IF($M$9="Q11",LEFT(OFFSET(TH!G$1,SMALL(Dong2,ROWS($1:88)),),3)=$M$9,LEFT(OFFSET(TH!G$1,SMALL(Dong2,ROWS($1:88)),),2)=$M$9),OFFSET(TH!N$1,SMALL(Dong2,ROWS($1:88)),)=$I$6),IF($I$6="1121",OFFSET(TH!M$1,SMALL(Dong2,ROWS($1:88)),),OFFSET(TH!K$1,SMALL(Dong2,ROWS($1:88)),)),0))</f>
        <v/>
      </c>
      <c r="G99" s="976" t="str">
        <f ca="1">IF(ROWS($1:88)&gt;COUNT(Dong2),"",IF(AND(IF($M$9="Q11",RIGHT(OFFSET(TH!G$1,SMALL(Dong2,ROWS($1:88)),),3)=$M$9,RIGHT(OFFSET(TH!G$1,SMALL(Dong2,ROWS($1:88)),),2)=$M$9),OFFSET(TH!O$1,SMALL(Dong2,ROWS($1:88)),)=$I$6),IF($I$6="1121",OFFSET(TH!M$1,SMALL(Dong2,ROWS($1:88)),),OFFSET(TH!K$1,SMALL(Dong2,ROWS($1:88)),)),0))</f>
        <v/>
      </c>
      <c r="H99" s="791">
        <f t="shared" ca="1" si="3"/>
        <v>0</v>
      </c>
      <c r="I99" s="791"/>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8" t="str">
        <f ca="1">IF(ROWS($1:89)&gt;COUNT(Dong2),"",OFFSET(TH!F$1,SMALL(Dong2,ROWS($1:89)),))</f>
        <v/>
      </c>
      <c r="E100" s="195" t="str">
        <f ca="1">IF(ROWS($1:89)&gt;COUNT(Dong2),"",IF(OFFSET(TH!O$1,SMALL(Dong2,ROWS($1:89)),)=$I$6,OFFSET(TH!N$1,SMALL(Dong2,ROWS($1:89)),),OFFSET(TH!O$1,SMALL(Dong2,ROWS($1:89)),)))</f>
        <v/>
      </c>
      <c r="F100" s="976" t="str">
        <f ca="1">IF(ROWS($1:89)&gt;COUNT(Dong2),"",IF(AND(IF($M$9="Q11",LEFT(OFFSET(TH!G$1,SMALL(Dong2,ROWS($1:89)),),3)=$M$9,LEFT(OFFSET(TH!G$1,SMALL(Dong2,ROWS($1:89)),),2)=$M$9),OFFSET(TH!N$1,SMALL(Dong2,ROWS($1:89)),)=$I$6),IF($I$6="1121",OFFSET(TH!M$1,SMALL(Dong2,ROWS($1:89)),),OFFSET(TH!K$1,SMALL(Dong2,ROWS($1:89)),)),0))</f>
        <v/>
      </c>
      <c r="G100" s="976" t="str">
        <f ca="1">IF(ROWS($1:89)&gt;COUNT(Dong2),"",IF(AND(IF($M$9="Q11",RIGHT(OFFSET(TH!G$1,SMALL(Dong2,ROWS($1:89)),),3)=$M$9,RIGHT(OFFSET(TH!G$1,SMALL(Dong2,ROWS($1:89)),),2)=$M$9),OFFSET(TH!O$1,SMALL(Dong2,ROWS($1:89)),)=$I$6),IF($I$6="1121",OFFSET(TH!M$1,SMALL(Dong2,ROWS($1:89)),),OFFSET(TH!K$1,SMALL(Dong2,ROWS($1:89)),)),0))</f>
        <v/>
      </c>
      <c r="H100" s="791">
        <f t="shared" ca="1" si="3"/>
        <v>0</v>
      </c>
      <c r="I100" s="791"/>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8" t="str">
        <f ca="1">IF(ROWS($1:90)&gt;COUNT(Dong2),"",OFFSET(TH!F$1,SMALL(Dong2,ROWS($1:90)),))</f>
        <v/>
      </c>
      <c r="E101" s="195" t="str">
        <f ca="1">IF(ROWS($1:90)&gt;COUNT(Dong2),"",IF(OFFSET(TH!O$1,SMALL(Dong2,ROWS($1:90)),)=$I$6,OFFSET(TH!N$1,SMALL(Dong2,ROWS($1:90)),),OFFSET(TH!O$1,SMALL(Dong2,ROWS($1:90)),)))</f>
        <v/>
      </c>
      <c r="F101" s="976" t="str">
        <f ca="1">IF(ROWS($1:90)&gt;COUNT(Dong2),"",IF(AND(IF($M$9="Q11",LEFT(OFFSET(TH!G$1,SMALL(Dong2,ROWS($1:90)),),3)=$M$9,LEFT(OFFSET(TH!G$1,SMALL(Dong2,ROWS($1:90)),),2)=$M$9),OFFSET(TH!N$1,SMALL(Dong2,ROWS($1:90)),)=$I$6),IF($I$6="1121",OFFSET(TH!M$1,SMALL(Dong2,ROWS($1:90)),),OFFSET(TH!K$1,SMALL(Dong2,ROWS($1:90)),)),0))</f>
        <v/>
      </c>
      <c r="G101" s="976" t="str">
        <f ca="1">IF(ROWS($1:90)&gt;COUNT(Dong2),"",IF(AND(IF($M$9="Q11",RIGHT(OFFSET(TH!G$1,SMALL(Dong2,ROWS($1:90)),),3)=$M$9,RIGHT(OFFSET(TH!G$1,SMALL(Dong2,ROWS($1:90)),),2)=$M$9),OFFSET(TH!O$1,SMALL(Dong2,ROWS($1:90)),)=$I$6),IF($I$6="1121",OFFSET(TH!M$1,SMALL(Dong2,ROWS($1:90)),),OFFSET(TH!K$1,SMALL(Dong2,ROWS($1:90)),)),0))</f>
        <v/>
      </c>
      <c r="H101" s="791">
        <f t="shared" ca="1" si="3"/>
        <v>0</v>
      </c>
      <c r="I101" s="791"/>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8" t="str">
        <f ca="1">IF(ROWS($1:91)&gt;COUNT(Dong2),"",OFFSET(TH!F$1,SMALL(Dong2,ROWS($1:91)),))</f>
        <v/>
      </c>
      <c r="E102" s="195" t="str">
        <f ca="1">IF(ROWS($1:91)&gt;COUNT(Dong2),"",IF(OFFSET(TH!O$1,SMALL(Dong2,ROWS($1:91)),)=$I$6,OFFSET(TH!N$1,SMALL(Dong2,ROWS($1:91)),),OFFSET(TH!O$1,SMALL(Dong2,ROWS($1:91)),)))</f>
        <v/>
      </c>
      <c r="F102" s="976" t="str">
        <f ca="1">IF(ROWS($1:91)&gt;COUNT(Dong2),"",IF(AND(IF($M$9="Q11",LEFT(OFFSET(TH!G$1,SMALL(Dong2,ROWS($1:91)),),3)=$M$9,LEFT(OFFSET(TH!G$1,SMALL(Dong2,ROWS($1:91)),),2)=$M$9),OFFSET(TH!N$1,SMALL(Dong2,ROWS($1:91)),)=$I$6),IF($I$6="1121",OFFSET(TH!M$1,SMALL(Dong2,ROWS($1:91)),),OFFSET(TH!K$1,SMALL(Dong2,ROWS($1:91)),)),0))</f>
        <v/>
      </c>
      <c r="G102" s="976" t="str">
        <f ca="1">IF(ROWS($1:91)&gt;COUNT(Dong2),"",IF(AND(IF($M$9="Q11",RIGHT(OFFSET(TH!G$1,SMALL(Dong2,ROWS($1:91)),),3)=$M$9,RIGHT(OFFSET(TH!G$1,SMALL(Dong2,ROWS($1:91)),),2)=$M$9),OFFSET(TH!O$1,SMALL(Dong2,ROWS($1:91)),)=$I$6),IF($I$6="1121",OFFSET(TH!M$1,SMALL(Dong2,ROWS($1:91)),),OFFSET(TH!K$1,SMALL(Dong2,ROWS($1:91)),)),0))</f>
        <v/>
      </c>
      <c r="H102" s="791">
        <f t="shared" ca="1" si="3"/>
        <v>0</v>
      </c>
      <c r="I102" s="791"/>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8" t="str">
        <f ca="1">IF(ROWS($1:92)&gt;COUNT(Dong2),"",OFFSET(TH!F$1,SMALL(Dong2,ROWS($1:92)),))</f>
        <v/>
      </c>
      <c r="E103" s="195" t="str">
        <f ca="1">IF(ROWS($1:92)&gt;COUNT(Dong2),"",IF(OFFSET(TH!O$1,SMALL(Dong2,ROWS($1:92)),)=$I$6,OFFSET(TH!N$1,SMALL(Dong2,ROWS($1:92)),),OFFSET(TH!O$1,SMALL(Dong2,ROWS($1:92)),)))</f>
        <v/>
      </c>
      <c r="F103" s="976" t="str">
        <f ca="1">IF(ROWS($1:92)&gt;COUNT(Dong2),"",IF(AND(IF($M$9="Q11",LEFT(OFFSET(TH!G$1,SMALL(Dong2,ROWS($1:92)),),3)=$M$9,LEFT(OFFSET(TH!G$1,SMALL(Dong2,ROWS($1:92)),),2)=$M$9),OFFSET(TH!N$1,SMALL(Dong2,ROWS($1:92)),)=$I$6),IF($I$6="1121",OFFSET(TH!M$1,SMALL(Dong2,ROWS($1:92)),),OFFSET(TH!K$1,SMALL(Dong2,ROWS($1:92)),)),0))</f>
        <v/>
      </c>
      <c r="G103" s="976" t="str">
        <f ca="1">IF(ROWS($1:92)&gt;COUNT(Dong2),"",IF(AND(IF($M$9="Q11",RIGHT(OFFSET(TH!G$1,SMALL(Dong2,ROWS($1:92)),),3)=$M$9,RIGHT(OFFSET(TH!G$1,SMALL(Dong2,ROWS($1:92)),),2)=$M$9),OFFSET(TH!O$1,SMALL(Dong2,ROWS($1:92)),)=$I$6),IF($I$6="1121",OFFSET(TH!M$1,SMALL(Dong2,ROWS($1:92)),),OFFSET(TH!K$1,SMALL(Dong2,ROWS($1:92)),)),0))</f>
        <v/>
      </c>
      <c r="H103" s="791">
        <f t="shared" ca="1" si="3"/>
        <v>0</v>
      </c>
      <c r="I103" s="791"/>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8" t="str">
        <f ca="1">IF(ROWS($1:93)&gt;COUNT(Dong2),"",OFFSET(TH!F$1,SMALL(Dong2,ROWS($1:93)),))</f>
        <v/>
      </c>
      <c r="E104" s="195" t="str">
        <f ca="1">IF(ROWS($1:93)&gt;COUNT(Dong2),"",IF(OFFSET(TH!O$1,SMALL(Dong2,ROWS($1:93)),)=$I$6,OFFSET(TH!N$1,SMALL(Dong2,ROWS($1:93)),),OFFSET(TH!O$1,SMALL(Dong2,ROWS($1:93)),)))</f>
        <v/>
      </c>
      <c r="F104" s="976" t="str">
        <f ca="1">IF(ROWS($1:93)&gt;COUNT(Dong2),"",IF(AND(IF($M$9="Q11",LEFT(OFFSET(TH!G$1,SMALL(Dong2,ROWS($1:93)),),3)=$M$9,LEFT(OFFSET(TH!G$1,SMALL(Dong2,ROWS($1:93)),),2)=$M$9),OFFSET(TH!N$1,SMALL(Dong2,ROWS($1:93)),)=$I$6),IF($I$6="1121",OFFSET(TH!M$1,SMALL(Dong2,ROWS($1:93)),),OFFSET(TH!K$1,SMALL(Dong2,ROWS($1:93)),)),0))</f>
        <v/>
      </c>
      <c r="G104" s="976" t="str">
        <f ca="1">IF(ROWS($1:93)&gt;COUNT(Dong2),"",IF(AND(IF($M$9="Q11",RIGHT(OFFSET(TH!G$1,SMALL(Dong2,ROWS($1:93)),),3)=$M$9,RIGHT(OFFSET(TH!G$1,SMALL(Dong2,ROWS($1:93)),),2)=$M$9),OFFSET(TH!O$1,SMALL(Dong2,ROWS($1:93)),)=$I$6),IF($I$6="1121",OFFSET(TH!M$1,SMALL(Dong2,ROWS($1:93)),),OFFSET(TH!K$1,SMALL(Dong2,ROWS($1:93)),)),0))</f>
        <v/>
      </c>
      <c r="H104" s="791">
        <f t="shared" ca="1" si="3"/>
        <v>0</v>
      </c>
      <c r="I104" s="791"/>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8" t="str">
        <f ca="1">IF(ROWS($1:94)&gt;COUNT(Dong2),"",OFFSET(TH!F$1,SMALL(Dong2,ROWS($1:94)),))</f>
        <v/>
      </c>
      <c r="E105" s="195" t="str">
        <f ca="1">IF(ROWS($1:94)&gt;COUNT(Dong2),"",IF(OFFSET(TH!O$1,SMALL(Dong2,ROWS($1:94)),)=$I$6,OFFSET(TH!N$1,SMALL(Dong2,ROWS($1:94)),),OFFSET(TH!O$1,SMALL(Dong2,ROWS($1:94)),)))</f>
        <v/>
      </c>
      <c r="F105" s="976" t="str">
        <f ca="1">IF(ROWS($1:94)&gt;COUNT(Dong2),"",IF(AND(IF($M$9="Q11",LEFT(OFFSET(TH!G$1,SMALL(Dong2,ROWS($1:94)),),3)=$M$9,LEFT(OFFSET(TH!G$1,SMALL(Dong2,ROWS($1:94)),),2)=$M$9),OFFSET(TH!N$1,SMALL(Dong2,ROWS($1:94)),)=$I$6),IF($I$6="1121",OFFSET(TH!M$1,SMALL(Dong2,ROWS($1:94)),),OFFSET(TH!K$1,SMALL(Dong2,ROWS($1:94)),)),0))</f>
        <v/>
      </c>
      <c r="G105" s="976" t="str">
        <f ca="1">IF(ROWS($1:94)&gt;COUNT(Dong2),"",IF(AND(IF($M$9="Q11",RIGHT(OFFSET(TH!G$1,SMALL(Dong2,ROWS($1:94)),),3)=$M$9,RIGHT(OFFSET(TH!G$1,SMALL(Dong2,ROWS($1:94)),),2)=$M$9),OFFSET(TH!O$1,SMALL(Dong2,ROWS($1:94)),)=$I$6),IF($I$6="1121",OFFSET(TH!M$1,SMALL(Dong2,ROWS($1:94)),),OFFSET(TH!K$1,SMALL(Dong2,ROWS($1:94)),)),0))</f>
        <v/>
      </c>
      <c r="H105" s="791">
        <f t="shared" ca="1" si="3"/>
        <v>0</v>
      </c>
      <c r="I105" s="791"/>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8" t="str">
        <f ca="1">IF(ROWS($1:95)&gt;COUNT(Dong2),"",OFFSET(TH!F$1,SMALL(Dong2,ROWS($1:95)),))</f>
        <v/>
      </c>
      <c r="E106" s="195" t="str">
        <f ca="1">IF(ROWS($1:95)&gt;COUNT(Dong2),"",IF(OFFSET(TH!O$1,SMALL(Dong2,ROWS($1:95)),)=$I$6,OFFSET(TH!N$1,SMALL(Dong2,ROWS($1:95)),),OFFSET(TH!O$1,SMALL(Dong2,ROWS($1:95)),)))</f>
        <v/>
      </c>
      <c r="F106" s="976" t="str">
        <f ca="1">IF(ROWS($1:95)&gt;COUNT(Dong2),"",IF(AND(IF($M$9="Q11",LEFT(OFFSET(TH!G$1,SMALL(Dong2,ROWS($1:95)),),3)=$M$9,LEFT(OFFSET(TH!G$1,SMALL(Dong2,ROWS($1:95)),),2)=$M$9),OFFSET(TH!N$1,SMALL(Dong2,ROWS($1:95)),)=$I$6),IF($I$6="1121",OFFSET(TH!M$1,SMALL(Dong2,ROWS($1:95)),),OFFSET(TH!K$1,SMALL(Dong2,ROWS($1:95)),)),0))</f>
        <v/>
      </c>
      <c r="G106" s="976" t="str">
        <f ca="1">IF(ROWS($1:95)&gt;COUNT(Dong2),"",IF(AND(IF($M$9="Q11",RIGHT(OFFSET(TH!G$1,SMALL(Dong2,ROWS($1:95)),),3)=$M$9,RIGHT(OFFSET(TH!G$1,SMALL(Dong2,ROWS($1:95)),),2)=$M$9),OFFSET(TH!O$1,SMALL(Dong2,ROWS($1:95)),)=$I$6),IF($I$6="1121",OFFSET(TH!M$1,SMALL(Dong2,ROWS($1:95)),),OFFSET(TH!K$1,SMALL(Dong2,ROWS($1:95)),)),0))</f>
        <v/>
      </c>
      <c r="H106" s="791">
        <f t="shared" ca="1" si="3"/>
        <v>0</v>
      </c>
      <c r="I106" s="791"/>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8" t="str">
        <f ca="1">IF(ROWS($1:96)&gt;COUNT(Dong2),"",OFFSET(TH!F$1,SMALL(Dong2,ROWS($1:96)),))</f>
        <v/>
      </c>
      <c r="E107" s="195" t="str">
        <f ca="1">IF(ROWS($1:96)&gt;COUNT(Dong2),"",IF(OFFSET(TH!O$1,SMALL(Dong2,ROWS($1:96)),)=$I$6,OFFSET(TH!N$1,SMALL(Dong2,ROWS($1:96)),),OFFSET(TH!O$1,SMALL(Dong2,ROWS($1:96)),)))</f>
        <v/>
      </c>
      <c r="F107" s="976" t="str">
        <f ca="1">IF(ROWS($1:96)&gt;COUNT(Dong2),"",IF(AND(IF($M$9="Q11",LEFT(OFFSET(TH!G$1,SMALL(Dong2,ROWS($1:96)),),3)=$M$9,LEFT(OFFSET(TH!G$1,SMALL(Dong2,ROWS($1:96)),),2)=$M$9),OFFSET(TH!N$1,SMALL(Dong2,ROWS($1:96)),)=$I$6),IF($I$6="1121",OFFSET(TH!M$1,SMALL(Dong2,ROWS($1:96)),),OFFSET(TH!K$1,SMALL(Dong2,ROWS($1:96)),)),0))</f>
        <v/>
      </c>
      <c r="G107" s="976" t="str">
        <f ca="1">IF(ROWS($1:96)&gt;COUNT(Dong2),"",IF(AND(IF($M$9="Q11",RIGHT(OFFSET(TH!G$1,SMALL(Dong2,ROWS($1:96)),),3)=$M$9,RIGHT(OFFSET(TH!G$1,SMALL(Dong2,ROWS($1:96)),),2)=$M$9),OFFSET(TH!O$1,SMALL(Dong2,ROWS($1:96)),)=$I$6),IF($I$6="1121",OFFSET(TH!M$1,SMALL(Dong2,ROWS($1:96)),),OFFSET(TH!K$1,SMALL(Dong2,ROWS($1:96)),)),0))</f>
        <v/>
      </c>
      <c r="H107" s="791">
        <f t="shared" ca="1" si="3"/>
        <v>0</v>
      </c>
      <c r="I107" s="791"/>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8" t="str">
        <f ca="1">IF(ROWS($1:97)&gt;COUNT(Dong2),"",OFFSET(TH!F$1,SMALL(Dong2,ROWS($1:97)),))</f>
        <v/>
      </c>
      <c r="E108" s="195" t="str">
        <f ca="1">IF(ROWS($1:97)&gt;COUNT(Dong2),"",IF(OFFSET(TH!O$1,SMALL(Dong2,ROWS($1:97)),)=$I$6,OFFSET(TH!N$1,SMALL(Dong2,ROWS($1:97)),),OFFSET(TH!O$1,SMALL(Dong2,ROWS($1:97)),)))</f>
        <v/>
      </c>
      <c r="F108" s="976" t="str">
        <f ca="1">IF(ROWS($1:97)&gt;COUNT(Dong2),"",IF(AND(IF($M$9="Q11",LEFT(OFFSET(TH!G$1,SMALL(Dong2,ROWS($1:97)),),3)=$M$9,LEFT(OFFSET(TH!G$1,SMALL(Dong2,ROWS($1:97)),),2)=$M$9),OFFSET(TH!N$1,SMALL(Dong2,ROWS($1:97)),)=$I$6),IF($I$6="1121",OFFSET(TH!M$1,SMALL(Dong2,ROWS($1:97)),),OFFSET(TH!K$1,SMALL(Dong2,ROWS($1:97)),)),0))</f>
        <v/>
      </c>
      <c r="G108" s="976" t="str">
        <f ca="1">IF(ROWS($1:97)&gt;COUNT(Dong2),"",IF(AND(IF($M$9="Q11",RIGHT(OFFSET(TH!G$1,SMALL(Dong2,ROWS($1:97)),),3)=$M$9,RIGHT(OFFSET(TH!G$1,SMALL(Dong2,ROWS($1:97)),),2)=$M$9),OFFSET(TH!O$1,SMALL(Dong2,ROWS($1:97)),)=$I$6),IF($I$6="1121",OFFSET(TH!M$1,SMALL(Dong2,ROWS($1:97)),),OFFSET(TH!K$1,SMALL(Dong2,ROWS($1:97)),)),0))</f>
        <v/>
      </c>
      <c r="H108" s="791">
        <f t="shared" ca="1" si="3"/>
        <v>0</v>
      </c>
      <c r="I108" s="791"/>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8" t="str">
        <f ca="1">IF(ROWS($1:98)&gt;COUNT(Dong2),"",OFFSET(TH!F$1,SMALL(Dong2,ROWS($1:98)),))</f>
        <v/>
      </c>
      <c r="E109" s="195" t="str">
        <f ca="1">IF(ROWS($1:98)&gt;COUNT(Dong2),"",IF(OFFSET(TH!O$1,SMALL(Dong2,ROWS($1:98)),)=$I$6,OFFSET(TH!N$1,SMALL(Dong2,ROWS($1:98)),),OFFSET(TH!O$1,SMALL(Dong2,ROWS($1:98)),)))</f>
        <v/>
      </c>
      <c r="F109" s="976" t="str">
        <f ca="1">IF(ROWS($1:98)&gt;COUNT(Dong2),"",IF(AND(IF($M$9="Q11",LEFT(OFFSET(TH!G$1,SMALL(Dong2,ROWS($1:98)),),3)=$M$9,LEFT(OFFSET(TH!G$1,SMALL(Dong2,ROWS($1:98)),),2)=$M$9),OFFSET(TH!N$1,SMALL(Dong2,ROWS($1:98)),)=$I$6),IF($I$6="1121",OFFSET(TH!M$1,SMALL(Dong2,ROWS($1:98)),),OFFSET(TH!K$1,SMALL(Dong2,ROWS($1:98)),)),0))</f>
        <v/>
      </c>
      <c r="G109" s="976" t="str">
        <f ca="1">IF(ROWS($1:98)&gt;COUNT(Dong2),"",IF(AND(IF($M$9="Q11",RIGHT(OFFSET(TH!G$1,SMALL(Dong2,ROWS($1:98)),),3)=$M$9,RIGHT(OFFSET(TH!G$1,SMALL(Dong2,ROWS($1:98)),),2)=$M$9),OFFSET(TH!O$1,SMALL(Dong2,ROWS($1:98)),)=$I$6),IF($I$6="1121",OFFSET(TH!M$1,SMALL(Dong2,ROWS($1:98)),),OFFSET(TH!K$1,SMALL(Dong2,ROWS($1:98)),)),0))</f>
        <v/>
      </c>
      <c r="H109" s="791">
        <f t="shared" ca="1" si="3"/>
        <v>0</v>
      </c>
      <c r="I109" s="791"/>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8" t="str">
        <f ca="1">IF(ROWS($1:99)&gt;COUNT(Dong2),"",OFFSET(TH!F$1,SMALL(Dong2,ROWS($1:99)),))</f>
        <v/>
      </c>
      <c r="E110" s="195" t="str">
        <f ca="1">IF(ROWS($1:99)&gt;COUNT(Dong2),"",IF(OFFSET(TH!O$1,SMALL(Dong2,ROWS($1:99)),)=$I$6,OFFSET(TH!N$1,SMALL(Dong2,ROWS($1:99)),),OFFSET(TH!O$1,SMALL(Dong2,ROWS($1:99)),)))</f>
        <v/>
      </c>
      <c r="F110" s="976" t="str">
        <f ca="1">IF(ROWS($1:99)&gt;COUNT(Dong2),"",IF(AND(IF($M$9="Q11",LEFT(OFFSET(TH!G$1,SMALL(Dong2,ROWS($1:99)),),3)=$M$9,LEFT(OFFSET(TH!G$1,SMALL(Dong2,ROWS($1:99)),),2)=$M$9),OFFSET(TH!N$1,SMALL(Dong2,ROWS($1:99)),)=$I$6),IF($I$6="1121",OFFSET(TH!M$1,SMALL(Dong2,ROWS($1:99)),),OFFSET(TH!K$1,SMALL(Dong2,ROWS($1:99)),)),0))</f>
        <v/>
      </c>
      <c r="G110" s="976" t="str">
        <f ca="1">IF(ROWS($1:99)&gt;COUNT(Dong2),"",IF(AND(IF($M$9="Q11",RIGHT(OFFSET(TH!G$1,SMALL(Dong2,ROWS($1:99)),),3)=$M$9,RIGHT(OFFSET(TH!G$1,SMALL(Dong2,ROWS($1:99)),),2)=$M$9),OFFSET(TH!O$1,SMALL(Dong2,ROWS($1:99)),)=$I$6),IF($I$6="1121",OFFSET(TH!M$1,SMALL(Dong2,ROWS($1:99)),),OFFSET(TH!K$1,SMALL(Dong2,ROWS($1:99)),)),0))</f>
        <v/>
      </c>
      <c r="H110" s="791">
        <f t="shared" ca="1" si="3"/>
        <v>0</v>
      </c>
      <c r="I110" s="791"/>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8" t="str">
        <f ca="1">IF(ROWS($1:100)&gt;COUNT(Dong2),"",OFFSET(TH!F$1,SMALL(Dong2,ROWS($1:100)),))</f>
        <v/>
      </c>
      <c r="E111" s="195" t="str">
        <f ca="1">IF(ROWS($1:100)&gt;COUNT(Dong2),"",IF(OFFSET(TH!O$1,SMALL(Dong2,ROWS($1:100)),)=$I$6,OFFSET(TH!N$1,SMALL(Dong2,ROWS($1:100)),),OFFSET(TH!O$1,SMALL(Dong2,ROWS($1:100)),)))</f>
        <v/>
      </c>
      <c r="F111" s="976" t="str">
        <f ca="1">IF(ROWS($1:100)&gt;COUNT(Dong2),"",IF(AND(IF($M$9="Q11",LEFT(OFFSET(TH!G$1,SMALL(Dong2,ROWS($1:100)),),3)=$M$9,LEFT(OFFSET(TH!G$1,SMALL(Dong2,ROWS($1:100)),),2)=$M$9),OFFSET(TH!N$1,SMALL(Dong2,ROWS($1:100)),)=$I$6),IF($I$6="1121",OFFSET(TH!M$1,SMALL(Dong2,ROWS($1:100)),),OFFSET(TH!K$1,SMALL(Dong2,ROWS($1:100)),)),0))</f>
        <v/>
      </c>
      <c r="G111" s="976" t="str">
        <f ca="1">IF(ROWS($1:100)&gt;COUNT(Dong2),"",IF(AND(IF($M$9="Q11",RIGHT(OFFSET(TH!G$1,SMALL(Dong2,ROWS($1:100)),),3)=$M$9,RIGHT(OFFSET(TH!G$1,SMALL(Dong2,ROWS($1:100)),),2)=$M$9),OFFSET(TH!O$1,SMALL(Dong2,ROWS($1:100)),)=$I$6),IF($I$6="1121",OFFSET(TH!M$1,SMALL(Dong2,ROWS($1:100)),),OFFSET(TH!K$1,SMALL(Dong2,ROWS($1:100)),)),0))</f>
        <v/>
      </c>
      <c r="H111" s="791">
        <f t="shared" ca="1" si="3"/>
        <v>0</v>
      </c>
      <c r="I111" s="791"/>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8" t="str">
        <f ca="1">IF(ROWS($1:101)&gt;COUNT(Dong2),"",OFFSET(TH!F$1,SMALL(Dong2,ROWS($1:101)),))</f>
        <v/>
      </c>
      <c r="E112" s="195" t="str">
        <f ca="1">IF(ROWS($1:101)&gt;COUNT(Dong2),"",IF(OFFSET(TH!O$1,SMALL(Dong2,ROWS($1:101)),)=$I$6,OFFSET(TH!N$1,SMALL(Dong2,ROWS($1:101)),),OFFSET(TH!O$1,SMALL(Dong2,ROWS($1:101)),)))</f>
        <v/>
      </c>
      <c r="F112" s="976" t="str">
        <f ca="1">IF(ROWS($1:101)&gt;COUNT(Dong2),"",IF(AND(IF($M$9="Q11",LEFT(OFFSET(TH!G$1,SMALL(Dong2,ROWS($1:101)),),3)=$M$9,LEFT(OFFSET(TH!G$1,SMALL(Dong2,ROWS($1:101)),),2)=$M$9),OFFSET(TH!N$1,SMALL(Dong2,ROWS($1:101)),)=$I$6),IF($I$6="1121",OFFSET(TH!M$1,SMALL(Dong2,ROWS($1:101)),),OFFSET(TH!K$1,SMALL(Dong2,ROWS($1:101)),)),0))</f>
        <v/>
      </c>
      <c r="G112" s="976" t="str">
        <f ca="1">IF(ROWS($1:101)&gt;COUNT(Dong2),"",IF(AND(IF($M$9="Q11",RIGHT(OFFSET(TH!G$1,SMALL(Dong2,ROWS($1:101)),),3)=$M$9,RIGHT(OFFSET(TH!G$1,SMALL(Dong2,ROWS($1:101)),),2)=$M$9),OFFSET(TH!O$1,SMALL(Dong2,ROWS($1:101)),)=$I$6),IF($I$6="1121",OFFSET(TH!M$1,SMALL(Dong2,ROWS($1:101)),),OFFSET(TH!K$1,SMALL(Dong2,ROWS($1:101)),)),0))</f>
        <v/>
      </c>
      <c r="H112" s="791">
        <f t="shared" ca="1" si="3"/>
        <v>0</v>
      </c>
      <c r="I112" s="791"/>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8" t="str">
        <f ca="1">IF(ROWS($1:102)&gt;COUNT(Dong2),"",OFFSET(TH!F$1,SMALL(Dong2,ROWS($1:102)),))</f>
        <v/>
      </c>
      <c r="E113" s="195" t="str">
        <f ca="1">IF(ROWS($1:102)&gt;COUNT(Dong2),"",IF(OFFSET(TH!O$1,SMALL(Dong2,ROWS($1:102)),)=$I$6,OFFSET(TH!N$1,SMALL(Dong2,ROWS($1:102)),),OFFSET(TH!O$1,SMALL(Dong2,ROWS($1:102)),)))</f>
        <v/>
      </c>
      <c r="F113" s="976" t="str">
        <f ca="1">IF(ROWS($1:102)&gt;COUNT(Dong2),"",IF(AND(IF($M$9="Q11",LEFT(OFFSET(TH!G$1,SMALL(Dong2,ROWS($1:102)),),3)=$M$9,LEFT(OFFSET(TH!G$1,SMALL(Dong2,ROWS($1:102)),),2)=$M$9),OFFSET(TH!N$1,SMALL(Dong2,ROWS($1:102)),)=$I$6),IF($I$6="1121",OFFSET(TH!M$1,SMALL(Dong2,ROWS($1:102)),),OFFSET(TH!K$1,SMALL(Dong2,ROWS($1:102)),)),0))</f>
        <v/>
      </c>
      <c r="G113" s="976" t="str">
        <f ca="1">IF(ROWS($1:102)&gt;COUNT(Dong2),"",IF(AND(IF($M$9="Q11",RIGHT(OFFSET(TH!G$1,SMALL(Dong2,ROWS($1:102)),),3)=$M$9,RIGHT(OFFSET(TH!G$1,SMALL(Dong2,ROWS($1:102)),),2)=$M$9),OFFSET(TH!O$1,SMALL(Dong2,ROWS($1:102)),)=$I$6),IF($I$6="1121",OFFSET(TH!M$1,SMALL(Dong2,ROWS($1:102)),),OFFSET(TH!K$1,SMALL(Dong2,ROWS($1:102)),)),0))</f>
        <v/>
      </c>
      <c r="H113" s="791">
        <f t="shared" ca="1" si="3"/>
        <v>0</v>
      </c>
      <c r="I113" s="791"/>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8" t="str">
        <f ca="1">IF(ROWS($1:103)&gt;COUNT(Dong2),"",OFFSET(TH!F$1,SMALL(Dong2,ROWS($1:103)),))</f>
        <v/>
      </c>
      <c r="E114" s="195" t="str">
        <f ca="1">IF(ROWS($1:103)&gt;COUNT(Dong2),"",IF(OFFSET(TH!O$1,SMALL(Dong2,ROWS($1:103)),)=$I$6,OFFSET(TH!N$1,SMALL(Dong2,ROWS($1:103)),),OFFSET(TH!O$1,SMALL(Dong2,ROWS($1:103)),)))</f>
        <v/>
      </c>
      <c r="F114" s="976" t="str">
        <f ca="1">IF(ROWS($1:103)&gt;COUNT(Dong2),"",IF(AND(IF($M$9="Q11",LEFT(OFFSET(TH!G$1,SMALL(Dong2,ROWS($1:103)),),3)=$M$9,LEFT(OFFSET(TH!G$1,SMALL(Dong2,ROWS($1:103)),),2)=$M$9),OFFSET(TH!N$1,SMALL(Dong2,ROWS($1:103)),)=$I$6),IF($I$6="1121",OFFSET(TH!M$1,SMALL(Dong2,ROWS($1:103)),),OFFSET(TH!K$1,SMALL(Dong2,ROWS($1:103)),)),0))</f>
        <v/>
      </c>
      <c r="G114" s="976" t="str">
        <f ca="1">IF(ROWS($1:103)&gt;COUNT(Dong2),"",IF(AND(IF($M$9="Q11",RIGHT(OFFSET(TH!G$1,SMALL(Dong2,ROWS($1:103)),),3)=$M$9,RIGHT(OFFSET(TH!G$1,SMALL(Dong2,ROWS($1:103)),),2)=$M$9),OFFSET(TH!O$1,SMALL(Dong2,ROWS($1:103)),)=$I$6),IF($I$6="1121",OFFSET(TH!M$1,SMALL(Dong2,ROWS($1:103)),),OFFSET(TH!K$1,SMALL(Dong2,ROWS($1:103)),)),0))</f>
        <v/>
      </c>
      <c r="H114" s="791">
        <f t="shared" ca="1" si="3"/>
        <v>0</v>
      </c>
      <c r="I114" s="791"/>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8" t="str">
        <f ca="1">IF(ROWS($1:104)&gt;COUNT(Dong2),"",OFFSET(TH!F$1,SMALL(Dong2,ROWS($1:104)),))</f>
        <v/>
      </c>
      <c r="E115" s="195" t="str">
        <f ca="1">IF(ROWS($1:104)&gt;COUNT(Dong2),"",IF(OFFSET(TH!O$1,SMALL(Dong2,ROWS($1:104)),)=$I$6,OFFSET(TH!N$1,SMALL(Dong2,ROWS($1:104)),),OFFSET(TH!O$1,SMALL(Dong2,ROWS($1:104)),)))</f>
        <v/>
      </c>
      <c r="F115" s="976" t="str">
        <f ca="1">IF(ROWS($1:104)&gt;COUNT(Dong2),"",IF(AND(IF($M$9="Q11",LEFT(OFFSET(TH!G$1,SMALL(Dong2,ROWS($1:104)),),3)=$M$9,LEFT(OFFSET(TH!G$1,SMALL(Dong2,ROWS($1:104)),),2)=$M$9),OFFSET(TH!N$1,SMALL(Dong2,ROWS($1:104)),)=$I$6),IF($I$6="1121",OFFSET(TH!M$1,SMALL(Dong2,ROWS($1:104)),),OFFSET(TH!K$1,SMALL(Dong2,ROWS($1:104)),)),0))</f>
        <v/>
      </c>
      <c r="G115" s="976" t="str">
        <f ca="1">IF(ROWS($1:104)&gt;COUNT(Dong2),"",IF(AND(IF($M$9="Q11",RIGHT(OFFSET(TH!G$1,SMALL(Dong2,ROWS($1:104)),),3)=$M$9,RIGHT(OFFSET(TH!G$1,SMALL(Dong2,ROWS($1:104)),),2)=$M$9),OFFSET(TH!O$1,SMALL(Dong2,ROWS($1:104)),)=$I$6),IF($I$6="1121",OFFSET(TH!M$1,SMALL(Dong2,ROWS($1:104)),),OFFSET(TH!K$1,SMALL(Dong2,ROWS($1:104)),)),0))</f>
        <v/>
      </c>
      <c r="H115" s="791">
        <f t="shared" ca="1" si="3"/>
        <v>0</v>
      </c>
      <c r="I115" s="791"/>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8" t="str">
        <f ca="1">IF(ROWS($1:105)&gt;COUNT(Dong2),"",OFFSET(TH!F$1,SMALL(Dong2,ROWS($1:105)),))</f>
        <v/>
      </c>
      <c r="E116" s="195" t="str">
        <f ca="1">IF(ROWS($1:105)&gt;COUNT(Dong2),"",IF(OFFSET(TH!O$1,SMALL(Dong2,ROWS($1:105)),)=$I$6,OFFSET(TH!N$1,SMALL(Dong2,ROWS($1:105)),),OFFSET(TH!O$1,SMALL(Dong2,ROWS($1:105)),)))</f>
        <v/>
      </c>
      <c r="F116" s="976" t="str">
        <f ca="1">IF(ROWS($1:105)&gt;COUNT(Dong2),"",IF(AND(IF($M$9="Q11",LEFT(OFFSET(TH!G$1,SMALL(Dong2,ROWS($1:105)),),3)=$M$9,LEFT(OFFSET(TH!G$1,SMALL(Dong2,ROWS($1:105)),),2)=$M$9),OFFSET(TH!N$1,SMALL(Dong2,ROWS($1:105)),)=$I$6),IF($I$6="1121",OFFSET(TH!M$1,SMALL(Dong2,ROWS($1:105)),),OFFSET(TH!K$1,SMALL(Dong2,ROWS($1:105)),)),0))</f>
        <v/>
      </c>
      <c r="G116" s="976" t="str">
        <f ca="1">IF(ROWS($1:105)&gt;COUNT(Dong2),"",IF(AND(IF($M$9="Q11",RIGHT(OFFSET(TH!G$1,SMALL(Dong2,ROWS($1:105)),),3)=$M$9,RIGHT(OFFSET(TH!G$1,SMALL(Dong2,ROWS($1:105)),),2)=$M$9),OFFSET(TH!O$1,SMALL(Dong2,ROWS($1:105)),)=$I$6),IF($I$6="1121",OFFSET(TH!M$1,SMALL(Dong2,ROWS($1:105)),),OFFSET(TH!K$1,SMALL(Dong2,ROWS($1:105)),)),0))</f>
        <v/>
      </c>
      <c r="H116" s="791">
        <f t="shared" ca="1" si="3"/>
        <v>0</v>
      </c>
      <c r="I116" s="791"/>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8" t="str">
        <f ca="1">IF(ROWS($1:106)&gt;COUNT(Dong2),"",OFFSET(TH!F$1,SMALL(Dong2,ROWS($1:106)),))</f>
        <v/>
      </c>
      <c r="E117" s="195" t="str">
        <f ca="1">IF(ROWS($1:106)&gt;COUNT(Dong2),"",IF(OFFSET(TH!O$1,SMALL(Dong2,ROWS($1:106)),)=$I$6,OFFSET(TH!N$1,SMALL(Dong2,ROWS($1:106)),),OFFSET(TH!O$1,SMALL(Dong2,ROWS($1:106)),)))</f>
        <v/>
      </c>
      <c r="F117" s="976" t="str">
        <f ca="1">IF(ROWS($1:106)&gt;COUNT(Dong2),"",IF(AND(IF($M$9="Q11",LEFT(OFFSET(TH!G$1,SMALL(Dong2,ROWS($1:106)),),3)=$M$9,LEFT(OFFSET(TH!G$1,SMALL(Dong2,ROWS($1:106)),),2)=$M$9),OFFSET(TH!N$1,SMALL(Dong2,ROWS($1:106)),)=$I$6),IF($I$6="1121",OFFSET(TH!M$1,SMALL(Dong2,ROWS($1:106)),),OFFSET(TH!K$1,SMALL(Dong2,ROWS($1:106)),)),0))</f>
        <v/>
      </c>
      <c r="G117" s="976" t="str">
        <f ca="1">IF(ROWS($1:106)&gt;COUNT(Dong2),"",IF(AND(IF($M$9="Q11",RIGHT(OFFSET(TH!G$1,SMALL(Dong2,ROWS($1:106)),),3)=$M$9,RIGHT(OFFSET(TH!G$1,SMALL(Dong2,ROWS($1:106)),),2)=$M$9),OFFSET(TH!O$1,SMALL(Dong2,ROWS($1:106)),)=$I$6),IF($I$6="1121",OFFSET(TH!M$1,SMALL(Dong2,ROWS($1:106)),),OFFSET(TH!K$1,SMALL(Dong2,ROWS($1:106)),)),0))</f>
        <v/>
      </c>
      <c r="H117" s="791">
        <f t="shared" ca="1" si="3"/>
        <v>0</v>
      </c>
      <c r="I117" s="791"/>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8" t="str">
        <f ca="1">IF(ROWS($1:107)&gt;COUNT(Dong2),"",OFFSET(TH!F$1,SMALL(Dong2,ROWS($1:107)),))</f>
        <v/>
      </c>
      <c r="E118" s="195" t="str">
        <f ca="1">IF(ROWS($1:107)&gt;COUNT(Dong2),"",IF(OFFSET(TH!O$1,SMALL(Dong2,ROWS($1:107)),)=$I$6,OFFSET(TH!N$1,SMALL(Dong2,ROWS($1:107)),),OFFSET(TH!O$1,SMALL(Dong2,ROWS($1:107)),)))</f>
        <v/>
      </c>
      <c r="F118" s="976" t="str">
        <f ca="1">IF(ROWS($1:107)&gt;COUNT(Dong2),"",IF(AND(IF($M$9="Q11",LEFT(OFFSET(TH!G$1,SMALL(Dong2,ROWS($1:107)),),3)=$M$9,LEFT(OFFSET(TH!G$1,SMALL(Dong2,ROWS($1:107)),),2)=$M$9),OFFSET(TH!N$1,SMALL(Dong2,ROWS($1:107)),)=$I$6),IF($I$6="1121",OFFSET(TH!M$1,SMALL(Dong2,ROWS($1:107)),),OFFSET(TH!K$1,SMALL(Dong2,ROWS($1:107)),)),0))</f>
        <v/>
      </c>
      <c r="G118" s="976" t="str">
        <f ca="1">IF(ROWS($1:107)&gt;COUNT(Dong2),"",IF(AND(IF($M$9="Q11",RIGHT(OFFSET(TH!G$1,SMALL(Dong2,ROWS($1:107)),),3)=$M$9,RIGHT(OFFSET(TH!G$1,SMALL(Dong2,ROWS($1:107)),),2)=$M$9),OFFSET(TH!O$1,SMALL(Dong2,ROWS($1:107)),)=$I$6),IF($I$6="1121",OFFSET(TH!M$1,SMALL(Dong2,ROWS($1:107)),),OFFSET(TH!K$1,SMALL(Dong2,ROWS($1:107)),)),0))</f>
        <v/>
      </c>
      <c r="H118" s="791">
        <f t="shared" ca="1" si="3"/>
        <v>0</v>
      </c>
      <c r="I118" s="791"/>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8" t="str">
        <f ca="1">IF(ROWS($1:108)&gt;COUNT(Dong2),"",OFFSET(TH!F$1,SMALL(Dong2,ROWS($1:108)),))</f>
        <v/>
      </c>
      <c r="E119" s="195" t="str">
        <f ca="1">IF(ROWS($1:108)&gt;COUNT(Dong2),"",IF(OFFSET(TH!O$1,SMALL(Dong2,ROWS($1:108)),)=$I$6,OFFSET(TH!N$1,SMALL(Dong2,ROWS($1:108)),),OFFSET(TH!O$1,SMALL(Dong2,ROWS($1:108)),)))</f>
        <v/>
      </c>
      <c r="F119" s="976" t="str">
        <f ca="1">IF(ROWS($1:108)&gt;COUNT(Dong2),"",IF(AND(IF($M$9="Q11",LEFT(OFFSET(TH!G$1,SMALL(Dong2,ROWS($1:108)),),3)=$M$9,LEFT(OFFSET(TH!G$1,SMALL(Dong2,ROWS($1:108)),),2)=$M$9),OFFSET(TH!N$1,SMALL(Dong2,ROWS($1:108)),)=$I$6),IF($I$6="1121",OFFSET(TH!M$1,SMALL(Dong2,ROWS($1:108)),),OFFSET(TH!K$1,SMALL(Dong2,ROWS($1:108)),)),0))</f>
        <v/>
      </c>
      <c r="G119" s="976" t="str">
        <f ca="1">IF(ROWS($1:108)&gt;COUNT(Dong2),"",IF(AND(IF($M$9="Q11",RIGHT(OFFSET(TH!G$1,SMALL(Dong2,ROWS($1:108)),),3)=$M$9,RIGHT(OFFSET(TH!G$1,SMALL(Dong2,ROWS($1:108)),),2)=$M$9),OFFSET(TH!O$1,SMALL(Dong2,ROWS($1:108)),)=$I$6),IF($I$6="1121",OFFSET(TH!M$1,SMALL(Dong2,ROWS($1:108)),),OFFSET(TH!K$1,SMALL(Dong2,ROWS($1:108)),)),0))</f>
        <v/>
      </c>
      <c r="H119" s="791">
        <f t="shared" ca="1" si="3"/>
        <v>0</v>
      </c>
      <c r="I119" s="791"/>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8" t="str">
        <f ca="1">IF(ROWS($1:109)&gt;COUNT(Dong2),"",OFFSET(TH!F$1,SMALL(Dong2,ROWS($1:109)),))</f>
        <v/>
      </c>
      <c r="E120" s="195" t="str">
        <f ca="1">IF(ROWS($1:109)&gt;COUNT(Dong2),"",IF(OFFSET(TH!O$1,SMALL(Dong2,ROWS($1:109)),)=$I$6,OFFSET(TH!N$1,SMALL(Dong2,ROWS($1:109)),),OFFSET(TH!O$1,SMALL(Dong2,ROWS($1:109)),)))</f>
        <v/>
      </c>
      <c r="F120" s="976" t="str">
        <f ca="1">IF(ROWS($1:109)&gt;COUNT(Dong2),"",IF(AND(IF($M$9="Q11",LEFT(OFFSET(TH!G$1,SMALL(Dong2,ROWS($1:109)),),3)=$M$9,LEFT(OFFSET(TH!G$1,SMALL(Dong2,ROWS($1:109)),),2)=$M$9),OFFSET(TH!N$1,SMALL(Dong2,ROWS($1:109)),)=$I$6),IF($I$6="1121",OFFSET(TH!M$1,SMALL(Dong2,ROWS($1:109)),),OFFSET(TH!K$1,SMALL(Dong2,ROWS($1:109)),)),0))</f>
        <v/>
      </c>
      <c r="G120" s="976" t="str">
        <f ca="1">IF(ROWS($1:109)&gt;COUNT(Dong2),"",IF(AND(IF($M$9="Q11",RIGHT(OFFSET(TH!G$1,SMALL(Dong2,ROWS($1:109)),),3)=$M$9,RIGHT(OFFSET(TH!G$1,SMALL(Dong2,ROWS($1:109)),),2)=$M$9),OFFSET(TH!O$1,SMALL(Dong2,ROWS($1:109)),)=$I$6),IF($I$6="1121",OFFSET(TH!M$1,SMALL(Dong2,ROWS($1:109)),),OFFSET(TH!K$1,SMALL(Dong2,ROWS($1:109)),)),0))</f>
        <v/>
      </c>
      <c r="H120" s="791">
        <f t="shared" ca="1" si="3"/>
        <v>0</v>
      </c>
      <c r="I120" s="791"/>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8" t="str">
        <f ca="1">IF(ROWS($1:110)&gt;COUNT(Dong2),"",OFFSET(TH!F$1,SMALL(Dong2,ROWS($1:110)),))</f>
        <v/>
      </c>
      <c r="E121" s="195" t="str">
        <f ca="1">IF(ROWS($1:110)&gt;COUNT(Dong2),"",IF(OFFSET(TH!O$1,SMALL(Dong2,ROWS($1:110)),)=$I$6,OFFSET(TH!N$1,SMALL(Dong2,ROWS($1:110)),),OFFSET(TH!O$1,SMALL(Dong2,ROWS($1:110)),)))</f>
        <v/>
      </c>
      <c r="F121" s="976" t="str">
        <f ca="1">IF(ROWS($1:110)&gt;COUNT(Dong2),"",IF(AND(IF($M$9="Q11",LEFT(OFFSET(TH!G$1,SMALL(Dong2,ROWS($1:110)),),3)=$M$9,LEFT(OFFSET(TH!G$1,SMALL(Dong2,ROWS($1:110)),),2)=$M$9),OFFSET(TH!N$1,SMALL(Dong2,ROWS($1:110)),)=$I$6),IF($I$6="1121",OFFSET(TH!M$1,SMALL(Dong2,ROWS($1:110)),),OFFSET(TH!K$1,SMALL(Dong2,ROWS($1:110)),)),0))</f>
        <v/>
      </c>
      <c r="G121" s="976" t="str">
        <f ca="1">IF(ROWS($1:110)&gt;COUNT(Dong2),"",IF(AND(IF($M$9="Q11",RIGHT(OFFSET(TH!G$1,SMALL(Dong2,ROWS($1:110)),),3)=$M$9,RIGHT(OFFSET(TH!G$1,SMALL(Dong2,ROWS($1:110)),),2)=$M$9),OFFSET(TH!O$1,SMALL(Dong2,ROWS($1:110)),)=$I$6),IF($I$6="1121",OFFSET(TH!M$1,SMALL(Dong2,ROWS($1:110)),),OFFSET(TH!K$1,SMALL(Dong2,ROWS($1:110)),)),0))</f>
        <v/>
      </c>
      <c r="H121" s="791">
        <f t="shared" ca="1" si="3"/>
        <v>0</v>
      </c>
      <c r="I121" s="791"/>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8" t="str">
        <f ca="1">IF(ROWS($1:111)&gt;COUNT(Dong2),"",OFFSET(TH!F$1,SMALL(Dong2,ROWS($1:111)),))</f>
        <v/>
      </c>
      <c r="E122" s="195" t="str">
        <f ca="1">IF(ROWS($1:111)&gt;COUNT(Dong2),"",IF(OFFSET(TH!O$1,SMALL(Dong2,ROWS($1:111)),)=$I$6,OFFSET(TH!N$1,SMALL(Dong2,ROWS($1:111)),),OFFSET(TH!O$1,SMALL(Dong2,ROWS($1:111)),)))</f>
        <v/>
      </c>
      <c r="F122" s="976" t="str">
        <f ca="1">IF(ROWS($1:111)&gt;COUNT(Dong2),"",IF(AND(IF($M$9="Q11",LEFT(OFFSET(TH!G$1,SMALL(Dong2,ROWS($1:111)),),3)=$M$9,LEFT(OFFSET(TH!G$1,SMALL(Dong2,ROWS($1:111)),),2)=$M$9),OFFSET(TH!N$1,SMALL(Dong2,ROWS($1:111)),)=$I$6),IF($I$6="1121",OFFSET(TH!M$1,SMALL(Dong2,ROWS($1:111)),),OFFSET(TH!K$1,SMALL(Dong2,ROWS($1:111)),)),0))</f>
        <v/>
      </c>
      <c r="G122" s="976" t="str">
        <f ca="1">IF(ROWS($1:111)&gt;COUNT(Dong2),"",IF(AND(IF($M$9="Q11",RIGHT(OFFSET(TH!G$1,SMALL(Dong2,ROWS($1:111)),),3)=$M$9,RIGHT(OFFSET(TH!G$1,SMALL(Dong2,ROWS($1:111)),),2)=$M$9),OFFSET(TH!O$1,SMALL(Dong2,ROWS($1:111)),)=$I$6),IF($I$6="1121",OFFSET(TH!M$1,SMALL(Dong2,ROWS($1:111)),),OFFSET(TH!K$1,SMALL(Dong2,ROWS($1:111)),)),0))</f>
        <v/>
      </c>
      <c r="H122" s="791">
        <f t="shared" ca="1" si="3"/>
        <v>0</v>
      </c>
      <c r="I122" s="791"/>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8" t="str">
        <f ca="1">IF(ROWS($1:112)&gt;COUNT(Dong2),"",OFFSET(TH!F$1,SMALL(Dong2,ROWS($1:112)),))</f>
        <v/>
      </c>
      <c r="E123" s="195" t="str">
        <f ca="1">IF(ROWS($1:112)&gt;COUNT(Dong2),"",IF(OFFSET(TH!O$1,SMALL(Dong2,ROWS($1:112)),)=$I$6,OFFSET(TH!N$1,SMALL(Dong2,ROWS($1:112)),),OFFSET(TH!O$1,SMALL(Dong2,ROWS($1:112)),)))</f>
        <v/>
      </c>
      <c r="F123" s="976" t="str">
        <f ca="1">IF(ROWS($1:112)&gt;COUNT(Dong2),"",IF(AND(IF($M$9="Q11",LEFT(OFFSET(TH!G$1,SMALL(Dong2,ROWS($1:112)),),3)=$M$9,LEFT(OFFSET(TH!G$1,SMALL(Dong2,ROWS($1:112)),),2)=$M$9),OFFSET(TH!N$1,SMALL(Dong2,ROWS($1:112)),)=$I$6),IF($I$6="1121",OFFSET(TH!M$1,SMALL(Dong2,ROWS($1:112)),),OFFSET(TH!K$1,SMALL(Dong2,ROWS($1:112)),)),0))</f>
        <v/>
      </c>
      <c r="G123" s="976" t="str">
        <f ca="1">IF(ROWS($1:112)&gt;COUNT(Dong2),"",IF(AND(IF($M$9="Q11",RIGHT(OFFSET(TH!G$1,SMALL(Dong2,ROWS($1:112)),),3)=$M$9,RIGHT(OFFSET(TH!G$1,SMALL(Dong2,ROWS($1:112)),),2)=$M$9),OFFSET(TH!O$1,SMALL(Dong2,ROWS($1:112)),)=$I$6),IF($I$6="1121",OFFSET(TH!M$1,SMALL(Dong2,ROWS($1:112)),),OFFSET(TH!K$1,SMALL(Dong2,ROWS($1:112)),)),0))</f>
        <v/>
      </c>
      <c r="H123" s="791">
        <f t="shared" ca="1" si="3"/>
        <v>0</v>
      </c>
      <c r="I123" s="791"/>
    </row>
    <row r="124" spans="1:9" s="184" customFormat="1" ht="20.25" customHeight="1">
      <c r="A124" s="195"/>
      <c r="B124" s="195"/>
      <c r="C124" s="195"/>
      <c r="D124" s="358"/>
      <c r="E124" s="195"/>
      <c r="F124" s="976"/>
      <c r="G124" s="976"/>
      <c r="H124" s="791"/>
      <c r="I124" s="791"/>
    </row>
    <row r="125" spans="1:9" s="194" customFormat="1" ht="20.25" customHeight="1">
      <c r="A125" s="196"/>
      <c r="B125" s="197"/>
      <c r="C125" s="196"/>
      <c r="D125" s="193" t="s">
        <v>158</v>
      </c>
      <c r="E125" s="198"/>
      <c r="F125" s="790">
        <f ca="1">SUM(F12:F124)</f>
        <v>503000</v>
      </c>
      <c r="G125" s="790">
        <f ca="1">SUM(G12:G124)</f>
        <v>502919.62000000005</v>
      </c>
      <c r="H125" s="790">
        <f ca="1">H11+F125-G125</f>
        <v>131.39999999996508</v>
      </c>
      <c r="I125" s="792"/>
    </row>
    <row r="126" spans="1:9" s="194" customFormat="1" ht="20.25" customHeight="1">
      <c r="A126" s="196"/>
      <c r="B126" s="197"/>
      <c r="C126" s="196"/>
      <c r="D126" s="193" t="s">
        <v>10</v>
      </c>
      <c r="E126" s="198"/>
      <c r="F126" s="790"/>
      <c r="G126" s="790"/>
      <c r="H126" s="790">
        <f ca="1">H125</f>
        <v>131.39999999996508</v>
      </c>
      <c r="I126" s="198"/>
    </row>
    <row r="127" spans="1:9" s="194" customFormat="1" ht="22.5" customHeight="1">
      <c r="A127" s="388" t="s">
        <v>233</v>
      </c>
      <c r="B127" s="199"/>
      <c r="F127" s="200"/>
      <c r="H127" s="969"/>
      <c r="I127" s="201"/>
    </row>
    <row r="128" spans="1:9" s="194" customFormat="1" ht="12.75">
      <c r="A128" s="220" t="str">
        <f ca="1">"- Ngày mở sổ: "&amp;DAY($A$12)&amp;"/"&amp;MONTH($A$12)&amp;"/ 2015"</f>
        <v>- Ngày mở sổ: 27/2/ 2015</v>
      </c>
      <c r="B128" s="202"/>
      <c r="F128" s="200"/>
      <c r="H128" s="969"/>
      <c r="I128" s="201"/>
    </row>
    <row r="129" spans="1:12" s="194" customFormat="1" ht="12.75">
      <c r="A129" s="203"/>
      <c r="B129" s="204"/>
      <c r="C129" s="205"/>
      <c r="F129" s="200"/>
      <c r="G129" s="308" t="str">
        <f>"Ngày "&amp;IF(OR($K$9=4,$K$9=6,$K$9=9,$K$9=11),"30",IF($K$9=2,"28","31"))&amp;" tháng "&amp;$K$9&amp;"  năm  2016 "</f>
        <v xml:space="preserve">Ngày 28 tháng 2  năm  2016 </v>
      </c>
      <c r="H129" s="969"/>
    </row>
    <row r="130" spans="1:12" s="194" customFormat="1" ht="17.25" customHeight="1">
      <c r="B130" s="206" t="s">
        <v>11</v>
      </c>
      <c r="D130" s="206" t="s">
        <v>12</v>
      </c>
      <c r="F130" s="207"/>
      <c r="G130" s="343" t="s">
        <v>131</v>
      </c>
      <c r="H130" s="970"/>
      <c r="I130" s="359"/>
      <c r="J130" s="208"/>
      <c r="K130" s="203"/>
      <c r="L130" s="203"/>
    </row>
    <row r="131" spans="1:12" s="194" customFormat="1" ht="12.75">
      <c r="B131" s="344" t="s">
        <v>13</v>
      </c>
      <c r="D131" s="209" t="s">
        <v>13</v>
      </c>
      <c r="F131" s="210"/>
      <c r="G131" s="345" t="s">
        <v>161</v>
      </c>
      <c r="H131" s="969"/>
      <c r="K131" s="211"/>
      <c r="L131" s="211"/>
    </row>
    <row r="138" spans="1:12">
      <c r="B138" s="347" t="s">
        <v>228</v>
      </c>
      <c r="G138" s="360"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99"/>
  <sheetViews>
    <sheetView showZeros="0" workbookViewId="0">
      <pane ySplit="3" topLeftCell="A4" activePane="bottomLeft" state="frozen"/>
      <selection pane="bottomLeft" activeCell="B7" sqref="B7"/>
    </sheetView>
  </sheetViews>
  <sheetFormatPr defaultColWidth="8" defaultRowHeight="13.5"/>
  <cols>
    <col min="1" max="1" width="5.5703125" style="223" customWidth="1"/>
    <col min="2" max="2" width="59.140625" style="223" customWidth="1"/>
    <col min="3" max="8" width="16.42578125" style="223" customWidth="1"/>
    <col min="9" max="16384" width="8" style="223"/>
  </cols>
  <sheetData>
    <row r="1" spans="1:9" ht="27" customHeight="1">
      <c r="A1" s="1298" t="s">
        <v>124</v>
      </c>
      <c r="B1" s="1298"/>
      <c r="C1" s="1298"/>
      <c r="D1" s="1298"/>
      <c r="E1" s="1298"/>
      <c r="F1" s="1298"/>
      <c r="G1" s="1298"/>
      <c r="H1" s="1298"/>
    </row>
    <row r="2" spans="1:9" s="10" customFormat="1" ht="14.25" customHeight="1">
      <c r="A2" s="1301" t="s">
        <v>37</v>
      </c>
      <c r="B2" s="1303" t="s">
        <v>38</v>
      </c>
      <c r="C2" s="1299" t="s">
        <v>39</v>
      </c>
      <c r="D2" s="1300"/>
      <c r="E2" s="1299" t="s">
        <v>40</v>
      </c>
      <c r="F2" s="1300"/>
      <c r="G2" s="1299" t="s">
        <v>44</v>
      </c>
      <c r="H2" s="1300"/>
    </row>
    <row r="3" spans="1:9" s="10" customFormat="1" ht="14.25" customHeight="1">
      <c r="A3" s="1302"/>
      <c r="B3" s="1304"/>
      <c r="C3" s="320" t="s">
        <v>45</v>
      </c>
      <c r="D3" s="320" t="s">
        <v>46</v>
      </c>
      <c r="E3" s="320" t="s">
        <v>45</v>
      </c>
      <c r="F3" s="320" t="s">
        <v>46</v>
      </c>
      <c r="G3" s="320" t="s">
        <v>45</v>
      </c>
      <c r="H3" s="320" t="s">
        <v>46</v>
      </c>
    </row>
    <row r="4" spans="1:9" s="808" customFormat="1" ht="16.5" customHeight="1">
      <c r="A4" s="6">
        <f>IF(B4&lt;&gt;"",ROW()-3,"")</f>
        <v>1</v>
      </c>
      <c r="B4" s="979" t="s">
        <v>879</v>
      </c>
      <c r="C4" s="802">
        <v>0</v>
      </c>
      <c r="D4" s="802">
        <v>0</v>
      </c>
      <c r="E4" s="802">
        <f t="array" ref="E4">SUM(IF("331"&amp;B4=KHN&amp;KH,TH))</f>
        <v>0</v>
      </c>
      <c r="F4" s="802">
        <f t="array" ref="F4">SUM(IF("331"&amp;B4=KHC&amp;KH,TH))</f>
        <v>0</v>
      </c>
      <c r="G4" s="807">
        <f>ROUND(MAX(C4+E4-D4-F4,0),2)</f>
        <v>0</v>
      </c>
      <c r="H4" s="807">
        <f>ROUND(MAX(D4+F4-C4-E4,0),2)</f>
        <v>0</v>
      </c>
      <c r="I4" s="808" t="str">
        <f>IF(ISNA(VLOOKUP(B4,DSNL,6,0)),"",VLOOKUP(B4,DSNL,6,0))</f>
        <v/>
      </c>
    </row>
    <row r="5" spans="1:9" s="10" customFormat="1" ht="16.5" customHeight="1">
      <c r="A5" s="6">
        <f>IF(B5&lt;&gt;"",ROW()-3,"")</f>
        <v>2</v>
      </c>
      <c r="B5" s="7" t="s">
        <v>601</v>
      </c>
      <c r="C5" s="8">
        <v>0</v>
      </c>
      <c r="D5" s="8">
        <v>0</v>
      </c>
      <c r="E5" s="8">
        <f t="array" ref="E5">SUM(IF("331"&amp;B5=KHN&amp;KH,TH))</f>
        <v>5742000</v>
      </c>
      <c r="F5" s="8">
        <f t="array" ref="F5">SUM(IF("331"&amp;B5=KHC&amp;KH,TH))</f>
        <v>5742000</v>
      </c>
      <c r="G5" s="85">
        <f>ROUND(MAX(C5+E5-D5-F5,0),2)</f>
        <v>0</v>
      </c>
      <c r="H5" s="85">
        <f>ROUND(MAX(D5+F5-C5-E5,0),2)</f>
        <v>0</v>
      </c>
    </row>
    <row r="6" spans="1:9" s="10" customFormat="1" ht="16.5" customHeight="1">
      <c r="A6" s="6">
        <f t="shared" ref="A6:A20" si="0">IF(B6&lt;&gt;"",ROW()-3,"")</f>
        <v>3</v>
      </c>
      <c r="B6" s="7" t="s">
        <v>602</v>
      </c>
      <c r="C6" s="8">
        <v>0</v>
      </c>
      <c r="D6" s="8">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603</v>
      </c>
      <c r="C7" s="8">
        <v>0</v>
      </c>
      <c r="D7" s="8">
        <v>0</v>
      </c>
      <c r="E7" s="8">
        <f t="array" ref="E7">SUM(IF("331"&amp;B7=KHN&amp;KH,TH))</f>
        <v>0</v>
      </c>
      <c r="F7" s="8">
        <f t="array" ref="F7">SUM(IF("331"&amp;B7=KHC&amp;KH,TH))</f>
        <v>9600000</v>
      </c>
      <c r="G7" s="85">
        <f t="shared" si="1"/>
        <v>0</v>
      </c>
      <c r="H7" s="85">
        <f t="shared" si="2"/>
        <v>9600000</v>
      </c>
    </row>
    <row r="8" spans="1:9" s="10" customFormat="1" ht="16.5" customHeight="1">
      <c r="A8" s="6">
        <f t="shared" si="0"/>
        <v>5</v>
      </c>
      <c r="B8" s="71" t="s">
        <v>800</v>
      </c>
      <c r="C8" s="8">
        <v>0</v>
      </c>
      <c r="D8" s="8">
        <v>75460000</v>
      </c>
      <c r="E8" s="8">
        <f t="array" ref="E8">SUM(IF("331"&amp;B8=KHN&amp;KH,TH))</f>
        <v>75460000</v>
      </c>
      <c r="F8" s="8">
        <f t="array" ref="F8">SUM(IF("331"&amp;B8=KHC&amp;KH,TH))</f>
        <v>72380000</v>
      </c>
      <c r="G8" s="85">
        <f t="shared" si="1"/>
        <v>0</v>
      </c>
      <c r="H8" s="85">
        <f t="shared" si="2"/>
        <v>72380000</v>
      </c>
    </row>
    <row r="9" spans="1:9" s="10" customFormat="1" ht="16.5" customHeight="1">
      <c r="A9" s="6">
        <f t="shared" si="0"/>
        <v>6</v>
      </c>
      <c r="B9" s="7" t="s">
        <v>604</v>
      </c>
      <c r="C9" s="8">
        <v>0</v>
      </c>
      <c r="D9" s="8">
        <v>176888574</v>
      </c>
      <c r="E9" s="8">
        <f t="array" ref="E9">SUM(IF("331"&amp;B9=KHN&amp;KH,TH))</f>
        <v>100000000</v>
      </c>
      <c r="F9" s="8">
        <f t="array" ref="F9">SUM(IF("331"&amp;B9=KHC&amp;KH,TH))</f>
        <v>61127220</v>
      </c>
      <c r="G9" s="85">
        <f t="shared" si="1"/>
        <v>0</v>
      </c>
      <c r="H9" s="85">
        <f t="shared" si="2"/>
        <v>138015794</v>
      </c>
    </row>
    <row r="10" spans="1:9" s="10" customFormat="1" ht="16.5" customHeight="1">
      <c r="A10" s="6">
        <f t="shared" si="0"/>
        <v>7</v>
      </c>
      <c r="B10" s="74" t="s">
        <v>605</v>
      </c>
      <c r="C10" s="8">
        <v>0</v>
      </c>
      <c r="D10" s="8">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606</v>
      </c>
      <c r="C11" s="8">
        <v>0</v>
      </c>
      <c r="D11" s="8">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617</v>
      </c>
      <c r="C12" s="8">
        <v>0</v>
      </c>
      <c r="D12" s="8">
        <v>0</v>
      </c>
      <c r="E12" s="8">
        <f t="array" ref="E12">SUM(IF("331"&amp;B12=KHN&amp;KH,TH))</f>
        <v>0</v>
      </c>
      <c r="F12" s="8">
        <f t="array" ref="F12">SUM(IF("331"&amp;B12=KHC&amp;KH,TH))</f>
        <v>0</v>
      </c>
      <c r="G12" s="85">
        <f t="shared" ref="G12:G32" si="3">ROUND(MAX(C12+E12-D12-F12,0),2)</f>
        <v>0</v>
      </c>
      <c r="H12" s="85">
        <f t="shared" ref="H12:H32" si="4">ROUND(MAX(D12+F12-C12-E12,0),2)</f>
        <v>0</v>
      </c>
    </row>
    <row r="13" spans="1:9" s="10" customFormat="1" ht="16.5" customHeight="1">
      <c r="A13" s="6">
        <f t="shared" si="0"/>
        <v>10</v>
      </c>
      <c r="B13" s="7" t="s">
        <v>618</v>
      </c>
      <c r="C13" s="8">
        <v>0</v>
      </c>
      <c r="D13" s="8">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607</v>
      </c>
      <c r="C14" s="8">
        <v>0</v>
      </c>
      <c r="D14" s="8">
        <v>63205400</v>
      </c>
      <c r="E14" s="8">
        <f t="array" ref="E14">SUM(IF("331"&amp;B14=KHN&amp;KH,TH))</f>
        <v>0</v>
      </c>
      <c r="F14" s="8">
        <f t="array" ref="F14">SUM(IF("331"&amp;B14=KHC&amp;KH,TH))</f>
        <v>0</v>
      </c>
      <c r="G14" s="85">
        <f t="shared" si="3"/>
        <v>0</v>
      </c>
      <c r="H14" s="85">
        <f t="shared" si="4"/>
        <v>63205400</v>
      </c>
    </row>
    <row r="15" spans="1:9" s="10" customFormat="1" ht="16.5" customHeight="1">
      <c r="A15" s="6">
        <f>IF(B15&lt;&gt;"",ROW()-3,"")</f>
        <v>12</v>
      </c>
      <c r="B15" s="74" t="s">
        <v>799</v>
      </c>
      <c r="C15" s="8">
        <v>0</v>
      </c>
      <c r="D15" s="8">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802</v>
      </c>
      <c r="C16" s="8">
        <v>0</v>
      </c>
      <c r="D16" s="8">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608</v>
      </c>
      <c r="C17" s="8">
        <v>0</v>
      </c>
      <c r="D17" s="8">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609</v>
      </c>
      <c r="C18" s="8">
        <v>0</v>
      </c>
      <c r="D18" s="8">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801</v>
      </c>
      <c r="C19" s="8">
        <v>0</v>
      </c>
      <c r="D19" s="8">
        <v>0</v>
      </c>
      <c r="E19" s="8">
        <f t="array" ref="E19">SUM(IF("331"&amp;B19=KHN&amp;KH,TH))</f>
        <v>0</v>
      </c>
      <c r="F19" s="8">
        <f t="array" ref="F19">SUM(IF("331"&amp;B19=KHC&amp;KH,TH))</f>
        <v>0</v>
      </c>
      <c r="G19" s="85">
        <f t="shared" si="3"/>
        <v>0</v>
      </c>
      <c r="H19" s="85">
        <f t="shared" si="4"/>
        <v>0</v>
      </c>
      <c r="J19" s="10" t="s">
        <v>1147</v>
      </c>
    </row>
    <row r="20" spans="1:10" s="10" customFormat="1" ht="16.5" customHeight="1">
      <c r="A20" s="6">
        <f t="shared" si="0"/>
        <v>17</v>
      </c>
      <c r="B20" s="7" t="s">
        <v>610</v>
      </c>
      <c r="C20" s="8">
        <v>810000</v>
      </c>
      <c r="D20" s="8">
        <v>0</v>
      </c>
      <c r="E20" s="8">
        <f t="array" ref="E20">SUM(IF("331"&amp;B20=KHN&amp;KH,TH))</f>
        <v>22730000</v>
      </c>
      <c r="F20" s="8">
        <f t="array" ref="F20">SUM(IF("331"&amp;B20=KHC&amp;KH,TH))</f>
        <v>23540000</v>
      </c>
      <c r="G20" s="85">
        <f t="shared" si="3"/>
        <v>0</v>
      </c>
      <c r="H20" s="85">
        <f t="shared" si="4"/>
        <v>0</v>
      </c>
    </row>
    <row r="21" spans="1:10" s="10" customFormat="1" ht="16.5" customHeight="1">
      <c r="A21" s="6">
        <f t="shared" ref="A21:A26" si="5">IF(B21&lt;&gt;"",ROW()-3,"")</f>
        <v>18</v>
      </c>
      <c r="B21" s="7" t="s">
        <v>611</v>
      </c>
      <c r="C21" s="8">
        <v>0</v>
      </c>
      <c r="D21" s="8">
        <v>62315943</v>
      </c>
      <c r="E21" s="8">
        <f t="array" ref="E21">SUM(IF("331"&amp;B21=KHN&amp;KH,TH))</f>
        <v>0</v>
      </c>
      <c r="F21" s="8">
        <f t="array" ref="F21">SUM(IF("331"&amp;B21=KHC&amp;KH,TH))</f>
        <v>3300000</v>
      </c>
      <c r="G21" s="85">
        <f t="shared" si="3"/>
        <v>0</v>
      </c>
      <c r="H21" s="85">
        <f t="shared" si="4"/>
        <v>65615943</v>
      </c>
    </row>
    <row r="22" spans="1:10" s="10" customFormat="1" ht="16.5" customHeight="1">
      <c r="A22" s="6">
        <f t="shared" si="5"/>
        <v>19</v>
      </c>
      <c r="B22" s="7" t="s">
        <v>612</v>
      </c>
      <c r="C22" s="8">
        <v>0</v>
      </c>
      <c r="D22" s="8">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613</v>
      </c>
      <c r="C23" s="8">
        <v>0</v>
      </c>
      <c r="D23" s="8">
        <v>31261560</v>
      </c>
      <c r="E23" s="8">
        <f t="array" ref="E23">SUM(IF("331"&amp;B23=KHN&amp;KH,TH))</f>
        <v>142891650</v>
      </c>
      <c r="F23" s="8">
        <f t="array" ref="F23">SUM(IF("331"&amp;B23=KHC&amp;KH,TH))</f>
        <v>125641560</v>
      </c>
      <c r="G23" s="85">
        <f t="shared" si="3"/>
        <v>0</v>
      </c>
      <c r="H23" s="85">
        <f t="shared" si="4"/>
        <v>14011470</v>
      </c>
    </row>
    <row r="24" spans="1:10" s="10" customFormat="1" ht="16.5" customHeight="1">
      <c r="A24" s="6">
        <f t="shared" si="5"/>
        <v>21</v>
      </c>
      <c r="B24" s="7" t="s">
        <v>614</v>
      </c>
      <c r="C24" s="8">
        <v>0</v>
      </c>
      <c r="D24" s="8">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615</v>
      </c>
      <c r="C25" s="8">
        <v>0</v>
      </c>
      <c r="D25" s="8">
        <v>0</v>
      </c>
      <c r="E25" s="8">
        <f t="array" ref="E25">SUM(IF("331"&amp;B25=KHN&amp;KH,TH))</f>
        <v>0</v>
      </c>
      <c r="F25" s="8">
        <f t="array" ref="F25">SUM(IF("331"&amp;B25=KHC&amp;KH,TH))</f>
        <v>0</v>
      </c>
      <c r="G25" s="85">
        <f t="shared" si="3"/>
        <v>0</v>
      </c>
      <c r="H25" s="85">
        <f t="shared" si="4"/>
        <v>0</v>
      </c>
    </row>
    <row r="26" spans="1:10" s="10" customFormat="1" ht="16.5" customHeight="1">
      <c r="A26" s="6">
        <f t="shared" si="5"/>
        <v>23</v>
      </c>
      <c r="B26" s="71" t="s">
        <v>680</v>
      </c>
      <c r="C26" s="8">
        <v>0</v>
      </c>
      <c r="D26" s="8">
        <v>0</v>
      </c>
      <c r="E26" s="8">
        <f t="array" ref="E26">SUM(IF("331"&amp;B26=KHN&amp;KH,TH))</f>
        <v>0</v>
      </c>
      <c r="F26" s="8">
        <f t="array" ref="F26">SUM(IF("331"&amp;B26=KHC&amp;KH,TH))</f>
        <v>0</v>
      </c>
      <c r="G26" s="85">
        <f t="shared" si="3"/>
        <v>0</v>
      </c>
      <c r="H26" s="85">
        <f t="shared" si="4"/>
        <v>0</v>
      </c>
    </row>
    <row r="27" spans="1:10" s="808" customFormat="1" ht="16.5" customHeight="1">
      <c r="A27" s="6">
        <f t="shared" ref="A27:A37" si="6">IF(B27&lt;&gt;"",ROW()-3,"")</f>
        <v>24</v>
      </c>
      <c r="B27" s="311" t="s">
        <v>679</v>
      </c>
      <c r="C27" s="8">
        <v>0</v>
      </c>
      <c r="D27" s="8">
        <v>442008071</v>
      </c>
      <c r="E27" s="8">
        <f t="array" ref="E27">SUM(IF("331"&amp;B27=KHN&amp;KH,TH))</f>
        <v>100000000</v>
      </c>
      <c r="F27" s="8">
        <f t="array" ref="F27">SUM(IF("331"&amp;B27=KHC&amp;KH,TH))</f>
        <v>204847527</v>
      </c>
      <c r="G27" s="85">
        <f t="shared" si="3"/>
        <v>0</v>
      </c>
      <c r="H27" s="85">
        <f t="shared" si="4"/>
        <v>546855598</v>
      </c>
      <c r="I27" s="808" t="str">
        <f>IF(ISNA(VLOOKUP(B27,DSNL,6,0)),"",VLOOKUP(B27,DSNL,6,0))</f>
        <v/>
      </c>
    </row>
    <row r="28" spans="1:10" s="808" customFormat="1" ht="16.5" customHeight="1">
      <c r="A28" s="6">
        <f t="shared" si="6"/>
        <v>25</v>
      </c>
      <c r="B28" s="311" t="s">
        <v>803</v>
      </c>
      <c r="C28" s="8">
        <v>0</v>
      </c>
      <c r="D28" s="8">
        <v>424563068</v>
      </c>
      <c r="E28" s="8">
        <f t="array" ref="E28">SUM(IF("331"&amp;B28=KHN&amp;KH,TH))</f>
        <v>100000000</v>
      </c>
      <c r="F28" s="8">
        <f t="array" ref="F28">SUM(IF("331"&amp;B28=KHC&amp;KH,TH))</f>
        <v>70918846</v>
      </c>
      <c r="G28" s="85">
        <f t="shared" si="3"/>
        <v>0</v>
      </c>
      <c r="H28" s="85">
        <f t="shared" si="4"/>
        <v>395481914</v>
      </c>
      <c r="I28" s="808" t="str">
        <f>IF(ISNA(VLOOKUP(B28,DSNL,6,0)),"",VLOOKUP(B28,DSNL,6,0))</f>
        <v/>
      </c>
    </row>
    <row r="29" spans="1:10" s="10" customFormat="1" ht="16.5" customHeight="1">
      <c r="A29" s="6">
        <f t="shared" si="6"/>
        <v>26</v>
      </c>
      <c r="B29" s="71" t="s">
        <v>817</v>
      </c>
      <c r="C29" s="8">
        <v>0</v>
      </c>
      <c r="D29" s="8">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681</v>
      </c>
      <c r="C30" s="8">
        <v>0</v>
      </c>
      <c r="D30" s="8">
        <v>14868740000</v>
      </c>
      <c r="E30" s="8">
        <f t="array" ref="E30">SUM(IF("331"&amp;B30=KHN&amp;KH,TH))</f>
        <v>19039911000</v>
      </c>
      <c r="F30" s="8">
        <f t="array" ref="F30">SUM(IF("331"&amp;B30=KHC&amp;KH,TH))</f>
        <v>4882150000</v>
      </c>
      <c r="G30" s="85">
        <f t="shared" si="3"/>
        <v>0</v>
      </c>
      <c r="H30" s="85">
        <f t="shared" si="4"/>
        <v>710979000</v>
      </c>
    </row>
    <row r="31" spans="1:10" s="10" customFormat="1" ht="16.5" customHeight="1">
      <c r="A31" s="6">
        <f t="shared" si="6"/>
        <v>28</v>
      </c>
      <c r="B31" s="71" t="s">
        <v>844</v>
      </c>
      <c r="C31" s="8">
        <v>0</v>
      </c>
      <c r="D31" s="8">
        <v>23710344</v>
      </c>
      <c r="E31" s="8">
        <f t="array" ref="E31">SUM(IF("331"&amp;B31=KHN&amp;KH,TH))</f>
        <v>23710344</v>
      </c>
      <c r="F31" s="8">
        <f t="array" ref="F31">SUM(IF("331"&amp;B31=KHC&amp;KH,TH))</f>
        <v>35661417</v>
      </c>
      <c r="G31" s="85">
        <f t="shared" si="3"/>
        <v>0</v>
      </c>
      <c r="H31" s="85">
        <f t="shared" si="4"/>
        <v>35661417</v>
      </c>
    </row>
    <row r="32" spans="1:10" s="10" customFormat="1" ht="16.5" customHeight="1">
      <c r="A32" s="6">
        <f t="shared" si="6"/>
        <v>29</v>
      </c>
      <c r="B32" s="71" t="s">
        <v>843</v>
      </c>
      <c r="C32" s="8">
        <v>0</v>
      </c>
      <c r="D32" s="8">
        <v>29738500</v>
      </c>
      <c r="E32" s="8">
        <f t="array" ref="E32">SUM(IF("331"&amp;B32=KHN&amp;KH,TH))</f>
        <v>29738500</v>
      </c>
      <c r="F32" s="8">
        <f t="array" ref="F32">SUM(IF("331"&amp;B32=KHC&amp;KH,TH))</f>
        <v>0</v>
      </c>
      <c r="G32" s="85">
        <f t="shared" si="3"/>
        <v>0</v>
      </c>
      <c r="H32" s="85">
        <f t="shared" si="4"/>
        <v>0</v>
      </c>
    </row>
    <row r="33" spans="1:9" s="10" customFormat="1" ht="16.5" customHeight="1">
      <c r="A33" s="6">
        <f t="shared" si="6"/>
        <v>30</v>
      </c>
      <c r="B33" s="71" t="s">
        <v>797</v>
      </c>
      <c r="C33" s="8">
        <v>0</v>
      </c>
      <c r="D33" s="8">
        <v>0</v>
      </c>
      <c r="E33" s="8">
        <f t="array" ref="E33">SUM(IF("331"&amp;B33=KHN&amp;KH,TH))</f>
        <v>0</v>
      </c>
      <c r="F33" s="8">
        <f t="array" ref="F33">SUM(IF("331"&amp;B33=KHC&amp;KH,TH))</f>
        <v>0</v>
      </c>
      <c r="G33" s="85">
        <f t="shared" ref="G33:G37" si="7">ROUND(MAX(C33+E33-D33-F33,0),2)</f>
        <v>0</v>
      </c>
      <c r="H33" s="85">
        <f t="shared" ref="H33:H37" si="8">ROUND(MAX(D33+F33-C33-E33,0),2)</f>
        <v>0</v>
      </c>
      <c r="I33" s="10" t="str">
        <f t="shared" ref="I33:I37" si="9">IF(ISNA(VLOOKUP(B33,DSNL,6,0)),"",VLOOKUP(B33,DSNL,6,0))</f>
        <v/>
      </c>
    </row>
    <row r="34" spans="1:9" s="10" customFormat="1" ht="16.5" customHeight="1">
      <c r="A34" s="6">
        <f t="shared" si="6"/>
        <v>31</v>
      </c>
      <c r="B34" s="71" t="s">
        <v>855</v>
      </c>
      <c r="C34" s="8">
        <v>0</v>
      </c>
      <c r="D34" s="8">
        <v>0</v>
      </c>
      <c r="E34" s="8">
        <f t="array" ref="E34">SUM(IF("331"&amp;B34=KHN&amp;KH,TH))</f>
        <v>0</v>
      </c>
      <c r="F34" s="8">
        <f t="array" ref="F34">SUM(IF("331"&amp;B34=KHC&amp;KH,TH))</f>
        <v>0</v>
      </c>
      <c r="G34" s="85">
        <f t="shared" si="7"/>
        <v>0</v>
      </c>
      <c r="H34" s="85">
        <f t="shared" si="8"/>
        <v>0</v>
      </c>
      <c r="I34" s="10" t="str">
        <f t="shared" si="9"/>
        <v/>
      </c>
    </row>
    <row r="35" spans="1:9" s="10" customFormat="1" ht="16.5" customHeight="1">
      <c r="A35" s="6">
        <f t="shared" si="6"/>
        <v>32</v>
      </c>
      <c r="B35" s="71" t="s">
        <v>831</v>
      </c>
      <c r="C35" s="8">
        <v>0</v>
      </c>
      <c r="D35" s="8">
        <v>29375000</v>
      </c>
      <c r="E35" s="8">
        <f t="array" ref="E35">SUM(IF("331"&amp;B35=KHN&amp;KH,TH))</f>
        <v>0</v>
      </c>
      <c r="F35" s="8">
        <f t="array" ref="F35">SUM(IF("331"&amp;B35=KHC&amp;KH,TH))</f>
        <v>35250000</v>
      </c>
      <c r="G35" s="85">
        <f t="shared" si="7"/>
        <v>0</v>
      </c>
      <c r="H35" s="85">
        <f t="shared" si="8"/>
        <v>64625000</v>
      </c>
      <c r="I35" s="10" t="str">
        <f t="shared" si="9"/>
        <v/>
      </c>
    </row>
    <row r="36" spans="1:9" s="10" customFormat="1" ht="16.5" customHeight="1">
      <c r="A36" s="6">
        <f t="shared" si="6"/>
        <v>33</v>
      </c>
      <c r="B36" s="330" t="s">
        <v>815</v>
      </c>
      <c r="C36" s="8">
        <v>0</v>
      </c>
      <c r="D36" s="8">
        <v>0</v>
      </c>
      <c r="E36" s="8">
        <f t="array" ref="E36">SUM(IF("331"&amp;B36=KHN&amp;KH,TH))</f>
        <v>0</v>
      </c>
      <c r="F36" s="8">
        <f t="array" ref="F36">SUM(IF("331"&amp;B36=KHC&amp;KH,TH))</f>
        <v>0</v>
      </c>
      <c r="G36" s="85">
        <f t="shared" si="7"/>
        <v>0</v>
      </c>
      <c r="H36" s="85">
        <f t="shared" si="8"/>
        <v>0</v>
      </c>
      <c r="I36" s="10" t="str">
        <f t="shared" si="9"/>
        <v/>
      </c>
    </row>
    <row r="37" spans="1:9" s="10" customFormat="1" ht="16.5" customHeight="1">
      <c r="A37" s="6">
        <f t="shared" si="6"/>
        <v>34</v>
      </c>
      <c r="B37" s="71" t="s">
        <v>833</v>
      </c>
      <c r="C37" s="8">
        <v>0</v>
      </c>
      <c r="D37" s="8">
        <v>0</v>
      </c>
      <c r="E37" s="8">
        <f t="array" ref="E37">SUM(IF("331"&amp;B37=KHN&amp;KH,TH))</f>
        <v>0</v>
      </c>
      <c r="F37" s="8">
        <f t="array" ref="F37">SUM(IF("331"&amp;B37=KHC&amp;KH,TH))</f>
        <v>0</v>
      </c>
      <c r="G37" s="85">
        <f t="shared" si="7"/>
        <v>0</v>
      </c>
      <c r="H37" s="85">
        <f t="shared" si="8"/>
        <v>0</v>
      </c>
      <c r="I37" s="10" t="str">
        <f t="shared" si="9"/>
        <v/>
      </c>
    </row>
    <row r="38" spans="1:9" s="10" customFormat="1" ht="16.5" customHeight="1">
      <c r="A38" s="6">
        <f t="shared" ref="A38" si="10">IF(B38&lt;&gt;"",ROW()-3,"")</f>
        <v>35</v>
      </c>
      <c r="B38" s="71" t="s">
        <v>885</v>
      </c>
      <c r="C38" s="8">
        <v>0</v>
      </c>
      <c r="D38" s="8">
        <v>0</v>
      </c>
      <c r="E38" s="8">
        <f t="array" ref="E38">SUM(IF("331"&amp;B38=KHN&amp;KH,TH))</f>
        <v>0</v>
      </c>
      <c r="F38" s="8">
        <f t="array" ref="F38">SUM(IF("331"&amp;B38=KHC&amp;KH,TH))</f>
        <v>0</v>
      </c>
      <c r="G38" s="85">
        <f t="shared" ref="G38" si="11">ROUND(MAX(C38+E38-D38-F38,0),2)</f>
        <v>0</v>
      </c>
      <c r="H38" s="85">
        <f t="shared" ref="H38" si="12">ROUND(MAX(D38+F38-C38-E38,0),2)</f>
        <v>0</v>
      </c>
      <c r="I38" s="10" t="str">
        <f t="shared" ref="I38" si="13">IF(ISNA(VLOOKUP(B38,DSNL,6,0)),"",VLOOKUP(B38,DSNL,6,0))</f>
        <v/>
      </c>
    </row>
    <row r="39" spans="1:9" s="10" customFormat="1" ht="16.5" customHeight="1">
      <c r="A39" s="6">
        <f t="shared" ref="A39" si="14">IF(B39&lt;&gt;"",ROW()-3,"")</f>
        <v>36</v>
      </c>
      <c r="B39" s="71" t="s">
        <v>886</v>
      </c>
      <c r="C39" s="8">
        <v>0</v>
      </c>
      <c r="D39" s="8">
        <v>0</v>
      </c>
      <c r="E39" s="8">
        <f t="array" ref="E39">SUM(IF("331"&amp;B39=KHN&amp;KH,TH))</f>
        <v>0</v>
      </c>
      <c r="F39" s="8">
        <f t="array" ref="F39">SUM(IF("331"&amp;B39=KHC&amp;KH,TH))</f>
        <v>0</v>
      </c>
      <c r="G39" s="85">
        <f t="shared" ref="G39" si="15">ROUND(MAX(C39+E39-D39-F39,0),2)</f>
        <v>0</v>
      </c>
      <c r="H39" s="85">
        <f t="shared" ref="H39" si="16">ROUND(MAX(D39+F39-C39-E39,0),2)</f>
        <v>0</v>
      </c>
      <c r="I39" s="10" t="str">
        <f t="shared" ref="I39" si="17">IF(ISNA(VLOOKUP(B39,DSNL,6,0)),"",VLOOKUP(B39,DSNL,6,0))</f>
        <v/>
      </c>
    </row>
    <row r="40" spans="1:9" s="10" customFormat="1" ht="16.5" customHeight="1">
      <c r="A40" s="6">
        <f t="shared" ref="A40" si="18">IF(B40&lt;&gt;"",ROW()-3,"")</f>
        <v>37</v>
      </c>
      <c r="B40" s="71" t="s">
        <v>902</v>
      </c>
      <c r="C40" s="8">
        <v>0</v>
      </c>
      <c r="D40" s="8">
        <v>108275774</v>
      </c>
      <c r="E40" s="8">
        <f t="array" ref="E40">SUM(IF("331"&amp;B40=KHN&amp;KH,TH))</f>
        <v>0</v>
      </c>
      <c r="F40" s="8">
        <f t="array" ref="F40">SUM(IF("331"&amp;B40=KHC&amp;KH,TH))</f>
        <v>0</v>
      </c>
      <c r="G40" s="85">
        <f t="shared" ref="G40" si="19">ROUND(MAX(C40+E40-D40-F40,0),2)</f>
        <v>0</v>
      </c>
      <c r="H40" s="85">
        <f t="shared" ref="H40" si="20">ROUND(MAX(D40+F40-C40-E40,0),2)</f>
        <v>108275774</v>
      </c>
      <c r="I40" s="10" t="str">
        <f t="shared" ref="I40" si="21">IF(ISNA(VLOOKUP(B40,DSNL,6,0)),"",VLOOKUP(B40,DSNL,6,0))</f>
        <v/>
      </c>
    </row>
    <row r="41" spans="1:9" s="10" customFormat="1" ht="16.5" customHeight="1">
      <c r="A41" s="6">
        <f t="shared" ref="A41" si="22">IF(B41&lt;&gt;"",ROW()-3,"")</f>
        <v>38</v>
      </c>
      <c r="B41" s="311" t="s">
        <v>904</v>
      </c>
      <c r="C41" s="8">
        <v>0</v>
      </c>
      <c r="D41" s="8">
        <v>0</v>
      </c>
      <c r="E41" s="8">
        <f t="array" ref="E41">SUM(IF("331"&amp;B41=KHN&amp;KH,TH))</f>
        <v>0</v>
      </c>
      <c r="F41" s="8">
        <f t="array" ref="F41">SUM(IF("331"&amp;B41=KHC&amp;KH,TH))</f>
        <v>0</v>
      </c>
      <c r="G41" s="85">
        <f t="shared" ref="G41" si="23">ROUND(MAX(C41+E41-D41-F41,0),2)</f>
        <v>0</v>
      </c>
      <c r="H41" s="85">
        <f t="shared" ref="H41" si="24">ROUND(MAX(D41+F41-C41-E41,0),2)</f>
        <v>0</v>
      </c>
      <c r="I41" s="10" t="str">
        <f t="shared" ref="I41" si="25">IF(ISNA(VLOOKUP(B41,DSNL,6,0)),"",VLOOKUP(B41,DSNL,6,0))</f>
        <v/>
      </c>
    </row>
    <row r="42" spans="1:9" s="10" customFormat="1" ht="16.5" customHeight="1">
      <c r="A42" s="6">
        <f t="shared" ref="A42" si="26">IF(B42&lt;&gt;"",ROW()-3,"")</f>
        <v>39</v>
      </c>
      <c r="B42" s="311" t="s">
        <v>905</v>
      </c>
      <c r="C42" s="8">
        <v>0</v>
      </c>
      <c r="D42" s="8">
        <v>0</v>
      </c>
      <c r="E42" s="8">
        <f t="array" ref="E42">SUM(IF("331"&amp;B42=KHN&amp;KH,TH))</f>
        <v>0</v>
      </c>
      <c r="F42" s="8">
        <f t="array" ref="F42">SUM(IF("331"&amp;B42=KHC&amp;KH,TH))</f>
        <v>0</v>
      </c>
      <c r="G42" s="85">
        <f t="shared" ref="G42" si="27">ROUND(MAX(C42+E42-D42-F42,0),2)</f>
        <v>0</v>
      </c>
      <c r="H42" s="85">
        <f t="shared" ref="H42" si="28">ROUND(MAX(D42+F42-C42-E42,0),2)</f>
        <v>0</v>
      </c>
      <c r="I42" s="10" t="str">
        <f t="shared" ref="I42" si="29">IF(ISNA(VLOOKUP(B42,DSNL,6,0)),"",VLOOKUP(B42,DSNL,6,0))</f>
        <v/>
      </c>
    </row>
    <row r="43" spans="1:9" s="10" customFormat="1" ht="16.5" customHeight="1">
      <c r="A43" s="6">
        <f t="shared" ref="A43:A47" si="30">IF(B43&lt;&gt;"",ROW()-3,"")</f>
        <v>40</v>
      </c>
      <c r="B43" s="311" t="s">
        <v>916</v>
      </c>
      <c r="C43" s="8">
        <v>0</v>
      </c>
      <c r="D43" s="8">
        <v>0</v>
      </c>
      <c r="E43" s="8">
        <f t="array" ref="E43">SUM(IF("331"&amp;B43=KHN&amp;KH,TH))</f>
        <v>0</v>
      </c>
      <c r="F43" s="8">
        <f t="array" ref="F43">SUM(IF("331"&amp;B43=KHC&amp;KH,TH))</f>
        <v>0</v>
      </c>
      <c r="G43" s="85">
        <f t="shared" ref="G43:G44" si="31">ROUND(MAX(C43+E43-D43-F43,0),2)</f>
        <v>0</v>
      </c>
      <c r="H43" s="85">
        <f t="shared" ref="H43:H44" si="32">ROUND(MAX(D43+F43-C43-E43,0),2)</f>
        <v>0</v>
      </c>
      <c r="I43" s="10" t="str">
        <f t="shared" ref="I43:I47" si="33">IF(ISNA(VLOOKUP(B43,DSNL,6,0)),"",VLOOKUP(B43,DSNL,6,0))</f>
        <v/>
      </c>
    </row>
    <row r="44" spans="1:9" s="10" customFormat="1" ht="16.5" customHeight="1">
      <c r="A44" s="6">
        <f t="shared" si="30"/>
        <v>41</v>
      </c>
      <c r="B44" s="311" t="s">
        <v>917</v>
      </c>
      <c r="C44" s="8">
        <v>0</v>
      </c>
      <c r="D44" s="8">
        <v>0</v>
      </c>
      <c r="E44" s="8">
        <f t="array" ref="E44">SUM(IF("331"&amp;B44=KHN&amp;KH,TH))</f>
        <v>0</v>
      </c>
      <c r="F44" s="8">
        <f t="array" ref="F44">SUM(IF("331"&amp;B44=KHC&amp;KH,TH))</f>
        <v>0</v>
      </c>
      <c r="G44" s="85">
        <f t="shared" si="31"/>
        <v>0</v>
      </c>
      <c r="H44" s="85">
        <f t="shared" si="32"/>
        <v>0</v>
      </c>
      <c r="I44" s="10" t="str">
        <f t="shared" si="33"/>
        <v/>
      </c>
    </row>
    <row r="45" spans="1:9" s="10" customFormat="1" ht="16.5" customHeight="1">
      <c r="A45" s="6">
        <f t="shared" si="30"/>
        <v>42</v>
      </c>
      <c r="B45" s="311" t="s">
        <v>918</v>
      </c>
      <c r="C45" s="8">
        <v>0</v>
      </c>
      <c r="D45" s="8">
        <v>0</v>
      </c>
      <c r="E45" s="8">
        <f t="array" ref="E45">SUM(IF("331"&amp;B45=KHN&amp;KH,TH))</f>
        <v>0</v>
      </c>
      <c r="F45" s="8">
        <f t="array" ref="F45">SUM(IF("331"&amp;B45=KHC&amp;KH,TH))</f>
        <v>0</v>
      </c>
      <c r="G45" s="85">
        <f t="shared" ref="G45" si="34">ROUND(MAX(C45+E45-D45-F45,0),2)</f>
        <v>0</v>
      </c>
      <c r="H45" s="85">
        <f t="shared" ref="H45" si="35">ROUND(MAX(D45+F45-C45-E45,0),2)</f>
        <v>0</v>
      </c>
      <c r="I45" s="10" t="str">
        <f t="shared" si="33"/>
        <v/>
      </c>
    </row>
    <row r="46" spans="1:9" s="10" customFormat="1" ht="16.5" customHeight="1">
      <c r="A46" s="6">
        <f t="shared" si="30"/>
        <v>43</v>
      </c>
      <c r="B46" s="311" t="s">
        <v>919</v>
      </c>
      <c r="C46" s="8">
        <v>0</v>
      </c>
      <c r="D46" s="8">
        <v>0</v>
      </c>
      <c r="E46" s="8">
        <f t="array" ref="E46">SUM(IF("331"&amp;B46=KHN&amp;KH,TH))</f>
        <v>0</v>
      </c>
      <c r="F46" s="8">
        <f t="array" ref="F46">SUM(IF("331"&amp;B46=KHC&amp;KH,TH))</f>
        <v>0</v>
      </c>
      <c r="G46" s="85">
        <f t="shared" ref="G46:G51" si="36">ROUND(MAX(C46+E46-D46-F46,0),2)</f>
        <v>0</v>
      </c>
      <c r="H46" s="85">
        <f t="shared" ref="H46:H51" si="37">ROUND(MAX(D46+F46-C46-E46,0),2)</f>
        <v>0</v>
      </c>
      <c r="I46" s="10" t="str">
        <f t="shared" si="33"/>
        <v/>
      </c>
    </row>
    <row r="47" spans="1:9" s="10" customFormat="1" ht="16.5" customHeight="1">
      <c r="A47" s="6">
        <f t="shared" si="30"/>
        <v>44</v>
      </c>
      <c r="B47" s="311" t="s">
        <v>921</v>
      </c>
      <c r="C47" s="8">
        <v>0</v>
      </c>
      <c r="D47" s="8">
        <v>0</v>
      </c>
      <c r="E47" s="8">
        <f t="array" ref="E47">SUM(IF("331"&amp;B47=KHN&amp;KH,TH))</f>
        <v>0</v>
      </c>
      <c r="F47" s="8">
        <f t="array" ref="F47">SUM(IF("331"&amp;B47=KHC&amp;KH,TH))</f>
        <v>0</v>
      </c>
      <c r="G47" s="85">
        <f t="shared" si="36"/>
        <v>0</v>
      </c>
      <c r="H47" s="85">
        <f t="shared" si="37"/>
        <v>0</v>
      </c>
      <c r="I47" s="10" t="str">
        <f t="shared" si="33"/>
        <v/>
      </c>
    </row>
    <row r="48" spans="1:9" s="10" customFormat="1" ht="16.5" customHeight="1">
      <c r="A48" s="6">
        <f t="shared" ref="A48" si="38">IF(B48&lt;&gt;"",ROW()-3,"")</f>
        <v>45</v>
      </c>
      <c r="B48" s="311" t="s">
        <v>923</v>
      </c>
      <c r="C48" s="8">
        <v>0</v>
      </c>
      <c r="D48" s="8">
        <v>0</v>
      </c>
      <c r="E48" s="8">
        <f t="array" ref="E48">SUM(IF("331"&amp;B48=KHN&amp;KH,TH))</f>
        <v>0</v>
      </c>
      <c r="F48" s="8">
        <f t="array" ref="F48">SUM(IF("331"&amp;B48=KHC&amp;KH,TH))</f>
        <v>0</v>
      </c>
      <c r="G48" s="85">
        <f t="shared" si="36"/>
        <v>0</v>
      </c>
      <c r="H48" s="85">
        <f t="shared" si="37"/>
        <v>0</v>
      </c>
      <c r="I48" s="10" t="str">
        <f t="shared" ref="I48" si="39">IF(ISNA(VLOOKUP(B48,DSNL,6,0)),"",VLOOKUP(B48,DSNL,6,0))</f>
        <v/>
      </c>
    </row>
    <row r="49" spans="1:9" s="10" customFormat="1" ht="16.5" customHeight="1">
      <c r="A49" s="6">
        <f t="shared" ref="A49" si="40">IF(B49&lt;&gt;"",ROW()-3,"")</f>
        <v>46</v>
      </c>
      <c r="B49" s="71" t="s">
        <v>906</v>
      </c>
      <c r="C49" s="8">
        <v>0</v>
      </c>
      <c r="D49" s="8">
        <v>21000000</v>
      </c>
      <c r="E49" s="8">
        <f t="array" ref="E49">SUM(IF("331"&amp;B49=KHN&amp;KH,TH))</f>
        <v>0</v>
      </c>
      <c r="F49" s="8">
        <f t="array" ref="F49">SUM(IF("331"&amp;B49=KHC&amp;KH,TH))</f>
        <v>0</v>
      </c>
      <c r="G49" s="85">
        <f t="shared" si="36"/>
        <v>0</v>
      </c>
      <c r="H49" s="85">
        <f t="shared" si="37"/>
        <v>21000000</v>
      </c>
      <c r="I49" s="10" t="str">
        <f t="shared" ref="I49" si="41">IF(ISNA(VLOOKUP(B49,DSNL,6,0)),"",VLOOKUP(B49,DSNL,6,0))</f>
        <v/>
      </c>
    </row>
    <row r="50" spans="1:9" s="10" customFormat="1" ht="16.5" customHeight="1">
      <c r="A50" s="6">
        <f t="shared" ref="A50" si="42">IF(B50&lt;&gt;"",ROW()-3,"")</f>
        <v>47</v>
      </c>
      <c r="B50" s="79" t="s">
        <v>621</v>
      </c>
      <c r="C50" s="8">
        <v>0</v>
      </c>
      <c r="D50" s="8">
        <v>157080000</v>
      </c>
      <c r="E50" s="8">
        <f t="array" ref="E50">SUM(IF("331"&amp;B50=KHN&amp;KH,TH))</f>
        <v>157080000</v>
      </c>
      <c r="F50" s="8">
        <f t="array" ref="F50">SUM(IF("331"&amp;B50=KHC&amp;KH,TH))</f>
        <v>71610000</v>
      </c>
      <c r="G50" s="85">
        <f t="shared" si="36"/>
        <v>0</v>
      </c>
      <c r="H50" s="85">
        <f t="shared" si="37"/>
        <v>71610000</v>
      </c>
      <c r="I50" s="10" t="str">
        <f t="shared" ref="I50" si="43">IF(ISNA(VLOOKUP(B50,DSNL,6,0)),"",VLOOKUP(B50,DSNL,6,0))</f>
        <v/>
      </c>
    </row>
    <row r="51" spans="1:9" s="10" customFormat="1" ht="16.5" customHeight="1">
      <c r="A51" s="6">
        <f>IF(B51&lt;&gt;"",ROW()-3,"")</f>
        <v>48</v>
      </c>
      <c r="B51" s="71" t="s">
        <v>894</v>
      </c>
      <c r="C51" s="802">
        <v>0</v>
      </c>
      <c r="D51" s="802">
        <v>0</v>
      </c>
      <c r="E51" s="802">
        <f t="array" ref="E51">SUM(IF("331"&amp;B51=KHN&amp;KH,TH))</f>
        <v>329056000</v>
      </c>
      <c r="F51" s="802">
        <f t="array" ref="F51">SUM(IF("331"&amp;B51=KHC&amp;KH,TH))</f>
        <v>329056000</v>
      </c>
      <c r="G51" s="85">
        <f t="shared" si="36"/>
        <v>0</v>
      </c>
      <c r="H51" s="85">
        <f t="shared" si="37"/>
        <v>0</v>
      </c>
      <c r="I51" s="808" t="str">
        <f t="shared" ref="I51" si="44">IF(ISNA(VLOOKUP(B51,DSNL,6,0)),"",VLOOKUP(B51,DSNL,6,0))</f>
        <v/>
      </c>
    </row>
    <row r="52" spans="1:9" s="10" customFormat="1" ht="16.5" customHeight="1">
      <c r="A52" s="6">
        <f>IF(B52&lt;&gt;"",ROW()-3,"")</f>
        <v>49</v>
      </c>
      <c r="B52" s="71" t="s">
        <v>896</v>
      </c>
      <c r="C52" s="802">
        <v>0</v>
      </c>
      <c r="D52" s="802">
        <v>0</v>
      </c>
      <c r="E52" s="802">
        <f t="array" ref="E52">SUM(IF("331"&amp;B52=KHN&amp;KH,TH))</f>
        <v>0</v>
      </c>
      <c r="F52" s="802">
        <f t="array" ref="F52">SUM(IF("331"&amp;B52=KHC&amp;KH,TH))</f>
        <v>0</v>
      </c>
      <c r="G52" s="807">
        <f t="shared" ref="G52" si="45">ROUND(MAX(C52+E52-D52-F52,0),2)</f>
        <v>0</v>
      </c>
      <c r="H52" s="807">
        <f t="shared" ref="H52" si="46">ROUND(MAX(D52+F52-C52-E52,0),2)</f>
        <v>0</v>
      </c>
      <c r="I52" s="808" t="str">
        <f t="shared" ref="I52" si="47">IF(ISNA(VLOOKUP(B52,DSNL,6,0)),"",VLOOKUP(B52,DSNL,6,0))</f>
        <v/>
      </c>
    </row>
    <row r="53" spans="1:9" s="10" customFormat="1" ht="16.5" customHeight="1">
      <c r="A53" s="6">
        <f>IF(B53&lt;&gt;"",ROW()-3,"")</f>
        <v>50</v>
      </c>
      <c r="B53" s="79" t="s">
        <v>900</v>
      </c>
      <c r="C53" s="802">
        <v>0</v>
      </c>
      <c r="D53" s="802">
        <v>0</v>
      </c>
      <c r="E53" s="802">
        <f t="array" ref="E53">SUM(IF("331"&amp;B53=KHN&amp;KH,TH))</f>
        <v>0</v>
      </c>
      <c r="F53" s="802">
        <f t="array" ref="F53">SUM(IF("331"&amp;B53=KHC&amp;KH,TH))</f>
        <v>0</v>
      </c>
      <c r="G53" s="807">
        <f t="shared" ref="G53" si="48">ROUND(MAX(C53+E53-D53-F53,0),2)</f>
        <v>0</v>
      </c>
      <c r="H53" s="807">
        <f t="shared" ref="H53" si="49">ROUND(MAX(D53+F53-C53-E53,0),2)</f>
        <v>0</v>
      </c>
      <c r="I53" s="808" t="str">
        <f t="shared" ref="I53" si="50">IF(ISNA(VLOOKUP(B53,DSNL,6,0)),"",VLOOKUP(B53,DSNL,6,0))</f>
        <v/>
      </c>
    </row>
    <row r="54" spans="1:9" s="808" customFormat="1" ht="16.5" customHeight="1">
      <c r="A54" s="6">
        <f t="shared" ref="A54:A87" si="51">IF(B54&lt;&gt;"",ROW()-3,"")</f>
        <v>51</v>
      </c>
      <c r="B54" s="84" t="s">
        <v>867</v>
      </c>
      <c r="C54" s="8">
        <v>0</v>
      </c>
      <c r="D54" s="8">
        <v>0</v>
      </c>
      <c r="E54" s="8">
        <f t="array" ref="E54">SUM(IF("331"&amp;B54=KHN&amp;KH,TH))</f>
        <v>0</v>
      </c>
      <c r="F54" s="8">
        <f t="array" ref="F54">SUM(IF("331"&amp;B54=KHC&amp;KH,TH))</f>
        <v>0</v>
      </c>
      <c r="G54" s="85">
        <f t="shared" ref="G54" si="52">ROUND(MAX(C54+E54-D54-F54,0),2)</f>
        <v>0</v>
      </c>
      <c r="H54" s="85">
        <f t="shared" ref="H54" si="53">ROUND(MAX(D54+F54-C54-E54,0),2)</f>
        <v>0</v>
      </c>
      <c r="I54" s="808" t="str">
        <f t="shared" ref="I54:I87" si="54">IF(ISNA(VLOOKUP(B54,DSNL,6,0)),"",VLOOKUP(B54,DSNL,6,0))</f>
        <v/>
      </c>
    </row>
    <row r="55" spans="1:9" s="808" customFormat="1" ht="16.5" customHeight="1">
      <c r="A55" s="6">
        <f t="shared" si="51"/>
        <v>52</v>
      </c>
      <c r="B55" s="79" t="s">
        <v>437</v>
      </c>
      <c r="C55" s="802">
        <v>0</v>
      </c>
      <c r="D55" s="802">
        <v>0</v>
      </c>
      <c r="E55" s="802">
        <f t="array" ref="E55">SUM(IF("331"&amp;B55=KHN&amp;KH,TH))</f>
        <v>0</v>
      </c>
      <c r="F55" s="802">
        <f t="array" ref="F55">SUM(IF("331"&amp;B55=KHC&amp;KH,TH))</f>
        <v>0</v>
      </c>
      <c r="G55" s="807">
        <f t="shared" ref="G55:G87" si="55">ROUND(MAX(C55+E55-D55-F55,0),2)</f>
        <v>0</v>
      </c>
      <c r="H55" s="807">
        <f t="shared" ref="H55:H87" si="56">ROUND(MAX(D55+F55-C55-E55,0),2)</f>
        <v>0</v>
      </c>
      <c r="I55" s="808" t="str">
        <f t="shared" si="54"/>
        <v>Hai</v>
      </c>
    </row>
    <row r="56" spans="1:9" s="808" customFormat="1" ht="16.5" customHeight="1">
      <c r="A56" s="6">
        <f t="shared" si="51"/>
        <v>53</v>
      </c>
      <c r="B56" s="79" t="s">
        <v>430</v>
      </c>
      <c r="C56" s="802">
        <v>0</v>
      </c>
      <c r="D56" s="802">
        <v>0</v>
      </c>
      <c r="E56" s="802">
        <f t="array" ref="E56">SUM(IF("331"&amp;B56=KHN&amp;KH,TH))</f>
        <v>0</v>
      </c>
      <c r="F56" s="802">
        <f t="array" ref="F56">SUM(IF("331"&amp;B56=KHC&amp;KH,TH))</f>
        <v>0</v>
      </c>
      <c r="G56" s="807">
        <f t="shared" si="55"/>
        <v>0</v>
      </c>
      <c r="H56" s="807">
        <f t="shared" si="56"/>
        <v>0</v>
      </c>
      <c r="I56" s="808" t="str">
        <f t="shared" si="54"/>
        <v>Hai</v>
      </c>
    </row>
    <row r="57" spans="1:9" s="808" customFormat="1" ht="16.5" customHeight="1">
      <c r="A57" s="6">
        <f t="shared" si="51"/>
        <v>54</v>
      </c>
      <c r="B57" s="84" t="s">
        <v>380</v>
      </c>
      <c r="C57" s="802">
        <v>0</v>
      </c>
      <c r="D57" s="802">
        <v>2573876000</v>
      </c>
      <c r="E57" s="802">
        <f t="array" ref="E57">SUM(IF("331"&amp;B57=KHN&amp;KH,TH))</f>
        <v>0</v>
      </c>
      <c r="F57" s="802">
        <f t="array" ref="F57">SUM(IF("331"&amp;B57=KHC&amp;KH,TH))</f>
        <v>0</v>
      </c>
      <c r="G57" s="807">
        <f t="shared" si="55"/>
        <v>0</v>
      </c>
      <c r="H57" s="807">
        <f t="shared" si="56"/>
        <v>2573876000</v>
      </c>
      <c r="I57" s="808" t="str">
        <f t="shared" si="54"/>
        <v>Tiền</v>
      </c>
    </row>
    <row r="58" spans="1:9" s="808" customFormat="1" ht="16.5" customHeight="1">
      <c r="A58" s="6">
        <f t="shared" si="51"/>
        <v>55</v>
      </c>
      <c r="B58" s="79" t="s">
        <v>869</v>
      </c>
      <c r="C58" s="802">
        <v>0</v>
      </c>
      <c r="D58" s="802">
        <v>0</v>
      </c>
      <c r="E58" s="802">
        <f t="array" ref="E58">SUM(IF("331"&amp;B58=KHN&amp;KH,TH))</f>
        <v>0</v>
      </c>
      <c r="F58" s="802">
        <f t="array" ref="F58">SUM(IF("331"&amp;B58=KHC&amp;KH,TH))</f>
        <v>0</v>
      </c>
      <c r="G58" s="807">
        <f t="shared" si="55"/>
        <v>0</v>
      </c>
      <c r="H58" s="807">
        <f t="shared" si="56"/>
        <v>0</v>
      </c>
      <c r="I58" s="808" t="str">
        <f t="shared" si="54"/>
        <v>Hai</v>
      </c>
    </row>
    <row r="59" spans="1:9" s="808" customFormat="1" ht="16.5" customHeight="1">
      <c r="A59" s="6">
        <f t="shared" si="51"/>
        <v>56</v>
      </c>
      <c r="B59" s="79" t="s">
        <v>435</v>
      </c>
      <c r="C59" s="802">
        <v>0</v>
      </c>
      <c r="D59" s="802">
        <v>0</v>
      </c>
      <c r="E59" s="802">
        <f t="array" ref="E59">SUM(IF("331"&amp;B59=KHN&amp;KH,TH))</f>
        <v>0</v>
      </c>
      <c r="F59" s="802">
        <f t="array" ref="F59">SUM(IF("331"&amp;B59=KHC&amp;KH,TH))</f>
        <v>0</v>
      </c>
      <c r="G59" s="807">
        <f t="shared" si="55"/>
        <v>0</v>
      </c>
      <c r="H59" s="807">
        <f t="shared" si="56"/>
        <v>0</v>
      </c>
      <c r="I59" s="808" t="str">
        <f t="shared" si="54"/>
        <v>Hai</v>
      </c>
    </row>
    <row r="60" spans="1:9" s="808" customFormat="1" ht="16.5" customHeight="1">
      <c r="A60" s="6">
        <f t="shared" si="51"/>
        <v>57</v>
      </c>
      <c r="B60" s="79" t="s">
        <v>868</v>
      </c>
      <c r="C60" s="802">
        <v>0</v>
      </c>
      <c r="D60" s="802">
        <v>0</v>
      </c>
      <c r="E60" s="802">
        <f t="array" ref="E60">SUM(IF("331"&amp;B60=KHN&amp;KH,TH))</f>
        <v>0</v>
      </c>
      <c r="F60" s="802">
        <f t="array" ref="F60">SUM(IF("331"&amp;B60=KHC&amp;KH,TH))</f>
        <v>0</v>
      </c>
      <c r="G60" s="807">
        <f t="shared" si="55"/>
        <v>0</v>
      </c>
      <c r="H60" s="807">
        <f t="shared" si="56"/>
        <v>0</v>
      </c>
      <c r="I60" s="808" t="str">
        <f t="shared" si="54"/>
        <v>Hai</v>
      </c>
    </row>
    <row r="61" spans="1:9" s="808" customFormat="1" ht="16.5" customHeight="1">
      <c r="A61" s="6">
        <f t="shared" si="51"/>
        <v>58</v>
      </c>
      <c r="B61" s="79" t="s">
        <v>385</v>
      </c>
      <c r="C61" s="802">
        <v>0</v>
      </c>
      <c r="D61" s="802">
        <v>2471360000</v>
      </c>
      <c r="E61" s="802">
        <f t="array" ref="E61">SUM(IF("331"&amp;B61=KHN&amp;KH,TH))</f>
        <v>0</v>
      </c>
      <c r="F61" s="802">
        <f t="array" ref="F61">SUM(IF("331"&amp;B61=KHC&amp;KH,TH))</f>
        <v>0</v>
      </c>
      <c r="G61" s="807">
        <f t="shared" si="55"/>
        <v>0</v>
      </c>
      <c r="H61" s="807">
        <f t="shared" si="56"/>
        <v>2471360000</v>
      </c>
      <c r="I61" s="808" t="str">
        <f t="shared" si="54"/>
        <v>Tiền</v>
      </c>
    </row>
    <row r="62" spans="1:9" s="808" customFormat="1" ht="16.5" customHeight="1">
      <c r="A62" s="6">
        <f t="shared" si="51"/>
        <v>59</v>
      </c>
      <c r="B62" s="809" t="s">
        <v>358</v>
      </c>
      <c r="C62" s="802">
        <v>0</v>
      </c>
      <c r="D62" s="802">
        <v>0</v>
      </c>
      <c r="E62" s="802">
        <f t="array" ref="E62">SUM(IF("331"&amp;B62=KHN&amp;KH,TH))</f>
        <v>0</v>
      </c>
      <c r="F62" s="802">
        <f t="array" ref="F62">SUM(IF("331"&amp;B62=KHC&amp;KH,TH))</f>
        <v>0</v>
      </c>
      <c r="G62" s="807">
        <f t="shared" si="55"/>
        <v>0</v>
      </c>
      <c r="H62" s="807">
        <f t="shared" si="56"/>
        <v>0</v>
      </c>
      <c r="I62" s="808" t="str">
        <f t="shared" si="54"/>
        <v>Tiền</v>
      </c>
    </row>
    <row r="63" spans="1:9" s="808" customFormat="1" ht="16.5" customHeight="1">
      <c r="A63" s="6">
        <f t="shared" si="51"/>
        <v>60</v>
      </c>
      <c r="B63" s="809" t="s">
        <v>344</v>
      </c>
      <c r="C63" s="802">
        <v>0</v>
      </c>
      <c r="D63" s="802">
        <v>0</v>
      </c>
      <c r="E63" s="802">
        <f t="array" ref="E63">SUM(IF("331"&amp;B63=KHN&amp;KH,TH))</f>
        <v>0</v>
      </c>
      <c r="F63" s="802">
        <f t="array" ref="F63">SUM(IF("331"&amp;B63=KHC&amp;KH,TH))</f>
        <v>0</v>
      </c>
      <c r="G63" s="807">
        <f t="shared" si="55"/>
        <v>0</v>
      </c>
      <c r="H63" s="807">
        <f t="shared" si="56"/>
        <v>0</v>
      </c>
      <c r="I63" s="808" t="str">
        <f t="shared" si="54"/>
        <v>Tiền</v>
      </c>
    </row>
    <row r="64" spans="1:9" s="808" customFormat="1" ht="16.5" customHeight="1">
      <c r="A64" s="6">
        <f t="shared" si="51"/>
        <v>61</v>
      </c>
      <c r="B64" s="79" t="s">
        <v>426</v>
      </c>
      <c r="C64" s="802">
        <v>0</v>
      </c>
      <c r="D64" s="802">
        <v>0</v>
      </c>
      <c r="E64" s="802">
        <f t="array" ref="E64">SUM(IF("331"&amp;B64=KHN&amp;KH,TH))</f>
        <v>0</v>
      </c>
      <c r="F64" s="802">
        <f t="array" ref="F64">SUM(IF("331"&amp;B64=KHC&amp;KH,TH))</f>
        <v>0</v>
      </c>
      <c r="G64" s="807">
        <f t="shared" si="55"/>
        <v>0</v>
      </c>
      <c r="H64" s="807">
        <f t="shared" si="56"/>
        <v>0</v>
      </c>
      <c r="I64" s="808" t="str">
        <f t="shared" si="54"/>
        <v>Hai</v>
      </c>
    </row>
    <row r="65" spans="1:9" s="808" customFormat="1" ht="16.5" customHeight="1">
      <c r="A65" s="6">
        <f t="shared" si="51"/>
        <v>62</v>
      </c>
      <c r="B65" s="79" t="s">
        <v>428</v>
      </c>
      <c r="C65" s="802">
        <v>0</v>
      </c>
      <c r="D65" s="802">
        <v>0</v>
      </c>
      <c r="E65" s="802">
        <f t="array" ref="E65">SUM(IF("331"&amp;B65=KHN&amp;KH,TH))</f>
        <v>0</v>
      </c>
      <c r="F65" s="802">
        <f t="array" ref="F65">SUM(IF("331"&amp;B65=KHC&amp;KH,TH))</f>
        <v>0</v>
      </c>
      <c r="G65" s="807">
        <f t="shared" si="55"/>
        <v>0</v>
      </c>
      <c r="H65" s="807">
        <f t="shared" si="56"/>
        <v>0</v>
      </c>
      <c r="I65" s="808" t="str">
        <f t="shared" si="54"/>
        <v>Hai</v>
      </c>
    </row>
    <row r="66" spans="1:9" s="808" customFormat="1" ht="16.5" customHeight="1">
      <c r="A66" s="6">
        <f t="shared" si="51"/>
        <v>63</v>
      </c>
      <c r="B66" s="79" t="s">
        <v>874</v>
      </c>
      <c r="C66" s="802">
        <v>0</v>
      </c>
      <c r="D66" s="802">
        <v>2705950000</v>
      </c>
      <c r="E66" s="802">
        <f t="array" ref="E66">SUM(IF("331"&amp;B66=KHN&amp;KH,TH))</f>
        <v>0</v>
      </c>
      <c r="F66" s="802">
        <f t="array" ref="F66">SUM(IF("331"&amp;B66=KHC&amp;KH,TH))</f>
        <v>0</v>
      </c>
      <c r="G66" s="807">
        <f t="shared" si="55"/>
        <v>0</v>
      </c>
      <c r="H66" s="807">
        <f t="shared" si="56"/>
        <v>2705950000</v>
      </c>
      <c r="I66" s="808" t="s">
        <v>336</v>
      </c>
    </row>
    <row r="67" spans="1:9" s="808" customFormat="1" ht="16.5" customHeight="1">
      <c r="A67" s="6">
        <f t="shared" si="51"/>
        <v>64</v>
      </c>
      <c r="B67" s="809" t="s">
        <v>361</v>
      </c>
      <c r="C67" s="802">
        <v>0</v>
      </c>
      <c r="D67" s="802">
        <v>0</v>
      </c>
      <c r="E67" s="802">
        <f t="array" ref="E67">SUM(IF("331"&amp;B67=KHN&amp;KH,TH))</f>
        <v>0</v>
      </c>
      <c r="F67" s="802">
        <f t="array" ref="F67">SUM(IF("331"&amp;B67=KHC&amp;KH,TH))</f>
        <v>0</v>
      </c>
      <c r="G67" s="807">
        <f t="shared" si="55"/>
        <v>0</v>
      </c>
      <c r="H67" s="807">
        <f t="shared" si="56"/>
        <v>0</v>
      </c>
      <c r="I67" s="808" t="str">
        <f t="shared" si="54"/>
        <v>Tiền</v>
      </c>
    </row>
    <row r="68" spans="1:9" s="808" customFormat="1" ht="16.5" customHeight="1">
      <c r="A68" s="6">
        <f t="shared" si="51"/>
        <v>65</v>
      </c>
      <c r="B68" s="79" t="s">
        <v>871</v>
      </c>
      <c r="C68" s="802">
        <v>0</v>
      </c>
      <c r="D68" s="802">
        <v>0</v>
      </c>
      <c r="E68" s="802">
        <f t="array" ref="E68">SUM(IF("331"&amp;B68=KHN&amp;KH,TH))</f>
        <v>0</v>
      </c>
      <c r="F68" s="802">
        <f t="array" ref="F68">SUM(IF("331"&amp;B68=KHC&amp;KH,TH))</f>
        <v>0</v>
      </c>
      <c r="G68" s="807">
        <f t="shared" si="55"/>
        <v>0</v>
      </c>
      <c r="H68" s="807">
        <f t="shared" si="56"/>
        <v>0</v>
      </c>
      <c r="I68" s="808" t="str">
        <f t="shared" si="54"/>
        <v>Hai</v>
      </c>
    </row>
    <row r="69" spans="1:9" s="808" customFormat="1" ht="16.5" customHeight="1">
      <c r="A69" s="6">
        <f t="shared" si="51"/>
        <v>66</v>
      </c>
      <c r="B69" s="79" t="s">
        <v>388</v>
      </c>
      <c r="C69" s="802">
        <v>0</v>
      </c>
      <c r="D69" s="802">
        <v>2587901000</v>
      </c>
      <c r="E69" s="802">
        <f t="array" ref="E69">SUM(IF("331"&amp;B69=KHN&amp;KH,TH))</f>
        <v>0</v>
      </c>
      <c r="F69" s="802">
        <f t="array" ref="F69">SUM(IF("331"&amp;B69=KHC&amp;KH,TH))</f>
        <v>0</v>
      </c>
      <c r="G69" s="807">
        <f t="shared" si="55"/>
        <v>0</v>
      </c>
      <c r="H69" s="807">
        <f t="shared" si="56"/>
        <v>2587901000</v>
      </c>
      <c r="I69" s="808" t="str">
        <f t="shared" si="54"/>
        <v>Tiền</v>
      </c>
    </row>
    <row r="70" spans="1:9" s="808" customFormat="1" ht="16.5" customHeight="1">
      <c r="A70" s="6">
        <f t="shared" si="51"/>
        <v>67</v>
      </c>
      <c r="B70" s="809" t="s">
        <v>347</v>
      </c>
      <c r="C70" s="802">
        <v>0</v>
      </c>
      <c r="D70" s="802">
        <v>0</v>
      </c>
      <c r="E70" s="802">
        <f t="array" ref="E70">SUM(IF("331"&amp;B70=KHN&amp;KH,TH))</f>
        <v>0</v>
      </c>
      <c r="F70" s="802">
        <f t="array" ref="F70">SUM(IF("331"&amp;B70=KHC&amp;KH,TH))</f>
        <v>0</v>
      </c>
      <c r="G70" s="807">
        <f t="shared" si="55"/>
        <v>0</v>
      </c>
      <c r="H70" s="807">
        <f t="shared" si="56"/>
        <v>0</v>
      </c>
      <c r="I70" s="808" t="str">
        <f t="shared" si="54"/>
        <v>Tiền</v>
      </c>
    </row>
    <row r="71" spans="1:9" s="808" customFormat="1" ht="16.5" customHeight="1">
      <c r="A71" s="6">
        <f t="shared" si="51"/>
        <v>68</v>
      </c>
      <c r="B71" s="809" t="s">
        <v>364</v>
      </c>
      <c r="C71" s="802">
        <v>0</v>
      </c>
      <c r="D71" s="802">
        <v>0</v>
      </c>
      <c r="E71" s="802">
        <f t="array" ref="E71">SUM(IF("331"&amp;B71=KHN&amp;KH,TH))</f>
        <v>0</v>
      </c>
      <c r="F71" s="802">
        <f t="array" ref="F71">SUM(IF("331"&amp;B71=KHC&amp;KH,TH))</f>
        <v>0</v>
      </c>
      <c r="G71" s="807">
        <f t="shared" si="55"/>
        <v>0</v>
      </c>
      <c r="H71" s="807">
        <f t="shared" si="56"/>
        <v>0</v>
      </c>
      <c r="I71" s="808" t="str">
        <f t="shared" si="54"/>
        <v>Tiền</v>
      </c>
    </row>
    <row r="72" spans="1:9" s="808" customFormat="1" ht="16.5" customHeight="1">
      <c r="A72" s="6">
        <f t="shared" si="51"/>
        <v>69</v>
      </c>
      <c r="B72" s="79" t="s">
        <v>870</v>
      </c>
      <c r="C72" s="802">
        <v>0</v>
      </c>
      <c r="D72" s="802">
        <v>0</v>
      </c>
      <c r="E72" s="802">
        <f t="array" ref="E72">SUM(IF("331"&amp;B72=KHN&amp;KH,TH))</f>
        <v>0</v>
      </c>
      <c r="F72" s="802">
        <f t="array" ref="F72">SUM(IF("331"&amp;B72=KHC&amp;KH,TH))</f>
        <v>0</v>
      </c>
      <c r="G72" s="807">
        <f t="shared" si="55"/>
        <v>0</v>
      </c>
      <c r="H72" s="807">
        <f t="shared" si="56"/>
        <v>0</v>
      </c>
      <c r="I72" s="808" t="str">
        <f t="shared" si="54"/>
        <v>Hai</v>
      </c>
    </row>
    <row r="73" spans="1:9" s="808" customFormat="1" ht="16.5" customHeight="1">
      <c r="A73" s="6">
        <f t="shared" si="51"/>
        <v>70</v>
      </c>
      <c r="B73" s="809" t="s">
        <v>431</v>
      </c>
      <c r="C73" s="802">
        <v>0</v>
      </c>
      <c r="D73" s="802">
        <v>0</v>
      </c>
      <c r="E73" s="802">
        <f t="array" ref="E73">SUM(IF("331"&amp;B73=KHN&amp;KH,TH))</f>
        <v>0</v>
      </c>
      <c r="F73" s="802">
        <f t="array" ref="F73">SUM(IF("331"&amp;B73=KHC&amp;KH,TH))</f>
        <v>0</v>
      </c>
      <c r="G73" s="807">
        <f t="shared" si="55"/>
        <v>0</v>
      </c>
      <c r="H73" s="807">
        <f t="shared" si="56"/>
        <v>0</v>
      </c>
      <c r="I73" s="808" t="str">
        <f t="shared" si="54"/>
        <v>Hai</v>
      </c>
    </row>
    <row r="74" spans="1:9" s="808" customFormat="1" ht="16.5" customHeight="1">
      <c r="A74" s="6">
        <f t="shared" si="51"/>
        <v>71</v>
      </c>
      <c r="B74" s="809" t="s">
        <v>394</v>
      </c>
      <c r="C74" s="802">
        <v>0</v>
      </c>
      <c r="D74" s="802">
        <v>0</v>
      </c>
      <c r="E74" s="802">
        <f t="array" ref="E74">SUM(IF("331"&amp;B74=KHN&amp;KH,TH))</f>
        <v>0</v>
      </c>
      <c r="F74" s="802">
        <f t="array" ref="F74">SUM(IF("331"&amp;B74=KHC&amp;KH,TH))</f>
        <v>0</v>
      </c>
      <c r="G74" s="807">
        <f t="shared" si="55"/>
        <v>0</v>
      </c>
      <c r="H74" s="807">
        <f t="shared" si="56"/>
        <v>0</v>
      </c>
      <c r="I74" s="808" t="str">
        <f t="shared" si="54"/>
        <v>Hai</v>
      </c>
    </row>
    <row r="75" spans="1:9" s="808" customFormat="1" ht="16.5" customHeight="1">
      <c r="A75" s="6">
        <f t="shared" si="51"/>
        <v>72</v>
      </c>
      <c r="B75" s="79" t="s">
        <v>398</v>
      </c>
      <c r="C75" s="802">
        <v>0</v>
      </c>
      <c r="D75" s="802">
        <v>0</v>
      </c>
      <c r="E75" s="802">
        <f t="array" ref="E75">SUM(IF("331"&amp;B75=KHN&amp;KH,TH))</f>
        <v>0</v>
      </c>
      <c r="F75" s="802">
        <f t="array" ref="F75">SUM(IF("331"&amp;B75=KHC&amp;KH,TH))</f>
        <v>0</v>
      </c>
      <c r="G75" s="807">
        <f t="shared" si="55"/>
        <v>0</v>
      </c>
      <c r="H75" s="807">
        <f t="shared" si="56"/>
        <v>0</v>
      </c>
      <c r="I75" s="808" t="str">
        <f t="shared" si="54"/>
        <v>Hai</v>
      </c>
    </row>
    <row r="76" spans="1:9" s="808" customFormat="1" ht="16.5" customHeight="1">
      <c r="A76" s="6">
        <f t="shared" si="51"/>
        <v>73</v>
      </c>
      <c r="B76" s="79" t="s">
        <v>399</v>
      </c>
      <c r="C76" s="802">
        <v>0</v>
      </c>
      <c r="D76" s="802">
        <v>0</v>
      </c>
      <c r="E76" s="802">
        <f t="array" ref="E76">SUM(IF("331"&amp;B76=KHN&amp;KH,TH))</f>
        <v>0</v>
      </c>
      <c r="F76" s="802">
        <f t="array" ref="F76">SUM(IF("331"&amp;B76=KHC&amp;KH,TH))</f>
        <v>0</v>
      </c>
      <c r="G76" s="807">
        <f t="shared" si="55"/>
        <v>0</v>
      </c>
      <c r="H76" s="807">
        <f t="shared" si="56"/>
        <v>0</v>
      </c>
      <c r="I76" s="808" t="str">
        <f t="shared" si="54"/>
        <v>Hai</v>
      </c>
    </row>
    <row r="77" spans="1:9" s="808" customFormat="1" ht="16.5" customHeight="1">
      <c r="A77" s="6">
        <f t="shared" si="51"/>
        <v>74</v>
      </c>
      <c r="B77" s="79" t="s">
        <v>866</v>
      </c>
      <c r="C77" s="802">
        <v>0</v>
      </c>
      <c r="D77" s="802">
        <v>0</v>
      </c>
      <c r="E77" s="802">
        <f t="array" ref="E77">SUM(IF("331"&amp;B77=KHN&amp;KH,TH))</f>
        <v>0</v>
      </c>
      <c r="F77" s="802">
        <f t="array" ref="F77">SUM(IF("331"&amp;B77=KHC&amp;KH,TH))</f>
        <v>0</v>
      </c>
      <c r="G77" s="807">
        <f t="shared" si="55"/>
        <v>0</v>
      </c>
      <c r="H77" s="807">
        <f t="shared" si="56"/>
        <v>0</v>
      </c>
      <c r="I77" s="808" t="str">
        <f t="shared" si="54"/>
        <v/>
      </c>
    </row>
    <row r="78" spans="1:9" s="808" customFormat="1" ht="16.5" customHeight="1">
      <c r="A78" s="6">
        <f t="shared" si="51"/>
        <v>75</v>
      </c>
      <c r="B78" s="79" t="s">
        <v>390</v>
      </c>
      <c r="C78" s="802">
        <v>0</v>
      </c>
      <c r="D78" s="802">
        <v>2174369000</v>
      </c>
      <c r="E78" s="802">
        <f t="array" ref="E78">SUM(IF("331"&amp;B78=KHN&amp;KH,TH))</f>
        <v>0</v>
      </c>
      <c r="F78" s="802">
        <f t="array" ref="F78">SUM(IF("331"&amp;B78=KHC&amp;KH,TH))</f>
        <v>0</v>
      </c>
      <c r="G78" s="807">
        <f t="shared" si="55"/>
        <v>0</v>
      </c>
      <c r="H78" s="807">
        <f t="shared" si="56"/>
        <v>2174369000</v>
      </c>
      <c r="I78" s="808" t="str">
        <f t="shared" si="54"/>
        <v>Tiền</v>
      </c>
    </row>
    <row r="79" spans="1:9" s="808" customFormat="1" ht="16.5" customHeight="1">
      <c r="A79" s="6">
        <f t="shared" si="51"/>
        <v>76</v>
      </c>
      <c r="B79" s="79" t="s">
        <v>382</v>
      </c>
      <c r="C79" s="802">
        <v>0</v>
      </c>
      <c r="D79" s="802">
        <v>2780710000</v>
      </c>
      <c r="E79" s="802">
        <f t="array" ref="E79">SUM(IF("331"&amp;B79=KHN&amp;KH,TH))</f>
        <v>0</v>
      </c>
      <c r="F79" s="802">
        <f t="array" ref="F79">SUM(IF("331"&amp;B79=KHC&amp;KH,TH))</f>
        <v>0</v>
      </c>
      <c r="G79" s="807">
        <f t="shared" si="55"/>
        <v>0</v>
      </c>
      <c r="H79" s="807">
        <f t="shared" si="56"/>
        <v>2780710000</v>
      </c>
      <c r="I79" s="808" t="str">
        <f t="shared" si="54"/>
        <v>Tiền</v>
      </c>
    </row>
    <row r="80" spans="1:9" s="808" customFormat="1" ht="16.5" customHeight="1">
      <c r="A80" s="6">
        <f t="shared" si="51"/>
        <v>77</v>
      </c>
      <c r="B80" s="809" t="s">
        <v>439</v>
      </c>
      <c r="C80" s="802">
        <v>0</v>
      </c>
      <c r="D80" s="802">
        <v>0</v>
      </c>
      <c r="E80" s="802">
        <f t="array" ref="E80">SUM(IF("331"&amp;B80=KHN&amp;KH,TH))</f>
        <v>0</v>
      </c>
      <c r="F80" s="802">
        <f t="array" ref="F80">SUM(IF("331"&amp;B80=KHC&amp;KH,TH))</f>
        <v>0</v>
      </c>
      <c r="G80" s="807">
        <f t="shared" si="55"/>
        <v>0</v>
      </c>
      <c r="H80" s="807">
        <f t="shared" si="56"/>
        <v>0</v>
      </c>
      <c r="I80" s="808" t="str">
        <f t="shared" si="54"/>
        <v>Hai</v>
      </c>
    </row>
    <row r="81" spans="1:9" s="808" customFormat="1" ht="16.5" customHeight="1">
      <c r="A81" s="6">
        <f t="shared" si="51"/>
        <v>78</v>
      </c>
      <c r="B81" s="79" t="s">
        <v>421</v>
      </c>
      <c r="C81" s="802">
        <v>0</v>
      </c>
      <c r="D81" s="802">
        <v>0</v>
      </c>
      <c r="E81" s="802">
        <f t="array" ref="E81">SUM(IF("331"&amp;B81=KHN&amp;KH,TH))</f>
        <v>0</v>
      </c>
      <c r="F81" s="802">
        <f t="array" ref="F81">SUM(IF("331"&amp;B81=KHC&amp;KH,TH))</f>
        <v>0</v>
      </c>
      <c r="G81" s="807">
        <f t="shared" si="55"/>
        <v>0</v>
      </c>
      <c r="H81" s="807">
        <f t="shared" si="56"/>
        <v>0</v>
      </c>
      <c r="I81" s="808" t="str">
        <f t="shared" si="54"/>
        <v>Hai</v>
      </c>
    </row>
    <row r="82" spans="1:9" s="808" customFormat="1" ht="16.5" customHeight="1">
      <c r="A82" s="6">
        <f t="shared" si="51"/>
        <v>79</v>
      </c>
      <c r="B82" s="79" t="s">
        <v>424</v>
      </c>
      <c r="C82" s="802">
        <v>0</v>
      </c>
      <c r="D82" s="802">
        <v>0</v>
      </c>
      <c r="E82" s="802">
        <f t="array" ref="E82">SUM(IF("331"&amp;B82=KHN&amp;KH,TH))</f>
        <v>0</v>
      </c>
      <c r="F82" s="802">
        <f t="array" ref="F82">SUM(IF("331"&amp;B82=KHC&amp;KH,TH))</f>
        <v>0</v>
      </c>
      <c r="G82" s="807">
        <f t="shared" si="55"/>
        <v>0</v>
      </c>
      <c r="H82" s="807">
        <f t="shared" si="56"/>
        <v>0</v>
      </c>
      <c r="I82" s="808" t="str">
        <f t="shared" si="54"/>
        <v>Hai</v>
      </c>
    </row>
    <row r="83" spans="1:9" s="808" customFormat="1" ht="16.5" customHeight="1">
      <c r="A83" s="6">
        <f t="shared" si="51"/>
        <v>80</v>
      </c>
      <c r="B83" s="79" t="s">
        <v>405</v>
      </c>
      <c r="C83" s="802">
        <v>0</v>
      </c>
      <c r="D83" s="802">
        <v>0</v>
      </c>
      <c r="E83" s="802">
        <f t="array" ref="E83">SUM(IF("331"&amp;B83=KHN&amp;KH,TH))</f>
        <v>0</v>
      </c>
      <c r="F83" s="802">
        <f t="array" ref="F83">SUM(IF("331"&amp;B83=KHC&amp;KH,TH))</f>
        <v>0</v>
      </c>
      <c r="G83" s="807">
        <f t="shared" si="55"/>
        <v>0</v>
      </c>
      <c r="H83" s="807">
        <f t="shared" si="56"/>
        <v>0</v>
      </c>
      <c r="I83" s="808" t="str">
        <f t="shared" si="54"/>
        <v>Hai</v>
      </c>
    </row>
    <row r="84" spans="1:9" s="808" customFormat="1" ht="16.5" customHeight="1">
      <c r="A84" s="6">
        <f t="shared" si="51"/>
        <v>81</v>
      </c>
      <c r="B84" s="806" t="s">
        <v>375</v>
      </c>
      <c r="C84" s="802">
        <v>0</v>
      </c>
      <c r="D84" s="802">
        <v>2480710000</v>
      </c>
      <c r="E84" s="802">
        <f t="array" ref="E84">SUM(IF("331"&amp;B84=KHN&amp;KH,TH))</f>
        <v>0</v>
      </c>
      <c r="F84" s="802">
        <f t="array" ref="F84">SUM(IF("331"&amp;B84=KHC&amp;KH,TH))</f>
        <v>0</v>
      </c>
      <c r="G84" s="807">
        <f t="shared" si="55"/>
        <v>0</v>
      </c>
      <c r="H84" s="807">
        <f t="shared" si="56"/>
        <v>2480710000</v>
      </c>
      <c r="I84" s="808" t="str">
        <f t="shared" si="54"/>
        <v>Tiền</v>
      </c>
    </row>
    <row r="85" spans="1:9" s="808" customFormat="1" ht="16.5" customHeight="1">
      <c r="A85" s="6">
        <f t="shared" ref="A85" si="57">IF(B85&lt;&gt;"",ROW()-3,"")</f>
        <v>82</v>
      </c>
      <c r="B85" s="806" t="s">
        <v>392</v>
      </c>
      <c r="C85" s="802">
        <v>0</v>
      </c>
      <c r="D85" s="802">
        <v>2690740000</v>
      </c>
      <c r="E85" s="802">
        <f t="array" ref="E85">SUM(IF("331"&amp;B85=KHN&amp;KH,TH))</f>
        <v>0</v>
      </c>
      <c r="F85" s="802">
        <f t="array" ref="F85">SUM(IF("331"&amp;B85=KHC&amp;KH,TH))</f>
        <v>0</v>
      </c>
      <c r="G85" s="807">
        <f t="shared" ref="G85" si="58">ROUND(MAX(C85+E85-D85-F85,0),2)</f>
        <v>0</v>
      </c>
      <c r="H85" s="807">
        <f t="shared" ref="H85" si="59">ROUND(MAX(D85+F85-C85-E85,0),2)</f>
        <v>2690740000</v>
      </c>
      <c r="I85" s="808" t="str">
        <f t="shared" ref="I85" si="60">IF(ISNA(VLOOKUP(B85,DSNL,6,0)),"",VLOOKUP(B85,DSNL,6,0))</f>
        <v>Tiền</v>
      </c>
    </row>
    <row r="86" spans="1:9" s="808" customFormat="1" ht="16.5" customHeight="1">
      <c r="A86" s="6">
        <f t="shared" si="51"/>
        <v>83</v>
      </c>
      <c r="B86" s="806" t="s">
        <v>420</v>
      </c>
      <c r="C86" s="802">
        <v>0</v>
      </c>
      <c r="D86" s="802">
        <v>0</v>
      </c>
      <c r="E86" s="802">
        <f t="array" ref="E86">SUM(IF("331"&amp;B86=KHN&amp;KH,TH))</f>
        <v>0</v>
      </c>
      <c r="F86" s="802">
        <f t="array" ref="F86">SUM(IF("331"&amp;B86=KHC&amp;KH,TH))</f>
        <v>0</v>
      </c>
      <c r="G86" s="807">
        <f t="shared" si="55"/>
        <v>0</v>
      </c>
      <c r="H86" s="807">
        <f t="shared" si="56"/>
        <v>0</v>
      </c>
      <c r="I86" s="808" t="str">
        <f t="shared" si="54"/>
        <v>Hai</v>
      </c>
    </row>
    <row r="87" spans="1:9" s="808" customFormat="1" ht="16.5" customHeight="1">
      <c r="A87" s="6">
        <f t="shared" si="51"/>
        <v>84</v>
      </c>
      <c r="B87" s="806" t="s">
        <v>410</v>
      </c>
      <c r="C87" s="802">
        <v>0</v>
      </c>
      <c r="D87" s="802">
        <v>0</v>
      </c>
      <c r="E87" s="802">
        <f t="array" ref="E87">SUM(IF("331"&amp;B87=KHN&amp;KH,TH))</f>
        <v>0</v>
      </c>
      <c r="F87" s="802">
        <f t="array" ref="F87">SUM(IF("331"&amp;B87=KHC&amp;KH,TH))</f>
        <v>0</v>
      </c>
      <c r="G87" s="807">
        <f t="shared" si="55"/>
        <v>0</v>
      </c>
      <c r="H87" s="807">
        <f t="shared" si="56"/>
        <v>0</v>
      </c>
      <c r="I87" s="808" t="str">
        <f t="shared" si="54"/>
        <v>Hai</v>
      </c>
    </row>
    <row r="88" spans="1:9" s="808" customFormat="1" ht="16.5" customHeight="1">
      <c r="A88" s="6">
        <f t="shared" ref="A88" si="61">IF(B88&lt;&gt;"",ROW()-3,"")</f>
        <v>85</v>
      </c>
      <c r="B88" s="806" t="s">
        <v>407</v>
      </c>
      <c r="C88" s="802">
        <v>0</v>
      </c>
      <c r="D88" s="802">
        <v>0</v>
      </c>
      <c r="E88" s="802">
        <f t="array" ref="E88">SUM(IF("331"&amp;B88=KHN&amp;KH,TH))</f>
        <v>0</v>
      </c>
      <c r="F88" s="802">
        <f t="array" ref="F88">SUM(IF("331"&amp;B88=KHC&amp;KH,TH))</f>
        <v>0</v>
      </c>
      <c r="G88" s="807">
        <f t="shared" ref="G88" si="62">ROUND(MAX(C88+E88-D88-F88,0),2)</f>
        <v>0</v>
      </c>
      <c r="H88" s="807">
        <f t="shared" ref="H88" si="63">ROUND(MAX(D88+F88-C88-E88,0),2)</f>
        <v>0</v>
      </c>
      <c r="I88" s="808" t="str">
        <f t="shared" ref="I88" si="64">IF(ISNA(VLOOKUP(B88,DSNL,6,0)),"",VLOOKUP(B88,DSNL,6,0))</f>
        <v>Hai</v>
      </c>
    </row>
    <row r="89" spans="1:9" s="808" customFormat="1" ht="16.5" customHeight="1">
      <c r="A89" s="6">
        <f t="shared" ref="A89" si="65">IF(B89&lt;&gt;"",ROW()-3,"")</f>
        <v>86</v>
      </c>
      <c r="B89" s="806" t="s">
        <v>412</v>
      </c>
      <c r="C89" s="802">
        <v>0</v>
      </c>
      <c r="D89" s="802">
        <v>0</v>
      </c>
      <c r="E89" s="802">
        <f t="array" ref="E89">SUM(IF("331"&amp;B89=KHN&amp;KH,TH))</f>
        <v>0</v>
      </c>
      <c r="F89" s="802">
        <f t="array" ref="F89">SUM(IF("331"&amp;B89=KHC&amp;KH,TH))</f>
        <v>0</v>
      </c>
      <c r="G89" s="807">
        <f t="shared" ref="G89" si="66">ROUND(MAX(C89+E89-D89-F89,0),2)</f>
        <v>0</v>
      </c>
      <c r="H89" s="807">
        <f t="shared" ref="H89" si="67">ROUND(MAX(D89+F89-C89-E89,0),2)</f>
        <v>0</v>
      </c>
      <c r="I89" s="808" t="str">
        <f t="shared" ref="I89" si="68">IF(ISNA(VLOOKUP(B89,DSNL,6,0)),"",VLOOKUP(B89,DSNL,6,0))</f>
        <v>Hai</v>
      </c>
    </row>
    <row r="90" spans="1:9" s="808" customFormat="1" ht="16.5" customHeight="1">
      <c r="A90" s="6">
        <f t="shared" ref="A90" si="69">IF(B90&lt;&gt;"",ROW()-3,"")</f>
        <v>87</v>
      </c>
      <c r="B90" s="806" t="s">
        <v>414</v>
      </c>
      <c r="C90" s="802">
        <v>0</v>
      </c>
      <c r="D90" s="802">
        <v>0</v>
      </c>
      <c r="E90" s="802">
        <f t="array" ref="E90">SUM(IF("331"&amp;B90=KHN&amp;KH,TH))</f>
        <v>0</v>
      </c>
      <c r="F90" s="802">
        <f t="array" ref="F90">SUM(IF("331"&amp;B90=KHC&amp;KH,TH))</f>
        <v>0</v>
      </c>
      <c r="G90" s="807">
        <f t="shared" ref="G90" si="70">ROUND(MAX(C90+E90-D90-F90,0),2)</f>
        <v>0</v>
      </c>
      <c r="H90" s="807">
        <f t="shared" ref="H90" si="71">ROUND(MAX(D90+F90-C90-E90,0),2)</f>
        <v>0</v>
      </c>
      <c r="I90" s="808" t="str">
        <f t="shared" ref="I90" si="72">IF(ISNA(VLOOKUP(B90,DSNL,6,0)),"",VLOOKUP(B90,DSNL,6,0))</f>
        <v>Hai</v>
      </c>
    </row>
    <row r="91" spans="1:9" s="808" customFormat="1" ht="16.5" customHeight="1">
      <c r="A91" s="6">
        <f t="shared" ref="A91:A92" si="73">IF(B91&lt;&gt;"",ROW()-3,"")</f>
        <v>88</v>
      </c>
      <c r="B91" s="806" t="s">
        <v>417</v>
      </c>
      <c r="C91" s="802">
        <v>0</v>
      </c>
      <c r="D91" s="802">
        <v>0</v>
      </c>
      <c r="E91" s="802">
        <f t="array" ref="E91">SUM(IF("331"&amp;B91=KHN&amp;KH,TH))</f>
        <v>0</v>
      </c>
      <c r="F91" s="802">
        <f t="array" ref="F91">SUM(IF("331"&amp;B91=KHC&amp;KH,TH))</f>
        <v>0</v>
      </c>
      <c r="G91" s="807">
        <f t="shared" ref="G91:G92" si="74">ROUND(MAX(C91+E91-D91-F91,0),2)</f>
        <v>0</v>
      </c>
      <c r="H91" s="807">
        <f t="shared" ref="H91:H92" si="75">ROUND(MAX(D91+F91-C91-E91,0),2)</f>
        <v>0</v>
      </c>
      <c r="I91" s="808" t="str">
        <f t="shared" ref="I91:I92" si="76">IF(ISNA(VLOOKUP(B91,DSNL,6,0)),"",VLOOKUP(B91,DSNL,6,0))</f>
        <v>Hai</v>
      </c>
    </row>
    <row r="92" spans="1:9" s="808" customFormat="1" ht="16.5" customHeight="1">
      <c r="A92" s="6">
        <f t="shared" si="73"/>
        <v>89</v>
      </c>
      <c r="B92" s="806" t="s">
        <v>419</v>
      </c>
      <c r="C92" s="802">
        <v>0</v>
      </c>
      <c r="D92" s="802">
        <v>0</v>
      </c>
      <c r="E92" s="802">
        <f t="array" ref="E92">SUM(IF("331"&amp;B92=KHN&amp;KH,TH))</f>
        <v>0</v>
      </c>
      <c r="F92" s="802">
        <f t="array" ref="F92">SUM(IF("331"&amp;B92=KHC&amp;KH,TH))</f>
        <v>0</v>
      </c>
      <c r="G92" s="807">
        <f t="shared" si="74"/>
        <v>0</v>
      </c>
      <c r="H92" s="807">
        <f t="shared" si="75"/>
        <v>0</v>
      </c>
      <c r="I92" s="808" t="str">
        <f t="shared" si="76"/>
        <v>Hai</v>
      </c>
    </row>
    <row r="93" spans="1:9" s="10" customFormat="1" ht="16.5" customHeight="1">
      <c r="A93" s="6" t="str">
        <f t="shared" ref="A93" si="77">IF(B93&lt;&gt;"",ROW()-3,"")</f>
        <v/>
      </c>
      <c r="B93" s="79"/>
      <c r="C93" s="802">
        <v>0</v>
      </c>
      <c r="D93" s="802">
        <v>0</v>
      </c>
      <c r="E93" s="802">
        <f t="array" ref="E93">SUM(IF("331"&amp;B93=KHN&amp;KH,TH))</f>
        <v>0</v>
      </c>
      <c r="F93" s="802">
        <f t="array" ref="F93">SUM(IF("331"&amp;B93=KHC&amp;KH,TH))</f>
        <v>0</v>
      </c>
      <c r="G93" s="807">
        <f t="shared" ref="G93" si="78">ROUND(MAX(C93+E93-D93-F93,0),2)</f>
        <v>0</v>
      </c>
      <c r="H93" s="807">
        <f t="shared" ref="H93" si="79">ROUND(MAX(D93+F93-C93-E93,0),2)</f>
        <v>0</v>
      </c>
      <c r="I93" s="808"/>
    </row>
    <row r="94" spans="1:9" s="10" customFormat="1" ht="16.5" customHeight="1">
      <c r="A94" s="6"/>
      <c r="B94" s="79"/>
      <c r="C94" s="802"/>
      <c r="D94" s="802"/>
      <c r="E94" s="802"/>
      <c r="F94" s="802"/>
      <c r="G94" s="807"/>
      <c r="H94" s="807"/>
      <c r="I94" s="808"/>
    </row>
    <row r="95" spans="1:9" s="14" customFormat="1" ht="14.25" customHeight="1">
      <c r="A95" s="11"/>
      <c r="B95" s="12" t="s">
        <v>41</v>
      </c>
      <c r="C95" s="13">
        <f>SUM(C4:C94)</f>
        <v>810000</v>
      </c>
      <c r="D95" s="13">
        <f t="shared" ref="D95:H95" si="80">SUM(D4:D94)</f>
        <v>37041719099</v>
      </c>
      <c r="E95" s="13">
        <f t="shared" si="80"/>
        <v>20126319494</v>
      </c>
      <c r="F95" s="13">
        <f t="shared" si="80"/>
        <v>5930824570</v>
      </c>
      <c r="G95" s="13">
        <f t="shared" si="80"/>
        <v>0</v>
      </c>
      <c r="H95" s="13">
        <f t="shared" si="80"/>
        <v>22845414175</v>
      </c>
    </row>
    <row r="97" spans="4:8">
      <c r="D97" s="230">
        <f>D95-CDPS!D38-C95</f>
        <v>-13200000</v>
      </c>
      <c r="E97" s="15">
        <f>E95-CDPS!E38</f>
        <v>0</v>
      </c>
      <c r="F97" s="15">
        <f>F95-CDPS!F38</f>
        <v>0</v>
      </c>
      <c r="H97" s="230">
        <f>H95-G95-CDPS!H38</f>
        <v>-13200000</v>
      </c>
    </row>
    <row r="99" spans="4:8">
      <c r="E99" s="230"/>
      <c r="F99" s="230"/>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38"/>
  <sheetViews>
    <sheetView topLeftCell="A6" workbookViewId="0">
      <pane ySplit="8" topLeftCell="A14"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05" t="s">
        <v>49</v>
      </c>
      <c r="I1" s="1305"/>
      <c r="J1" s="1305"/>
    </row>
    <row r="2" spans="1:10" s="3" customFormat="1" ht="14.25" customHeight="1">
      <c r="A2" s="1" t="s">
        <v>15</v>
      </c>
      <c r="B2" s="16"/>
      <c r="C2" s="16"/>
      <c r="G2" s="17"/>
      <c r="H2" s="1306" t="s">
        <v>50</v>
      </c>
      <c r="I2" s="1306"/>
      <c r="J2" s="1306"/>
    </row>
    <row r="3" spans="1:10" s="3" customFormat="1" ht="14.25" customHeight="1">
      <c r="A3" s="4"/>
      <c r="B3" s="16"/>
      <c r="C3" s="16"/>
      <c r="G3" s="17"/>
      <c r="H3" s="1306"/>
      <c r="I3" s="1306"/>
      <c r="J3" s="1306"/>
    </row>
    <row r="4" spans="1:10" s="5" customFormat="1" ht="28.5" customHeight="1">
      <c r="A4" s="1312" t="s">
        <v>28</v>
      </c>
      <c r="B4" s="1312"/>
      <c r="C4" s="1312"/>
      <c r="D4" s="1312"/>
      <c r="E4" s="1312"/>
      <c r="F4" s="1312"/>
      <c r="G4" s="1312"/>
      <c r="H4" s="1312"/>
      <c r="I4" s="1312"/>
      <c r="J4" s="1312"/>
    </row>
    <row r="5" spans="1:10" s="18" customFormat="1" ht="14.25" customHeight="1">
      <c r="E5" s="19" t="s">
        <v>29</v>
      </c>
    </row>
    <row r="6" spans="1:10" s="18" customFormat="1" ht="14.25" customHeight="1">
      <c r="E6" s="19" t="s">
        <v>30</v>
      </c>
    </row>
    <row r="7" spans="1:10" s="18" customFormat="1" ht="14.25" customHeight="1">
      <c r="D7" s="20" t="s">
        <v>48</v>
      </c>
      <c r="E7" s="1307" t="s">
        <v>896</v>
      </c>
      <c r="F7" s="1307"/>
      <c r="G7" s="1307"/>
      <c r="H7" s="1307"/>
    </row>
    <row r="8" spans="1:10" s="18" customFormat="1" ht="14.25" customHeight="1">
      <c r="E8" s="19" t="s">
        <v>31</v>
      </c>
    </row>
    <row r="9" spans="1:10" s="18" customFormat="1" ht="6.75" customHeight="1">
      <c r="B9" s="19"/>
      <c r="C9" s="1308"/>
      <c r="D9" s="1308"/>
      <c r="E9" s="1308"/>
      <c r="F9" s="1308"/>
      <c r="G9" s="1308"/>
      <c r="H9" s="1308"/>
      <c r="I9" s="1308"/>
      <c r="J9" s="1308"/>
    </row>
    <row r="10" spans="1:10" s="18" customFormat="1" ht="14.25" customHeight="1">
      <c r="A10" s="1276" t="s">
        <v>22</v>
      </c>
      <c r="B10" s="1309" t="s">
        <v>1</v>
      </c>
      <c r="C10" s="1309"/>
      <c r="D10" s="1276" t="s">
        <v>0</v>
      </c>
      <c r="E10" s="1276" t="s">
        <v>16</v>
      </c>
      <c r="F10" s="1276" t="s">
        <v>32</v>
      </c>
      <c r="G10" s="1310" t="s">
        <v>23</v>
      </c>
      <c r="H10" s="1311"/>
      <c r="I10" s="1310" t="s">
        <v>33</v>
      </c>
      <c r="J10" s="1311"/>
    </row>
    <row r="11" spans="1:10" s="18" customFormat="1" ht="24.75" customHeight="1">
      <c r="A11" s="1276"/>
      <c r="B11" s="29" t="s">
        <v>17</v>
      </c>
      <c r="C11" s="29" t="s">
        <v>34</v>
      </c>
      <c r="D11" s="1276"/>
      <c r="E11" s="1276"/>
      <c r="F11" s="1276"/>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6">
        <f>VLOOKUP($E$7,'331'!$B$4:$H$92,2,0)</f>
        <v>0</v>
      </c>
      <c r="J13" s="76">
        <f>VLOOKUP($E$7,'331'!$B$4:$H$92,3,0)</f>
        <v>0</v>
      </c>
    </row>
    <row r="14" spans="1:10" s="18" customFormat="1" ht="18" customHeight="1">
      <c r="A14" s="9" t="str">
        <f ca="1">IF(ROWS($1:1)&gt;COUNT(Dong),"",OFFSET(TH!C$1,SMALL(Dong,ROWS($1:1)),))</f>
        <v/>
      </c>
      <c r="B14" s="9" t="str">
        <f ca="1">IF(ROWS($1:1)&gt;COUNT(Dong),"",OFFSET(TH!D$1,SMALL(Dong,ROWS($1:1)),))</f>
        <v/>
      </c>
      <c r="C14" s="9" t="str">
        <f ca="1">IF(ROWS($1:1)&gt;COUNT(Dong),"",OFFSET(TH!E$1,SMALL(Dong,ROWS($1:1)),))</f>
        <v/>
      </c>
      <c r="D14" s="348" t="str">
        <f ca="1">IF(ROWS($1:1)&gt;COUNT(Dong),"",OFFSET(TH!F$1,SMALL(Dong,ROWS($1:1)),))</f>
        <v/>
      </c>
      <c r="E14" s="75" t="str">
        <f ca="1">IF(ROWS($1:1)&gt;COUNT(Dong),"",IF(OFFSET(TH!N$1,SMALL(Dong,ROWS($1:1)),)="331",OFFSET(TH!O$1,SMALL(Dong,ROWS($1:1)),),OFFSET(TH!N$1,SMALL(Dong,ROWS($1:1)),)))</f>
        <v/>
      </c>
      <c r="F14" s="75"/>
      <c r="G14" s="91" t="str">
        <f ca="1">IF(ROWS($1:1)&gt;COUNT(Dong),"",IF(OFFSET(TH!N$1,SMALL(Dong,ROWS($1:1)),)="331",OFFSET(TH!M$1,SMALL(Dong,ROWS($1:1)),),0))</f>
        <v/>
      </c>
      <c r="H14" s="91" t="str">
        <f ca="1">IF(ROWS($1:1)&gt;COUNT(Dong),"",IF(OFFSET(TH!O$1,SMALL(Dong,ROWS($1:1)),)="331",OFFSET(TH!M$1,SMALL(Dong,ROWS($1:1)),),0))</f>
        <v/>
      </c>
      <c r="I14" s="25">
        <f ca="1">IF(D14&lt;&gt;"",MAX(I13+G14-H14-J13,0),0)</f>
        <v>0</v>
      </c>
      <c r="J14" s="25">
        <f ca="1">IF(D14&lt;&gt;"",MAX(J13+H14-I13-G14,0),0)</f>
        <v>0</v>
      </c>
    </row>
    <row r="15" spans="1:10" s="18" customFormat="1" ht="18" customHeight="1">
      <c r="A15" s="9" t="str">
        <f ca="1">IF(ROWS($1:2)&gt;COUNT(Dong),"",OFFSET(TH!C$1,SMALL(Dong,ROWS($1:2)),))</f>
        <v/>
      </c>
      <c r="B15" s="9" t="str">
        <f ca="1">IF(ROWS($1:2)&gt;COUNT(Dong),"",OFFSET(TH!D$1,SMALL(Dong,ROWS($1:2)),))</f>
        <v/>
      </c>
      <c r="C15" s="9" t="str">
        <f ca="1">IF(ROWS($1:2)&gt;COUNT(Dong),"",OFFSET(TH!E$1,SMALL(Dong,ROWS($1:2)),))</f>
        <v/>
      </c>
      <c r="D15" s="348" t="str">
        <f ca="1">IF(ROWS($1:2)&gt;COUNT(Dong),"",OFFSET(TH!F$1,SMALL(Dong,ROWS($1:2)),))</f>
        <v/>
      </c>
      <c r="E15" s="75" t="str">
        <f ca="1">IF(ROWS($1:2)&gt;COUNT(Dong),"",IF(OFFSET(TH!N$1,SMALL(Dong,ROWS($1:2)),)="331",OFFSET(TH!O$1,SMALL(Dong,ROWS($1:2)),),OFFSET(TH!N$1,SMALL(Dong,ROWS($1:2)),)))</f>
        <v/>
      </c>
      <c r="F15" s="75"/>
      <c r="G15" s="91" t="str">
        <f ca="1">IF(ROWS($1:2)&gt;COUNT(Dong),"",IF(OFFSET(TH!N$1,SMALL(Dong,ROWS($1:2)),)="331",OFFSET(TH!M$1,SMALL(Dong,ROWS($1:2)),),0))</f>
        <v/>
      </c>
      <c r="H15" s="91" t="str">
        <f ca="1">IF(ROWS($1:2)&gt;COUNT(Dong),"",IF(OFFSET(TH!O$1,SMALL(Dong,ROWS($1:2)),)="331",OFFSET(TH!M$1,SMALL(Dong,ROWS($1:2)),),0))</f>
        <v/>
      </c>
      <c r="I15" s="25">
        <f t="shared" ref="I15:I30" ca="1" si="0">IF(D15&lt;&gt;"",MAX(I14+G15-H15-J14,0),0)</f>
        <v>0</v>
      </c>
      <c r="J15" s="25">
        <f t="shared" ref="J15:J3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348" t="str">
        <f ca="1">IF(ROWS($1:3)&gt;COUNT(Dong),"",OFFSET(TH!F$1,SMALL(Dong,ROWS($1:3)),))</f>
        <v/>
      </c>
      <c r="E16" s="75" t="str">
        <f ca="1">IF(ROWS($1:3)&gt;COUNT(Dong),"",IF(OFFSET(TH!N$1,SMALL(Dong,ROWS($1:3)),)="331",OFFSET(TH!O$1,SMALL(Dong,ROWS($1:3)),),OFFSET(TH!N$1,SMALL(Dong,ROWS($1:3)),)))</f>
        <v/>
      </c>
      <c r="F16" s="75"/>
      <c r="G16" s="91" t="str">
        <f ca="1">IF(ROWS($1:3)&gt;COUNT(Dong),"",IF(OFFSET(TH!N$1,SMALL(Dong,ROWS($1:3)),)="331",OFFSET(TH!M$1,SMALL(Dong,ROWS($1:3)),),0))</f>
        <v/>
      </c>
      <c r="H16" s="91" t="str">
        <f ca="1">IF(ROWS($1:3)&gt;COUNT(Dong),"",IF(OFFSET(TH!O$1,SMALL(Dong,ROWS($1:3)),)="331",OFFSET(TH!M$1,SMALL(Dong,ROWS($1:3)),),0))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48" t="str">
        <f ca="1">IF(ROWS($1:4)&gt;COUNT(Dong),"",OFFSET(TH!F$1,SMALL(Dong,ROWS($1:4)),))</f>
        <v/>
      </c>
      <c r="E17" s="75" t="str">
        <f ca="1">IF(ROWS($1:4)&gt;COUNT(Dong),"",IF(OFFSET(TH!N$1,SMALL(Dong,ROWS($1:4)),)="331",OFFSET(TH!O$1,SMALL(Dong,ROWS($1:4)),),OFFSET(TH!N$1,SMALL(Dong,ROWS($1:4)),)))</f>
        <v/>
      </c>
      <c r="F17" s="75"/>
      <c r="G17" s="91" t="str">
        <f ca="1">IF(ROWS($1:4)&gt;COUNT(Dong),"",IF(OFFSET(TH!N$1,SMALL(Dong,ROWS($1:4)),)="331",OFFSET(TH!M$1,SMALL(Dong,ROWS($1:4)),),0))</f>
        <v/>
      </c>
      <c r="H17" s="91"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48" t="str">
        <f ca="1">IF(ROWS($1:5)&gt;COUNT(Dong),"",OFFSET(TH!F$1,SMALL(Dong,ROWS($1:5)),))</f>
        <v/>
      </c>
      <c r="E18" s="75" t="str">
        <f ca="1">IF(ROWS($1:5)&gt;COUNT(Dong),"",IF(OFFSET(TH!N$1,SMALL(Dong,ROWS($1:5)),)="331",OFFSET(TH!O$1,SMALL(Dong,ROWS($1:5)),),OFFSET(TH!N$1,SMALL(Dong,ROWS($1:5)),)))</f>
        <v/>
      </c>
      <c r="F18" s="75"/>
      <c r="G18" s="91" t="str">
        <f ca="1">IF(ROWS($1:5)&gt;COUNT(Dong),"",IF(OFFSET(TH!N$1,SMALL(Dong,ROWS($1:5)),)="331",OFFSET(TH!M$1,SMALL(Dong,ROWS($1:5)),),0))</f>
        <v/>
      </c>
      <c r="H18" s="91"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48" t="str">
        <f ca="1">IF(ROWS($1:6)&gt;COUNT(Dong),"",OFFSET(TH!F$1,SMALL(Dong,ROWS($1:6)),))</f>
        <v/>
      </c>
      <c r="E19" s="75" t="str">
        <f ca="1">IF(ROWS($1:6)&gt;COUNT(Dong),"",IF(OFFSET(TH!N$1,SMALL(Dong,ROWS($1:6)),)="331",OFFSET(TH!O$1,SMALL(Dong,ROWS($1:6)),),OFFSET(TH!N$1,SMALL(Dong,ROWS($1:6)),)))</f>
        <v/>
      </c>
      <c r="F19" s="75"/>
      <c r="G19" s="91" t="str">
        <f ca="1">IF(ROWS($1:6)&gt;COUNT(Dong),"",IF(OFFSET(TH!N$1,SMALL(Dong,ROWS($1:6)),)="331",OFFSET(TH!M$1,SMALL(Dong,ROWS($1:6)),),0))</f>
        <v/>
      </c>
      <c r="H19" s="91"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48" t="str">
        <f ca="1">IF(ROWS($1:7)&gt;COUNT(Dong),"",OFFSET(TH!F$1,SMALL(Dong,ROWS($1:7)),))</f>
        <v/>
      </c>
      <c r="E20" s="75" t="str">
        <f ca="1">IF(ROWS($1:7)&gt;COUNT(Dong),"",IF(OFFSET(TH!N$1,SMALL(Dong,ROWS($1:7)),)="331",OFFSET(TH!O$1,SMALL(Dong,ROWS($1:7)),),OFFSET(TH!N$1,SMALL(Dong,ROWS($1:7)),)))</f>
        <v/>
      </c>
      <c r="F20" s="75"/>
      <c r="G20" s="91" t="str">
        <f ca="1">IF(ROWS($1:7)&gt;COUNT(Dong),"",IF(OFFSET(TH!N$1,SMALL(Dong,ROWS($1:7)),)="331",OFFSET(TH!M$1,SMALL(Dong,ROWS($1:7)),),0))</f>
        <v/>
      </c>
      <c r="H20" s="91"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48" t="str">
        <f ca="1">IF(ROWS($1:8)&gt;COUNT(Dong),"",OFFSET(TH!F$1,SMALL(Dong,ROWS($1:8)),))</f>
        <v/>
      </c>
      <c r="E21" s="75" t="str">
        <f ca="1">IF(ROWS($1:8)&gt;COUNT(Dong),"",IF(OFFSET(TH!N$1,SMALL(Dong,ROWS($1:8)),)="331",OFFSET(TH!O$1,SMALL(Dong,ROWS($1:8)),),OFFSET(TH!N$1,SMALL(Dong,ROWS($1:8)),)))</f>
        <v/>
      </c>
      <c r="F21" s="75"/>
      <c r="G21" s="91" t="str">
        <f ca="1">IF(ROWS($1:8)&gt;COUNT(Dong),"",IF(OFFSET(TH!N$1,SMALL(Dong,ROWS($1:8)),)="331",OFFSET(TH!M$1,SMALL(Dong,ROWS($1:8)),),0))</f>
        <v/>
      </c>
      <c r="H21" s="91"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48" t="str">
        <f ca="1">IF(ROWS($1:9)&gt;COUNT(Dong),"",OFFSET(TH!F$1,SMALL(Dong,ROWS($1:9)),))</f>
        <v/>
      </c>
      <c r="E22" s="75" t="str">
        <f ca="1">IF(ROWS($1:9)&gt;COUNT(Dong),"",IF(OFFSET(TH!N$1,SMALL(Dong,ROWS($1:9)),)="331",OFFSET(TH!O$1,SMALL(Dong,ROWS($1:9)),),OFFSET(TH!N$1,SMALL(Dong,ROWS($1:9)),)))</f>
        <v/>
      </c>
      <c r="F22" s="75"/>
      <c r="G22" s="91" t="str">
        <f ca="1">IF(ROWS($1:9)&gt;COUNT(Dong),"",IF(OFFSET(TH!N$1,SMALL(Dong,ROWS($1:9)),)="331",OFFSET(TH!M$1,SMALL(Dong,ROWS($1:9)),),0))</f>
        <v/>
      </c>
      <c r="H22" s="91"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48" t="str">
        <f ca="1">IF(ROWS($1:10)&gt;COUNT(Dong),"",OFFSET(TH!F$1,SMALL(Dong,ROWS($1:10)),))</f>
        <v/>
      </c>
      <c r="E23" s="75" t="str">
        <f ca="1">IF(ROWS($1:10)&gt;COUNT(Dong),"",IF(OFFSET(TH!N$1,SMALL(Dong,ROWS($1:10)),)="331",OFFSET(TH!O$1,SMALL(Dong,ROWS($1:10)),),OFFSET(TH!N$1,SMALL(Dong,ROWS($1:10)),)))</f>
        <v/>
      </c>
      <c r="F23" s="75"/>
      <c r="G23" s="91" t="str">
        <f ca="1">IF(ROWS($1:10)&gt;COUNT(Dong),"",IF(OFFSET(TH!N$1,SMALL(Dong,ROWS($1:10)),)="331",OFFSET(TH!M$1,SMALL(Dong,ROWS($1:10)),),0))</f>
        <v/>
      </c>
      <c r="H23" s="91"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48" t="str">
        <f ca="1">IF(ROWS($1:11)&gt;COUNT(Dong),"",OFFSET(TH!F$1,SMALL(Dong,ROWS($1:11)),))</f>
        <v/>
      </c>
      <c r="E24" s="75" t="str">
        <f ca="1">IF(ROWS($1:11)&gt;COUNT(Dong),"",IF(OFFSET(TH!N$1,SMALL(Dong,ROWS($1:11)),)="331",OFFSET(TH!O$1,SMALL(Dong,ROWS($1:11)),),OFFSET(TH!N$1,SMALL(Dong,ROWS($1:11)),)))</f>
        <v/>
      </c>
      <c r="F24" s="75"/>
      <c r="G24" s="91" t="str">
        <f ca="1">IF(ROWS($1:11)&gt;COUNT(Dong),"",IF(OFFSET(TH!N$1,SMALL(Dong,ROWS($1:11)),)="331",OFFSET(TH!M$1,SMALL(Dong,ROWS($1:11)),),0))</f>
        <v/>
      </c>
      <c r="H24" s="91"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48" t="str">
        <f ca="1">IF(ROWS($1:12)&gt;COUNT(Dong),"",OFFSET(TH!F$1,SMALL(Dong,ROWS($1:12)),))</f>
        <v/>
      </c>
      <c r="E25" s="75" t="str">
        <f ca="1">IF(ROWS($1:12)&gt;COUNT(Dong),"",IF(OFFSET(TH!N$1,SMALL(Dong,ROWS($1:12)),)="331",OFFSET(TH!O$1,SMALL(Dong,ROWS($1:12)),),OFFSET(TH!N$1,SMALL(Dong,ROWS($1:12)),)))</f>
        <v/>
      </c>
      <c r="F25" s="75"/>
      <c r="G25" s="91" t="str">
        <f ca="1">IF(ROWS($1:12)&gt;COUNT(Dong),"",IF(OFFSET(TH!N$1,SMALL(Dong,ROWS($1:12)),)="331",OFFSET(TH!M$1,SMALL(Dong,ROWS($1:12)),),0))</f>
        <v/>
      </c>
      <c r="H25" s="91"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48" t="str">
        <f ca="1">IF(ROWS($1:13)&gt;COUNT(Dong),"",OFFSET(TH!F$1,SMALL(Dong,ROWS($1:13)),))</f>
        <v/>
      </c>
      <c r="E26" s="75" t="str">
        <f ca="1">IF(ROWS($1:13)&gt;COUNT(Dong),"",IF(OFFSET(TH!N$1,SMALL(Dong,ROWS($1:13)),)="331",OFFSET(TH!O$1,SMALL(Dong,ROWS($1:13)),),OFFSET(TH!N$1,SMALL(Dong,ROWS($1:13)),)))</f>
        <v/>
      </c>
      <c r="F26" s="75"/>
      <c r="G26" s="91" t="str">
        <f ca="1">IF(ROWS($1:13)&gt;COUNT(Dong),"",IF(OFFSET(TH!N$1,SMALL(Dong,ROWS($1:13)),)="331",OFFSET(TH!M$1,SMALL(Dong,ROWS($1:13)),),0))</f>
        <v/>
      </c>
      <c r="H26" s="91"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48" t="str">
        <f ca="1">IF(ROWS($1:14)&gt;COUNT(Dong),"",OFFSET(TH!F$1,SMALL(Dong,ROWS($1:14)),))</f>
        <v/>
      </c>
      <c r="E27" s="75" t="str">
        <f ca="1">IF(ROWS($1:14)&gt;COUNT(Dong),"",IF(OFFSET(TH!N$1,SMALL(Dong,ROWS($1:14)),)="331",OFFSET(TH!O$1,SMALL(Dong,ROWS($1:14)),),OFFSET(TH!N$1,SMALL(Dong,ROWS($1:14)),)))</f>
        <v/>
      </c>
      <c r="F27" s="75"/>
      <c r="G27" s="91" t="str">
        <f ca="1">IF(ROWS($1:14)&gt;COUNT(Dong),"",IF(OFFSET(TH!N$1,SMALL(Dong,ROWS($1:14)),)="331",OFFSET(TH!M$1,SMALL(Dong,ROWS($1:14)),),0))</f>
        <v/>
      </c>
      <c r="H27" s="91"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48" t="str">
        <f ca="1">IF(ROWS($1:15)&gt;COUNT(Dong),"",OFFSET(TH!F$1,SMALL(Dong,ROWS($1:15)),))</f>
        <v/>
      </c>
      <c r="E28" s="75" t="str">
        <f ca="1">IF(ROWS($1:15)&gt;COUNT(Dong),"",IF(OFFSET(TH!N$1,SMALL(Dong,ROWS($1:15)),)="331",OFFSET(TH!O$1,SMALL(Dong,ROWS($1:15)),),OFFSET(TH!N$1,SMALL(Dong,ROWS($1:15)),)))</f>
        <v/>
      </c>
      <c r="F28" s="75"/>
      <c r="G28" s="91" t="str">
        <f ca="1">IF(ROWS($1:15)&gt;COUNT(Dong),"",IF(OFFSET(TH!N$1,SMALL(Dong,ROWS($1:15)),)="331",OFFSET(TH!M$1,SMALL(Dong,ROWS($1:15)),),0))</f>
        <v/>
      </c>
      <c r="H28" s="91"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48" t="str">
        <f ca="1">IF(ROWS($1:16)&gt;COUNT(Dong),"",OFFSET(TH!F$1,SMALL(Dong,ROWS($1:16)),))</f>
        <v/>
      </c>
      <c r="E29" s="75" t="str">
        <f ca="1">IF(ROWS($1:16)&gt;COUNT(Dong),"",IF(OFFSET(TH!N$1,SMALL(Dong,ROWS($1:16)),)="331",OFFSET(TH!O$1,SMALL(Dong,ROWS($1:16)),),OFFSET(TH!N$1,SMALL(Dong,ROWS($1:16)),)))</f>
        <v/>
      </c>
      <c r="F29" s="75"/>
      <c r="G29" s="91" t="str">
        <f ca="1">IF(ROWS($1:16)&gt;COUNT(Dong),"",IF(OFFSET(TH!N$1,SMALL(Dong,ROWS($1:16)),)="331",OFFSET(TH!M$1,SMALL(Dong,ROWS($1:16)),),0))</f>
        <v/>
      </c>
      <c r="H29" s="91"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48" t="str">
        <f ca="1">IF(ROWS($1:17)&gt;COUNT(Dong),"",OFFSET(TH!F$1,SMALL(Dong,ROWS($1:17)),))</f>
        <v/>
      </c>
      <c r="E30" s="75" t="str">
        <f ca="1">IF(ROWS($1:17)&gt;COUNT(Dong),"",IF(OFFSET(TH!N$1,SMALL(Dong,ROWS($1:17)),)="331",OFFSET(TH!O$1,SMALL(Dong,ROWS($1:17)),),OFFSET(TH!N$1,SMALL(Dong,ROWS($1:17)),)))</f>
        <v/>
      </c>
      <c r="F30" s="75"/>
      <c r="G30" s="91" t="str">
        <f ca="1">IF(ROWS($1:17)&gt;COUNT(Dong),"",IF(OFFSET(TH!N$1,SMALL(Dong,ROWS($1:17)),)="331",OFFSET(TH!M$1,SMALL(Dong,ROWS($1:17)),),0))</f>
        <v/>
      </c>
      <c r="H30" s="91" t="str">
        <f ca="1">IF(ROWS($1:17)&gt;COUNT(Dong),"",IF(OFFSET(TH!O$1,SMALL(Dong,ROWS($1:17)),)="331",OFFSET(TH!M$1,SMALL(Dong,ROWS($1:17)),),0))</f>
        <v/>
      </c>
      <c r="I30" s="25">
        <f t="shared" ca="1" si="0"/>
        <v>0</v>
      </c>
      <c r="J30" s="25">
        <f t="shared" ca="1" si="1"/>
        <v>0</v>
      </c>
    </row>
    <row r="31" spans="1:10" s="18" customFormat="1" ht="18" customHeight="1">
      <c r="A31" s="24"/>
      <c r="B31" s="21"/>
      <c r="C31" s="26"/>
      <c r="D31" s="23" t="s">
        <v>35</v>
      </c>
      <c r="E31" s="21" t="s">
        <v>21</v>
      </c>
      <c r="F31" s="21" t="s">
        <v>21</v>
      </c>
      <c r="G31" s="27">
        <f ca="1">SUM(G14:G30)</f>
        <v>0</v>
      </c>
      <c r="H31" s="27">
        <f ca="1">SUM(H14:H30)</f>
        <v>0</v>
      </c>
      <c r="I31" s="27" t="s">
        <v>21</v>
      </c>
      <c r="J31" s="27" t="s">
        <v>21</v>
      </c>
    </row>
    <row r="32" spans="1:10" s="18" customFormat="1" ht="18" customHeight="1">
      <c r="A32" s="24"/>
      <c r="B32" s="21"/>
      <c r="C32" s="21"/>
      <c r="D32" s="23" t="s">
        <v>10</v>
      </c>
      <c r="E32" s="21" t="s">
        <v>21</v>
      </c>
      <c r="F32" s="21" t="s">
        <v>21</v>
      </c>
      <c r="G32" s="27" t="s">
        <v>21</v>
      </c>
      <c r="H32" s="27" t="s">
        <v>21</v>
      </c>
      <c r="I32" s="27">
        <f ca="1">MAX(I13+G31-H31-J13,0)</f>
        <v>0</v>
      </c>
      <c r="J32" s="27">
        <f ca="1">MAX(J13+H31-G31-I13,0)</f>
        <v>0</v>
      </c>
    </row>
    <row r="33" spans="1:11" s="18" customFormat="1" ht="6" customHeight="1">
      <c r="B33" s="19"/>
      <c r="C33" s="19"/>
      <c r="E33" s="19"/>
    </row>
    <row r="34" spans="1:11" s="18" customFormat="1" ht="14.25" customHeight="1">
      <c r="A34" s="28" t="s">
        <v>232</v>
      </c>
      <c r="B34" s="19"/>
      <c r="C34" s="19"/>
      <c r="E34" s="19"/>
      <c r="K34" s="28" t="s">
        <v>232</v>
      </c>
    </row>
    <row r="35" spans="1:11" s="18" customFormat="1" ht="14.25" customHeight="1">
      <c r="A35" s="28" t="s">
        <v>187</v>
      </c>
      <c r="B35" s="19"/>
      <c r="C35" s="19"/>
      <c r="E35" s="19"/>
      <c r="K35" s="28" t="s">
        <v>36</v>
      </c>
    </row>
    <row r="36" spans="1:11" s="18" customFormat="1" ht="14.25" customHeight="1">
      <c r="B36" s="19"/>
      <c r="C36" s="19"/>
      <c r="E36" s="1265" t="s">
        <v>175</v>
      </c>
      <c r="F36" s="1265"/>
      <c r="G36" s="1265"/>
      <c r="H36" s="1265"/>
      <c r="I36" s="1265"/>
      <c r="J36" s="1265"/>
    </row>
    <row r="37" spans="1:11" s="18" customFormat="1" ht="14.25" customHeight="1">
      <c r="C37" s="337" t="s">
        <v>11</v>
      </c>
      <c r="E37" s="1265" t="s">
        <v>12</v>
      </c>
      <c r="F37" s="1265"/>
      <c r="G37" s="1265"/>
      <c r="H37" s="1265"/>
      <c r="I37" s="1265"/>
      <c r="J37" s="1265"/>
    </row>
    <row r="38" spans="1:11" s="18" customFormat="1" ht="14.25" customHeight="1">
      <c r="C38" s="337" t="s">
        <v>13</v>
      </c>
      <c r="E38" s="1265" t="s">
        <v>13</v>
      </c>
      <c r="F38" s="1265"/>
      <c r="G38" s="1265"/>
      <c r="H38" s="1265"/>
      <c r="I38" s="1265"/>
      <c r="J38" s="1265"/>
    </row>
  </sheetData>
  <autoFilter ref="A12:L30"/>
  <mergeCells count="15">
    <mergeCell ref="E37:J37"/>
    <mergeCell ref="E38:J38"/>
    <mergeCell ref="A10:A11"/>
    <mergeCell ref="H1:J1"/>
    <mergeCell ref="H2:J3"/>
    <mergeCell ref="E7:H7"/>
    <mergeCell ref="E36:J36"/>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9"/>
  <sheetViews>
    <sheetView workbookViewId="0">
      <pane xSplit="2" ySplit="4" topLeftCell="C5" activePane="bottomRight" state="frozen"/>
      <selection activeCell="B5" sqref="B5"/>
      <selection pane="topRight" activeCell="B5" sqref="B5"/>
      <selection pane="bottomLeft" activeCell="B5" sqref="B5"/>
      <selection pane="bottomRight" activeCell="B19" sqref="B19"/>
    </sheetView>
  </sheetViews>
  <sheetFormatPr defaultColWidth="8" defaultRowHeight="13.5"/>
  <cols>
    <col min="1" max="1" width="4.28515625" style="732" customWidth="1"/>
    <col min="2" max="2" width="34" style="732" customWidth="1"/>
    <col min="3" max="3" width="13.140625" style="223" customWidth="1"/>
    <col min="4" max="4" width="16.7109375" style="733" customWidth="1"/>
    <col min="5" max="5" width="10.85546875" style="223" customWidth="1"/>
    <col min="6" max="6" width="14" style="733" customWidth="1"/>
    <col min="7" max="7" width="12.7109375" style="223" customWidth="1"/>
    <col min="8" max="8" width="15.7109375" style="733" customWidth="1"/>
    <col min="9" max="9" width="15.5703125" style="223" customWidth="1"/>
    <col min="10" max="10" width="14.7109375" style="733" customWidth="1"/>
    <col min="11" max="11" width="11.140625" style="223" customWidth="1"/>
    <col min="12" max="12" width="12.5703125" style="733" customWidth="1"/>
    <col min="13" max="13" width="14.5703125" style="223" customWidth="1"/>
    <col min="14" max="14" width="14.42578125" style="733" customWidth="1"/>
    <col min="15" max="16384" width="8" style="732"/>
  </cols>
  <sheetData>
    <row r="1" spans="1:14" ht="21" customHeight="1">
      <c r="A1" s="1298" t="s">
        <v>593</v>
      </c>
      <c r="B1" s="1298"/>
      <c r="C1" s="1298"/>
      <c r="D1" s="1298"/>
      <c r="E1" s="1298"/>
      <c r="F1" s="1298"/>
      <c r="G1" s="1298"/>
      <c r="H1" s="1298"/>
      <c r="I1" s="1298"/>
      <c r="J1" s="1298"/>
      <c r="K1" s="1298"/>
      <c r="L1" s="1298"/>
      <c r="M1" s="1298"/>
      <c r="N1" s="1298"/>
    </row>
    <row r="2" spans="1:14" s="10" customFormat="1" ht="15.75" customHeight="1">
      <c r="A2" s="1314" t="s">
        <v>37</v>
      </c>
      <c r="B2" s="1313" t="s">
        <v>38</v>
      </c>
      <c r="C2" s="743" t="s">
        <v>39</v>
      </c>
      <c r="D2" s="742"/>
      <c r="E2" s="743"/>
      <c r="F2" s="742"/>
      <c r="G2" s="743" t="s">
        <v>40</v>
      </c>
      <c r="H2" s="742"/>
      <c r="I2" s="743"/>
      <c r="J2" s="742"/>
      <c r="K2" s="743" t="s">
        <v>44</v>
      </c>
      <c r="L2" s="742"/>
      <c r="M2" s="743"/>
      <c r="N2" s="742"/>
    </row>
    <row r="3" spans="1:14" s="10" customFormat="1" ht="15.75" customHeight="1">
      <c r="A3" s="1314"/>
      <c r="B3" s="1313"/>
      <c r="C3" s="1313" t="s">
        <v>45</v>
      </c>
      <c r="D3" s="1313"/>
      <c r="E3" s="1313" t="s">
        <v>46</v>
      </c>
      <c r="F3" s="1313"/>
      <c r="G3" s="1313" t="s">
        <v>45</v>
      </c>
      <c r="H3" s="1313"/>
      <c r="I3" s="1313" t="s">
        <v>46</v>
      </c>
      <c r="J3" s="1313"/>
      <c r="K3" s="1313" t="s">
        <v>45</v>
      </c>
      <c r="L3" s="1313"/>
      <c r="M3" s="1313" t="s">
        <v>46</v>
      </c>
      <c r="N3" s="1313"/>
    </row>
    <row r="4" spans="1:14" s="10" customFormat="1" ht="15.75" customHeight="1">
      <c r="A4" s="1314"/>
      <c r="B4" s="1313"/>
      <c r="C4" s="824" t="s">
        <v>245</v>
      </c>
      <c r="D4" s="741" t="s">
        <v>592</v>
      </c>
      <c r="E4" s="824" t="s">
        <v>245</v>
      </c>
      <c r="F4" s="741" t="s">
        <v>592</v>
      </c>
      <c r="G4" s="824" t="s">
        <v>245</v>
      </c>
      <c r="H4" s="741" t="s">
        <v>592</v>
      </c>
      <c r="I4" s="824" t="s">
        <v>245</v>
      </c>
      <c r="J4" s="741" t="s">
        <v>592</v>
      </c>
      <c r="K4" s="824" t="s">
        <v>245</v>
      </c>
      <c r="L4" s="741" t="s">
        <v>592</v>
      </c>
      <c r="M4" s="824" t="s">
        <v>245</v>
      </c>
      <c r="N4" s="741" t="s">
        <v>592</v>
      </c>
    </row>
    <row r="5" spans="1:14" s="10" customFormat="1" ht="18" customHeight="1">
      <c r="A5" s="740">
        <f t="shared" ref="A5:A18" si="0">IF(B5&lt;&gt;"",ROW()-4,"")</f>
        <v>1</v>
      </c>
      <c r="B5" s="7" t="s">
        <v>591</v>
      </c>
      <c r="C5" s="738">
        <v>39069.42</v>
      </c>
      <c r="D5" s="8">
        <v>874963231</v>
      </c>
      <c r="E5" s="738">
        <v>0</v>
      </c>
      <c r="F5" s="737">
        <v>0</v>
      </c>
      <c r="G5" s="738">
        <f t="array" ref="G5">SUM(IF("131"&amp;B5=KHN&amp;KH,_TH))</f>
        <v>0</v>
      </c>
      <c r="H5" s="737">
        <f t="array" ref="H5">SUM(IF("131"&amp;B5=KHN&amp;KH,TH))</f>
        <v>0</v>
      </c>
      <c r="I5" s="738">
        <f t="array" ref="I5">SUM(IF("131"&amp;B5=KHC&amp;KH,_TH))</f>
        <v>0</v>
      </c>
      <c r="J5" s="737">
        <f t="array" ref="J5">SUM(IF("131"&amp;B5=KHC&amp;KH,TH))</f>
        <v>0</v>
      </c>
      <c r="K5" s="736">
        <f t="shared" ref="K5:K9" si="1">ROUND(MAX(C5+G5-E5-I5,0),2)</f>
        <v>39069.42</v>
      </c>
      <c r="L5" s="383">
        <f t="shared" ref="L5:L9" si="2">ROUND(MAX(D5+H5-F5-J5,0),0)</f>
        <v>874963231</v>
      </c>
      <c r="M5" s="736">
        <f t="shared" ref="M5:M9" si="3">ROUND(MAX(E5+I5-C5-G5,0),2)</f>
        <v>0</v>
      </c>
      <c r="N5" s="383">
        <f t="shared" ref="N5:N9" si="4">ROUND(MAX(F5+J5-D5-H5,0),0)</f>
        <v>0</v>
      </c>
    </row>
    <row r="6" spans="1:14" s="10" customFormat="1" ht="18" customHeight="1">
      <c r="A6" s="740">
        <f t="shared" si="0"/>
        <v>2</v>
      </c>
      <c r="B6" s="7" t="s">
        <v>590</v>
      </c>
      <c r="C6" s="738">
        <v>0</v>
      </c>
      <c r="D6" s="8">
        <v>0</v>
      </c>
      <c r="E6" s="738">
        <v>0</v>
      </c>
      <c r="F6" s="737">
        <v>0</v>
      </c>
      <c r="G6" s="738">
        <f t="array" ref="G6">SUM(IF("131"&amp;B6=KHN&amp;KH,_TH))</f>
        <v>68457</v>
      </c>
      <c r="H6" s="737">
        <f t="array" ref="H6">SUM(IF("131"&amp;B6=KHN&amp;KH,TH))</f>
        <v>1556354220</v>
      </c>
      <c r="I6" s="738">
        <f t="array" ref="I6">SUM(IF("131"&amp;B6=KHC&amp;KH,_TH))</f>
        <v>54399</v>
      </c>
      <c r="J6" s="737">
        <f t="array" ref="J6">SUM(IF("131"&amp;B6=KHC&amp;KH,TH))</f>
        <v>1230128160</v>
      </c>
      <c r="K6" s="736">
        <f t="shared" si="1"/>
        <v>14058</v>
      </c>
      <c r="L6" s="383">
        <f t="shared" si="2"/>
        <v>326226060</v>
      </c>
      <c r="M6" s="736">
        <f t="shared" si="3"/>
        <v>0</v>
      </c>
      <c r="N6" s="383">
        <f t="shared" si="4"/>
        <v>0</v>
      </c>
    </row>
    <row r="7" spans="1:14" s="10" customFormat="1" ht="18" customHeight="1">
      <c r="A7" s="740">
        <f t="shared" si="0"/>
        <v>3</v>
      </c>
      <c r="B7" s="7" t="s">
        <v>589</v>
      </c>
      <c r="C7" s="738">
        <v>103545</v>
      </c>
      <c r="D7" s="8">
        <v>2233983375</v>
      </c>
      <c r="E7" s="738">
        <v>0</v>
      </c>
      <c r="F7" s="738">
        <v>0</v>
      </c>
      <c r="G7" s="738">
        <f t="array" ref="G7">SUM(IF("131"&amp;B7=KHN&amp;KH,_TH))</f>
        <v>0</v>
      </c>
      <c r="H7" s="737">
        <f t="array" ref="H7">SUM(IF("131"&amp;B7=KHN&amp;KH,TH))</f>
        <v>0</v>
      </c>
      <c r="I7" s="738">
        <f t="array" ref="I7">SUM(IF("131"&amp;B7=KHC&amp;KH,_TH))</f>
        <v>0</v>
      </c>
      <c r="J7" s="737">
        <f t="array" ref="J7">SUM(IF("131"&amp;B7=KHC&amp;KH,TH))</f>
        <v>0</v>
      </c>
      <c r="K7" s="736">
        <f t="shared" si="1"/>
        <v>103545</v>
      </c>
      <c r="L7" s="383">
        <f t="shared" si="2"/>
        <v>2233983375</v>
      </c>
      <c r="M7" s="736">
        <f t="shared" si="3"/>
        <v>0</v>
      </c>
      <c r="N7" s="383">
        <f t="shared" si="4"/>
        <v>0</v>
      </c>
    </row>
    <row r="8" spans="1:14" s="10" customFormat="1" ht="18" customHeight="1">
      <c r="A8" s="740">
        <f t="shared" si="0"/>
        <v>4</v>
      </c>
      <c r="B8" s="7" t="s">
        <v>588</v>
      </c>
      <c r="C8" s="738">
        <v>0</v>
      </c>
      <c r="D8" s="8">
        <v>0</v>
      </c>
      <c r="E8" s="738">
        <v>0</v>
      </c>
      <c r="F8" s="738">
        <v>0</v>
      </c>
      <c r="G8" s="738">
        <f t="array" ref="G8">SUM(IF("131"&amp;B8=KHN&amp;KH,_TH))</f>
        <v>0</v>
      </c>
      <c r="H8" s="737">
        <f t="array" ref="H8">SUM(IF("131"&amp;B8=KHN&amp;KH,TH))</f>
        <v>0</v>
      </c>
      <c r="I8" s="738">
        <f t="array" ref="I8">SUM(IF("131"&amp;B8=KHC&amp;KH,_TH))</f>
        <v>0</v>
      </c>
      <c r="J8" s="737">
        <f t="array" ref="J8">SUM(IF("131"&amp;B8=KHC&amp;KH,TH))</f>
        <v>0</v>
      </c>
      <c r="K8" s="736">
        <f t="shared" si="1"/>
        <v>0</v>
      </c>
      <c r="L8" s="383">
        <f t="shared" si="2"/>
        <v>0</v>
      </c>
      <c r="M8" s="736">
        <f t="shared" si="3"/>
        <v>0</v>
      </c>
      <c r="N8" s="383">
        <f t="shared" si="4"/>
        <v>0</v>
      </c>
    </row>
    <row r="9" spans="1:14" s="10" customFormat="1" ht="18" customHeight="1">
      <c r="A9" s="740">
        <f t="shared" si="0"/>
        <v>5</v>
      </c>
      <c r="B9" s="739" t="s">
        <v>587</v>
      </c>
      <c r="C9" s="738">
        <v>0</v>
      </c>
      <c r="D9" s="8">
        <v>0</v>
      </c>
      <c r="E9" s="738">
        <v>0</v>
      </c>
      <c r="F9" s="738">
        <v>0</v>
      </c>
      <c r="G9" s="738">
        <f t="array" ref="G9">SUM(IF("131"&amp;B9=KHN&amp;KH,_TH))</f>
        <v>0</v>
      </c>
      <c r="H9" s="737">
        <f t="array" ref="H9">SUM(IF("131"&amp;B9=KHN&amp;KH,TH))</f>
        <v>0</v>
      </c>
      <c r="I9" s="738">
        <f t="array" ref="I9">SUM(IF("131"&amp;B9=KHC&amp;KH,_TH))</f>
        <v>0</v>
      </c>
      <c r="J9" s="737">
        <f t="array" ref="J9">SUM(IF("131"&amp;B9=KHC&amp;KH,TH))</f>
        <v>0</v>
      </c>
      <c r="K9" s="736">
        <f t="shared" si="1"/>
        <v>0</v>
      </c>
      <c r="L9" s="383">
        <f t="shared" si="2"/>
        <v>0</v>
      </c>
      <c r="M9" s="736">
        <f t="shared" si="3"/>
        <v>0</v>
      </c>
      <c r="N9" s="383">
        <f t="shared" si="4"/>
        <v>0</v>
      </c>
    </row>
    <row r="10" spans="1:14" s="10" customFormat="1" ht="18" customHeight="1">
      <c r="A10" s="740">
        <f t="shared" si="0"/>
        <v>6</v>
      </c>
      <c r="B10" s="739" t="s">
        <v>796</v>
      </c>
      <c r="C10" s="738">
        <v>0</v>
      </c>
      <c r="D10" s="8">
        <v>0</v>
      </c>
      <c r="E10" s="738">
        <v>0</v>
      </c>
      <c r="F10" s="738">
        <v>0</v>
      </c>
      <c r="G10" s="738">
        <f t="array" ref="G10">SUM(IF("131"&amp;B10=KHN&amp;KH,_TH))</f>
        <v>41760</v>
      </c>
      <c r="H10" s="737">
        <f t="array" ref="H10">SUM(IF("131"&amp;B10=KHN&amp;KH,TH))</f>
        <v>947952000</v>
      </c>
      <c r="I10" s="738">
        <f t="array" ref="I10">SUM(IF("131"&amp;B10=KHC&amp;KH,_TH))</f>
        <v>41760</v>
      </c>
      <c r="J10" s="737">
        <f t="array" ref="J10">SUM(IF("131"&amp;B10=KHC&amp;KH,TH))</f>
        <v>947952000</v>
      </c>
      <c r="K10" s="736">
        <f t="shared" ref="K10:K17" si="5">ROUND(MAX(C10+G10-E10-I10,0),2)</f>
        <v>0</v>
      </c>
      <c r="L10" s="383">
        <f t="shared" ref="L10:L17" si="6">ROUND(MAX(D10+H10-F10-J10,0),0)</f>
        <v>0</v>
      </c>
      <c r="M10" s="736">
        <f t="shared" ref="M10:M17" si="7">ROUND(MAX(E10+I10-C10-G10,0),2)</f>
        <v>0</v>
      </c>
      <c r="N10" s="383">
        <f t="shared" ref="N10:N17" si="8">ROUND(MAX(F10+J10-D10-H10,0),0)</f>
        <v>0</v>
      </c>
    </row>
    <row r="11" spans="1:14" s="10" customFormat="1" ht="18" customHeight="1">
      <c r="A11" s="740">
        <f t="shared" si="0"/>
        <v>7</v>
      </c>
      <c r="B11" s="739" t="s">
        <v>811</v>
      </c>
      <c r="C11" s="738">
        <v>0</v>
      </c>
      <c r="D11" s="8">
        <v>0</v>
      </c>
      <c r="E11" s="738">
        <v>0</v>
      </c>
      <c r="F11" s="738">
        <v>0</v>
      </c>
      <c r="G11" s="738">
        <f t="array" ref="G11">SUM(IF("131"&amp;B11=KHN&amp;KH,_TH))</f>
        <v>0</v>
      </c>
      <c r="H11" s="737">
        <f t="array" ref="H11">SUM(IF("131"&amp;B11=KHN&amp;KH,TH))</f>
        <v>0</v>
      </c>
      <c r="I11" s="738">
        <f t="array" ref="I11">SUM(IF("131"&amp;B11=KHC&amp;KH,_TH))</f>
        <v>0</v>
      </c>
      <c r="J11" s="737">
        <f t="array" ref="J11">SUM(IF("131"&amp;B11=KHC&amp;KH,TH))</f>
        <v>0</v>
      </c>
      <c r="K11" s="736">
        <f t="shared" si="5"/>
        <v>0</v>
      </c>
      <c r="L11" s="383">
        <f t="shared" si="6"/>
        <v>0</v>
      </c>
      <c r="M11" s="736">
        <f t="shared" si="7"/>
        <v>0</v>
      </c>
      <c r="N11" s="383">
        <f t="shared" si="8"/>
        <v>0</v>
      </c>
    </row>
    <row r="12" spans="1:14" s="10" customFormat="1" ht="18" customHeight="1">
      <c r="A12" s="740">
        <f t="shared" si="0"/>
        <v>8</v>
      </c>
      <c r="B12" s="71" t="s">
        <v>812</v>
      </c>
      <c r="C12" s="738">
        <v>0</v>
      </c>
      <c r="D12" s="8">
        <v>0</v>
      </c>
      <c r="E12" s="738">
        <v>0</v>
      </c>
      <c r="F12" s="738">
        <v>0</v>
      </c>
      <c r="G12" s="738">
        <f t="array" ref="G12">SUM(IF("131"&amp;B12=KHN&amp;KH,_TH))</f>
        <v>72000</v>
      </c>
      <c r="H12" s="737">
        <f t="array" ref="H12">SUM(IF("131"&amp;B12=KHN&amp;KH,TH))</f>
        <v>1634400000</v>
      </c>
      <c r="I12" s="738">
        <f t="array" ref="I12">SUM(IF("131"&amp;B12=KHC&amp;KH,_TH))</f>
        <v>72000</v>
      </c>
      <c r="J12" s="737">
        <f t="array" ref="J12">SUM(IF("131"&amp;B12=KHC&amp;KH,TH))</f>
        <v>1634400000</v>
      </c>
      <c r="K12" s="736">
        <f t="shared" si="5"/>
        <v>0</v>
      </c>
      <c r="L12" s="383">
        <f t="shared" si="6"/>
        <v>0</v>
      </c>
      <c r="M12" s="736">
        <f t="shared" si="7"/>
        <v>0</v>
      </c>
      <c r="N12" s="383">
        <f t="shared" si="8"/>
        <v>0</v>
      </c>
    </row>
    <row r="13" spans="1:14" s="10" customFormat="1" ht="18" customHeight="1">
      <c r="A13" s="740">
        <f t="shared" si="0"/>
        <v>9</v>
      </c>
      <c r="B13" s="71" t="s">
        <v>830</v>
      </c>
      <c r="C13" s="738">
        <v>0</v>
      </c>
      <c r="D13" s="8">
        <v>0</v>
      </c>
      <c r="E13" s="738">
        <v>0</v>
      </c>
      <c r="F13" s="738">
        <v>0</v>
      </c>
      <c r="G13" s="738">
        <f t="array" ref="G13">SUM(IF("131"&amp;B13=KHN&amp;KH,_TH))</f>
        <v>0</v>
      </c>
      <c r="H13" s="737">
        <f t="array" ref="H13">SUM(IF("131"&amp;B13=KHN&amp;KH,TH))</f>
        <v>0</v>
      </c>
      <c r="I13" s="738">
        <f t="array" ref="I13">SUM(IF("131"&amp;B13=KHC&amp;KH,_TH))</f>
        <v>0</v>
      </c>
      <c r="J13" s="737">
        <f t="array" ref="J13">SUM(IF("131"&amp;B13=KHC&amp;KH,TH))</f>
        <v>0</v>
      </c>
      <c r="K13" s="736">
        <f t="shared" si="5"/>
        <v>0</v>
      </c>
      <c r="L13" s="383">
        <f t="shared" si="6"/>
        <v>0</v>
      </c>
      <c r="M13" s="736">
        <f t="shared" si="7"/>
        <v>0</v>
      </c>
      <c r="N13" s="383">
        <f t="shared" si="8"/>
        <v>0</v>
      </c>
    </row>
    <row r="14" spans="1:14" s="10" customFormat="1" ht="18" customHeight="1">
      <c r="A14" s="740">
        <f t="shared" si="0"/>
        <v>10</v>
      </c>
      <c r="B14" s="71" t="s">
        <v>832</v>
      </c>
      <c r="C14" s="738">
        <v>0</v>
      </c>
      <c r="D14" s="8">
        <v>0</v>
      </c>
      <c r="E14" s="738">
        <v>0</v>
      </c>
      <c r="F14" s="738">
        <v>0</v>
      </c>
      <c r="G14" s="738">
        <f t="array" ref="G14">SUM(IF("131"&amp;B14=KHN&amp;KH,_TH))</f>
        <v>0</v>
      </c>
      <c r="H14" s="737">
        <f t="array" ref="H14">SUM(IF("131"&amp;B14=KHN&amp;KH,TH))</f>
        <v>0</v>
      </c>
      <c r="I14" s="738">
        <f t="array" ref="I14">SUM(IF("131"&amp;B14=KHC&amp;KH,_TH))</f>
        <v>0</v>
      </c>
      <c r="J14" s="737">
        <f t="array" ref="J14">SUM(IF("131"&amp;B14=KHC&amp;KH,TH))</f>
        <v>0</v>
      </c>
      <c r="K14" s="736">
        <f t="shared" si="5"/>
        <v>0</v>
      </c>
      <c r="L14" s="383">
        <f t="shared" si="6"/>
        <v>0</v>
      </c>
      <c r="M14" s="736">
        <f t="shared" si="7"/>
        <v>0</v>
      </c>
      <c r="N14" s="383">
        <f t="shared" si="8"/>
        <v>0</v>
      </c>
    </row>
    <row r="15" spans="1:14" s="10" customFormat="1" ht="18" customHeight="1">
      <c r="A15" s="740">
        <f t="shared" si="0"/>
        <v>11</v>
      </c>
      <c r="B15" s="71" t="s">
        <v>845</v>
      </c>
      <c r="C15" s="738">
        <v>0</v>
      </c>
      <c r="D15" s="8">
        <v>0</v>
      </c>
      <c r="E15" s="738">
        <v>0</v>
      </c>
      <c r="F15" s="738">
        <v>0</v>
      </c>
      <c r="G15" s="738">
        <f t="array" ref="G15">SUM(IF("131"&amp;B15=KHN&amp;KH,_TH))</f>
        <v>0</v>
      </c>
      <c r="H15" s="737">
        <f t="array" ref="H15">SUM(IF("131"&amp;B15=KHN&amp;KH,TH))</f>
        <v>0</v>
      </c>
      <c r="I15" s="738">
        <f t="array" ref="I15">SUM(IF("131"&amp;B15=KHC&amp;KH,_TH))</f>
        <v>0</v>
      </c>
      <c r="J15" s="737">
        <f t="array" ref="J15">SUM(IF("131"&amp;B15=KHC&amp;KH,TH))</f>
        <v>0</v>
      </c>
      <c r="K15" s="736">
        <f t="shared" si="5"/>
        <v>0</v>
      </c>
      <c r="L15" s="383">
        <f t="shared" si="6"/>
        <v>0</v>
      </c>
      <c r="M15" s="736">
        <f t="shared" si="7"/>
        <v>0</v>
      </c>
      <c r="N15" s="383">
        <f t="shared" si="8"/>
        <v>0</v>
      </c>
    </row>
    <row r="16" spans="1:14" s="10" customFormat="1" ht="18" customHeight="1">
      <c r="A16" s="740">
        <f t="shared" si="0"/>
        <v>12</v>
      </c>
      <c r="B16" s="71" t="s">
        <v>847</v>
      </c>
      <c r="C16" s="738">
        <v>0</v>
      </c>
      <c r="D16" s="8">
        <v>0</v>
      </c>
      <c r="E16" s="738">
        <v>0</v>
      </c>
      <c r="F16" s="738">
        <v>0</v>
      </c>
      <c r="G16" s="738">
        <f t="array" ref="G16">SUM(IF("131"&amp;B16=KHN&amp;KH,_TH))</f>
        <v>0</v>
      </c>
      <c r="H16" s="737">
        <f t="array" ref="H16">SUM(IF("131"&amp;B16=KHN&amp;KH,TH))</f>
        <v>0</v>
      </c>
      <c r="I16" s="738">
        <f t="array" ref="I16">SUM(IF("131"&amp;B16=KHC&amp;KH,_TH))</f>
        <v>0</v>
      </c>
      <c r="J16" s="737">
        <f t="array" ref="J16">SUM(IF("131"&amp;B16=KHC&amp;KH,TH))</f>
        <v>0</v>
      </c>
      <c r="K16" s="736">
        <f t="shared" si="5"/>
        <v>0</v>
      </c>
      <c r="L16" s="383">
        <f t="shared" si="6"/>
        <v>0</v>
      </c>
      <c r="M16" s="736">
        <f t="shared" si="7"/>
        <v>0</v>
      </c>
      <c r="N16" s="383">
        <f t="shared" si="8"/>
        <v>0</v>
      </c>
    </row>
    <row r="17" spans="1:14" s="10" customFormat="1" ht="18" customHeight="1">
      <c r="A17" s="740">
        <f t="shared" si="0"/>
        <v>13</v>
      </c>
      <c r="B17" s="71" t="s">
        <v>850</v>
      </c>
      <c r="C17" s="738">
        <v>2375814.16</v>
      </c>
      <c r="D17" s="8">
        <v>53874649390</v>
      </c>
      <c r="E17" s="738">
        <v>0</v>
      </c>
      <c r="F17" s="738">
        <v>0</v>
      </c>
      <c r="G17" s="738">
        <f t="array" ref="G17">SUM(IF("131"&amp;B17=KHN&amp;KH,_TH))</f>
        <v>277622.8</v>
      </c>
      <c r="H17" s="737">
        <f t="array" ref="H17">SUM(IF("131"&amp;B17=KHN&amp;KH,TH))</f>
        <v>6310366244</v>
      </c>
      <c r="I17" s="738">
        <f t="array" ref="I17">SUM(IF("131"&amp;B17=KHC&amp;KH,_TH))</f>
        <v>2653436.96</v>
      </c>
      <c r="J17" s="737">
        <f t="array" ref="J17">SUM(IF("131"&amp;B17=KHC&amp;KH,TH))</f>
        <v>60185015634</v>
      </c>
      <c r="K17" s="736">
        <f t="shared" si="5"/>
        <v>0</v>
      </c>
      <c r="L17" s="383">
        <f t="shared" si="6"/>
        <v>0</v>
      </c>
      <c r="M17" s="736">
        <f t="shared" si="7"/>
        <v>0</v>
      </c>
      <c r="N17" s="383">
        <f t="shared" si="8"/>
        <v>0</v>
      </c>
    </row>
    <row r="18" spans="1:14" s="10" customFormat="1" ht="18" customHeight="1">
      <c r="A18" s="740">
        <f t="shared" si="0"/>
        <v>14</v>
      </c>
      <c r="B18" s="71" t="s">
        <v>890</v>
      </c>
      <c r="C18" s="738">
        <v>0</v>
      </c>
      <c r="D18" s="8">
        <v>0</v>
      </c>
      <c r="E18" s="738">
        <v>0</v>
      </c>
      <c r="F18" s="738">
        <v>0</v>
      </c>
      <c r="G18" s="738">
        <f t="array" ref="G18">SUM(IF("131"&amp;B18=KHN&amp;KH,_TH))</f>
        <v>0</v>
      </c>
      <c r="H18" s="737">
        <f t="array" ref="H18">SUM(IF("131"&amp;B18=KHN&amp;KH,TH))</f>
        <v>0</v>
      </c>
      <c r="I18" s="738">
        <f t="array" ref="I18">SUM(IF("131"&amp;B18=KHC&amp;KH,_TH))</f>
        <v>0</v>
      </c>
      <c r="J18" s="737">
        <f t="array" ref="J18">SUM(IF("131"&amp;B18=KHC&amp;KH,TH))</f>
        <v>0</v>
      </c>
      <c r="K18" s="736">
        <f t="shared" ref="K18:K19" si="9">ROUND(MAX(C18+G18-E18-I18,0),2)</f>
        <v>0</v>
      </c>
      <c r="L18" s="383">
        <f t="shared" ref="L18:L19" si="10">ROUND(MAX(D18+H18-F18-J18,0),0)</f>
        <v>0</v>
      </c>
      <c r="M18" s="736">
        <f t="shared" ref="M18:M19" si="11">ROUND(MAX(E18+I18-C18-G18,0),2)</f>
        <v>0</v>
      </c>
      <c r="N18" s="383">
        <f t="shared" ref="N18:N19" si="12">ROUND(MAX(F18+J18-D18-H18,0),0)</f>
        <v>0</v>
      </c>
    </row>
    <row r="19" spans="1:14" s="10" customFormat="1" ht="18" customHeight="1">
      <c r="A19" s="740">
        <f t="shared" ref="A19" si="13">IF(B19&lt;&gt;"",ROW()-4,"")</f>
        <v>15</v>
      </c>
      <c r="B19" s="330" t="s">
        <v>898</v>
      </c>
      <c r="C19" s="738">
        <v>0</v>
      </c>
      <c r="D19" s="8">
        <v>0</v>
      </c>
      <c r="E19" s="738">
        <v>0</v>
      </c>
      <c r="F19" s="738">
        <v>0</v>
      </c>
      <c r="G19" s="738">
        <f t="array" ref="G19">SUM(IF("131"&amp;B19=KHN&amp;KH,_TH))</f>
        <v>0</v>
      </c>
      <c r="H19" s="737">
        <f t="array" ref="H19">SUM(IF("131"&amp;B19=KHN&amp;KH,TH))</f>
        <v>1613742026</v>
      </c>
      <c r="I19" s="738">
        <f t="array" ref="I19">SUM(IF("131"&amp;B19=KHC&amp;KH,_TH))</f>
        <v>0</v>
      </c>
      <c r="J19" s="737">
        <f t="array" ref="J19">SUM(IF("131"&amp;B19=KHC&amp;KH,TH))</f>
        <v>876755952</v>
      </c>
      <c r="K19" s="736">
        <f t="shared" si="9"/>
        <v>0</v>
      </c>
      <c r="L19" s="383">
        <f t="shared" si="10"/>
        <v>736986074</v>
      </c>
      <c r="M19" s="736">
        <f t="shared" si="11"/>
        <v>0</v>
      </c>
      <c r="N19" s="383">
        <f t="shared" si="12"/>
        <v>0</v>
      </c>
    </row>
    <row r="20" spans="1:14" s="10" customFormat="1" ht="18" customHeight="1">
      <c r="A20" s="740">
        <v>16</v>
      </c>
      <c r="B20" s="330" t="s">
        <v>915</v>
      </c>
      <c r="C20" s="738">
        <v>0</v>
      </c>
      <c r="D20" s="8">
        <v>55196900</v>
      </c>
      <c r="E20" s="738">
        <v>0</v>
      </c>
      <c r="F20" s="738">
        <v>0</v>
      </c>
      <c r="G20" s="738">
        <f t="array" ref="G20">SUM(IF("131"&amp;B20=KHN&amp;KH,_TH))</f>
        <v>0</v>
      </c>
      <c r="H20" s="737">
        <f t="array" ref="H20">SUM(IF("131"&amp;B20=KHN&amp;KH,TH))</f>
        <v>56870000</v>
      </c>
      <c r="I20" s="738">
        <f t="array" ref="I20">SUM(IF("131"&amp;B20=KHC&amp;KH,_TH))</f>
        <v>0</v>
      </c>
      <c r="J20" s="737">
        <f t="array" ref="J20">SUM(IF("131"&amp;B20=KHC&amp;KH,TH))</f>
        <v>112066900</v>
      </c>
      <c r="K20" s="736">
        <f t="shared" ref="K20" si="14">ROUND(MAX(C20+G20-E20-I20,0),2)</f>
        <v>0</v>
      </c>
      <c r="L20" s="383">
        <f t="shared" ref="L20" si="15">ROUND(MAX(D20+H20-F20-J20,0),0)</f>
        <v>0</v>
      </c>
      <c r="M20" s="736">
        <f t="shared" ref="M20" si="16">ROUND(MAX(E20+I20-C20-G20,0),2)</f>
        <v>0</v>
      </c>
      <c r="N20" s="383">
        <f t="shared" ref="N20" si="17">ROUND(MAX(F20+J20-D20-H20,0),0)</f>
        <v>0</v>
      </c>
    </row>
    <row r="21" spans="1:14" s="10" customFormat="1" ht="18" customHeight="1">
      <c r="A21" s="740">
        <v>16</v>
      </c>
      <c r="B21" s="330" t="s">
        <v>925</v>
      </c>
      <c r="C21" s="738">
        <v>0</v>
      </c>
      <c r="D21" s="738">
        <v>0</v>
      </c>
      <c r="E21" s="738">
        <v>0</v>
      </c>
      <c r="F21" s="738">
        <v>0</v>
      </c>
      <c r="G21" s="738">
        <f t="array" ref="G21">SUM(IF("131"&amp;B21=KHN&amp;KH,_TH))</f>
        <v>0</v>
      </c>
      <c r="H21" s="737">
        <f t="array" ref="H21">SUM(IF("131"&amp;B21=KHN&amp;KH,TH))</f>
        <v>0</v>
      </c>
      <c r="I21" s="738">
        <f t="array" ref="I21">SUM(IF("131"&amp;B21=KHC&amp;KH,_TH))</f>
        <v>0</v>
      </c>
      <c r="J21" s="737">
        <f t="array" ref="J21">SUM(IF("131"&amp;B21=KHC&amp;KH,TH))</f>
        <v>0</v>
      </c>
      <c r="K21" s="736">
        <f t="shared" ref="K21" si="18">ROUND(MAX(C21+G21-E21-I21,0),2)</f>
        <v>0</v>
      </c>
      <c r="L21" s="383">
        <f t="shared" ref="L21" si="19">ROUND(MAX(D21+H21-F21-J21,0),0)</f>
        <v>0</v>
      </c>
      <c r="M21" s="736">
        <f t="shared" ref="M21" si="20">ROUND(MAX(E21+I21-C21-G21,0),2)</f>
        <v>0</v>
      </c>
      <c r="N21" s="383">
        <f t="shared" ref="N21" si="21">ROUND(MAX(F21+J21-D21-H21,0),0)</f>
        <v>0</v>
      </c>
    </row>
    <row r="22" spans="1:14" s="10" customFormat="1" ht="18" customHeight="1">
      <c r="A22" s="740">
        <v>16</v>
      </c>
      <c r="B22" s="330" t="s">
        <v>942</v>
      </c>
      <c r="C22" s="738">
        <v>0</v>
      </c>
      <c r="D22" s="738">
        <v>0</v>
      </c>
      <c r="E22" s="738">
        <v>0</v>
      </c>
      <c r="F22" s="738">
        <v>0</v>
      </c>
      <c r="G22" s="738">
        <f t="array" ref="G22">SUM(IF("131"&amp;B22=KHN&amp;KH,_TH))</f>
        <v>150240</v>
      </c>
      <c r="H22" s="737">
        <f t="array" ref="H22">SUM(IF("131"&amp;B22=KHN&amp;KH,TH))</f>
        <v>3406012800</v>
      </c>
      <c r="I22" s="738">
        <f t="array" ref="I22">SUM(IF("131"&amp;B22=KHC&amp;KH,_TH))</f>
        <v>150240</v>
      </c>
      <c r="J22" s="737">
        <f t="array" ref="J22">SUM(IF("131"&amp;B22=KHC&amp;KH,TH))</f>
        <v>3406012800</v>
      </c>
      <c r="K22" s="736">
        <f t="shared" ref="K22" si="22">ROUND(MAX(C22+G22-E22-I22,0),2)</f>
        <v>0</v>
      </c>
      <c r="L22" s="383">
        <f t="shared" ref="L22" si="23">ROUND(MAX(D22+H22-F22-J22,0),0)</f>
        <v>0</v>
      </c>
      <c r="M22" s="736">
        <f t="shared" ref="M22" si="24">ROUND(MAX(E22+I22-C22-G22,0),2)</f>
        <v>0</v>
      </c>
      <c r="N22" s="383">
        <f t="shared" ref="N22" si="25">ROUND(MAX(F22+J22-D22-H22,0),0)</f>
        <v>0</v>
      </c>
    </row>
    <row r="23" spans="1:14" s="10" customFormat="1" ht="18" customHeight="1">
      <c r="A23" s="740">
        <v>17</v>
      </c>
      <c r="B23" s="330" t="s">
        <v>1244</v>
      </c>
      <c r="C23" s="738">
        <v>0</v>
      </c>
      <c r="D23" s="738">
        <v>0</v>
      </c>
      <c r="E23" s="738">
        <v>0</v>
      </c>
      <c r="F23" s="738">
        <v>0</v>
      </c>
      <c r="G23" s="738">
        <f t="array" ref="G23">SUM(IF("131"&amp;B23=KHN&amp;KH,_TH))</f>
        <v>0</v>
      </c>
      <c r="H23" s="737">
        <f t="array" ref="H23">SUM(IF("131"&amp;B23=KHN&amp;KH,TH))</f>
        <v>1760000</v>
      </c>
      <c r="I23" s="738">
        <f t="array" ref="I23">SUM(IF("131"&amp;B23=KHC&amp;KH,_TH))</f>
        <v>0</v>
      </c>
      <c r="J23" s="737">
        <f t="array" ref="J23">SUM(IF("131"&amp;B23=KHC&amp;KH,TH))</f>
        <v>1760000</v>
      </c>
      <c r="K23" s="736">
        <f t="shared" ref="K23" si="26">ROUND(MAX(C23+G23-E23-I23,0),2)</f>
        <v>0</v>
      </c>
      <c r="L23" s="383">
        <f t="shared" ref="L23" si="27">ROUND(MAX(D23+H23-F23-J23,0),0)</f>
        <v>0</v>
      </c>
      <c r="M23" s="736">
        <f t="shared" ref="M23" si="28">ROUND(MAX(E23+I23-C23-G23,0),2)</f>
        <v>0</v>
      </c>
      <c r="N23" s="383">
        <f t="shared" ref="N23" si="29">ROUND(MAX(F23+J23-D23-H23,0),0)</f>
        <v>0</v>
      </c>
    </row>
    <row r="24" spans="1:14" s="10" customFormat="1" ht="18" customHeight="1">
      <c r="A24" s="740"/>
      <c r="B24" s="330"/>
      <c r="C24" s="738"/>
      <c r="D24" s="738"/>
      <c r="E24" s="738"/>
      <c r="F24" s="738"/>
      <c r="G24" s="738"/>
      <c r="H24" s="737"/>
      <c r="I24" s="738"/>
      <c r="J24" s="737"/>
      <c r="K24" s="736"/>
      <c r="L24" s="383"/>
      <c r="M24" s="736"/>
      <c r="N24" s="383"/>
    </row>
    <row r="25" spans="1:14" ht="18" customHeight="1">
      <c r="A25" s="11"/>
      <c r="B25" s="12" t="s">
        <v>41</v>
      </c>
      <c r="C25" s="735">
        <f>SUM(C5:C24)</f>
        <v>2518428.58</v>
      </c>
      <c r="D25" s="734">
        <f t="shared" ref="D25:N25" si="30">SUM(D5:D24)</f>
        <v>57038792896</v>
      </c>
      <c r="E25" s="735">
        <f t="shared" si="30"/>
        <v>0</v>
      </c>
      <c r="F25" s="734">
        <f t="shared" si="30"/>
        <v>0</v>
      </c>
      <c r="G25" s="735">
        <f t="shared" si="30"/>
        <v>610079.80000000005</v>
      </c>
      <c r="H25" s="734">
        <f t="shared" si="30"/>
        <v>15527457290</v>
      </c>
      <c r="I25" s="735">
        <f t="shared" si="30"/>
        <v>2971835.96</v>
      </c>
      <c r="J25" s="734">
        <f t="shared" si="30"/>
        <v>68394091446</v>
      </c>
      <c r="K25" s="735">
        <f t="shared" si="30"/>
        <v>156672.41999999998</v>
      </c>
      <c r="L25" s="734">
        <f t="shared" si="30"/>
        <v>4172158740</v>
      </c>
      <c r="M25" s="735">
        <f t="shared" si="30"/>
        <v>0</v>
      </c>
      <c r="N25" s="734">
        <f t="shared" si="30"/>
        <v>0</v>
      </c>
    </row>
    <row r="27" spans="1:14">
      <c r="D27" s="733">
        <f>D25-CDPS!C15</f>
        <v>0</v>
      </c>
      <c r="H27" s="733">
        <f>H25-CDPS!E15</f>
        <v>0</v>
      </c>
      <c r="J27" s="733">
        <f>J25-CDPS!F15</f>
        <v>0</v>
      </c>
      <c r="N27" s="733">
        <f>L25-N25-CDPS!G15</f>
        <v>0</v>
      </c>
    </row>
    <row r="29" spans="1:14">
      <c r="I29" s="733"/>
    </row>
  </sheetData>
  <autoFilter ref="A1:N2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48"/>
  <sheetViews>
    <sheetView topLeftCell="A6" zoomScale="90" zoomScaleNormal="90" workbookViewId="0">
      <pane ySplit="11" topLeftCell="A23" activePane="bottomLeft" state="frozen"/>
      <selection activeCell="B5" sqref="B5"/>
      <selection pane="bottomLeft" activeCell="H9" sqref="H9:J9"/>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1.42578125" customWidth="1"/>
    <col min="9" max="9" width="14.85546875" customWidth="1"/>
    <col min="10" max="10" width="12.140625" customWidth="1"/>
    <col min="11" max="11" width="15.140625" customWidth="1"/>
    <col min="12" max="12" width="12.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20" customFormat="1" ht="16.5" customHeight="1">
      <c r="A2" s="781" t="s">
        <v>314</v>
      </c>
      <c r="B2" s="780"/>
      <c r="C2" s="779"/>
      <c r="D2" s="447"/>
      <c r="E2" s="773"/>
      <c r="G2" s="772"/>
      <c r="H2" s="771"/>
      <c r="I2" s="778"/>
      <c r="J2" s="777"/>
      <c r="K2" s="2"/>
      <c r="L2" s="2"/>
      <c r="M2" s="719" t="s">
        <v>600</v>
      </c>
      <c r="N2" s="2"/>
      <c r="O2" s="2"/>
    </row>
    <row r="3" spans="1:15" s="720" customFormat="1" ht="16.5" customHeight="1">
      <c r="A3" s="1322" t="s">
        <v>599</v>
      </c>
      <c r="B3" s="1322"/>
      <c r="C3" s="1322"/>
      <c r="D3" s="1322"/>
      <c r="E3" s="773"/>
      <c r="G3" s="772"/>
      <c r="H3" s="771"/>
      <c r="I3" s="770"/>
      <c r="J3" s="769"/>
      <c r="K3" s="17"/>
      <c r="L3" s="17"/>
      <c r="M3" s="775" t="s">
        <v>317</v>
      </c>
      <c r="N3" s="17"/>
      <c r="O3" s="17"/>
    </row>
    <row r="4" spans="1:15" s="720" customFormat="1" ht="16.5" customHeight="1">
      <c r="A4" s="776"/>
      <c r="B4" s="776"/>
      <c r="C4" s="776"/>
      <c r="D4" s="776"/>
      <c r="E4" s="773"/>
      <c r="G4" s="772" t="s">
        <v>598</v>
      </c>
      <c r="H4" s="771"/>
      <c r="I4" s="770"/>
      <c r="J4" s="769"/>
      <c r="K4" s="17"/>
      <c r="L4" s="17"/>
      <c r="M4" s="775" t="s">
        <v>318</v>
      </c>
      <c r="N4" s="17"/>
      <c r="O4" s="17"/>
    </row>
    <row r="5" spans="1:15" s="720" customFormat="1" ht="6.75" customHeight="1">
      <c r="A5" s="774"/>
      <c r="B5" s="774"/>
      <c r="C5" s="774"/>
      <c r="E5" s="773"/>
      <c r="G5" s="772"/>
      <c r="H5" s="771"/>
      <c r="I5" s="770"/>
      <c r="J5" s="769"/>
      <c r="K5" s="768"/>
      <c r="L5" s="717"/>
      <c r="M5" s="717"/>
      <c r="N5" s="717"/>
      <c r="O5" s="717"/>
    </row>
    <row r="6" spans="1:15" s="5" customFormat="1" ht="23.25" customHeight="1">
      <c r="A6" s="1323" t="s">
        <v>597</v>
      </c>
      <c r="B6" s="1323"/>
      <c r="C6" s="1323"/>
      <c r="D6" s="1323"/>
      <c r="E6" s="1323"/>
      <c r="F6" s="1323"/>
      <c r="G6" s="1323"/>
      <c r="H6" s="1323"/>
      <c r="I6" s="1323"/>
      <c r="J6" s="1323"/>
      <c r="K6" s="1323"/>
      <c r="L6" s="1323"/>
      <c r="M6" s="1323"/>
      <c r="N6" s="1323"/>
      <c r="O6" s="1323"/>
    </row>
    <row r="7" spans="1:15" s="5" customFormat="1" ht="15">
      <c r="H7" s="718" t="s">
        <v>29</v>
      </c>
    </row>
    <row r="8" spans="1:15" s="5" customFormat="1" ht="15">
      <c r="H8" s="718" t="s">
        <v>596</v>
      </c>
    </row>
    <row r="9" spans="1:15" s="5" customFormat="1" ht="15">
      <c r="G9" s="238" t="s">
        <v>595</v>
      </c>
      <c r="H9" s="1324" t="s">
        <v>850</v>
      </c>
      <c r="I9" s="1324"/>
      <c r="J9" s="1324"/>
    </row>
    <row r="10" spans="1:15" s="5" customFormat="1" ht="15">
      <c r="H10" s="718" t="s">
        <v>243</v>
      </c>
    </row>
    <row r="11" spans="1:15" s="5" customFormat="1" ht="15">
      <c r="A11" s="4"/>
      <c r="B11" s="4"/>
      <c r="C11" s="767"/>
      <c r="D11" s="767"/>
      <c r="E11" s="767"/>
      <c r="F11" s="767"/>
      <c r="G11" s="767"/>
      <c r="H11" s="767"/>
      <c r="I11" s="767"/>
      <c r="J11" s="767"/>
      <c r="K11" s="767"/>
      <c r="L11" s="767"/>
      <c r="M11" s="767"/>
      <c r="N11" s="767"/>
      <c r="O11" s="767"/>
    </row>
    <row r="12" spans="1:15" s="718" customFormat="1" ht="15.75" customHeight="1">
      <c r="A12" s="1325" t="s">
        <v>22</v>
      </c>
      <c r="B12" s="1315" t="s">
        <v>1</v>
      </c>
      <c r="C12" s="1328"/>
      <c r="D12" s="1325" t="s">
        <v>0</v>
      </c>
      <c r="E12" s="1325" t="s">
        <v>16</v>
      </c>
      <c r="F12" s="1325" t="s">
        <v>244</v>
      </c>
      <c r="G12" s="1329" t="s">
        <v>594</v>
      </c>
      <c r="H12" s="1315" t="s">
        <v>23</v>
      </c>
      <c r="I12" s="1332"/>
      <c r="J12" s="1332"/>
      <c r="K12" s="1328"/>
      <c r="L12" s="1315" t="s">
        <v>33</v>
      </c>
      <c r="M12" s="1316"/>
      <c r="N12" s="1316"/>
      <c r="O12" s="1317"/>
    </row>
    <row r="13" spans="1:15" s="718" customFormat="1" ht="15.75" customHeight="1">
      <c r="A13" s="1326"/>
      <c r="B13" s="1318" t="s">
        <v>17</v>
      </c>
      <c r="C13" s="1318" t="s">
        <v>34</v>
      </c>
      <c r="D13" s="1326"/>
      <c r="E13" s="1326"/>
      <c r="F13" s="1326"/>
      <c r="G13" s="1330"/>
      <c r="H13" s="1320" t="s">
        <v>24</v>
      </c>
      <c r="I13" s="1321"/>
      <c r="J13" s="1320" t="s">
        <v>25</v>
      </c>
      <c r="K13" s="1321"/>
      <c r="L13" s="1320" t="s">
        <v>24</v>
      </c>
      <c r="M13" s="1317"/>
      <c r="N13" s="1320" t="s">
        <v>25</v>
      </c>
      <c r="O13" s="1317"/>
    </row>
    <row r="14" spans="1:15" s="718" customFormat="1" ht="27.75" customHeight="1">
      <c r="A14" s="1327"/>
      <c r="B14" s="1319"/>
      <c r="C14" s="1319"/>
      <c r="D14" s="1327"/>
      <c r="E14" s="1327"/>
      <c r="F14" s="1327"/>
      <c r="G14" s="1331"/>
      <c r="H14" s="766" t="s">
        <v>245</v>
      </c>
      <c r="I14" s="764" t="s">
        <v>246</v>
      </c>
      <c r="J14" s="765" t="s">
        <v>245</v>
      </c>
      <c r="K14" s="764" t="s">
        <v>246</v>
      </c>
      <c r="L14" s="763" t="s">
        <v>245</v>
      </c>
      <c r="M14" s="763" t="s">
        <v>246</v>
      </c>
      <c r="N14" s="763" t="s">
        <v>245</v>
      </c>
      <c r="O14" s="763" t="s">
        <v>246</v>
      </c>
    </row>
    <row r="15" spans="1:15" s="718" customFormat="1" ht="15">
      <c r="A15" s="750" t="s">
        <v>2</v>
      </c>
      <c r="B15" s="762" t="s">
        <v>3</v>
      </c>
      <c r="C15" s="750" t="s">
        <v>4</v>
      </c>
      <c r="D15" s="750" t="s">
        <v>5</v>
      </c>
      <c r="E15" s="750" t="s">
        <v>6</v>
      </c>
      <c r="F15" s="750">
        <v>1</v>
      </c>
      <c r="G15" s="750">
        <v>2</v>
      </c>
      <c r="H15" s="750">
        <v>3</v>
      </c>
      <c r="I15" s="750">
        <v>4</v>
      </c>
      <c r="J15" s="750">
        <v>5</v>
      </c>
      <c r="K15" s="750">
        <v>6</v>
      </c>
      <c r="L15" s="750">
        <v>7</v>
      </c>
      <c r="M15" s="750">
        <v>8</v>
      </c>
      <c r="N15" s="750">
        <v>9</v>
      </c>
      <c r="O15" s="750">
        <v>10</v>
      </c>
    </row>
    <row r="16" spans="1:15" s="5" customFormat="1" ht="16.5" customHeight="1">
      <c r="A16" s="752"/>
      <c r="B16" s="752"/>
      <c r="C16" s="752"/>
      <c r="D16" s="751" t="s">
        <v>7</v>
      </c>
      <c r="E16" s="752"/>
      <c r="F16" s="750"/>
      <c r="G16" s="760"/>
      <c r="H16" s="759"/>
      <c r="I16" s="760"/>
      <c r="J16" s="761"/>
      <c r="K16" s="760"/>
      <c r="L16" s="759">
        <f>VLOOKUP($H$9,'131'!$B$5:$F$24,2,0)</f>
        <v>2375814.16</v>
      </c>
      <c r="M16" s="758">
        <f>VLOOKUP($H$9,'131'!$B$5:$F$24,3,0)</f>
        <v>53874649390</v>
      </c>
      <c r="N16" s="759">
        <f>VLOOKUP($H$9,'131'!$B$5:$F$24,4,0)</f>
        <v>0</v>
      </c>
      <c r="O16" s="758">
        <f>VLOOKUP($H$9,'131'!$B$5:$F$24,5,0)</f>
        <v>0</v>
      </c>
    </row>
    <row r="17" spans="1:17" s="5" customFormat="1" ht="16.5" customHeight="1">
      <c r="A17" s="218">
        <f ca="1">IF(C17&lt;&gt;"",C17,"")</f>
        <v>42741</v>
      </c>
      <c r="B17" s="222" t="str">
        <f ca="1">IF(ROWS($1:1)&gt;COUNT(Dong14),"",OFFSET(TH!D$1,SMALL(Dong14,ROWS($1:1)),))</f>
        <v>TP/X01</v>
      </c>
      <c r="C17" s="218">
        <f ca="1">IF(ROWS($1:1)&gt;COUNT(Dong14),"",OFFSET(TH!E$1,SMALL(Dong14,ROWS($1:1)),))</f>
        <v>42741</v>
      </c>
      <c r="D17" s="757" t="str">
        <f ca="1">IF(ROWS($1:1)&gt;COUNT(Dong14),"",OFFSET(TH!F$1,SMALL(Dong14,ROWS($1:1)),))</f>
        <v>Khô cá cơm B TP</v>
      </c>
      <c r="E17" s="755" t="str">
        <f ca="1">IF(ROWS($1:1)&gt;COUNT(Dong14),"",IF(OFFSET(TH!N$1,SMALL(Dong14,ROWS($1:1)),)="131",OFFSET(TH!O$1,SMALL(Dong14,ROWS($1:1)),),OFFSET(TH!N$1,SMALL(Dong14,ROWS($1:1)),)))</f>
        <v>5112X</v>
      </c>
      <c r="F17" s="755">
        <f ca="1">IF(ROWS($1:1)&gt;COUNT(Dong14),0,OFFSET(TH!L$1,SMALL(Dong14,ROWS($1:1)),))</f>
        <v>22730</v>
      </c>
      <c r="G17" s="755"/>
      <c r="H17" s="756">
        <f ca="1">IF(ROWS($1:1)&gt;COUNT(Dong14),0,IF(OFFSET(TH!N$1,SMALL(Dong14,ROWS($1:1)),)="131",OFFSET(TH!K$1,SMALL(Dong14,ROWS($1:1)),),0))</f>
        <v>277622.8</v>
      </c>
      <c r="I17" s="755">
        <f ca="1">IF(ROWS($1:1)&gt;COUNT(Dong14),0,IF(OFFSET(TH!N$1,SMALL(Dong14,ROWS($1:1)),)="131",OFFSET(TH!M$1,SMALL(Dong14,ROWS($1:1)),),0))</f>
        <v>6310366244</v>
      </c>
      <c r="J17" s="756">
        <f ca="1">IF(ROWS($1:1)&gt;COUNT(Dong14),0,IF(OFFSET(TH!O$1,SMALL(Dong14,ROWS($1:1)),)="131",OFFSET(TH!K$1,SMALL(Dong14,ROWS($1:1)),),0))</f>
        <v>0</v>
      </c>
      <c r="K17" s="755">
        <f ca="1">IF(ROWS($1:1)&gt;COUNT(Dong14),0,IF(OFFSET(TH!O$1,SMALL(Dong14,ROWS($1:1)),)="131",OFFSET(TH!M$1,SMALL(Dong14,ROWS($1:1)),),0))</f>
        <v>0</v>
      </c>
      <c r="L17" s="754">
        <f ca="1">IF(D17&lt;&gt;"",ROUND(MAX(L16+H17-J17-N16,0),2),0)</f>
        <v>2653436.96</v>
      </c>
      <c r="M17" s="753">
        <f ca="1">IF(D17&lt;&gt;"",MAX(M16-O16+I17-K17,0),0)</f>
        <v>60185015634</v>
      </c>
      <c r="N17" s="754">
        <f ca="1">IF(D17&lt;&gt;"",ROUND(MAX(N16+J17-H17-L16,0),2),0)</f>
        <v>0</v>
      </c>
      <c r="O17" s="753">
        <f ca="1">IF(D17&lt;&gt;"",MAX(O16-M16+K17-I17,0),0)</f>
        <v>0</v>
      </c>
    </row>
    <row r="18" spans="1:17" s="5" customFormat="1" ht="16.5" customHeight="1">
      <c r="A18" s="218">
        <f t="shared" ref="A18:A40" ca="1" si="0">IF(C18&lt;&gt;"",C18,"")</f>
        <v>42741</v>
      </c>
      <c r="B18" s="222" t="str">
        <f ca="1">IF(ROWS($1:2)&gt;COUNT(Dong14),"",OFFSET(TH!D$1,SMALL(Dong14,ROWS($1:2)),))</f>
        <v>GBC</v>
      </c>
      <c r="C18" s="218">
        <f ca="1">IF(ROWS($1:2)&gt;COUNT(Dong14),"",OFFSET(TH!E$1,SMALL(Dong14,ROWS($1:2)),))</f>
        <v>42741</v>
      </c>
      <c r="D18" s="757" t="str">
        <f ca="1">IF(ROWS($1:2)&gt;COUNT(Dong14),"",OFFSET(TH!F$1,SMALL(Dong14,ROWS($1:2)),))</f>
        <v xml:space="preserve">Thu tiền hàng </v>
      </c>
      <c r="E18" s="755" t="str">
        <f ca="1">IF(ROWS($1:2)&gt;COUNT(Dong14),"",IF(OFFSET(TH!N$1,SMALL(Dong14,ROWS($1:2)),)="131",OFFSET(TH!O$1,SMALL(Dong14,ROWS($1:2)),),OFFSET(TH!N$1,SMALL(Dong14,ROWS($1:2)),)))</f>
        <v>1122</v>
      </c>
      <c r="F18" s="755">
        <f ca="1">IF(ROWS($1:2)&gt;COUNT(Dong14),0,OFFSET(TH!L$1,SMALL(Dong14,ROWS($1:2)),))</f>
        <v>22500</v>
      </c>
      <c r="G18" s="755"/>
      <c r="H18" s="756">
        <f ca="1">IF(ROWS($1:2)&gt;COUNT(Dong14),0,IF(OFFSET(TH!N$1,SMALL(Dong14,ROWS($1:2)),)="131",OFFSET(TH!K$1,SMALL(Dong14,ROWS($1:2)),),0))</f>
        <v>0</v>
      </c>
      <c r="I18" s="755">
        <f ca="1">IF(ROWS($1:2)&gt;COUNT(Dong14),0,IF(OFFSET(TH!N$1,SMALL(Dong14,ROWS($1:2)),)="131",OFFSET(TH!M$1,SMALL(Dong14,ROWS($1:2)),),0))</f>
        <v>0</v>
      </c>
      <c r="J18" s="756">
        <f ca="1">IF(ROWS($1:2)&gt;COUNT(Dong14),0,IF(OFFSET(TH!O$1,SMALL(Dong14,ROWS($1:2)),)="131",OFFSET(TH!K$1,SMALL(Dong14,ROWS($1:2)),),0))</f>
        <v>144188.68</v>
      </c>
      <c r="K18" s="755">
        <f ca="1">IF(ROWS($1:2)&gt;COUNT(Dong14),0,IF(OFFSET(TH!O$1,SMALL(Dong14,ROWS($1:2)),)="131",OFFSET(TH!M$1,SMALL(Dong14,ROWS($1:2)),),0))</f>
        <v>3244245300</v>
      </c>
      <c r="L18" s="754">
        <f t="shared" ref="L18:L40" ca="1" si="1">IF(D18&lt;&gt;"",ROUND(MAX(L17+H18-J18-N17,0),2),0)</f>
        <v>2509248.2799999998</v>
      </c>
      <c r="M18" s="753">
        <f t="shared" ref="M18:M40" ca="1" si="2">IF(D18&lt;&gt;"",MAX(M17-O17+I18-K18,0),0)</f>
        <v>56940770334</v>
      </c>
      <c r="N18" s="754">
        <f t="shared" ref="N18:N40" ca="1" si="3">IF(D18&lt;&gt;"",ROUND(MAX(N17+J18-H18-L17,0),2),0)</f>
        <v>0</v>
      </c>
      <c r="O18" s="753">
        <f t="shared" ref="O18:O40" ca="1" si="4">IF(D18&lt;&gt;"",MAX(O17-M17+K18-I18,0),0)</f>
        <v>0</v>
      </c>
    </row>
    <row r="19" spans="1:17" s="5" customFormat="1" ht="16.5" customHeight="1">
      <c r="A19" s="218">
        <f t="shared" ca="1" si="0"/>
        <v>42741</v>
      </c>
      <c r="B19" s="222" t="str">
        <f ca="1">IF(ROWS($1:3)&gt;COUNT(Dong14),"",OFFSET(TH!D$1,SMALL(Dong14,ROWS($1:3)),))</f>
        <v>CTGS</v>
      </c>
      <c r="C19" s="218">
        <f ca="1">IF(ROWS($1:3)&gt;COUNT(Dong14),"",OFFSET(TH!E$1,SMALL(Dong14,ROWS($1:3)),))</f>
        <v>42741</v>
      </c>
      <c r="D19" s="757" t="str">
        <f ca="1">IF(ROWS($1:3)&gt;COUNT(Dong14),"",OFFSET(TH!F$1,SMALL(Dong14,ROWS($1:3)),))</f>
        <v>Phí ngân hàng nước ngoài giàm trừ</v>
      </c>
      <c r="E19" s="755" t="str">
        <f ca="1">IF(ROWS($1:3)&gt;COUNT(Dong14),"",IF(OFFSET(TH!N$1,SMALL(Dong14,ROWS($1:3)),)="131",OFFSET(TH!O$1,SMALL(Dong14,ROWS($1:3)),),OFFSET(TH!N$1,SMALL(Dong14,ROWS($1:3)),)))</f>
        <v>642</v>
      </c>
      <c r="F19" s="755">
        <f ca="1">IF(ROWS($1:3)&gt;COUNT(Dong14),0,OFFSET(TH!L$1,SMALL(Dong14,ROWS($1:3)),))</f>
        <v>22500</v>
      </c>
      <c r="G19" s="755"/>
      <c r="H19" s="756">
        <f ca="1">IF(ROWS($1:3)&gt;COUNT(Dong14),0,IF(OFFSET(TH!N$1,SMALL(Dong14,ROWS($1:3)),)="131",OFFSET(TH!K$1,SMALL(Dong14,ROWS($1:3)),),0))</f>
        <v>0</v>
      </c>
      <c r="I19" s="755">
        <f ca="1">IF(ROWS($1:3)&gt;COUNT(Dong14),0,IF(OFFSET(TH!N$1,SMALL(Dong14,ROWS($1:3)),)="131",OFFSET(TH!M$1,SMALL(Dong14,ROWS($1:3)),),0))</f>
        <v>0</v>
      </c>
      <c r="J19" s="756">
        <f ca="1">IF(ROWS($1:3)&gt;COUNT(Dong14),0,IF(OFFSET(TH!O$1,SMALL(Dong14,ROWS($1:3)),)="131",OFFSET(TH!K$1,SMALL(Dong14,ROWS($1:3)),),0))</f>
        <v>12</v>
      </c>
      <c r="K19" s="755">
        <f ca="1">IF(ROWS($1:3)&gt;COUNT(Dong14),0,IF(OFFSET(TH!O$1,SMALL(Dong14,ROWS($1:3)),)="131",OFFSET(TH!M$1,SMALL(Dong14,ROWS($1:3)),),0))</f>
        <v>270000</v>
      </c>
      <c r="L19" s="754">
        <f t="shared" ca="1" si="1"/>
        <v>2509236.2799999998</v>
      </c>
      <c r="M19" s="753">
        <f t="shared" ca="1" si="2"/>
        <v>56940500334</v>
      </c>
      <c r="N19" s="754">
        <f t="shared" ca="1" si="3"/>
        <v>0</v>
      </c>
      <c r="O19" s="753">
        <f t="shared" ca="1" si="4"/>
        <v>0</v>
      </c>
    </row>
    <row r="20" spans="1:17" s="5" customFormat="1" ht="16.5" customHeight="1">
      <c r="A20" s="218">
        <f t="shared" ca="1" si="0"/>
        <v>42746</v>
      </c>
      <c r="B20" s="222" t="str">
        <f ca="1">IF(ROWS($1:4)&gt;COUNT(Dong14),"",OFFSET(TH!D$1,SMALL(Dong14,ROWS($1:4)),))</f>
        <v>GBC</v>
      </c>
      <c r="C20" s="218">
        <f ca="1">IF(ROWS($1:4)&gt;COUNT(Dong14),"",OFFSET(TH!E$1,SMALL(Dong14,ROWS($1:4)),))</f>
        <v>42746</v>
      </c>
      <c r="D20" s="757" t="str">
        <f ca="1">IF(ROWS($1:4)&gt;COUNT(Dong14),"",OFFSET(TH!F$1,SMALL(Dong14,ROWS($1:4)),))</f>
        <v xml:space="preserve">Thu tiền hàng </v>
      </c>
      <c r="E20" s="755" t="str">
        <f ca="1">IF(ROWS($1:4)&gt;COUNT(Dong14),"",IF(OFFSET(TH!N$1,SMALL(Dong14,ROWS($1:4)),)="131",OFFSET(TH!O$1,SMALL(Dong14,ROWS($1:4)),),OFFSET(TH!N$1,SMALL(Dong14,ROWS($1:4)),)))</f>
        <v>1122</v>
      </c>
      <c r="F20" s="755">
        <f ca="1">IF(ROWS($1:4)&gt;COUNT(Dong14),0,OFFSET(TH!L$1,SMALL(Dong14,ROWS($1:4)),))</f>
        <v>22500</v>
      </c>
      <c r="G20" s="755"/>
      <c r="H20" s="756">
        <f ca="1">IF(ROWS($1:4)&gt;COUNT(Dong14),0,IF(OFFSET(TH!N$1,SMALL(Dong14,ROWS($1:4)),)="131",OFFSET(TH!K$1,SMALL(Dong14,ROWS($1:4)),),0))</f>
        <v>0</v>
      </c>
      <c r="I20" s="755">
        <f ca="1">IF(ROWS($1:4)&gt;COUNT(Dong14),0,IF(OFFSET(TH!N$1,SMALL(Dong14,ROWS($1:4)),)="131",OFFSET(TH!M$1,SMALL(Dong14,ROWS($1:4)),),0))</f>
        <v>0</v>
      </c>
      <c r="J20" s="756">
        <f ca="1">IF(ROWS($1:4)&gt;COUNT(Dong14),0,IF(OFFSET(TH!O$1,SMALL(Dong14,ROWS($1:4)),)="131",OFFSET(TH!K$1,SMALL(Dong14,ROWS($1:4)),),0))</f>
        <v>294308</v>
      </c>
      <c r="K20" s="755">
        <f ca="1">IF(ROWS($1:4)&gt;COUNT(Dong14),0,IF(OFFSET(TH!O$1,SMALL(Dong14,ROWS($1:4)),)="131",OFFSET(TH!M$1,SMALL(Dong14,ROWS($1:4)),),0))</f>
        <v>6621930000</v>
      </c>
      <c r="L20" s="754">
        <f t="shared" ca="1" si="1"/>
        <v>2214928.2799999998</v>
      </c>
      <c r="M20" s="753">
        <f t="shared" ca="1" si="2"/>
        <v>50318570334</v>
      </c>
      <c r="N20" s="754">
        <f t="shared" ca="1" si="3"/>
        <v>0</v>
      </c>
      <c r="O20" s="753">
        <f t="shared" ca="1" si="4"/>
        <v>0</v>
      </c>
    </row>
    <row r="21" spans="1:17" s="5" customFormat="1" ht="16.5" customHeight="1">
      <c r="A21" s="218">
        <f t="shared" ca="1" si="0"/>
        <v>42746</v>
      </c>
      <c r="B21" s="222" t="str">
        <f ca="1">IF(ROWS($1:5)&gt;COUNT(Dong14),"",OFFSET(TH!D$1,SMALL(Dong14,ROWS($1:5)),))</f>
        <v>CTGS</v>
      </c>
      <c r="C21" s="218">
        <f ca="1">IF(ROWS($1:5)&gt;COUNT(Dong14),"",OFFSET(TH!E$1,SMALL(Dong14,ROWS($1:5)),))</f>
        <v>42746</v>
      </c>
      <c r="D21" s="757" t="str">
        <f ca="1">IF(ROWS($1:5)&gt;COUNT(Dong14),"",OFFSET(TH!F$1,SMALL(Dong14,ROWS($1:5)),))</f>
        <v>Phí ngân hàng nước ngoài giảm trừ</v>
      </c>
      <c r="E21" s="755" t="str">
        <f ca="1">IF(ROWS($1:5)&gt;COUNT(Dong14),"",IF(OFFSET(TH!N$1,SMALL(Dong14,ROWS($1:5)),)="131",OFFSET(TH!O$1,SMALL(Dong14,ROWS($1:5)),),OFFSET(TH!N$1,SMALL(Dong14,ROWS($1:5)),)))</f>
        <v>642</v>
      </c>
      <c r="F21" s="755">
        <f ca="1">IF(ROWS($1:5)&gt;COUNT(Dong14),0,OFFSET(TH!L$1,SMALL(Dong14,ROWS($1:5)),))</f>
        <v>22500</v>
      </c>
      <c r="G21" s="755"/>
      <c r="H21" s="756">
        <f ca="1">IF(ROWS($1:5)&gt;COUNT(Dong14),0,IF(OFFSET(TH!N$1,SMALL(Dong14,ROWS($1:5)),)="131",OFFSET(TH!K$1,SMALL(Dong14,ROWS($1:5)),),0))</f>
        <v>0</v>
      </c>
      <c r="I21" s="755">
        <f ca="1">IF(ROWS($1:5)&gt;COUNT(Dong14),0,IF(OFFSET(TH!N$1,SMALL(Dong14,ROWS($1:5)),)="131",OFFSET(TH!M$1,SMALL(Dong14,ROWS($1:5)),),0))</f>
        <v>0</v>
      </c>
      <c r="J21" s="756">
        <f ca="1">IF(ROWS($1:5)&gt;COUNT(Dong14),0,IF(OFFSET(TH!O$1,SMALL(Dong14,ROWS($1:5)),)="131",OFFSET(TH!K$1,SMALL(Dong14,ROWS($1:5)),),0))</f>
        <v>12</v>
      </c>
      <c r="K21" s="755">
        <f ca="1">IF(ROWS($1:5)&gt;COUNT(Dong14),0,IF(OFFSET(TH!O$1,SMALL(Dong14,ROWS($1:5)),)="131",OFFSET(TH!M$1,SMALL(Dong14,ROWS($1:5)),),0))</f>
        <v>270000</v>
      </c>
      <c r="L21" s="754">
        <f t="shared" ca="1" si="1"/>
        <v>2214916.2799999998</v>
      </c>
      <c r="M21" s="753">
        <f t="shared" ca="1" si="2"/>
        <v>50318300334</v>
      </c>
      <c r="N21" s="754">
        <f t="shared" ca="1" si="3"/>
        <v>0</v>
      </c>
      <c r="O21" s="753">
        <f t="shared" ca="1" si="4"/>
        <v>0</v>
      </c>
      <c r="Q21" s="241"/>
    </row>
    <row r="22" spans="1:17" s="5" customFormat="1" ht="16.5" customHeight="1">
      <c r="A22" s="218">
        <f t="shared" ca="1" si="0"/>
        <v>42774</v>
      </c>
      <c r="B22" s="222" t="str">
        <f ca="1">IF(ROWS($1:6)&gt;COUNT(Dong14),"",OFFSET(TH!D$1,SMALL(Dong14,ROWS($1:6)),))</f>
        <v>GBC</v>
      </c>
      <c r="C22" s="218">
        <f ca="1">IF(ROWS($1:6)&gt;COUNT(Dong14),"",OFFSET(TH!E$1,SMALL(Dong14,ROWS($1:6)),))</f>
        <v>42774</v>
      </c>
      <c r="D22" s="757" t="str">
        <f ca="1">IF(ROWS($1:6)&gt;COUNT(Dong14),"",OFFSET(TH!F$1,SMALL(Dong14,ROWS($1:6)),))</f>
        <v xml:space="preserve">Thu tiền hàng </v>
      </c>
      <c r="E22" s="755" t="str">
        <f ca="1">IF(ROWS($1:6)&gt;COUNT(Dong14),"",IF(OFFSET(TH!N$1,SMALL(Dong14,ROWS($1:6)),)="131",OFFSET(TH!O$1,SMALL(Dong14,ROWS($1:6)),),OFFSET(TH!N$1,SMALL(Dong14,ROWS($1:6)),)))</f>
        <v>1122</v>
      </c>
      <c r="F22" s="755">
        <f ca="1">IF(ROWS($1:6)&gt;COUNT(Dong14),0,OFFSET(TH!L$1,SMALL(Dong14,ROWS($1:6)),))</f>
        <v>22700</v>
      </c>
      <c r="G22" s="755"/>
      <c r="H22" s="756">
        <f ca="1">IF(ROWS($1:6)&gt;COUNT(Dong14),0,IF(OFFSET(TH!N$1,SMALL(Dong14,ROWS($1:6)),)="131",OFFSET(TH!K$1,SMALL(Dong14,ROWS($1:6)),),0))</f>
        <v>0</v>
      </c>
      <c r="I22" s="755">
        <f ca="1">IF(ROWS($1:6)&gt;COUNT(Dong14),0,IF(OFFSET(TH!N$1,SMALL(Dong14,ROWS($1:6)),)="131",OFFSET(TH!M$1,SMALL(Dong14,ROWS($1:6)),),0))</f>
        <v>0</v>
      </c>
      <c r="J22" s="756">
        <f ca="1">IF(ROWS($1:6)&gt;COUNT(Dong14),0,IF(OFFSET(TH!O$1,SMALL(Dong14,ROWS($1:6)),)="131",OFFSET(TH!K$1,SMALL(Dong14,ROWS($1:6)),),0))</f>
        <v>149355.4</v>
      </c>
      <c r="K22" s="755">
        <f ca="1">IF(ROWS($1:6)&gt;COUNT(Dong14),0,IF(OFFSET(TH!O$1,SMALL(Dong14,ROWS($1:6)),)="131",OFFSET(TH!M$1,SMALL(Dong14,ROWS($1:6)),),0))</f>
        <v>3390367580</v>
      </c>
      <c r="L22" s="754">
        <f t="shared" ca="1" si="1"/>
        <v>2065560.88</v>
      </c>
      <c r="M22" s="753">
        <f t="shared" ca="1" si="2"/>
        <v>46927932754</v>
      </c>
      <c r="N22" s="754">
        <f t="shared" ca="1" si="3"/>
        <v>0</v>
      </c>
      <c r="O22" s="753">
        <f t="shared" ca="1" si="4"/>
        <v>0</v>
      </c>
      <c r="Q22" s="241">
        <f ca="1">O21-K19</f>
        <v>-270000</v>
      </c>
    </row>
    <row r="23" spans="1:17" s="5" customFormat="1" ht="16.5" customHeight="1">
      <c r="A23" s="218">
        <f t="shared" ca="1" si="0"/>
        <v>42774</v>
      </c>
      <c r="B23" s="222" t="str">
        <f ca="1">IF(ROWS($1:7)&gt;COUNT(Dong14),"",OFFSET(TH!D$1,SMALL(Dong14,ROWS($1:7)),))</f>
        <v>CTGS</v>
      </c>
      <c r="C23" s="218">
        <f ca="1">IF(ROWS($1:7)&gt;COUNT(Dong14),"",OFFSET(TH!E$1,SMALL(Dong14,ROWS($1:7)),))</f>
        <v>42774</v>
      </c>
      <c r="D23" s="757" t="str">
        <f ca="1">IF(ROWS($1:7)&gt;COUNT(Dong14),"",OFFSET(TH!F$1,SMALL(Dong14,ROWS($1:7)),))</f>
        <v>Phí ngân hàng nước ngoài giảm trừ</v>
      </c>
      <c r="E23" s="755" t="str">
        <f ca="1">IF(ROWS($1:7)&gt;COUNT(Dong14),"",IF(OFFSET(TH!N$1,SMALL(Dong14,ROWS($1:7)),)="131",OFFSET(TH!O$1,SMALL(Dong14,ROWS($1:7)),),OFFSET(TH!N$1,SMALL(Dong14,ROWS($1:7)),)))</f>
        <v>642</v>
      </c>
      <c r="F23" s="755">
        <f ca="1">IF(ROWS($1:7)&gt;COUNT(Dong14),0,OFFSET(TH!L$1,SMALL(Dong14,ROWS($1:7)),))</f>
        <v>22700</v>
      </c>
      <c r="G23" s="755"/>
      <c r="H23" s="756">
        <f ca="1">IF(ROWS($1:7)&gt;COUNT(Dong14),0,IF(OFFSET(TH!N$1,SMALL(Dong14,ROWS($1:7)),)="131",OFFSET(TH!K$1,SMALL(Dong14,ROWS($1:7)),),0))</f>
        <v>0</v>
      </c>
      <c r="I23" s="755">
        <f ca="1">IF(ROWS($1:7)&gt;COUNT(Dong14),0,IF(OFFSET(TH!N$1,SMALL(Dong14,ROWS($1:7)),)="131",OFFSET(TH!M$1,SMALL(Dong14,ROWS($1:7)),),0))</f>
        <v>0</v>
      </c>
      <c r="J23" s="756">
        <f ca="1">IF(ROWS($1:7)&gt;COUNT(Dong14),0,IF(OFFSET(TH!O$1,SMALL(Dong14,ROWS($1:7)),)="131",OFFSET(TH!K$1,SMALL(Dong14,ROWS($1:7)),),0))</f>
        <v>12</v>
      </c>
      <c r="K23" s="755">
        <f ca="1">IF(ROWS($1:7)&gt;COUNT(Dong14),0,IF(OFFSET(TH!O$1,SMALL(Dong14,ROWS($1:7)),)="131",OFFSET(TH!M$1,SMALL(Dong14,ROWS($1:7)),),0))</f>
        <v>272400</v>
      </c>
      <c r="L23" s="754">
        <f t="shared" ca="1" si="1"/>
        <v>2065548.88</v>
      </c>
      <c r="M23" s="753">
        <f t="shared" ca="1" si="2"/>
        <v>46927660354</v>
      </c>
      <c r="N23" s="754">
        <f t="shared" ca="1" si="3"/>
        <v>0</v>
      </c>
      <c r="O23" s="753">
        <f t="shared" ca="1" si="4"/>
        <v>0</v>
      </c>
    </row>
    <row r="24" spans="1:17" s="5" customFormat="1" ht="16.5" customHeight="1">
      <c r="A24" s="218">
        <f t="shared" ca="1" si="0"/>
        <v>42779</v>
      </c>
      <c r="B24" s="222" t="str">
        <f ca="1">IF(ROWS($1:8)&gt;COUNT(Dong14),"",OFFSET(TH!D$1,SMALL(Dong14,ROWS($1:8)),))</f>
        <v>GBC</v>
      </c>
      <c r="C24" s="218">
        <f ca="1">IF(ROWS($1:8)&gt;COUNT(Dong14),"",OFFSET(TH!E$1,SMALL(Dong14,ROWS($1:8)),))</f>
        <v>42779</v>
      </c>
      <c r="D24" s="757" t="str">
        <f ca="1">IF(ROWS($1:8)&gt;COUNT(Dong14),"",OFFSET(TH!F$1,SMALL(Dong14,ROWS($1:8)),))</f>
        <v xml:space="preserve">Thu tiền hàng </v>
      </c>
      <c r="E24" s="755" t="str">
        <f ca="1">IF(ROWS($1:8)&gt;COUNT(Dong14),"",IF(OFFSET(TH!N$1,SMALL(Dong14,ROWS($1:8)),)="131",OFFSET(TH!O$1,SMALL(Dong14,ROWS($1:8)),),OFFSET(TH!N$1,SMALL(Dong14,ROWS($1:8)),)))</f>
        <v>1122</v>
      </c>
      <c r="F24" s="755">
        <f ca="1">IF(ROWS($1:8)&gt;COUNT(Dong14),0,OFFSET(TH!L$1,SMALL(Dong14,ROWS($1:8)),))</f>
        <v>22700</v>
      </c>
      <c r="G24" s="755"/>
      <c r="H24" s="756">
        <f ca="1">IF(ROWS($1:8)&gt;COUNT(Dong14),0,IF(OFFSET(TH!N$1,SMALL(Dong14,ROWS($1:8)),)="131",OFFSET(TH!K$1,SMALL(Dong14,ROWS($1:8)),),0))</f>
        <v>0</v>
      </c>
      <c r="I24" s="755">
        <f ca="1">IF(ROWS($1:8)&gt;COUNT(Dong14),0,IF(OFFSET(TH!N$1,SMALL(Dong14,ROWS($1:8)),)="131",OFFSET(TH!M$1,SMALL(Dong14,ROWS($1:8)),),0))</f>
        <v>0</v>
      </c>
      <c r="J24" s="756">
        <f ca="1">IF(ROWS($1:8)&gt;COUNT(Dong14),0,IF(OFFSET(TH!O$1,SMALL(Dong14,ROWS($1:8)),)="131",OFFSET(TH!K$1,SMALL(Dong14,ROWS($1:8)),),0))</f>
        <v>277610.8</v>
      </c>
      <c r="K24" s="755">
        <f ca="1">IF(ROWS($1:8)&gt;COUNT(Dong14),0,IF(OFFSET(TH!O$1,SMALL(Dong14,ROWS($1:8)),)="131",OFFSET(TH!M$1,SMALL(Dong14,ROWS($1:8)),),0))</f>
        <v>6301765160</v>
      </c>
      <c r="L24" s="754">
        <f t="shared" ca="1" si="1"/>
        <v>1787938.08</v>
      </c>
      <c r="M24" s="753">
        <f t="shared" ca="1" si="2"/>
        <v>40625895194</v>
      </c>
      <c r="N24" s="754">
        <f t="shared" ca="1" si="3"/>
        <v>0</v>
      </c>
      <c r="O24" s="753">
        <f t="shared" ca="1" si="4"/>
        <v>0</v>
      </c>
    </row>
    <row r="25" spans="1:17" s="5" customFormat="1" ht="16.5" customHeight="1">
      <c r="A25" s="218">
        <f t="shared" ca="1" si="0"/>
        <v>42779</v>
      </c>
      <c r="B25" s="222" t="str">
        <f ca="1">IF(ROWS($1:9)&gt;COUNT(Dong14),"",OFFSET(TH!D$1,SMALL(Dong14,ROWS($1:9)),))</f>
        <v>CTGS</v>
      </c>
      <c r="C25" s="218">
        <f ca="1">IF(ROWS($1:9)&gt;COUNT(Dong14),"",OFFSET(TH!E$1,SMALL(Dong14,ROWS($1:9)),))</f>
        <v>42779</v>
      </c>
      <c r="D25" s="757" t="str">
        <f ca="1">IF(ROWS($1:9)&gt;COUNT(Dong14),"",OFFSET(TH!F$1,SMALL(Dong14,ROWS($1:9)),))</f>
        <v>Phí ngân hàng nước ngoài giảm trừ</v>
      </c>
      <c r="E25" s="755" t="str">
        <f ca="1">IF(ROWS($1:9)&gt;COUNT(Dong14),"",IF(OFFSET(TH!N$1,SMALL(Dong14,ROWS($1:9)),)="131",OFFSET(TH!O$1,SMALL(Dong14,ROWS($1:9)),),OFFSET(TH!N$1,SMALL(Dong14,ROWS($1:9)),)))</f>
        <v>642</v>
      </c>
      <c r="F25" s="755">
        <f ca="1">IF(ROWS($1:9)&gt;COUNT(Dong14),0,OFFSET(TH!L$1,SMALL(Dong14,ROWS($1:9)),))</f>
        <v>22700</v>
      </c>
      <c r="G25" s="755"/>
      <c r="H25" s="756">
        <f ca="1">IF(ROWS($1:9)&gt;COUNT(Dong14),0,IF(OFFSET(TH!N$1,SMALL(Dong14,ROWS($1:9)),)="131",OFFSET(TH!K$1,SMALL(Dong14,ROWS($1:9)),),0))</f>
        <v>0</v>
      </c>
      <c r="I25" s="755">
        <f ca="1">IF(ROWS($1:9)&gt;COUNT(Dong14),0,IF(OFFSET(TH!N$1,SMALL(Dong14,ROWS($1:9)),)="131",OFFSET(TH!M$1,SMALL(Dong14,ROWS($1:9)),),0))</f>
        <v>0</v>
      </c>
      <c r="J25" s="756">
        <f ca="1">IF(ROWS($1:9)&gt;COUNT(Dong14),0,IF(OFFSET(TH!O$1,SMALL(Dong14,ROWS($1:9)),)="131",OFFSET(TH!K$1,SMALL(Dong14,ROWS($1:9)),),0))</f>
        <v>12</v>
      </c>
      <c r="K25" s="755">
        <f ca="1">IF(ROWS($1:9)&gt;COUNT(Dong14),0,IF(OFFSET(TH!O$1,SMALL(Dong14,ROWS($1:9)),)="131",OFFSET(TH!M$1,SMALL(Dong14,ROWS($1:9)),),0))</f>
        <v>272400</v>
      </c>
      <c r="L25" s="754">
        <f t="shared" ca="1" si="1"/>
        <v>1787926.08</v>
      </c>
      <c r="M25" s="753">
        <f t="shared" ca="1" si="2"/>
        <v>40625622794</v>
      </c>
      <c r="N25" s="754">
        <f t="shared" ca="1" si="3"/>
        <v>0</v>
      </c>
      <c r="O25" s="753">
        <f t="shared" ca="1" si="4"/>
        <v>0</v>
      </c>
    </row>
    <row r="26" spans="1:17" s="5" customFormat="1" ht="16.5" customHeight="1">
      <c r="A26" s="218">
        <f t="shared" ca="1" si="0"/>
        <v>42782</v>
      </c>
      <c r="B26" s="222" t="str">
        <f ca="1">IF(ROWS($1:10)&gt;COUNT(Dong14),"",OFFSET(TH!D$1,SMALL(Dong14,ROWS($1:10)),))</f>
        <v>GBC</v>
      </c>
      <c r="C26" s="218">
        <f ca="1">IF(ROWS($1:10)&gt;COUNT(Dong14),"",OFFSET(TH!E$1,SMALL(Dong14,ROWS($1:10)),))</f>
        <v>42782</v>
      </c>
      <c r="D26" s="757" t="str">
        <f ca="1">IF(ROWS($1:10)&gt;COUNT(Dong14),"",OFFSET(TH!F$1,SMALL(Dong14,ROWS($1:10)),))</f>
        <v xml:space="preserve">Thu tiền hàng </v>
      </c>
      <c r="E26" s="755" t="str">
        <f ca="1">IF(ROWS($1:10)&gt;COUNT(Dong14),"",IF(OFFSET(TH!N$1,SMALL(Dong14,ROWS($1:10)),)="131",OFFSET(TH!O$1,SMALL(Dong14,ROWS($1:10)),),OFFSET(TH!N$1,SMALL(Dong14,ROWS($1:10)),)))</f>
        <v>1122</v>
      </c>
      <c r="F26" s="755">
        <f ca="1">IF(ROWS($1:10)&gt;COUNT(Dong14),0,OFFSET(TH!L$1,SMALL(Dong14,ROWS($1:10)),))</f>
        <v>22700</v>
      </c>
      <c r="G26" s="755"/>
      <c r="H26" s="756">
        <f ca="1">IF(ROWS($1:10)&gt;COUNT(Dong14),0,IF(OFFSET(TH!N$1,SMALL(Dong14,ROWS($1:10)),)="131",OFFSET(TH!K$1,SMALL(Dong14,ROWS($1:10)),),0))</f>
        <v>0</v>
      </c>
      <c r="I26" s="755">
        <f ca="1">IF(ROWS($1:10)&gt;COUNT(Dong14),0,IF(OFFSET(TH!N$1,SMALL(Dong14,ROWS($1:10)),)="131",OFFSET(TH!M$1,SMALL(Dong14,ROWS($1:10)),),0))</f>
        <v>0</v>
      </c>
      <c r="J26" s="756">
        <f ca="1">IF(ROWS($1:10)&gt;COUNT(Dong14),0,IF(OFFSET(TH!O$1,SMALL(Dong14,ROWS($1:10)),)="131",OFFSET(TH!K$1,SMALL(Dong14,ROWS($1:10)),),0))</f>
        <v>441468</v>
      </c>
      <c r="K26" s="755">
        <f ca="1">IF(ROWS($1:10)&gt;COUNT(Dong14),0,IF(OFFSET(TH!O$1,SMALL(Dong14,ROWS($1:10)),)="131",OFFSET(TH!M$1,SMALL(Dong14,ROWS($1:10)),),0))</f>
        <v>10021323600</v>
      </c>
      <c r="L26" s="754">
        <f t="shared" ca="1" si="1"/>
        <v>1346458.08</v>
      </c>
      <c r="M26" s="753">
        <f t="shared" ca="1" si="2"/>
        <v>30604299194</v>
      </c>
      <c r="N26" s="754">
        <f t="shared" ca="1" si="3"/>
        <v>0</v>
      </c>
      <c r="O26" s="753">
        <f t="shared" ca="1" si="4"/>
        <v>0</v>
      </c>
    </row>
    <row r="27" spans="1:17" s="5" customFormat="1" ht="16.5" customHeight="1">
      <c r="A27" s="218">
        <f t="shared" ca="1" si="0"/>
        <v>42782</v>
      </c>
      <c r="B27" s="222" t="str">
        <f ca="1">IF(ROWS($1:11)&gt;COUNT(Dong14),"",OFFSET(TH!D$1,SMALL(Dong14,ROWS($1:11)),))</f>
        <v>CTGS</v>
      </c>
      <c r="C27" s="218">
        <f ca="1">IF(ROWS($1:11)&gt;COUNT(Dong14),"",OFFSET(TH!E$1,SMALL(Dong14,ROWS($1:11)),))</f>
        <v>42782</v>
      </c>
      <c r="D27" s="757" t="str">
        <f ca="1">IF(ROWS($1:11)&gt;COUNT(Dong14),"",OFFSET(TH!F$1,SMALL(Dong14,ROWS($1:11)),))</f>
        <v>Phí ngân hàng nước ngoài giảm trừ</v>
      </c>
      <c r="E27" s="755" t="str">
        <f ca="1">IF(ROWS($1:11)&gt;COUNT(Dong14),"",IF(OFFSET(TH!N$1,SMALL(Dong14,ROWS($1:11)),)="131",OFFSET(TH!O$1,SMALL(Dong14,ROWS($1:11)),),OFFSET(TH!N$1,SMALL(Dong14,ROWS($1:11)),)))</f>
        <v>642</v>
      </c>
      <c r="F27" s="755">
        <f ca="1">IF(ROWS($1:11)&gt;COUNT(Dong14),0,OFFSET(TH!L$1,SMALL(Dong14,ROWS($1:11)),))</f>
        <v>22700</v>
      </c>
      <c r="G27" s="755"/>
      <c r="H27" s="756">
        <f ca="1">IF(ROWS($1:11)&gt;COUNT(Dong14),0,IF(OFFSET(TH!N$1,SMALL(Dong14,ROWS($1:11)),)="131",OFFSET(TH!K$1,SMALL(Dong14,ROWS($1:11)),),0))</f>
        <v>0</v>
      </c>
      <c r="I27" s="755">
        <f ca="1">IF(ROWS($1:11)&gt;COUNT(Dong14),0,IF(OFFSET(TH!N$1,SMALL(Dong14,ROWS($1:11)),)="131",OFFSET(TH!M$1,SMALL(Dong14,ROWS($1:11)),),0))</f>
        <v>0</v>
      </c>
      <c r="J27" s="756">
        <f ca="1">IF(ROWS($1:11)&gt;COUNT(Dong14),0,IF(OFFSET(TH!O$1,SMALL(Dong14,ROWS($1:11)),)="131",OFFSET(TH!K$1,SMALL(Dong14,ROWS($1:11)),),0))</f>
        <v>12</v>
      </c>
      <c r="K27" s="755">
        <f ca="1">IF(ROWS($1:11)&gt;COUNT(Dong14),0,IF(OFFSET(TH!O$1,SMALL(Dong14,ROWS($1:11)),)="131",OFFSET(TH!M$1,SMALL(Dong14,ROWS($1:11)),),0))</f>
        <v>272400</v>
      </c>
      <c r="L27" s="754">
        <f t="shared" ca="1" si="1"/>
        <v>1346446.08</v>
      </c>
      <c r="M27" s="753">
        <f t="shared" ca="1" si="2"/>
        <v>30604026794</v>
      </c>
      <c r="N27" s="754">
        <f t="shared" ca="1" si="3"/>
        <v>0</v>
      </c>
      <c r="O27" s="753">
        <f t="shared" ca="1" si="4"/>
        <v>0</v>
      </c>
    </row>
    <row r="28" spans="1:17" s="5" customFormat="1" ht="16.5" customHeight="1">
      <c r="A28" s="218">
        <f t="shared" ca="1" si="0"/>
        <v>42788</v>
      </c>
      <c r="B28" s="222" t="str">
        <f ca="1">IF(ROWS($1:12)&gt;COUNT(Dong14),"",OFFSET(TH!D$1,SMALL(Dong14,ROWS($1:12)),))</f>
        <v>GBC</v>
      </c>
      <c r="C28" s="218">
        <f ca="1">IF(ROWS($1:12)&gt;COUNT(Dong14),"",OFFSET(TH!E$1,SMALL(Dong14,ROWS($1:12)),))</f>
        <v>42788</v>
      </c>
      <c r="D28" s="757" t="str">
        <f ca="1">IF(ROWS($1:12)&gt;COUNT(Dong14),"",OFFSET(TH!F$1,SMALL(Dong14,ROWS($1:12)),))</f>
        <v xml:space="preserve">Thu tiền hàng </v>
      </c>
      <c r="E28" s="755" t="str">
        <f ca="1">IF(ROWS($1:12)&gt;COUNT(Dong14),"",IF(OFFSET(TH!N$1,SMALL(Dong14,ROWS($1:12)),)="131",OFFSET(TH!O$1,SMALL(Dong14,ROWS($1:12)),),OFFSET(TH!N$1,SMALL(Dong14,ROWS($1:12)),)))</f>
        <v>1122</v>
      </c>
      <c r="F28" s="755">
        <f ca="1">IF(ROWS($1:12)&gt;COUNT(Dong14),0,OFFSET(TH!L$1,SMALL(Dong14,ROWS($1:12)),))</f>
        <v>22700</v>
      </c>
      <c r="G28" s="755"/>
      <c r="H28" s="756">
        <f ca="1">IF(ROWS($1:12)&gt;COUNT(Dong14),0,IF(OFFSET(TH!N$1,SMALL(Dong14,ROWS($1:12)),)="131",OFFSET(TH!K$1,SMALL(Dong14,ROWS($1:12)),),0))</f>
        <v>0</v>
      </c>
      <c r="I28" s="755">
        <f ca="1">IF(ROWS($1:12)&gt;COUNT(Dong14),0,IF(OFFSET(TH!N$1,SMALL(Dong14,ROWS($1:12)),)="131",OFFSET(TH!M$1,SMALL(Dong14,ROWS($1:12)),),0))</f>
        <v>0</v>
      </c>
      <c r="J28" s="756">
        <f ca="1">IF(ROWS($1:12)&gt;COUNT(Dong14),0,IF(OFFSET(TH!O$1,SMALL(Dong14,ROWS($1:12)),)="131",OFFSET(TH!K$1,SMALL(Dong14,ROWS($1:12)),),0))</f>
        <v>448090.2</v>
      </c>
      <c r="K28" s="755">
        <f ca="1">IF(ROWS($1:12)&gt;COUNT(Dong14),0,IF(OFFSET(TH!O$1,SMALL(Dong14,ROWS($1:12)),)="131",OFFSET(TH!M$1,SMALL(Dong14,ROWS($1:12)),),0))</f>
        <v>10171647540</v>
      </c>
      <c r="L28" s="754">
        <f t="shared" ca="1" si="1"/>
        <v>898355.88</v>
      </c>
      <c r="M28" s="753">
        <f t="shared" ca="1" si="2"/>
        <v>20432379254</v>
      </c>
      <c r="N28" s="754">
        <f t="shared" ca="1" si="3"/>
        <v>0</v>
      </c>
      <c r="O28" s="753">
        <f t="shared" ca="1" si="4"/>
        <v>0</v>
      </c>
    </row>
    <row r="29" spans="1:17" s="5" customFormat="1" ht="16.5" customHeight="1">
      <c r="A29" s="218">
        <f t="shared" ca="1" si="0"/>
        <v>42788</v>
      </c>
      <c r="B29" s="222" t="str">
        <f ca="1">IF(ROWS($1:13)&gt;COUNT(Dong14),"",OFFSET(TH!D$1,SMALL(Dong14,ROWS($1:13)),))</f>
        <v>CTGS</v>
      </c>
      <c r="C29" s="218">
        <f ca="1">IF(ROWS($1:13)&gt;COUNT(Dong14),"",OFFSET(TH!E$1,SMALL(Dong14,ROWS($1:13)),))</f>
        <v>42788</v>
      </c>
      <c r="D29" s="757" t="str">
        <f ca="1">IF(ROWS($1:13)&gt;COUNT(Dong14),"",OFFSET(TH!F$1,SMALL(Dong14,ROWS($1:13)),))</f>
        <v>Phí ngân hàng nước ngoài giảm trừ</v>
      </c>
      <c r="E29" s="755" t="str">
        <f ca="1">IF(ROWS($1:13)&gt;COUNT(Dong14),"",IF(OFFSET(TH!N$1,SMALL(Dong14,ROWS($1:13)),)="131",OFFSET(TH!O$1,SMALL(Dong14,ROWS($1:13)),),OFFSET(TH!N$1,SMALL(Dong14,ROWS($1:13)),)))</f>
        <v>642</v>
      </c>
      <c r="F29" s="755">
        <f ca="1">IF(ROWS($1:13)&gt;COUNT(Dong14),0,OFFSET(TH!L$1,SMALL(Dong14,ROWS($1:13)),))</f>
        <v>22700</v>
      </c>
      <c r="G29" s="755"/>
      <c r="H29" s="756">
        <f ca="1">IF(ROWS($1:13)&gt;COUNT(Dong14),0,IF(OFFSET(TH!N$1,SMALL(Dong14,ROWS($1:13)),)="131",OFFSET(TH!K$1,SMALL(Dong14,ROWS($1:13)),),0))</f>
        <v>0</v>
      </c>
      <c r="I29" s="755">
        <f ca="1">IF(ROWS($1:13)&gt;COUNT(Dong14),0,IF(OFFSET(TH!N$1,SMALL(Dong14,ROWS($1:13)),)="131",OFFSET(TH!M$1,SMALL(Dong14,ROWS($1:13)),),0))</f>
        <v>0</v>
      </c>
      <c r="J29" s="756">
        <f ca="1">IF(ROWS($1:13)&gt;COUNT(Dong14),0,IF(OFFSET(TH!O$1,SMALL(Dong14,ROWS($1:13)),)="131",OFFSET(TH!K$1,SMALL(Dong14,ROWS($1:13)),),0))</f>
        <v>12</v>
      </c>
      <c r="K29" s="755">
        <f ca="1">IF(ROWS($1:13)&gt;COUNT(Dong14),0,IF(OFFSET(TH!O$1,SMALL(Dong14,ROWS($1:13)),)="131",OFFSET(TH!M$1,SMALL(Dong14,ROWS($1:13)),),0))</f>
        <v>272400</v>
      </c>
      <c r="L29" s="754">
        <f t="shared" ca="1" si="1"/>
        <v>898343.88</v>
      </c>
      <c r="M29" s="753">
        <f t="shared" ca="1" si="2"/>
        <v>20432106854</v>
      </c>
      <c r="N29" s="754">
        <f t="shared" ca="1" si="3"/>
        <v>0</v>
      </c>
      <c r="O29" s="753">
        <f t="shared" ca="1" si="4"/>
        <v>0</v>
      </c>
    </row>
    <row r="30" spans="1:17" s="5" customFormat="1" ht="16.5" customHeight="1">
      <c r="A30" s="218">
        <f t="shared" ca="1" si="0"/>
        <v>42790</v>
      </c>
      <c r="B30" s="222" t="str">
        <f ca="1">IF(ROWS($1:14)&gt;COUNT(Dong14),"",OFFSET(TH!D$1,SMALL(Dong14,ROWS($1:14)),))</f>
        <v>GBC</v>
      </c>
      <c r="C30" s="218">
        <f ca="1">IF(ROWS($1:14)&gt;COUNT(Dong14),"",OFFSET(TH!E$1,SMALL(Dong14,ROWS($1:14)),))</f>
        <v>42790</v>
      </c>
      <c r="D30" s="757" t="str">
        <f ca="1">IF(ROWS($1:14)&gt;COUNT(Dong14),"",OFFSET(TH!F$1,SMALL(Dong14,ROWS($1:14)),))</f>
        <v xml:space="preserve">Thu tiền hàng </v>
      </c>
      <c r="E30" s="755" t="str">
        <f ca="1">IF(ROWS($1:14)&gt;COUNT(Dong14),"",IF(OFFSET(TH!N$1,SMALL(Dong14,ROWS($1:14)),)="131",OFFSET(TH!O$1,SMALL(Dong14,ROWS($1:14)),),OFFSET(TH!N$1,SMALL(Dong14,ROWS($1:14)),)))</f>
        <v>1122</v>
      </c>
      <c r="F30" s="755">
        <f ca="1">IF(ROWS($1:14)&gt;COUNT(Dong14),0,OFFSET(TH!L$1,SMALL(Dong14,ROWS($1:14)),))</f>
        <v>22700</v>
      </c>
      <c r="G30" s="755"/>
      <c r="H30" s="756">
        <f ca="1">IF(ROWS($1:14)&gt;COUNT(Dong14),0,IF(OFFSET(TH!N$1,SMALL(Dong14,ROWS($1:14)),)="131",OFFSET(TH!K$1,SMALL(Dong14,ROWS($1:14)),),0))</f>
        <v>0</v>
      </c>
      <c r="I30" s="755">
        <f ca="1">IF(ROWS($1:14)&gt;COUNT(Dong14),0,IF(OFFSET(TH!N$1,SMALL(Dong14,ROWS($1:14)),)="131",OFFSET(TH!M$1,SMALL(Dong14,ROWS($1:14)),),0))</f>
        <v>0</v>
      </c>
      <c r="J30" s="756">
        <f ca="1">IF(ROWS($1:14)&gt;COUNT(Dong14),0,IF(OFFSET(TH!O$1,SMALL(Dong14,ROWS($1:14)),)="131",OFFSET(TH!K$1,SMALL(Dong14,ROWS($1:14)),),0))</f>
        <v>450229.68</v>
      </c>
      <c r="K30" s="755">
        <f ca="1">IF(ROWS($1:14)&gt;COUNT(Dong14),0,IF(OFFSET(TH!O$1,SMALL(Dong14,ROWS($1:14)),)="131",OFFSET(TH!M$1,SMALL(Dong14,ROWS($1:14)),),0))</f>
        <v>10220213736</v>
      </c>
      <c r="L30" s="754">
        <f t="shared" ca="1" si="1"/>
        <v>448114.2</v>
      </c>
      <c r="M30" s="753">
        <f t="shared" ca="1" si="2"/>
        <v>10211893118</v>
      </c>
      <c r="N30" s="754">
        <f t="shared" ca="1" si="3"/>
        <v>0</v>
      </c>
      <c r="O30" s="753">
        <f t="shared" ca="1" si="4"/>
        <v>0</v>
      </c>
    </row>
    <row r="31" spans="1:17" s="5" customFormat="1" ht="16.5" customHeight="1">
      <c r="A31" s="218">
        <f t="shared" ca="1" si="0"/>
        <v>42790</v>
      </c>
      <c r="B31" s="222" t="str">
        <f ca="1">IF(ROWS($1:15)&gt;COUNT(Dong14),"",OFFSET(TH!D$1,SMALL(Dong14,ROWS($1:15)),))</f>
        <v>CTGS</v>
      </c>
      <c r="C31" s="218">
        <f ca="1">IF(ROWS($1:15)&gt;COUNT(Dong14),"",OFFSET(TH!E$1,SMALL(Dong14,ROWS($1:15)),))</f>
        <v>42790</v>
      </c>
      <c r="D31" s="757" t="str">
        <f ca="1">IF(ROWS($1:15)&gt;COUNT(Dong14),"",OFFSET(TH!F$1,SMALL(Dong14,ROWS($1:15)),))</f>
        <v>Phí ngân hàng nước ngoài giảm trừ</v>
      </c>
      <c r="E31" s="755" t="str">
        <f ca="1">IF(ROWS($1:15)&gt;COUNT(Dong14),"",IF(OFFSET(TH!N$1,SMALL(Dong14,ROWS($1:15)),)="131",OFFSET(TH!O$1,SMALL(Dong14,ROWS($1:15)),),OFFSET(TH!N$1,SMALL(Dong14,ROWS($1:15)),)))</f>
        <v>642</v>
      </c>
      <c r="F31" s="755">
        <f ca="1">IF(ROWS($1:15)&gt;COUNT(Dong14),0,OFFSET(TH!L$1,SMALL(Dong14,ROWS($1:15)),))</f>
        <v>22700</v>
      </c>
      <c r="G31" s="755"/>
      <c r="H31" s="756">
        <f ca="1">IF(ROWS($1:15)&gt;COUNT(Dong14),0,IF(OFFSET(TH!N$1,SMALL(Dong14,ROWS($1:15)),)="131",OFFSET(TH!K$1,SMALL(Dong14,ROWS($1:15)),),0))</f>
        <v>0</v>
      </c>
      <c r="I31" s="755">
        <f ca="1">IF(ROWS($1:15)&gt;COUNT(Dong14),0,IF(OFFSET(TH!N$1,SMALL(Dong14,ROWS($1:15)),)="131",OFFSET(TH!M$1,SMALL(Dong14,ROWS($1:15)),),0))</f>
        <v>0</v>
      </c>
      <c r="J31" s="756">
        <f ca="1">IF(ROWS($1:15)&gt;COUNT(Dong14),0,IF(OFFSET(TH!O$1,SMALL(Dong14,ROWS($1:15)),)="131",OFFSET(TH!K$1,SMALL(Dong14,ROWS($1:15)),),0))</f>
        <v>12</v>
      </c>
      <c r="K31" s="755">
        <f ca="1">IF(ROWS($1:15)&gt;COUNT(Dong14),0,IF(OFFSET(TH!O$1,SMALL(Dong14,ROWS($1:15)),)="131",OFFSET(TH!M$1,SMALL(Dong14,ROWS($1:15)),),0))</f>
        <v>272400</v>
      </c>
      <c r="L31" s="754">
        <f t="shared" ca="1" si="1"/>
        <v>448102.2</v>
      </c>
      <c r="M31" s="753">
        <f t="shared" ca="1" si="2"/>
        <v>10211620718</v>
      </c>
      <c r="N31" s="754">
        <f t="shared" ca="1" si="3"/>
        <v>0</v>
      </c>
      <c r="O31" s="753">
        <f t="shared" ca="1" si="4"/>
        <v>0</v>
      </c>
    </row>
    <row r="32" spans="1:17" s="5" customFormat="1" ht="16.5" customHeight="1">
      <c r="A32" s="218">
        <f t="shared" ca="1" si="0"/>
        <v>42796</v>
      </c>
      <c r="B32" s="222" t="str">
        <f ca="1">IF(ROWS($1:16)&gt;COUNT(Dong14),"",OFFSET(TH!D$1,SMALL(Dong14,ROWS($1:16)),))</f>
        <v>GBC</v>
      </c>
      <c r="C32" s="218">
        <f ca="1">IF(ROWS($1:16)&gt;COUNT(Dong14),"",OFFSET(TH!E$1,SMALL(Dong14,ROWS($1:16)),))</f>
        <v>42796</v>
      </c>
      <c r="D32" s="757" t="str">
        <f ca="1">IF(ROWS($1:16)&gt;COUNT(Dong14),"",OFFSET(TH!F$1,SMALL(Dong14,ROWS($1:16)),))</f>
        <v xml:space="preserve">Thu tiền hàng </v>
      </c>
      <c r="E32" s="755" t="str">
        <f ca="1">IF(ROWS($1:16)&gt;COUNT(Dong14),"",IF(OFFSET(TH!N$1,SMALL(Dong14,ROWS($1:16)),)="131",OFFSET(TH!O$1,SMALL(Dong14,ROWS($1:16)),),OFFSET(TH!N$1,SMALL(Dong14,ROWS($1:16)),)))</f>
        <v>1122</v>
      </c>
      <c r="F32" s="755">
        <f ca="1">IF(ROWS($1:16)&gt;COUNT(Dong14),0,OFFSET(TH!L$1,SMALL(Dong14,ROWS($1:16)),))</f>
        <v>22700</v>
      </c>
      <c r="G32" s="755"/>
      <c r="H32" s="756">
        <f ca="1">IF(ROWS($1:16)&gt;COUNT(Dong14),0,IF(OFFSET(TH!N$1,SMALL(Dong14,ROWS($1:16)),)="131",OFFSET(TH!K$1,SMALL(Dong14,ROWS($1:16)),),0))</f>
        <v>0</v>
      </c>
      <c r="I32" s="755">
        <f ca="1">IF(ROWS($1:16)&gt;COUNT(Dong14),0,IF(OFFSET(TH!N$1,SMALL(Dong14,ROWS($1:16)),)="131",OFFSET(TH!M$1,SMALL(Dong14,ROWS($1:16)),),0))</f>
        <v>0</v>
      </c>
      <c r="J32" s="756">
        <f ca="1">IF(ROWS($1:16)&gt;COUNT(Dong14),0,IF(OFFSET(TH!O$1,SMALL(Dong14,ROWS($1:16)),)="131",OFFSET(TH!K$1,SMALL(Dong14,ROWS($1:16)),),0))</f>
        <v>448090.2</v>
      </c>
      <c r="K32" s="755">
        <f ca="1">IF(ROWS($1:16)&gt;COUNT(Dong14),0,IF(OFFSET(TH!O$1,SMALL(Dong14,ROWS($1:16)),)="131",OFFSET(TH!M$1,SMALL(Dong14,ROWS($1:16)),),0))</f>
        <v>10171647540</v>
      </c>
      <c r="L32" s="754">
        <f t="shared" ca="1" si="1"/>
        <v>12</v>
      </c>
      <c r="M32" s="753">
        <f t="shared" ca="1" si="2"/>
        <v>39973178</v>
      </c>
      <c r="N32" s="754">
        <f t="shared" ca="1" si="3"/>
        <v>0</v>
      </c>
      <c r="O32" s="753">
        <f t="shared" ca="1" si="4"/>
        <v>0</v>
      </c>
    </row>
    <row r="33" spans="1:17" s="5" customFormat="1" ht="16.5" customHeight="1">
      <c r="A33" s="218">
        <f t="shared" ca="1" si="0"/>
        <v>42796</v>
      </c>
      <c r="B33" s="222" t="str">
        <f ca="1">IF(ROWS($1:17)&gt;COUNT(Dong14),"",OFFSET(TH!D$1,SMALL(Dong14,ROWS($1:17)),))</f>
        <v>CTGS</v>
      </c>
      <c r="C33" s="218">
        <f ca="1">IF(ROWS($1:17)&gt;COUNT(Dong14),"",OFFSET(TH!E$1,SMALL(Dong14,ROWS($1:17)),))</f>
        <v>42796</v>
      </c>
      <c r="D33" s="757" t="str">
        <f ca="1">IF(ROWS($1:17)&gt;COUNT(Dong14),"",OFFSET(TH!F$1,SMALL(Dong14,ROWS($1:17)),))</f>
        <v>Phí ngân hàng nước ngoài giảm trừ</v>
      </c>
      <c r="E33" s="755" t="str">
        <f ca="1">IF(ROWS($1:17)&gt;COUNT(Dong14),"",IF(OFFSET(TH!N$1,SMALL(Dong14,ROWS($1:17)),)="131",OFFSET(TH!O$1,SMALL(Dong14,ROWS($1:17)),),OFFSET(TH!N$1,SMALL(Dong14,ROWS($1:17)),)))</f>
        <v>642</v>
      </c>
      <c r="F33" s="755">
        <f ca="1">IF(ROWS($1:17)&gt;COUNT(Dong14),0,OFFSET(TH!L$1,SMALL(Dong14,ROWS($1:17)),))</f>
        <v>22700</v>
      </c>
      <c r="G33" s="755"/>
      <c r="H33" s="756">
        <f ca="1">IF(ROWS($1:17)&gt;COUNT(Dong14),0,IF(OFFSET(TH!N$1,SMALL(Dong14,ROWS($1:17)),)="131",OFFSET(TH!K$1,SMALL(Dong14,ROWS($1:17)),),0))</f>
        <v>0</v>
      </c>
      <c r="I33" s="755">
        <f ca="1">IF(ROWS($1:17)&gt;COUNT(Dong14),0,IF(OFFSET(TH!N$1,SMALL(Dong14,ROWS($1:17)),)="131",OFFSET(TH!M$1,SMALL(Dong14,ROWS($1:17)),),0))</f>
        <v>0</v>
      </c>
      <c r="J33" s="756">
        <f ca="1">IF(ROWS($1:17)&gt;COUNT(Dong14),0,IF(OFFSET(TH!O$1,SMALL(Dong14,ROWS($1:17)),)="131",OFFSET(TH!K$1,SMALL(Dong14,ROWS($1:17)),),0))</f>
        <v>12</v>
      </c>
      <c r="K33" s="755">
        <f ca="1">IF(ROWS($1:17)&gt;COUNT(Dong14),0,IF(OFFSET(TH!O$1,SMALL(Dong14,ROWS($1:17)),)="131",OFFSET(TH!M$1,SMALL(Dong14,ROWS($1:17)),),0))</f>
        <v>272400</v>
      </c>
      <c r="L33" s="754">
        <f t="shared" ca="1" si="1"/>
        <v>0</v>
      </c>
      <c r="M33" s="753">
        <f t="shared" ca="1" si="2"/>
        <v>39700778</v>
      </c>
      <c r="N33" s="754">
        <f t="shared" ca="1" si="3"/>
        <v>0</v>
      </c>
      <c r="O33" s="753">
        <f t="shared" ca="1" si="4"/>
        <v>0</v>
      </c>
    </row>
    <row r="34" spans="1:17" s="5" customFormat="1" ht="16.5" customHeight="1">
      <c r="A34" s="218">
        <f t="shared" ca="1" si="0"/>
        <v>42796</v>
      </c>
      <c r="B34" s="222" t="str">
        <f ca="1">IF(ROWS($1:18)&gt;COUNT(Dong14),"",OFFSET(TH!D$1,SMALL(Dong14,ROWS($1:18)),))</f>
        <v>CTGS</v>
      </c>
      <c r="C34" s="218">
        <f ca="1">IF(ROWS($1:18)&gt;COUNT(Dong14),"",OFFSET(TH!E$1,SMALL(Dong14,ROWS($1:18)),))</f>
        <v>42796</v>
      </c>
      <c r="D34" s="757" t="str">
        <f ca="1">IF(ROWS($1:18)&gt;COUNT(Dong14),"",OFFSET(TH!F$1,SMALL(Dong14,ROWS($1:18)),))</f>
        <v>Chênh lệch tỷ giá</v>
      </c>
      <c r="E34" s="755" t="str">
        <f ca="1">IF(ROWS($1:18)&gt;COUNT(Dong14),"",IF(OFFSET(TH!N$1,SMALL(Dong14,ROWS($1:18)),)="131",OFFSET(TH!O$1,SMALL(Dong14,ROWS($1:18)),),OFFSET(TH!N$1,SMALL(Dong14,ROWS($1:18)),)))</f>
        <v>635</v>
      </c>
      <c r="F34" s="755">
        <f ca="1">IF(ROWS($1:18)&gt;COUNT(Dong14),0,OFFSET(TH!L$1,SMALL(Dong14,ROWS($1:18)),))</f>
        <v>0</v>
      </c>
      <c r="G34" s="755"/>
      <c r="H34" s="756">
        <f ca="1">IF(ROWS($1:18)&gt;COUNT(Dong14),0,IF(OFFSET(TH!N$1,SMALL(Dong14,ROWS($1:18)),)="131",OFFSET(TH!K$1,SMALL(Dong14,ROWS($1:18)),),0))</f>
        <v>0</v>
      </c>
      <c r="I34" s="755">
        <f ca="1">IF(ROWS($1:18)&gt;COUNT(Dong14),0,IF(OFFSET(TH!N$1,SMALL(Dong14,ROWS($1:18)),)="131",OFFSET(TH!M$1,SMALL(Dong14,ROWS($1:18)),),0))</f>
        <v>0</v>
      </c>
      <c r="J34" s="756">
        <f ca="1">IF(ROWS($1:18)&gt;COUNT(Dong14),0,IF(OFFSET(TH!O$1,SMALL(Dong14,ROWS($1:18)),)="131",OFFSET(TH!K$1,SMALL(Dong14,ROWS($1:18)),),0))</f>
        <v>0</v>
      </c>
      <c r="K34" s="755">
        <f ca="1">IF(ROWS($1:18)&gt;COUNT(Dong14),0,IF(OFFSET(TH!O$1,SMALL(Dong14,ROWS($1:18)),)="131",OFFSET(TH!M$1,SMALL(Dong14,ROWS($1:18)),),0))</f>
        <v>39700778</v>
      </c>
      <c r="L34" s="754">
        <f t="shared" ca="1" si="1"/>
        <v>0</v>
      </c>
      <c r="M34" s="753">
        <f t="shared" ca="1" si="2"/>
        <v>0</v>
      </c>
      <c r="N34" s="754">
        <f t="shared" ca="1" si="3"/>
        <v>0</v>
      </c>
      <c r="O34" s="753">
        <f t="shared" ca="1" si="4"/>
        <v>0</v>
      </c>
    </row>
    <row r="35" spans="1:17" s="5" customFormat="1" ht="16.5" customHeight="1">
      <c r="A35" s="218" t="str">
        <f t="shared" ca="1" si="0"/>
        <v/>
      </c>
      <c r="B35" s="222" t="str">
        <f ca="1">IF(ROWS($1:19)&gt;COUNT(Dong14),"",OFFSET(TH!D$1,SMALL(Dong14,ROWS($1:19)),))</f>
        <v/>
      </c>
      <c r="C35" s="218" t="str">
        <f ca="1">IF(ROWS($1:19)&gt;COUNT(Dong14),"",OFFSET(TH!E$1,SMALL(Dong14,ROWS($1:19)),))</f>
        <v/>
      </c>
      <c r="D35" s="757" t="str">
        <f ca="1">IF(ROWS($1:19)&gt;COUNT(Dong14),"",OFFSET(TH!F$1,SMALL(Dong14,ROWS($1:19)),))</f>
        <v/>
      </c>
      <c r="E35" s="755" t="str">
        <f ca="1">IF(ROWS($1:19)&gt;COUNT(Dong14),"",IF(OFFSET(TH!N$1,SMALL(Dong14,ROWS($1:19)),)="131",OFFSET(TH!O$1,SMALL(Dong14,ROWS($1:19)),),OFFSET(TH!N$1,SMALL(Dong14,ROWS($1:19)),)))</f>
        <v/>
      </c>
      <c r="F35" s="755">
        <f ca="1">IF(ROWS($1:19)&gt;COUNT(Dong14),0,OFFSET(TH!L$1,SMALL(Dong14,ROWS($1:19)),))</f>
        <v>0</v>
      </c>
      <c r="G35" s="755"/>
      <c r="H35" s="756">
        <f ca="1">IF(ROWS($1:19)&gt;COUNT(Dong14),0,IF(OFFSET(TH!N$1,SMALL(Dong14,ROWS($1:19)),)="131",OFFSET(TH!K$1,SMALL(Dong14,ROWS($1:19)),),0))</f>
        <v>0</v>
      </c>
      <c r="I35" s="755">
        <f ca="1">IF(ROWS($1:19)&gt;COUNT(Dong14),0,IF(OFFSET(TH!N$1,SMALL(Dong14,ROWS($1:19)),)="131",OFFSET(TH!M$1,SMALL(Dong14,ROWS($1:19)),),0))</f>
        <v>0</v>
      </c>
      <c r="J35" s="756">
        <f ca="1">IF(ROWS($1:19)&gt;COUNT(Dong14),0,IF(OFFSET(TH!O$1,SMALL(Dong14,ROWS($1:19)),)="131",OFFSET(TH!K$1,SMALL(Dong14,ROWS($1:19)),),0))</f>
        <v>0</v>
      </c>
      <c r="K35" s="755">
        <f ca="1">IF(ROWS($1:19)&gt;COUNT(Dong14),0,IF(OFFSET(TH!O$1,SMALL(Dong14,ROWS($1:19)),)="131",OFFSET(TH!M$1,SMALL(Dong14,ROWS($1:19)),),0))</f>
        <v>0</v>
      </c>
      <c r="L35" s="754">
        <f t="shared" ca="1" si="1"/>
        <v>0</v>
      </c>
      <c r="M35" s="753">
        <f t="shared" ca="1" si="2"/>
        <v>0</v>
      </c>
      <c r="N35" s="754">
        <f t="shared" ca="1" si="3"/>
        <v>0</v>
      </c>
      <c r="O35" s="753">
        <f t="shared" ca="1" si="4"/>
        <v>0</v>
      </c>
      <c r="Q35" s="241"/>
    </row>
    <row r="36" spans="1:17" s="5" customFormat="1" ht="16.5" customHeight="1">
      <c r="A36" s="218" t="str">
        <f t="shared" ca="1" si="0"/>
        <v/>
      </c>
      <c r="B36" s="222" t="str">
        <f ca="1">IF(ROWS($1:20)&gt;COUNT(Dong14),"",OFFSET(TH!D$1,SMALL(Dong14,ROWS($1:20)),))</f>
        <v/>
      </c>
      <c r="C36" s="218" t="str">
        <f ca="1">IF(ROWS($1:20)&gt;COUNT(Dong14),"",OFFSET(TH!E$1,SMALL(Dong14,ROWS($1:20)),))</f>
        <v/>
      </c>
      <c r="D36" s="757" t="str">
        <f ca="1">IF(ROWS($1:20)&gt;COUNT(Dong14),"",OFFSET(TH!F$1,SMALL(Dong14,ROWS($1:20)),))</f>
        <v/>
      </c>
      <c r="E36" s="755" t="str">
        <f ca="1">IF(ROWS($1:20)&gt;COUNT(Dong14),"",IF(OFFSET(TH!N$1,SMALL(Dong14,ROWS($1:20)),)="131",OFFSET(TH!O$1,SMALL(Dong14,ROWS($1:20)),),OFFSET(TH!N$1,SMALL(Dong14,ROWS($1:20)),)))</f>
        <v/>
      </c>
      <c r="F36" s="755">
        <f ca="1">IF(ROWS($1:20)&gt;COUNT(Dong14),0,OFFSET(TH!L$1,SMALL(Dong14,ROWS($1:20)),))</f>
        <v>0</v>
      </c>
      <c r="G36" s="755"/>
      <c r="H36" s="756">
        <f ca="1">IF(ROWS($1:20)&gt;COUNT(Dong14),0,IF(OFFSET(TH!N$1,SMALL(Dong14,ROWS($1:20)),)="131",OFFSET(TH!K$1,SMALL(Dong14,ROWS($1:20)),),0))</f>
        <v>0</v>
      </c>
      <c r="I36" s="755">
        <f ca="1">IF(ROWS($1:20)&gt;COUNT(Dong14),0,IF(OFFSET(TH!N$1,SMALL(Dong14,ROWS($1:20)),)="131",OFFSET(TH!M$1,SMALL(Dong14,ROWS($1:20)),),0))</f>
        <v>0</v>
      </c>
      <c r="J36" s="756">
        <f ca="1">IF(ROWS($1:20)&gt;COUNT(Dong14),0,IF(OFFSET(TH!O$1,SMALL(Dong14,ROWS($1:20)),)="131",OFFSET(TH!K$1,SMALL(Dong14,ROWS($1:20)),),0))</f>
        <v>0</v>
      </c>
      <c r="K36" s="755">
        <f ca="1">IF(ROWS($1:20)&gt;COUNT(Dong14),0,IF(OFFSET(TH!O$1,SMALL(Dong14,ROWS($1:20)),)="131",OFFSET(TH!M$1,SMALL(Dong14,ROWS($1:20)),),0))</f>
        <v>0</v>
      </c>
      <c r="L36" s="754">
        <f t="shared" ca="1" si="1"/>
        <v>0</v>
      </c>
      <c r="M36" s="753">
        <f t="shared" ca="1" si="2"/>
        <v>0</v>
      </c>
      <c r="N36" s="754">
        <f t="shared" ca="1" si="3"/>
        <v>0</v>
      </c>
      <c r="O36" s="753">
        <f t="shared" ca="1" si="4"/>
        <v>0</v>
      </c>
    </row>
    <row r="37" spans="1:17" s="5" customFormat="1" ht="16.5" customHeight="1">
      <c r="A37" s="218" t="str">
        <f t="shared" ca="1" si="0"/>
        <v/>
      </c>
      <c r="B37" s="222" t="str">
        <f ca="1">IF(ROWS($1:21)&gt;COUNT(Dong14),"",OFFSET(TH!D$1,SMALL(Dong14,ROWS($1:21)),))</f>
        <v/>
      </c>
      <c r="C37" s="218" t="str">
        <f ca="1">IF(ROWS($1:21)&gt;COUNT(Dong14),"",OFFSET(TH!E$1,SMALL(Dong14,ROWS($1:21)),))</f>
        <v/>
      </c>
      <c r="D37" s="757" t="str">
        <f ca="1">IF(ROWS($1:21)&gt;COUNT(Dong14),"",OFFSET(TH!F$1,SMALL(Dong14,ROWS($1:21)),))</f>
        <v/>
      </c>
      <c r="E37" s="755" t="str">
        <f ca="1">IF(ROWS($1:21)&gt;COUNT(Dong14),"",IF(OFFSET(TH!N$1,SMALL(Dong14,ROWS($1:21)),)="131",OFFSET(TH!O$1,SMALL(Dong14,ROWS($1:21)),),OFFSET(TH!N$1,SMALL(Dong14,ROWS($1:21)),)))</f>
        <v/>
      </c>
      <c r="F37" s="755">
        <f ca="1">IF(ROWS($1:21)&gt;COUNT(Dong14),0,OFFSET(TH!L$1,SMALL(Dong14,ROWS($1:21)),))</f>
        <v>0</v>
      </c>
      <c r="G37" s="755"/>
      <c r="H37" s="756">
        <f ca="1">IF(ROWS($1:21)&gt;COUNT(Dong14),0,IF(OFFSET(TH!N$1,SMALL(Dong14,ROWS($1:21)),)="131",OFFSET(TH!K$1,SMALL(Dong14,ROWS($1:21)),),0))</f>
        <v>0</v>
      </c>
      <c r="I37" s="755">
        <f ca="1">IF(ROWS($1:21)&gt;COUNT(Dong14),0,IF(OFFSET(TH!N$1,SMALL(Dong14,ROWS($1:21)),)="131",OFFSET(TH!M$1,SMALL(Dong14,ROWS($1:21)),),0))</f>
        <v>0</v>
      </c>
      <c r="J37" s="756">
        <f ca="1">IF(ROWS($1:21)&gt;COUNT(Dong14),0,IF(OFFSET(TH!O$1,SMALL(Dong14,ROWS($1:21)),)="131",OFFSET(TH!K$1,SMALL(Dong14,ROWS($1:21)),),0))</f>
        <v>0</v>
      </c>
      <c r="K37" s="755">
        <f ca="1">IF(ROWS($1:21)&gt;COUNT(Dong14),0,IF(OFFSET(TH!O$1,SMALL(Dong14,ROWS($1:21)),)="131",OFFSET(TH!M$1,SMALL(Dong14,ROWS($1:21)),),0))</f>
        <v>0</v>
      </c>
      <c r="L37" s="754">
        <f t="shared" ca="1" si="1"/>
        <v>0</v>
      </c>
      <c r="M37" s="753">
        <f t="shared" ca="1" si="2"/>
        <v>0</v>
      </c>
      <c r="N37" s="754">
        <f t="shared" ca="1" si="3"/>
        <v>0</v>
      </c>
      <c r="O37" s="753">
        <f t="shared" ca="1" si="4"/>
        <v>0</v>
      </c>
    </row>
    <row r="38" spans="1:17" s="5" customFormat="1" ht="16.5" customHeight="1">
      <c r="A38" s="218" t="str">
        <f t="shared" ca="1" si="0"/>
        <v/>
      </c>
      <c r="B38" s="222" t="str">
        <f ca="1">IF(ROWS($1:22)&gt;COUNT(Dong14),"",OFFSET(TH!D$1,SMALL(Dong14,ROWS($1:22)),))</f>
        <v/>
      </c>
      <c r="C38" s="218" t="str">
        <f ca="1">IF(ROWS($1:22)&gt;COUNT(Dong14),"",OFFSET(TH!E$1,SMALL(Dong14,ROWS($1:22)),))</f>
        <v/>
      </c>
      <c r="D38" s="757" t="str">
        <f ca="1">IF(ROWS($1:22)&gt;COUNT(Dong14),"",OFFSET(TH!F$1,SMALL(Dong14,ROWS($1:22)),))</f>
        <v/>
      </c>
      <c r="E38" s="755" t="str">
        <f ca="1">IF(ROWS($1:22)&gt;COUNT(Dong14),"",IF(OFFSET(TH!N$1,SMALL(Dong14,ROWS($1:22)),)="131",OFFSET(TH!O$1,SMALL(Dong14,ROWS($1:22)),),OFFSET(TH!N$1,SMALL(Dong14,ROWS($1:22)),)))</f>
        <v/>
      </c>
      <c r="F38" s="755">
        <f ca="1">IF(ROWS($1:22)&gt;COUNT(Dong14),0,OFFSET(TH!L$1,SMALL(Dong14,ROWS($1:22)),))</f>
        <v>0</v>
      </c>
      <c r="G38" s="755"/>
      <c r="H38" s="756">
        <f ca="1">IF(ROWS($1:22)&gt;COUNT(Dong14),0,IF(OFFSET(TH!N$1,SMALL(Dong14,ROWS($1:22)),)="131",OFFSET(TH!K$1,SMALL(Dong14,ROWS($1:22)),),0))</f>
        <v>0</v>
      </c>
      <c r="I38" s="755">
        <f ca="1">IF(ROWS($1:22)&gt;COUNT(Dong14),0,IF(OFFSET(TH!N$1,SMALL(Dong14,ROWS($1:22)),)="131",OFFSET(TH!M$1,SMALL(Dong14,ROWS($1:22)),),0))</f>
        <v>0</v>
      </c>
      <c r="J38" s="756">
        <f ca="1">IF(ROWS($1:22)&gt;COUNT(Dong14),0,IF(OFFSET(TH!O$1,SMALL(Dong14,ROWS($1:22)),)="131",OFFSET(TH!K$1,SMALL(Dong14,ROWS($1:22)),),0))</f>
        <v>0</v>
      </c>
      <c r="K38" s="755">
        <f ca="1">IF(ROWS($1:22)&gt;COUNT(Dong14),0,IF(OFFSET(TH!O$1,SMALL(Dong14,ROWS($1:22)),)="131",OFFSET(TH!M$1,SMALL(Dong14,ROWS($1:22)),),0))</f>
        <v>0</v>
      </c>
      <c r="L38" s="754">
        <f t="shared" ca="1" si="1"/>
        <v>0</v>
      </c>
      <c r="M38" s="753">
        <f t="shared" ca="1" si="2"/>
        <v>0</v>
      </c>
      <c r="N38" s="754">
        <f t="shared" ca="1" si="3"/>
        <v>0</v>
      </c>
      <c r="O38" s="753">
        <f t="shared" ca="1" si="4"/>
        <v>0</v>
      </c>
    </row>
    <row r="39" spans="1:17" s="5" customFormat="1" ht="16.5" customHeight="1">
      <c r="A39" s="218" t="str">
        <f t="shared" ca="1" si="0"/>
        <v/>
      </c>
      <c r="B39" s="222" t="str">
        <f ca="1">IF(ROWS($1:23)&gt;COUNT(Dong14),"",OFFSET(TH!D$1,SMALL(Dong14,ROWS($1:23)),))</f>
        <v/>
      </c>
      <c r="C39" s="218" t="str">
        <f ca="1">IF(ROWS($1:23)&gt;COUNT(Dong14),"",OFFSET(TH!E$1,SMALL(Dong14,ROWS($1:23)),))</f>
        <v/>
      </c>
      <c r="D39" s="757" t="str">
        <f ca="1">IF(ROWS($1:23)&gt;COUNT(Dong14),"",OFFSET(TH!F$1,SMALL(Dong14,ROWS($1:23)),))</f>
        <v/>
      </c>
      <c r="E39" s="755" t="str">
        <f ca="1">IF(ROWS($1:23)&gt;COUNT(Dong14),"",IF(OFFSET(TH!N$1,SMALL(Dong14,ROWS($1:23)),)="131",OFFSET(TH!O$1,SMALL(Dong14,ROWS($1:23)),),OFFSET(TH!N$1,SMALL(Dong14,ROWS($1:23)),)))</f>
        <v/>
      </c>
      <c r="F39" s="755">
        <f ca="1">IF(ROWS($1:23)&gt;COUNT(Dong14),0,OFFSET(TH!L$1,SMALL(Dong14,ROWS($1:23)),))</f>
        <v>0</v>
      </c>
      <c r="G39" s="755"/>
      <c r="H39" s="756">
        <f ca="1">IF(ROWS($1:23)&gt;COUNT(Dong14),0,IF(OFFSET(TH!N$1,SMALL(Dong14,ROWS($1:23)),)="131",OFFSET(TH!K$1,SMALL(Dong14,ROWS($1:23)),),0))</f>
        <v>0</v>
      </c>
      <c r="I39" s="755">
        <f ca="1">IF(ROWS($1:23)&gt;COUNT(Dong14),0,IF(OFFSET(TH!N$1,SMALL(Dong14,ROWS($1:23)),)="131",OFFSET(TH!M$1,SMALL(Dong14,ROWS($1:23)),),0))</f>
        <v>0</v>
      </c>
      <c r="J39" s="756">
        <f ca="1">IF(ROWS($1:23)&gt;COUNT(Dong14),0,IF(OFFSET(TH!O$1,SMALL(Dong14,ROWS($1:23)),)="131",OFFSET(TH!K$1,SMALL(Dong14,ROWS($1:23)),),0))</f>
        <v>0</v>
      </c>
      <c r="K39" s="755">
        <f ca="1">IF(ROWS($1:23)&gt;COUNT(Dong14),0,IF(OFFSET(TH!O$1,SMALL(Dong14,ROWS($1:23)),)="131",OFFSET(TH!M$1,SMALL(Dong14,ROWS($1:23)),),0))</f>
        <v>0</v>
      </c>
      <c r="L39" s="754">
        <f t="shared" ca="1" si="1"/>
        <v>0</v>
      </c>
      <c r="M39" s="753">
        <f t="shared" ca="1" si="2"/>
        <v>0</v>
      </c>
      <c r="N39" s="754">
        <f t="shared" ca="1" si="3"/>
        <v>0</v>
      </c>
      <c r="O39" s="753">
        <f t="shared" ca="1" si="4"/>
        <v>0</v>
      </c>
    </row>
    <row r="40" spans="1:17" s="5" customFormat="1" ht="16.5" customHeight="1">
      <c r="A40" s="218" t="str">
        <f t="shared" ca="1" si="0"/>
        <v/>
      </c>
      <c r="B40" s="222" t="str">
        <f ca="1">IF(ROWS($1:24)&gt;COUNT(Dong14),"",OFFSET(TH!D$1,SMALL(Dong14,ROWS($1:24)),))</f>
        <v/>
      </c>
      <c r="C40" s="218" t="str">
        <f ca="1">IF(ROWS($1:24)&gt;COUNT(Dong14),"",OFFSET(TH!E$1,SMALL(Dong14,ROWS($1:24)),))</f>
        <v/>
      </c>
      <c r="D40" s="757" t="str">
        <f ca="1">IF(ROWS($1:24)&gt;COUNT(Dong14),"",OFFSET(TH!F$1,SMALL(Dong14,ROWS($1:24)),))</f>
        <v/>
      </c>
      <c r="E40" s="755" t="str">
        <f ca="1">IF(ROWS($1:24)&gt;COUNT(Dong14),"",IF(OFFSET(TH!N$1,SMALL(Dong14,ROWS($1:24)),)="131",OFFSET(TH!O$1,SMALL(Dong14,ROWS($1:24)),),OFFSET(TH!N$1,SMALL(Dong14,ROWS($1:24)),)))</f>
        <v/>
      </c>
      <c r="F40" s="755">
        <f ca="1">IF(ROWS($1:24)&gt;COUNT(Dong14),0,OFFSET(TH!L$1,SMALL(Dong14,ROWS($1:24)),))</f>
        <v>0</v>
      </c>
      <c r="G40" s="755"/>
      <c r="H40" s="756">
        <f ca="1">IF(ROWS($1:24)&gt;COUNT(Dong14),0,IF(OFFSET(TH!N$1,SMALL(Dong14,ROWS($1:24)),)="131",OFFSET(TH!K$1,SMALL(Dong14,ROWS($1:24)),),0))</f>
        <v>0</v>
      </c>
      <c r="I40" s="755">
        <f ca="1">IF(ROWS($1:24)&gt;COUNT(Dong14),0,IF(OFFSET(TH!N$1,SMALL(Dong14,ROWS($1:24)),)="131",OFFSET(TH!M$1,SMALL(Dong14,ROWS($1:24)),),0))</f>
        <v>0</v>
      </c>
      <c r="J40" s="756">
        <f ca="1">IF(ROWS($1:24)&gt;COUNT(Dong14),0,IF(OFFSET(TH!O$1,SMALL(Dong14,ROWS($1:24)),)="131",OFFSET(TH!K$1,SMALL(Dong14,ROWS($1:24)),),0))</f>
        <v>0</v>
      </c>
      <c r="K40" s="755">
        <f ca="1">IF(ROWS($1:24)&gt;COUNT(Dong14),0,IF(OFFSET(TH!O$1,SMALL(Dong14,ROWS($1:24)),)="131",OFFSET(TH!M$1,SMALL(Dong14,ROWS($1:24)),),0))</f>
        <v>0</v>
      </c>
      <c r="L40" s="754">
        <f t="shared" ca="1" si="1"/>
        <v>0</v>
      </c>
      <c r="M40" s="753">
        <f t="shared" ca="1" si="2"/>
        <v>0</v>
      </c>
      <c r="N40" s="754">
        <f t="shared" ca="1" si="3"/>
        <v>0</v>
      </c>
      <c r="O40" s="753">
        <f t="shared" ca="1" si="4"/>
        <v>0</v>
      </c>
    </row>
    <row r="41" spans="1:17" s="5" customFormat="1" ht="16.5" customHeight="1">
      <c r="A41" s="752"/>
      <c r="B41" s="752"/>
      <c r="C41" s="752"/>
      <c r="D41" s="751" t="s">
        <v>35</v>
      </c>
      <c r="E41" s="750" t="s">
        <v>21</v>
      </c>
      <c r="F41" s="750"/>
      <c r="G41" s="747" t="s">
        <v>21</v>
      </c>
      <c r="H41" s="748">
        <f ca="1">SUM(H17:H40)</f>
        <v>277622.8</v>
      </c>
      <c r="I41" s="747">
        <f ca="1">SUM(I17:I40)</f>
        <v>6310366244</v>
      </c>
      <c r="J41" s="749">
        <f ca="1">SUM(J17:J40)</f>
        <v>2653436.96</v>
      </c>
      <c r="K41" s="747">
        <f ca="1">ROUND(SUM(K17:K40),0)</f>
        <v>60185015634</v>
      </c>
      <c r="L41" s="748" t="s">
        <v>21</v>
      </c>
      <c r="M41" s="747" t="s">
        <v>21</v>
      </c>
      <c r="N41" s="747" t="s">
        <v>21</v>
      </c>
      <c r="O41" s="747" t="s">
        <v>21</v>
      </c>
    </row>
    <row r="42" spans="1:17" s="5" customFormat="1" ht="16.5" customHeight="1">
      <c r="A42" s="752"/>
      <c r="B42" s="752"/>
      <c r="C42" s="752"/>
      <c r="D42" s="751" t="s">
        <v>10</v>
      </c>
      <c r="E42" s="750" t="s">
        <v>21</v>
      </c>
      <c r="F42" s="750"/>
      <c r="G42" s="747" t="s">
        <v>21</v>
      </c>
      <c r="H42" s="748" t="s">
        <v>21</v>
      </c>
      <c r="I42" s="747" t="s">
        <v>21</v>
      </c>
      <c r="J42" s="749" t="s">
        <v>21</v>
      </c>
      <c r="K42" s="747" t="s">
        <v>21</v>
      </c>
      <c r="L42" s="748">
        <f ca="1">ROUND(MAX(L16+H41-N16-J41,0),2)</f>
        <v>0</v>
      </c>
      <c r="M42" s="747">
        <f ca="1">ROUND(MAX(M16+I41-O16-K41,0),0)</f>
        <v>0</v>
      </c>
      <c r="N42" s="747">
        <f ca="1">ROUND(MAX(N16+J41-L16-H41,0),2)</f>
        <v>0</v>
      </c>
      <c r="O42" s="747">
        <f ca="1">ROUND(MAX(O16+K41-M16-I41,0),-1)</f>
        <v>0</v>
      </c>
    </row>
    <row r="43" spans="1:17" s="5" customFormat="1" ht="15">
      <c r="A43" s="219" t="s">
        <v>485</v>
      </c>
      <c r="B43" s="4"/>
      <c r="C43" s="4"/>
      <c r="E43" s="4"/>
      <c r="F43" s="718"/>
      <c r="G43" s="744"/>
      <c r="H43" s="746"/>
      <c r="I43" s="744"/>
      <c r="J43" s="240"/>
      <c r="K43" s="744"/>
    </row>
    <row r="44" spans="1:17" s="5" customFormat="1" ht="15">
      <c r="A44" s="219" t="s">
        <v>187</v>
      </c>
      <c r="B44" s="4"/>
      <c r="C44" s="4"/>
      <c r="E44" s="4"/>
      <c r="F44" s="718"/>
      <c r="G44" s="744"/>
      <c r="H44" s="746"/>
      <c r="I44" s="744"/>
      <c r="J44" s="240"/>
      <c r="K44" s="744"/>
    </row>
    <row r="45" spans="1:17" s="5" customFormat="1" ht="15">
      <c r="A45" s="4"/>
      <c r="B45" s="4"/>
      <c r="C45" s="4"/>
      <c r="E45" s="4"/>
      <c r="F45" s="718"/>
      <c r="G45" s="744"/>
      <c r="H45" s="745"/>
      <c r="I45" s="744"/>
      <c r="J45" s="1272" t="s">
        <v>901</v>
      </c>
      <c r="K45" s="1272"/>
      <c r="L45" s="1272"/>
      <c r="M45" s="1272"/>
      <c r="N45" s="1272"/>
      <c r="O45" s="1272"/>
    </row>
    <row r="46" spans="1:17" s="5" customFormat="1" ht="15">
      <c r="A46" s="4"/>
      <c r="C46" s="4"/>
      <c r="D46" s="909" t="s">
        <v>11</v>
      </c>
      <c r="E46" s="4"/>
      <c r="F46" s="718"/>
      <c r="G46" s="744"/>
      <c r="H46" s="745"/>
      <c r="I46" s="744"/>
      <c r="J46" s="240"/>
      <c r="K46" s="744"/>
      <c r="L46" s="1272" t="s">
        <v>12</v>
      </c>
      <c r="M46" s="1272"/>
    </row>
    <row r="47" spans="1:17" s="5" customFormat="1" ht="15">
      <c r="A47" s="4"/>
      <c r="C47" s="4"/>
      <c r="D47" s="909" t="s">
        <v>13</v>
      </c>
      <c r="E47" s="4"/>
      <c r="F47" s="718"/>
      <c r="G47" s="744"/>
      <c r="H47" s="745"/>
      <c r="I47" s="744"/>
      <c r="J47" s="240"/>
      <c r="K47" s="744"/>
      <c r="L47" s="1272" t="s">
        <v>13</v>
      </c>
      <c r="M47" s="1272"/>
    </row>
    <row r="48" spans="1:17" s="139" customFormat="1" ht="14.25">
      <c r="D48" s="943"/>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45:O45"/>
    <mergeCell ref="L46:M46"/>
    <mergeCell ref="L47:M47"/>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0"/>
  <sheetViews>
    <sheetView topLeftCell="A6" workbookViewId="0">
      <pane xSplit="3" ySplit="6" topLeftCell="D99" activePane="bottomRight" state="frozen"/>
      <selection activeCell="C33" sqref="C33"/>
      <selection pane="topRight" activeCell="C33" sqref="C33"/>
      <selection pane="bottomLeft" activeCell="C33" sqref="C33"/>
      <selection pane="bottomRight" activeCell="K38" sqref="K38 K45 K50"/>
    </sheetView>
  </sheetViews>
  <sheetFormatPr defaultRowHeight="12.75"/>
  <cols>
    <col min="1" max="1" width="3.7109375" customWidth="1"/>
    <col min="2" max="2" width="3.42578125" customWidth="1"/>
    <col min="3" max="3" width="28.28515625" customWidth="1"/>
    <col min="4" max="4" width="7.7109375" customWidth="1"/>
    <col min="5" max="5" width="9.42578125" customWidth="1"/>
    <col min="6" max="6" width="12.5703125" customWidth="1"/>
    <col min="7" max="7" width="11.85546875" customWidth="1"/>
    <col min="8" max="8" width="15.42578125" customWidth="1"/>
    <col min="9" max="9" width="11.7109375" customWidth="1"/>
    <col min="10" max="10" width="13.85546875" customWidth="1"/>
    <col min="11" max="11" width="12" customWidth="1"/>
    <col min="12" max="12" width="12.85546875" customWidth="1"/>
    <col min="13" max="13" width="3.28515625" customWidth="1"/>
    <col min="14" max="14" width="24.140625" customWidth="1"/>
    <col min="15" max="15" width="10.5703125" customWidth="1"/>
    <col min="16" max="16" width="10.42578125" customWidth="1"/>
    <col min="17" max="17" width="22.28515625" customWidth="1"/>
    <col min="18" max="18" width="12" customWidth="1"/>
    <col min="19" max="19" width="4.85546875" customWidth="1"/>
  </cols>
  <sheetData>
    <row r="1" spans="1:19" s="414" customFormat="1" ht="14.25" customHeight="1">
      <c r="B1" s="445" t="s">
        <v>314</v>
      </c>
      <c r="C1" s="446"/>
      <c r="D1" s="446"/>
      <c r="E1" s="446"/>
      <c r="F1" s="447"/>
      <c r="G1" s="447"/>
      <c r="H1" s="1305" t="s">
        <v>315</v>
      </c>
      <c r="I1" s="1305"/>
      <c r="J1" s="1305"/>
      <c r="K1" s="1305"/>
      <c r="L1" s="1305"/>
      <c r="M1" s="448"/>
      <c r="N1" s="232"/>
      <c r="O1" s="412"/>
    </row>
    <row r="2" spans="1:19" s="414" customFormat="1" ht="14.25" customHeight="1">
      <c r="B2" s="449" t="s">
        <v>316</v>
      </c>
      <c r="C2" s="450"/>
      <c r="D2" s="450"/>
      <c r="E2" s="450"/>
      <c r="F2" s="450"/>
      <c r="G2" s="450"/>
      <c r="H2" s="1306" t="s">
        <v>317</v>
      </c>
      <c r="I2" s="1306"/>
      <c r="J2" s="1306"/>
      <c r="K2" s="1306"/>
      <c r="L2" s="1306"/>
      <c r="M2" s="451"/>
      <c r="N2" s="233"/>
      <c r="O2" s="413"/>
    </row>
    <row r="3" spans="1:19" s="414" customFormat="1" ht="14.25" customHeight="1">
      <c r="B3" s="450"/>
      <c r="C3" s="450"/>
      <c r="D3" s="450"/>
      <c r="E3" s="450"/>
      <c r="F3" s="450"/>
      <c r="G3" s="450"/>
      <c r="H3" s="1334" t="s">
        <v>318</v>
      </c>
      <c r="I3" s="1334"/>
      <c r="J3" s="1334"/>
      <c r="K3" s="1334"/>
      <c r="L3" s="1334"/>
      <c r="M3" s="452"/>
      <c r="N3" s="453"/>
      <c r="O3" s="413"/>
    </row>
    <row r="4" spans="1:19" s="454" customFormat="1" ht="27.75" customHeight="1">
      <c r="B4" s="1335" t="s">
        <v>319</v>
      </c>
      <c r="C4" s="1335"/>
      <c r="D4" s="1335"/>
      <c r="E4" s="1335"/>
      <c r="F4" s="1335"/>
      <c r="G4" s="1335"/>
      <c r="H4" s="1335"/>
      <c r="I4" s="1335"/>
      <c r="J4" s="1335"/>
      <c r="K4" s="1335"/>
      <c r="L4" s="1335"/>
      <c r="M4" s="455"/>
    </row>
    <row r="5" spans="1:19" s="454" customFormat="1" ht="15">
      <c r="B5" s="1333" t="s">
        <v>320</v>
      </c>
      <c r="C5" s="1333"/>
      <c r="D5" s="1333"/>
      <c r="E5" s="1333"/>
      <c r="F5" s="1333"/>
      <c r="G5" s="1333"/>
      <c r="H5" s="1333"/>
      <c r="I5" s="1333"/>
      <c r="J5" s="1333"/>
      <c r="K5" s="1333"/>
      <c r="L5" s="1333"/>
      <c r="M5" s="455"/>
    </row>
    <row r="6" spans="1:19" s="454" customFormat="1" ht="15" hidden="1">
      <c r="B6" s="1333" t="s">
        <v>321</v>
      </c>
      <c r="C6" s="1333"/>
      <c r="D6" s="1333"/>
      <c r="E6" s="1333"/>
      <c r="F6" s="1333"/>
      <c r="G6" s="1333"/>
      <c r="H6" s="1333"/>
      <c r="I6" s="1333"/>
      <c r="J6" s="1333"/>
      <c r="K6" s="1333"/>
      <c r="L6" s="1333"/>
      <c r="M6" s="455"/>
    </row>
    <row r="7" spans="1:19" s="456" customFormat="1" ht="27.75" hidden="1">
      <c r="C7" s="1345" t="s">
        <v>322</v>
      </c>
      <c r="D7" s="1345"/>
      <c r="E7" s="1345"/>
      <c r="F7" s="1345"/>
      <c r="G7" s="1345"/>
      <c r="H7" s="1345"/>
      <c r="I7" s="1345"/>
      <c r="J7" s="1345"/>
      <c r="K7" s="1345"/>
      <c r="L7" s="1345"/>
      <c r="M7" s="457"/>
    </row>
    <row r="8" spans="1:19" s="458" customFormat="1">
      <c r="B8" s="1336" t="s">
        <v>37</v>
      </c>
      <c r="C8" s="1337" t="s">
        <v>323</v>
      </c>
      <c r="D8" s="1338" t="s">
        <v>324</v>
      </c>
      <c r="E8" s="1340" t="s">
        <v>167</v>
      </c>
      <c r="F8" s="1340"/>
      <c r="G8" s="1340"/>
      <c r="H8" s="1340"/>
      <c r="I8" s="1340"/>
      <c r="J8" s="1340"/>
      <c r="K8" s="1340"/>
      <c r="L8" s="1340"/>
      <c r="M8" s="459"/>
      <c r="N8" s="1341" t="s">
        <v>325</v>
      </c>
      <c r="O8" s="1341" t="s">
        <v>326</v>
      </c>
      <c r="P8" s="1341" t="s">
        <v>327</v>
      </c>
      <c r="Q8" s="1341" t="s">
        <v>328</v>
      </c>
      <c r="R8" s="1341" t="s">
        <v>329</v>
      </c>
      <c r="S8" s="1341" t="s">
        <v>330</v>
      </c>
    </row>
    <row r="9" spans="1:19" s="458" customFormat="1" ht="20.25" customHeight="1">
      <c r="B9" s="1336"/>
      <c r="C9" s="1337"/>
      <c r="D9" s="1339"/>
      <c r="E9" s="1340" t="s">
        <v>331</v>
      </c>
      <c r="F9" s="1340"/>
      <c r="G9" s="1344" t="s">
        <v>332</v>
      </c>
      <c r="H9" s="1344"/>
      <c r="I9" s="1344" t="s">
        <v>333</v>
      </c>
      <c r="J9" s="1344"/>
      <c r="K9" s="1344" t="s">
        <v>334</v>
      </c>
      <c r="L9" s="1344"/>
      <c r="M9" s="459"/>
      <c r="N9" s="1342"/>
      <c r="O9" s="1342"/>
      <c r="P9" s="1342"/>
      <c r="Q9" s="1342"/>
      <c r="R9" s="1342"/>
      <c r="S9" s="1342"/>
    </row>
    <row r="10" spans="1:19" s="458" customFormat="1" ht="20.25" hidden="1" customHeight="1">
      <c r="B10" s="1336"/>
      <c r="C10" s="1337"/>
      <c r="D10" s="460"/>
      <c r="E10" s="461" t="s">
        <v>335</v>
      </c>
      <c r="F10" s="461" t="s">
        <v>336</v>
      </c>
      <c r="G10" s="461" t="s">
        <v>335</v>
      </c>
      <c r="H10" s="461" t="s">
        <v>336</v>
      </c>
      <c r="I10" s="461" t="s">
        <v>335</v>
      </c>
      <c r="J10" s="461" t="s">
        <v>336</v>
      </c>
      <c r="K10" s="461" t="s">
        <v>335</v>
      </c>
      <c r="L10" s="461" t="s">
        <v>336</v>
      </c>
      <c r="M10" s="459"/>
      <c r="N10" s="1343"/>
      <c r="O10" s="1343"/>
      <c r="P10" s="1343"/>
      <c r="Q10" s="1343"/>
      <c r="R10" s="462"/>
      <c r="S10" s="1343"/>
    </row>
    <row r="11" spans="1:19" s="463" customFormat="1">
      <c r="B11" s="464" t="s">
        <v>2</v>
      </c>
      <c r="C11" s="460" t="s">
        <v>3</v>
      </c>
      <c r="D11" s="460"/>
      <c r="E11" s="461">
        <v>1</v>
      </c>
      <c r="F11" s="461">
        <v>1</v>
      </c>
      <c r="G11" s="461">
        <v>2</v>
      </c>
      <c r="H11" s="461">
        <v>2</v>
      </c>
      <c r="I11" s="461">
        <v>3</v>
      </c>
      <c r="J11" s="461">
        <v>3</v>
      </c>
      <c r="K11" s="461">
        <v>4</v>
      </c>
      <c r="L11" s="461">
        <v>4</v>
      </c>
      <c r="M11" s="465"/>
      <c r="N11" s="466"/>
      <c r="O11" s="466"/>
      <c r="P11" s="466"/>
      <c r="Q11" s="466"/>
      <c r="R11" s="466"/>
      <c r="S11" s="466"/>
    </row>
    <row r="12" spans="1:19" s="458" customFormat="1" ht="18" customHeight="1">
      <c r="A12" s="467" t="str">
        <f>IF(B12&lt;&gt;"","VL","")</f>
        <v>VL</v>
      </c>
      <c r="B12" s="468">
        <f>IF(C12&lt;&gt;"",ROW()-11,"")</f>
        <v>1</v>
      </c>
      <c r="C12" s="469" t="s">
        <v>337</v>
      </c>
      <c r="D12" s="470" t="s">
        <v>338</v>
      </c>
      <c r="E12" s="25">
        <v>500</v>
      </c>
      <c r="F12" s="25">
        <v>16100000</v>
      </c>
      <c r="G12" s="25">
        <f t="array" ref="G12">SUM(IF("1522"&amp;C12=KHN&amp;MH,SL))</f>
        <v>0</v>
      </c>
      <c r="H12" s="25">
        <f t="array" ref="H12">SUM(IF("1522"&amp;C12=KHN&amp;MH,TH))</f>
        <v>0</v>
      </c>
      <c r="I12" s="25">
        <f t="array" ref="I12">SUM(IF("1522"&amp;C12=KHC&amp;MH,SL))</f>
        <v>50</v>
      </c>
      <c r="J12" s="25">
        <f t="array" ref="J12">SUM(IF("1522"&amp;C12=KHC&amp;MH,TH))</f>
        <v>1610000</v>
      </c>
      <c r="K12" s="25">
        <f t="shared" ref="K12:L30" si="0">E12+G12-I12</f>
        <v>450</v>
      </c>
      <c r="L12" s="25">
        <f t="shared" si="0"/>
        <v>14490000</v>
      </c>
      <c r="M12" s="471"/>
      <c r="N12" s="472" t="s">
        <v>339</v>
      </c>
      <c r="O12" s="469" t="s">
        <v>340</v>
      </c>
      <c r="P12" s="473">
        <v>330593933</v>
      </c>
      <c r="Q12" s="473" t="s">
        <v>341</v>
      </c>
      <c r="R12" s="473"/>
      <c r="S12" s="473" t="s">
        <v>336</v>
      </c>
    </row>
    <row r="13" spans="1:19" s="458" customFormat="1" ht="18" customHeight="1">
      <c r="A13" s="467" t="str">
        <f t="shared" ref="A13:A53" si="1">IF(B13&lt;&gt;"","VL","")</f>
        <v>VL</v>
      </c>
      <c r="B13" s="468">
        <f t="shared" ref="B13:B33" si="2">IF(C13&lt;&gt;"",ROW()-11,"")</f>
        <v>2</v>
      </c>
      <c r="C13" s="474" t="s">
        <v>343</v>
      </c>
      <c r="D13" s="475" t="s">
        <v>338</v>
      </c>
      <c r="E13" s="8">
        <v>400</v>
      </c>
      <c r="F13" s="8">
        <v>19610836</v>
      </c>
      <c r="G13" s="25">
        <f t="array" ref="G13">SUM(IF("1522"&amp;C13=KHN&amp;MH,SL))</f>
        <v>0</v>
      </c>
      <c r="H13" s="25">
        <f t="array" ref="H13">SUM(IF("1522"&amp;C13=KHN&amp;MH,TH))</f>
        <v>0</v>
      </c>
      <c r="I13" s="25">
        <f t="array" ref="I13">SUM(IF("1522"&amp;C13=KHC&amp;MH,SL))</f>
        <v>100</v>
      </c>
      <c r="J13" s="25">
        <f t="array" ref="J13">SUM(IF("1522"&amp;C13=KHC&amp;MH,TH))</f>
        <v>4902700</v>
      </c>
      <c r="K13" s="8">
        <f t="shared" si="0"/>
        <v>300</v>
      </c>
      <c r="L13" s="8">
        <f t="shared" si="0"/>
        <v>14708136</v>
      </c>
      <c r="M13" s="471"/>
      <c r="N13" s="474" t="s">
        <v>344</v>
      </c>
      <c r="O13" s="473" t="s">
        <v>340</v>
      </c>
      <c r="P13" s="473">
        <v>320775664</v>
      </c>
      <c r="Q13" s="473" t="s">
        <v>345</v>
      </c>
      <c r="R13" s="473"/>
      <c r="S13" s="473" t="s">
        <v>336</v>
      </c>
    </row>
    <row r="14" spans="1:19" s="458" customFormat="1" ht="18" customHeight="1">
      <c r="A14" s="467" t="str">
        <f t="shared" si="1"/>
        <v>VL</v>
      </c>
      <c r="B14" s="468">
        <f t="shared" si="2"/>
        <v>3</v>
      </c>
      <c r="C14" s="474" t="s">
        <v>346</v>
      </c>
      <c r="D14" s="475" t="s">
        <v>338</v>
      </c>
      <c r="E14" s="8">
        <v>2100</v>
      </c>
      <c r="F14" s="8">
        <v>33257048</v>
      </c>
      <c r="G14" s="25">
        <f t="array" ref="G14">SUM(IF("1522"&amp;C14=KHN&amp;MH,SL))</f>
        <v>0</v>
      </c>
      <c r="H14" s="25">
        <f t="array" ref="H14">SUM(IF("1522"&amp;C14=KHN&amp;MH,TH))</f>
        <v>0</v>
      </c>
      <c r="I14" s="25">
        <f t="array" ref="I14">SUM(IF("1522"&amp;C14=KHC&amp;MH,SL))</f>
        <v>150</v>
      </c>
      <c r="J14" s="25">
        <f t="array" ref="J14">SUM(IF("1522"&amp;C14=KHC&amp;MH,TH))</f>
        <v>2285700</v>
      </c>
      <c r="K14" s="8">
        <f t="shared" si="0"/>
        <v>1950</v>
      </c>
      <c r="L14" s="8">
        <f t="shared" si="0"/>
        <v>30971348</v>
      </c>
      <c r="M14" s="471"/>
      <c r="N14" s="474" t="s">
        <v>347</v>
      </c>
      <c r="O14" s="476" t="s">
        <v>340</v>
      </c>
      <c r="P14" s="473">
        <v>320892558</v>
      </c>
      <c r="Q14" s="473" t="s">
        <v>348</v>
      </c>
      <c r="R14" s="473"/>
      <c r="S14" s="473" t="s">
        <v>336</v>
      </c>
    </row>
    <row r="15" spans="1:19" s="458" customFormat="1" ht="18" customHeight="1">
      <c r="A15" s="467" t="str">
        <f t="shared" si="1"/>
        <v>VL</v>
      </c>
      <c r="B15" s="468">
        <f t="shared" si="2"/>
        <v>4</v>
      </c>
      <c r="C15" s="71" t="s">
        <v>920</v>
      </c>
      <c r="D15" s="475" t="s">
        <v>338</v>
      </c>
      <c r="E15" s="8">
        <v>370</v>
      </c>
      <c r="F15" s="8">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71"/>
      <c r="N15" s="474" t="s">
        <v>349</v>
      </c>
      <c r="O15" s="476" t="s">
        <v>340</v>
      </c>
      <c r="P15" s="473">
        <v>320892578</v>
      </c>
      <c r="Q15" s="473" t="s">
        <v>350</v>
      </c>
      <c r="R15" s="473"/>
      <c r="S15" s="473" t="s">
        <v>336</v>
      </c>
    </row>
    <row r="16" spans="1:19" s="458" customFormat="1" ht="18" customHeight="1">
      <c r="A16" s="467" t="str">
        <f t="shared" si="1"/>
        <v>VL</v>
      </c>
      <c r="B16" s="468">
        <f t="shared" si="2"/>
        <v>5</v>
      </c>
      <c r="C16" s="474" t="s">
        <v>223</v>
      </c>
      <c r="D16" s="475" t="s">
        <v>338</v>
      </c>
      <c r="E16" s="8">
        <v>0</v>
      </c>
      <c r="F16" s="8">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71"/>
      <c r="N16" s="474" t="s">
        <v>352</v>
      </c>
      <c r="O16" s="476" t="s">
        <v>340</v>
      </c>
      <c r="P16" s="473">
        <v>321179471</v>
      </c>
      <c r="Q16" s="473" t="s">
        <v>353</v>
      </c>
      <c r="R16" s="473"/>
      <c r="S16" s="473" t="s">
        <v>336</v>
      </c>
    </row>
    <row r="17" spans="1:20" s="458" customFormat="1" ht="18" customHeight="1">
      <c r="A17" s="467" t="str">
        <f t="shared" si="1"/>
        <v>VL</v>
      </c>
      <c r="B17" s="468">
        <f t="shared" si="2"/>
        <v>6</v>
      </c>
      <c r="C17" s="474" t="s">
        <v>351</v>
      </c>
      <c r="D17" s="475" t="s">
        <v>338</v>
      </c>
      <c r="E17" s="8">
        <v>2000</v>
      </c>
      <c r="F17" s="8">
        <v>6000000</v>
      </c>
      <c r="G17" s="25">
        <f t="array" ref="G17">SUM(IF("1522"&amp;C17=KHN&amp;MH,SL))</f>
        <v>3000</v>
      </c>
      <c r="H17" s="25">
        <f t="array" ref="H17">SUM(IF("1522"&amp;C17=KHN&amp;MH,TH))</f>
        <v>9600000</v>
      </c>
      <c r="I17" s="25">
        <f t="array" ref="I17">SUM(IF("1522"&amp;C17=KHC&amp;MH,SL))</f>
        <v>500</v>
      </c>
      <c r="J17" s="25">
        <f t="array" ref="J17">SUM(IF("1522"&amp;C17=KHC&amp;MH,TH))</f>
        <v>1500000</v>
      </c>
      <c r="K17" s="8">
        <f t="shared" si="0"/>
        <v>4500</v>
      </c>
      <c r="L17" s="8">
        <f t="shared" si="0"/>
        <v>14100000</v>
      </c>
      <c r="M17" s="471"/>
      <c r="N17" s="474" t="s">
        <v>354</v>
      </c>
      <c r="O17" s="476" t="s">
        <v>340</v>
      </c>
      <c r="P17" s="473">
        <v>324478047</v>
      </c>
      <c r="Q17" s="473" t="s">
        <v>355</v>
      </c>
      <c r="R17" s="473"/>
      <c r="S17" s="473" t="s">
        <v>336</v>
      </c>
    </row>
    <row r="18" spans="1:20" s="458" customFormat="1" ht="18" customHeight="1">
      <c r="A18" s="467" t="str">
        <f t="shared" si="1"/>
        <v>VL</v>
      </c>
      <c r="B18" s="468">
        <f t="shared" si="2"/>
        <v>7</v>
      </c>
      <c r="C18" s="310" t="s">
        <v>1254</v>
      </c>
      <c r="D18" s="478" t="s">
        <v>338</v>
      </c>
      <c r="E18" s="407">
        <v>5750</v>
      </c>
      <c r="F18" s="407">
        <v>84686000</v>
      </c>
      <c r="G18" s="25">
        <f t="array" ref="G18">SUM(IF("1522"&amp;C18=KHN&amp;MH,SL))</f>
        <v>0</v>
      </c>
      <c r="H18" s="25">
        <f t="array" ref="H18">SUM(IF("1522"&amp;C18=KHN&amp;MH,TH))</f>
        <v>0</v>
      </c>
      <c r="I18" s="25">
        <f t="array" ref="I18">SUM(IF("1522"&amp;C18=KHC&amp;MH,SL))</f>
        <v>200</v>
      </c>
      <c r="J18" s="25">
        <f t="array" ref="J18">SUM(IF("1522"&amp;C18=KHC&amp;MH,TH))</f>
        <v>2945600</v>
      </c>
      <c r="K18" s="8">
        <f t="shared" si="0"/>
        <v>5550</v>
      </c>
      <c r="L18" s="8">
        <f t="shared" si="0"/>
        <v>81740400</v>
      </c>
      <c r="M18" s="471"/>
      <c r="N18" s="474" t="s">
        <v>358</v>
      </c>
      <c r="O18" s="476" t="s">
        <v>340</v>
      </c>
      <c r="P18" s="473">
        <v>321413712</v>
      </c>
      <c r="Q18" s="473" t="s">
        <v>359</v>
      </c>
      <c r="R18" s="473"/>
      <c r="S18" s="473" t="s">
        <v>336</v>
      </c>
    </row>
    <row r="19" spans="1:20" s="458" customFormat="1" ht="18" customHeight="1">
      <c r="A19" s="467" t="str">
        <f t="shared" si="1"/>
        <v>VL</v>
      </c>
      <c r="B19" s="468">
        <f t="shared" si="2"/>
        <v>8</v>
      </c>
      <c r="C19" s="477" t="s">
        <v>798</v>
      </c>
      <c r="D19" s="479" t="s">
        <v>338</v>
      </c>
      <c r="E19" s="407">
        <v>0</v>
      </c>
      <c r="F19" s="407">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71"/>
      <c r="N19" s="474" t="s">
        <v>361</v>
      </c>
      <c r="O19" s="469" t="s">
        <v>340</v>
      </c>
      <c r="P19" s="473">
        <v>320744085</v>
      </c>
      <c r="Q19" s="473" t="s">
        <v>345</v>
      </c>
      <c r="R19" s="473"/>
      <c r="S19" s="473" t="s">
        <v>336</v>
      </c>
    </row>
    <row r="20" spans="1:20" s="458" customFormat="1" ht="18" customHeight="1">
      <c r="A20" s="467" t="str">
        <f t="shared" si="1"/>
        <v>VL</v>
      </c>
      <c r="B20" s="468">
        <f t="shared" si="2"/>
        <v>9</v>
      </c>
      <c r="C20" s="477" t="s">
        <v>356</v>
      </c>
      <c r="D20" s="479" t="s">
        <v>357</v>
      </c>
      <c r="E20" s="407">
        <v>200</v>
      </c>
      <c r="F20" s="407">
        <v>1600000</v>
      </c>
      <c r="G20" s="25">
        <f t="array" ref="G20">SUM(IF("1522"&amp;C20=KHN&amp;MH,SL))</f>
        <v>600</v>
      </c>
      <c r="H20" s="25">
        <f t="array" ref="H20">SUM(IF("1522"&amp;C20=KHN&amp;MH,TH))</f>
        <v>5220000</v>
      </c>
      <c r="I20" s="25">
        <f t="array" ref="I20">SUM(IF("1522"&amp;C20=KHC&amp;MH,SL))</f>
        <v>100</v>
      </c>
      <c r="J20" s="25">
        <f t="array" ref="J20">SUM(IF("1522"&amp;C20=KHC&amp;MH,TH))</f>
        <v>800000</v>
      </c>
      <c r="K20" s="407">
        <f t="shared" si="0"/>
        <v>700</v>
      </c>
      <c r="L20" s="407">
        <f t="shared" si="0"/>
        <v>6020000</v>
      </c>
      <c r="M20" s="471"/>
      <c r="N20" s="474" t="s">
        <v>364</v>
      </c>
      <c r="O20" s="469" t="s">
        <v>340</v>
      </c>
      <c r="P20" s="473">
        <v>320807672</v>
      </c>
      <c r="Q20" s="473" t="s">
        <v>365</v>
      </c>
      <c r="R20" s="473"/>
      <c r="S20" s="473" t="s">
        <v>336</v>
      </c>
    </row>
    <row r="21" spans="1:20" s="458" customFormat="1" ht="18" customHeight="1">
      <c r="A21" s="467" t="str">
        <f t="shared" si="1"/>
        <v>VL</v>
      </c>
      <c r="B21" s="468">
        <f t="shared" si="2"/>
        <v>10</v>
      </c>
      <c r="C21" s="477" t="s">
        <v>360</v>
      </c>
      <c r="D21" s="479" t="s">
        <v>338</v>
      </c>
      <c r="E21" s="407">
        <v>0</v>
      </c>
      <c r="F21" s="407">
        <v>0</v>
      </c>
      <c r="G21" s="25">
        <f t="array" ref="G21">SUM(IF("1522"&amp;C21=KHN&amp;MH,SL))</f>
        <v>0</v>
      </c>
      <c r="H21" s="25">
        <f t="array" ref="H21">SUM(IF("1522"&amp;C21=KHN&amp;MH,TH))</f>
        <v>0</v>
      </c>
      <c r="I21" s="25">
        <f t="array" ref="I21">SUM(IF("1522"&amp;C21=KHC&amp;MH,SL))</f>
        <v>0</v>
      </c>
      <c r="J21" s="25">
        <f t="array" ref="J21">SUM(IF("1522"&amp;C21=KHC&amp;MH,TH))</f>
        <v>0</v>
      </c>
      <c r="K21" s="407">
        <f t="shared" ref="K21:L26" si="5">E21+G21-I21</f>
        <v>0</v>
      </c>
      <c r="L21" s="407">
        <f t="shared" si="5"/>
        <v>0</v>
      </c>
      <c r="M21" s="471"/>
      <c r="N21" s="474" t="s">
        <v>367</v>
      </c>
      <c r="O21" s="469" t="s">
        <v>340</v>
      </c>
      <c r="P21" s="473">
        <v>320044169</v>
      </c>
      <c r="Q21" s="473" t="s">
        <v>368</v>
      </c>
      <c r="R21" s="473"/>
      <c r="S21" s="473" t="s">
        <v>336</v>
      </c>
    </row>
    <row r="22" spans="1:20" s="458" customFormat="1" ht="18" customHeight="1">
      <c r="A22" s="467" t="str">
        <f t="shared" si="1"/>
        <v>VL</v>
      </c>
      <c r="B22" s="468">
        <f t="shared" si="2"/>
        <v>11</v>
      </c>
      <c r="C22" s="66" t="s">
        <v>839</v>
      </c>
      <c r="D22" s="479" t="s">
        <v>338</v>
      </c>
      <c r="E22" s="407">
        <v>0</v>
      </c>
      <c r="F22" s="407">
        <v>0</v>
      </c>
      <c r="G22" s="25">
        <f t="array" ref="G22">SUM(IF("1522"&amp;C22=KHN&amp;MH,SL))</f>
        <v>0</v>
      </c>
      <c r="H22" s="25">
        <f t="array" ref="H22">SUM(IF("1522"&amp;C22=KHN&amp;MH,TH))</f>
        <v>0</v>
      </c>
      <c r="I22" s="25">
        <f t="array" ref="I22">SUM(IF("1522"&amp;C22=KHC&amp;MH,SL))</f>
        <v>0</v>
      </c>
      <c r="J22" s="25">
        <f t="array" ref="J22">SUM(IF("1522"&amp;C22=KHC&amp;MH,TH))</f>
        <v>0</v>
      </c>
      <c r="K22" s="407">
        <f t="shared" si="5"/>
        <v>0</v>
      </c>
      <c r="L22" s="407">
        <f t="shared" si="5"/>
        <v>0</v>
      </c>
      <c r="M22" s="471"/>
      <c r="N22" s="480" t="s">
        <v>370</v>
      </c>
      <c r="O22" s="469" t="s">
        <v>340</v>
      </c>
      <c r="P22" s="473">
        <v>320881573</v>
      </c>
      <c r="Q22" s="473" t="s">
        <v>365</v>
      </c>
      <c r="R22" s="473"/>
      <c r="S22" s="473" t="s">
        <v>336</v>
      </c>
    </row>
    <row r="23" spans="1:20" s="458" customFormat="1" ht="18" customHeight="1">
      <c r="A23" s="467" t="str">
        <f t="shared" si="1"/>
        <v>VL</v>
      </c>
      <c r="B23" s="468">
        <f t="shared" si="2"/>
        <v>12</v>
      </c>
      <c r="C23" s="66" t="s">
        <v>840</v>
      </c>
      <c r="D23" s="479" t="s">
        <v>338</v>
      </c>
      <c r="E23" s="407">
        <v>0</v>
      </c>
      <c r="F23" s="407">
        <v>0</v>
      </c>
      <c r="G23" s="25">
        <f t="array" ref="G23">SUM(IF("1522"&amp;C23=KHN&amp;MH,SL))</f>
        <v>0</v>
      </c>
      <c r="H23" s="25">
        <f t="array" ref="H23">SUM(IF("1522"&amp;C23=KHN&amp;MH,TH))</f>
        <v>0</v>
      </c>
      <c r="I23" s="25">
        <f t="array" ref="I23">SUM(IF("1522"&amp;C23=KHC&amp;MH,SL))</f>
        <v>0</v>
      </c>
      <c r="J23" s="25">
        <f t="array" ref="J23">SUM(IF("1522"&amp;C23=KHC&amp;MH,TH))</f>
        <v>0</v>
      </c>
      <c r="K23" s="407">
        <f>E23+G23-I23</f>
        <v>0</v>
      </c>
      <c r="L23" s="407">
        <f>F23+H23-J23</f>
        <v>0</v>
      </c>
      <c r="M23" s="471"/>
      <c r="N23" s="474" t="s">
        <v>372</v>
      </c>
      <c r="O23" s="469" t="s">
        <v>340</v>
      </c>
      <c r="P23" s="473">
        <v>320876558</v>
      </c>
      <c r="Q23" s="473" t="s">
        <v>373</v>
      </c>
      <c r="R23" s="473"/>
      <c r="S23" s="473" t="s">
        <v>336</v>
      </c>
    </row>
    <row r="24" spans="1:20" s="458" customFormat="1" ht="18" customHeight="1">
      <c r="A24" s="467" t="str">
        <f t="shared" si="1"/>
        <v>VL</v>
      </c>
      <c r="B24" s="468">
        <f t="shared" si="2"/>
        <v>13</v>
      </c>
      <c r="C24" s="66" t="s">
        <v>841</v>
      </c>
      <c r="D24" s="479" t="s">
        <v>338</v>
      </c>
      <c r="E24" s="407">
        <v>0</v>
      </c>
      <c r="F24" s="407">
        <v>0</v>
      </c>
      <c r="G24" s="25">
        <f t="array" ref="G24">SUM(IF("1522"&amp;C24=KHN&amp;MH,SL))</f>
        <v>0</v>
      </c>
      <c r="H24" s="25">
        <f t="array" ref="H24">SUM(IF("1522"&amp;C24=KHN&amp;MH,TH))</f>
        <v>0</v>
      </c>
      <c r="I24" s="25">
        <f t="array" ref="I24">SUM(IF("1522"&amp;C24=KHC&amp;MH,SL))</f>
        <v>0</v>
      </c>
      <c r="J24" s="25">
        <f t="array" ref="J24">SUM(IF("1522"&amp;C24=KHC&amp;MH,TH))</f>
        <v>0</v>
      </c>
      <c r="K24" s="407">
        <f t="shared" si="5"/>
        <v>0</v>
      </c>
      <c r="L24" s="407">
        <f t="shared" si="5"/>
        <v>0</v>
      </c>
      <c r="M24" s="471"/>
      <c r="N24" s="474" t="s">
        <v>375</v>
      </c>
      <c r="O24" s="476" t="s">
        <v>376</v>
      </c>
      <c r="P24" s="473">
        <v>250746332</v>
      </c>
      <c r="Q24" s="473" t="s">
        <v>377</v>
      </c>
      <c r="R24" s="473"/>
      <c r="S24" s="473" t="s">
        <v>336</v>
      </c>
    </row>
    <row r="25" spans="1:20" s="458" customFormat="1" ht="18" customHeight="1">
      <c r="A25" s="467" t="str">
        <f t="shared" si="1"/>
        <v>VL</v>
      </c>
      <c r="B25" s="468">
        <f t="shared" si="2"/>
        <v>14</v>
      </c>
      <c r="C25" s="66" t="s">
        <v>842</v>
      </c>
      <c r="D25" s="479" t="s">
        <v>338</v>
      </c>
      <c r="E25" s="407">
        <v>0</v>
      </c>
      <c r="F25" s="407">
        <v>0</v>
      </c>
      <c r="G25" s="25">
        <f t="array" ref="G25">SUM(IF("1522"&amp;C25=KHN&amp;MH,SL))</f>
        <v>0</v>
      </c>
      <c r="H25" s="25">
        <f t="array" ref="H25">SUM(IF("1522"&amp;C25=KHN&amp;MH,TH))</f>
        <v>0</v>
      </c>
      <c r="I25" s="25">
        <f t="array" ref="I25">SUM(IF("1522"&amp;C25=KHC&amp;MH,SL))</f>
        <v>0</v>
      </c>
      <c r="J25" s="25">
        <f t="array" ref="J25">SUM(IF("1522"&amp;C25=KHC&amp;MH,TH))</f>
        <v>0</v>
      </c>
      <c r="K25" s="407">
        <f t="shared" si="5"/>
        <v>0</v>
      </c>
      <c r="L25" s="407">
        <f t="shared" si="5"/>
        <v>0</v>
      </c>
      <c r="M25" s="471"/>
      <c r="N25" s="474" t="s">
        <v>380</v>
      </c>
      <c r="O25" s="476" t="s">
        <v>376</v>
      </c>
      <c r="P25" s="473">
        <v>260682094</v>
      </c>
      <c r="Q25" s="473" t="s">
        <v>377</v>
      </c>
      <c r="R25" s="473"/>
      <c r="S25" s="473" t="s">
        <v>336</v>
      </c>
    </row>
    <row r="26" spans="1:20" s="458" customFormat="1" ht="18" customHeight="1">
      <c r="A26" s="467" t="str">
        <f t="shared" si="1"/>
        <v>VL</v>
      </c>
      <c r="B26" s="468">
        <f t="shared" si="2"/>
        <v>15</v>
      </c>
      <c r="C26" s="805" t="s">
        <v>371</v>
      </c>
      <c r="D26" s="801" t="s">
        <v>363</v>
      </c>
      <c r="E26" s="802">
        <v>0</v>
      </c>
      <c r="F26" s="802">
        <v>0</v>
      </c>
      <c r="G26" s="803">
        <f t="array" ref="G26">SUM(IF("1522"&amp;C26=KHN&amp;MH,SL))</f>
        <v>0</v>
      </c>
      <c r="H26" s="803">
        <f t="array" ref="H26">SUM(IF("1522"&amp;C26=KHN&amp;MH,TH))</f>
        <v>0</v>
      </c>
      <c r="I26" s="803">
        <f t="array" ref="I26">SUM(IF("1522"&amp;C26=KHC&amp;MH,SL))</f>
        <v>0</v>
      </c>
      <c r="J26" s="803">
        <f t="array" ref="J26">SUM(IF("1522"&amp;C26=KHC&amp;MH,TH))</f>
        <v>0</v>
      </c>
      <c r="K26" s="804">
        <f t="shared" si="5"/>
        <v>0</v>
      </c>
      <c r="L26" s="804">
        <f t="shared" si="5"/>
        <v>0</v>
      </c>
      <c r="M26" s="471"/>
      <c r="N26" s="474" t="s">
        <v>382</v>
      </c>
      <c r="O26" s="476" t="s">
        <v>376</v>
      </c>
      <c r="P26" s="473">
        <v>260690910</v>
      </c>
      <c r="Q26" s="473" t="s">
        <v>383</v>
      </c>
      <c r="R26" s="473"/>
      <c r="S26" s="473" t="s">
        <v>336</v>
      </c>
    </row>
    <row r="27" spans="1:20" s="458" customFormat="1" ht="18" customHeight="1">
      <c r="A27" s="467" t="str">
        <f t="shared" si="1"/>
        <v>VL</v>
      </c>
      <c r="B27" s="468">
        <f t="shared" si="2"/>
        <v>16</v>
      </c>
      <c r="C27" s="805" t="s">
        <v>374</v>
      </c>
      <c r="D27" s="801" t="s">
        <v>363</v>
      </c>
      <c r="E27" s="802">
        <v>0</v>
      </c>
      <c r="F27" s="802">
        <v>0</v>
      </c>
      <c r="G27" s="803">
        <f t="array" ref="G27">SUM(IF("1522"&amp;C27=KHN&amp;MH,SL))</f>
        <v>0</v>
      </c>
      <c r="H27" s="803">
        <f t="array" ref="H27">SUM(IF("1522"&amp;C27=KHN&amp;MH,TH))</f>
        <v>0</v>
      </c>
      <c r="I27" s="803">
        <f t="array" ref="I27">SUM(IF("1522"&amp;C27=KHC&amp;MH,SL))</f>
        <v>0</v>
      </c>
      <c r="J27" s="803">
        <f t="array" ref="J27">SUM(IF("1522"&amp;C27=KHC&amp;MH,TH))</f>
        <v>0</v>
      </c>
      <c r="K27" s="804">
        <f t="shared" si="0"/>
        <v>0</v>
      </c>
      <c r="L27" s="804">
        <f t="shared" si="0"/>
        <v>0</v>
      </c>
      <c r="M27" s="471"/>
      <c r="N27" s="474" t="s">
        <v>385</v>
      </c>
      <c r="O27" s="476" t="s">
        <v>376</v>
      </c>
      <c r="P27" s="473">
        <v>260178873</v>
      </c>
      <c r="Q27" s="473" t="s">
        <v>386</v>
      </c>
      <c r="R27" s="473"/>
      <c r="S27" s="473" t="s">
        <v>336</v>
      </c>
    </row>
    <row r="28" spans="1:20" s="458" customFormat="1" ht="18" customHeight="1">
      <c r="A28" s="467" t="str">
        <f t="shared" si="1"/>
        <v>VL</v>
      </c>
      <c r="B28" s="468">
        <f t="shared" si="2"/>
        <v>17</v>
      </c>
      <c r="C28" s="800" t="s">
        <v>362</v>
      </c>
      <c r="D28" s="801" t="s">
        <v>363</v>
      </c>
      <c r="E28" s="802">
        <v>93800</v>
      </c>
      <c r="F28" s="802">
        <v>28140000</v>
      </c>
      <c r="G28" s="803">
        <f t="array" ref="G28">SUM(IF("1522"&amp;C28=KHN&amp;MH,SL))</f>
        <v>0</v>
      </c>
      <c r="H28" s="803">
        <f t="array" ref="H28">SUM(IF("1522"&amp;C28=KHN&amp;MH,TH))</f>
        <v>0</v>
      </c>
      <c r="I28" s="803">
        <f t="array" ref="I28">SUM(IF("1522"&amp;C28=KHC&amp;MH,SL))</f>
        <v>0</v>
      </c>
      <c r="J28" s="803">
        <f t="array" ref="J28">SUM(IF("1522"&amp;C28=KHC&amp;MH,TH))</f>
        <v>0</v>
      </c>
      <c r="K28" s="802">
        <f t="shared" si="0"/>
        <v>93800</v>
      </c>
      <c r="L28" s="802">
        <f t="shared" si="0"/>
        <v>28140000</v>
      </c>
      <c r="M28" s="471"/>
      <c r="N28" s="474" t="s">
        <v>388</v>
      </c>
      <c r="O28" s="476" t="s">
        <v>376</v>
      </c>
      <c r="P28" s="473">
        <v>260850613</v>
      </c>
      <c r="Q28" s="473" t="s">
        <v>386</v>
      </c>
      <c r="R28" s="473"/>
      <c r="S28" s="473" t="s">
        <v>336</v>
      </c>
      <c r="T28" s="485"/>
    </row>
    <row r="29" spans="1:20" s="485" customFormat="1" ht="18" customHeight="1">
      <c r="A29" s="467" t="str">
        <f t="shared" si="1"/>
        <v>VL</v>
      </c>
      <c r="B29" s="468">
        <f t="shared" si="2"/>
        <v>18</v>
      </c>
      <c r="C29" s="805" t="s">
        <v>366</v>
      </c>
      <c r="D29" s="801" t="s">
        <v>363</v>
      </c>
      <c r="E29" s="802">
        <v>48700</v>
      </c>
      <c r="F29" s="802">
        <v>19480000</v>
      </c>
      <c r="G29" s="803">
        <f t="array" ref="G29">SUM(IF("1522"&amp;C29=KHN&amp;MH,SL))</f>
        <v>0</v>
      </c>
      <c r="H29" s="803">
        <f t="array" ref="H29">SUM(IF("1522"&amp;C29=KHN&amp;MH,TH))</f>
        <v>0</v>
      </c>
      <c r="I29" s="803">
        <f t="array" ref="I29">SUM(IF("1522"&amp;C29=KHC&amp;MH,SL))</f>
        <v>0</v>
      </c>
      <c r="J29" s="803">
        <f t="array" ref="J29">SUM(IF("1522"&amp;C29=KHC&amp;MH,TH))</f>
        <v>0</v>
      </c>
      <c r="K29" s="802">
        <f t="shared" si="0"/>
        <v>48700</v>
      </c>
      <c r="L29" s="802">
        <f t="shared" si="0"/>
        <v>19480000</v>
      </c>
      <c r="M29" s="471"/>
      <c r="N29" s="474" t="s">
        <v>390</v>
      </c>
      <c r="O29" s="476" t="s">
        <v>376</v>
      </c>
      <c r="P29" s="473">
        <v>280853616</v>
      </c>
      <c r="Q29" s="473" t="s">
        <v>386</v>
      </c>
      <c r="R29" s="473"/>
      <c r="S29" s="473" t="s">
        <v>336</v>
      </c>
    </row>
    <row r="30" spans="1:20" s="485" customFormat="1" ht="18" customHeight="1">
      <c r="A30" s="467" t="str">
        <f t="shared" si="1"/>
        <v>VL</v>
      </c>
      <c r="B30" s="468">
        <f t="shared" si="2"/>
        <v>19</v>
      </c>
      <c r="C30" s="805" t="s">
        <v>369</v>
      </c>
      <c r="D30" s="801" t="s">
        <v>363</v>
      </c>
      <c r="E30" s="802">
        <v>0</v>
      </c>
      <c r="F30" s="802">
        <v>0</v>
      </c>
      <c r="G30" s="803">
        <f t="array" ref="G30">SUM(IF("1522"&amp;C30=KHN&amp;MH,SL))</f>
        <v>0</v>
      </c>
      <c r="H30" s="803">
        <f t="array" ref="H30">SUM(IF("1522"&amp;C30=KHN&amp;MH,TH))</f>
        <v>0</v>
      </c>
      <c r="I30" s="803">
        <f t="array" ref="I30">SUM(IF("1522"&amp;C30=KHC&amp;MH,SL))</f>
        <v>0</v>
      </c>
      <c r="J30" s="803">
        <f t="array" ref="J30">SUM(IF("1522"&amp;C30=KHC&amp;MH,TH))</f>
        <v>0</v>
      </c>
      <c r="K30" s="802">
        <f t="shared" si="0"/>
        <v>0</v>
      </c>
      <c r="L30" s="802">
        <f t="shared" si="0"/>
        <v>0</v>
      </c>
      <c r="M30" s="471"/>
      <c r="N30" s="474" t="s">
        <v>392</v>
      </c>
      <c r="O30" s="476" t="s">
        <v>376</v>
      </c>
      <c r="P30" s="473">
        <v>261005222</v>
      </c>
      <c r="Q30" s="473" t="s">
        <v>393</v>
      </c>
      <c r="R30" s="473"/>
      <c r="S30" s="473" t="s">
        <v>336</v>
      </c>
    </row>
    <row r="31" spans="1:20" s="485" customFormat="1" ht="18" customHeight="1">
      <c r="A31" s="467" t="str">
        <f t="shared" si="1"/>
        <v>VL</v>
      </c>
      <c r="B31" s="468">
        <f t="shared" si="2"/>
        <v>20</v>
      </c>
      <c r="C31" s="311" t="s">
        <v>816</v>
      </c>
      <c r="D31" s="482" t="s">
        <v>379</v>
      </c>
      <c r="E31" s="483">
        <v>0</v>
      </c>
      <c r="F31" s="483">
        <v>0</v>
      </c>
      <c r="G31" s="25">
        <f t="array" ref="G31">SUM(IF("1522"&amp;C31=KHN&amp;MH,SL))</f>
        <v>0</v>
      </c>
      <c r="H31" s="25">
        <f t="array" ref="H31">SUM(IF("1522"&amp;C31=KHN&amp;MH,TH))</f>
        <v>0</v>
      </c>
      <c r="I31" s="25">
        <f t="array" ref="I31">SUM(IF("1522"&amp;C31=KHC&amp;MH,SL))</f>
        <v>0</v>
      </c>
      <c r="J31" s="25">
        <f t="array" ref="J31">SUM(IF("1522"&amp;C31=KHC&amp;MH,TH))</f>
        <v>0</v>
      </c>
      <c r="K31" s="483">
        <f t="shared" ref="K31:K52" si="6">E31+G31-I31</f>
        <v>0</v>
      </c>
      <c r="L31" s="483">
        <f t="shared" ref="L31:L52" si="7">F31+H31-J31</f>
        <v>0</v>
      </c>
      <c r="M31" s="471"/>
      <c r="N31" s="474" t="s">
        <v>394</v>
      </c>
      <c r="O31" s="476" t="s">
        <v>395</v>
      </c>
      <c r="P31" s="473">
        <v>370047763</v>
      </c>
      <c r="Q31" s="473" t="s">
        <v>396</v>
      </c>
      <c r="R31" s="473"/>
      <c r="S31" s="473" t="s">
        <v>342</v>
      </c>
      <c r="T31" s="458"/>
    </row>
    <row r="32" spans="1:20" s="458" customFormat="1" ht="18.75" customHeight="1">
      <c r="A32" s="467" t="str">
        <f t="shared" si="1"/>
        <v>VL</v>
      </c>
      <c r="B32" s="468">
        <f t="shared" si="2"/>
        <v>21</v>
      </c>
      <c r="C32" s="477" t="s">
        <v>616</v>
      </c>
      <c r="D32" s="482" t="s">
        <v>379</v>
      </c>
      <c r="E32" s="407">
        <v>0</v>
      </c>
      <c r="F32" s="407">
        <v>0</v>
      </c>
      <c r="G32" s="25">
        <f t="array" ref="G32">SUM(IF("1522"&amp;C32=KHN&amp;MH,SL))</f>
        <v>4700</v>
      </c>
      <c r="H32" s="25">
        <f t="array" ref="H32">SUM(IF("1522"&amp;C32=KHN&amp;MH,TH))</f>
        <v>65800000</v>
      </c>
      <c r="I32" s="25">
        <f t="array" ref="I32">SUM(IF("1522"&amp;C32=KHC&amp;MH,SL))</f>
        <v>4700</v>
      </c>
      <c r="J32" s="25">
        <f t="array" ref="J32">SUM(IF("1522"&amp;C32=KHC&amp;MH,TH))</f>
        <v>65800000</v>
      </c>
      <c r="K32" s="483">
        <f t="shared" si="6"/>
        <v>0</v>
      </c>
      <c r="L32" s="483">
        <f t="shared" si="7"/>
        <v>0</v>
      </c>
      <c r="M32" s="471"/>
      <c r="N32" s="474" t="s">
        <v>398</v>
      </c>
      <c r="O32" s="476" t="s">
        <v>395</v>
      </c>
      <c r="P32" s="473">
        <v>370054438</v>
      </c>
      <c r="Q32" s="473" t="s">
        <v>396</v>
      </c>
      <c r="R32" s="473"/>
      <c r="S32" s="473" t="s">
        <v>342</v>
      </c>
    </row>
    <row r="33" spans="1:19" s="458" customFormat="1" ht="18.75" customHeight="1">
      <c r="A33" s="467" t="str">
        <f t="shared" si="1"/>
        <v>VL</v>
      </c>
      <c r="B33" s="468">
        <f t="shared" si="2"/>
        <v>22</v>
      </c>
      <c r="C33" s="481" t="s">
        <v>678</v>
      </c>
      <c r="D33" s="482" t="s">
        <v>379</v>
      </c>
      <c r="E33" s="483">
        <v>0</v>
      </c>
      <c r="F33" s="483">
        <v>0</v>
      </c>
      <c r="G33" s="25">
        <f t="array" ref="G33">SUM(IF("1522"&amp;C33=KHN&amp;MH,SL))</f>
        <v>0</v>
      </c>
      <c r="H33" s="25">
        <f t="array" ref="H33">SUM(IF("1522"&amp;C33=KHN&amp;MH,TH))</f>
        <v>0</v>
      </c>
      <c r="I33" s="25">
        <f t="array" ref="I33">SUM(IF("1522"&amp;C33=KHC&amp;MH,SL))</f>
        <v>0</v>
      </c>
      <c r="J33" s="25">
        <f t="array" ref="J33">SUM(IF("1522"&amp;C33=KHC&amp;MH,TH))</f>
        <v>0</v>
      </c>
      <c r="K33" s="483">
        <f t="shared" si="6"/>
        <v>0</v>
      </c>
      <c r="L33" s="483">
        <f t="shared" si="7"/>
        <v>0</v>
      </c>
      <c r="M33" s="471"/>
      <c r="N33" s="474" t="s">
        <v>399</v>
      </c>
      <c r="O33" s="476" t="s">
        <v>395</v>
      </c>
      <c r="P33" s="473">
        <v>370615318</v>
      </c>
      <c r="Q33" s="473" t="s">
        <v>400</v>
      </c>
      <c r="R33" s="473"/>
      <c r="S33" s="473" t="s">
        <v>342</v>
      </c>
    </row>
    <row r="34" spans="1:19" s="458" customFormat="1" ht="18.75" customHeight="1">
      <c r="A34" s="467" t="str">
        <f t="shared" si="1"/>
        <v>VL</v>
      </c>
      <c r="B34" s="468">
        <f t="shared" ref="B34:B55" si="8">IF(C34&lt;&gt;"",ROW()-11,"")</f>
        <v>23</v>
      </c>
      <c r="C34" s="481" t="s">
        <v>378</v>
      </c>
      <c r="D34" s="482" t="s">
        <v>379</v>
      </c>
      <c r="E34" s="483">
        <v>0</v>
      </c>
      <c r="F34" s="483">
        <v>0</v>
      </c>
      <c r="G34" s="25">
        <f t="array" ref="G34">SUM(IF("1522"&amp;C34=KHN&amp;MH,SL))</f>
        <v>0</v>
      </c>
      <c r="H34" s="25">
        <f t="array" ref="H34">SUM(IF("1522"&amp;C34=KHN&amp;MH,TH))</f>
        <v>0</v>
      </c>
      <c r="I34" s="25">
        <f t="array" ref="I34">SUM(IF("1522"&amp;C34=KHC&amp;MH,SL))</f>
        <v>0</v>
      </c>
      <c r="J34" s="25">
        <f t="array" ref="J34">SUM(IF("1522"&amp;C34=KHC&amp;MH,TH))</f>
        <v>0</v>
      </c>
      <c r="K34" s="484">
        <f t="shared" si="6"/>
        <v>0</v>
      </c>
      <c r="L34" s="484">
        <f t="shared" si="7"/>
        <v>0</v>
      </c>
      <c r="M34" s="471"/>
      <c r="N34" s="474" t="s">
        <v>401</v>
      </c>
      <c r="O34" s="476" t="s">
        <v>395</v>
      </c>
      <c r="P34" s="473">
        <v>370825748</v>
      </c>
      <c r="Q34" s="473" t="s">
        <v>400</v>
      </c>
      <c r="R34" s="473"/>
      <c r="S34" s="473" t="s">
        <v>342</v>
      </c>
    </row>
    <row r="35" spans="1:19" s="458" customFormat="1" ht="18.75" customHeight="1">
      <c r="A35" s="467" t="str">
        <f t="shared" si="1"/>
        <v>VL</v>
      </c>
      <c r="B35" s="468">
        <f t="shared" si="8"/>
        <v>24</v>
      </c>
      <c r="C35" s="481" t="s">
        <v>381</v>
      </c>
      <c r="D35" s="482" t="s">
        <v>379</v>
      </c>
      <c r="E35" s="483">
        <v>0</v>
      </c>
      <c r="F35" s="483">
        <v>0</v>
      </c>
      <c r="G35" s="25">
        <f t="array" ref="G35">SUM(IF("1522"&amp;C35=KHN&amp;MH,SL))</f>
        <v>0</v>
      </c>
      <c r="H35" s="25">
        <f t="array" ref="H35">SUM(IF("1522"&amp;C35=KHN&amp;MH,TH))</f>
        <v>0</v>
      </c>
      <c r="I35" s="25">
        <f t="array" ref="I35">SUM(IF("1522"&amp;C35=KHC&amp;MH,SL))</f>
        <v>0</v>
      </c>
      <c r="J35" s="25">
        <f t="array" ref="J35">SUM(IF("1522"&amp;C35=KHC&amp;MH,TH))</f>
        <v>0</v>
      </c>
      <c r="K35" s="484">
        <f t="shared" si="6"/>
        <v>0</v>
      </c>
      <c r="L35" s="484">
        <f t="shared" si="7"/>
        <v>0</v>
      </c>
      <c r="M35" s="471"/>
      <c r="N35" s="474" t="s">
        <v>402</v>
      </c>
      <c r="O35" s="476" t="s">
        <v>395</v>
      </c>
      <c r="P35" s="473">
        <v>370698949</v>
      </c>
      <c r="Q35" s="473" t="s">
        <v>403</v>
      </c>
      <c r="R35" s="473" t="s">
        <v>404</v>
      </c>
      <c r="S35" s="473" t="s">
        <v>342</v>
      </c>
    </row>
    <row r="36" spans="1:19" s="458" customFormat="1" ht="18.75" customHeight="1">
      <c r="A36" s="467" t="str">
        <f t="shared" si="1"/>
        <v>VL</v>
      </c>
      <c r="B36" s="468">
        <f t="shared" si="8"/>
        <v>25</v>
      </c>
      <c r="C36" s="311" t="s">
        <v>835</v>
      </c>
      <c r="D36" s="482" t="s">
        <v>379</v>
      </c>
      <c r="E36" s="483">
        <v>0</v>
      </c>
      <c r="F36" s="483">
        <v>0</v>
      </c>
      <c r="G36" s="25">
        <f t="array" ref="G36">SUM(IF("1522"&amp;C36=KHN&amp;MH,SL))</f>
        <v>0</v>
      </c>
      <c r="H36" s="25">
        <f t="array" ref="H36">SUM(IF("1522"&amp;C36=KHN&amp;MH,TH))</f>
        <v>0</v>
      </c>
      <c r="I36" s="25">
        <f t="array" ref="I36">SUM(IF("1522"&amp;C36=KHC&amp;MH,SL))</f>
        <v>0</v>
      </c>
      <c r="J36" s="25">
        <f t="array" ref="J36">SUM(IF("1522"&amp;C36=KHC&amp;MH,TH))</f>
        <v>0</v>
      </c>
      <c r="K36" s="483">
        <f t="shared" si="6"/>
        <v>0</v>
      </c>
      <c r="L36" s="483">
        <f t="shared" si="7"/>
        <v>0</v>
      </c>
      <c r="M36" s="471"/>
      <c r="N36" s="474" t="s">
        <v>405</v>
      </c>
      <c r="O36" s="476" t="s">
        <v>395</v>
      </c>
      <c r="P36" s="473">
        <v>370803567</v>
      </c>
      <c r="Q36" s="473" t="s">
        <v>406</v>
      </c>
      <c r="R36" s="473"/>
      <c r="S36" s="473" t="s">
        <v>342</v>
      </c>
    </row>
    <row r="37" spans="1:19" s="458" customFormat="1" ht="18.75" customHeight="1">
      <c r="A37" s="467" t="str">
        <f t="shared" si="1"/>
        <v>VL</v>
      </c>
      <c r="B37" s="468">
        <f t="shared" ref="B37:B48" si="9">IF(C37&lt;&gt;"",ROW()-11,"")</f>
        <v>26</v>
      </c>
      <c r="C37" s="481" t="s">
        <v>389</v>
      </c>
      <c r="D37" s="482" t="s">
        <v>379</v>
      </c>
      <c r="E37" s="483">
        <v>630</v>
      </c>
      <c r="F37" s="483">
        <v>5985000</v>
      </c>
      <c r="G37" s="25">
        <f t="array" ref="G37">SUM(IF("1522"&amp;C37=KHN&amp;MH,SL))</f>
        <v>0</v>
      </c>
      <c r="H37" s="25">
        <f t="array" ref="H37">SUM(IF("1522"&amp;C37=KHN&amp;MH,TH))</f>
        <v>0</v>
      </c>
      <c r="I37" s="25">
        <f t="array" ref="I37">SUM(IF("1522"&amp;C37=KHC&amp;MH,SL))</f>
        <v>0</v>
      </c>
      <c r="J37" s="25">
        <f t="array" ref="J37">SUM(IF("1522"&amp;C37=KHC&amp;MH,TH))</f>
        <v>0</v>
      </c>
      <c r="K37" s="483">
        <f t="shared" si="6"/>
        <v>630</v>
      </c>
      <c r="L37" s="483">
        <f t="shared" si="7"/>
        <v>5985000</v>
      </c>
      <c r="M37" s="471"/>
      <c r="N37" s="474" t="s">
        <v>407</v>
      </c>
      <c r="O37" s="476" t="s">
        <v>395</v>
      </c>
      <c r="P37" s="473">
        <v>370004125</v>
      </c>
      <c r="Q37" s="473" t="s">
        <v>396</v>
      </c>
      <c r="R37" s="473"/>
      <c r="S37" s="473" t="s">
        <v>342</v>
      </c>
    </row>
    <row r="38" spans="1:19" s="458" customFormat="1" ht="18.75" customHeight="1">
      <c r="A38" s="467" t="str">
        <f t="shared" si="1"/>
        <v>VL</v>
      </c>
      <c r="B38" s="468">
        <f t="shared" si="9"/>
        <v>27</v>
      </c>
      <c r="C38" s="481" t="s">
        <v>397</v>
      </c>
      <c r="D38" s="482" t="s">
        <v>379</v>
      </c>
      <c r="E38" s="483">
        <v>1076</v>
      </c>
      <c r="F38" s="483">
        <v>14526000</v>
      </c>
      <c r="G38" s="25">
        <f t="array" ref="G38">SUM(IF("1522"&amp;C38=KHN&amp;MH,SL))</f>
        <v>1311</v>
      </c>
      <c r="H38" s="25">
        <f t="array" ref="H38">SUM(IF("1522"&amp;C38=KHN&amp;MH,TH))</f>
        <v>23860200</v>
      </c>
      <c r="I38" s="25">
        <f t="array" ref="I38">SUM(IF("1522"&amp;C38=KHC&amp;MH,SL))</f>
        <v>1560</v>
      </c>
      <c r="J38" s="25">
        <f t="array" ref="J38">SUM(IF("1522"&amp;C38=KHC&amp;MH,TH))</f>
        <v>23334800</v>
      </c>
      <c r="K38" s="483">
        <f t="shared" si="6"/>
        <v>827</v>
      </c>
      <c r="L38" s="483">
        <f t="shared" si="7"/>
        <v>15051400</v>
      </c>
      <c r="M38" s="471"/>
      <c r="N38" s="474" t="s">
        <v>410</v>
      </c>
      <c r="O38" s="476" t="s">
        <v>408</v>
      </c>
      <c r="P38" s="473">
        <v>311704830</v>
      </c>
      <c r="Q38" s="473" t="s">
        <v>411</v>
      </c>
      <c r="R38" s="473"/>
      <c r="S38" s="473" t="s">
        <v>342</v>
      </c>
    </row>
    <row r="39" spans="1:19" s="458" customFormat="1" ht="18.75" customHeight="1">
      <c r="A39" s="467" t="str">
        <f t="shared" si="1"/>
        <v>VL</v>
      </c>
      <c r="B39" s="468">
        <f t="shared" ref="B39" si="10">IF(C39&lt;&gt;"",ROW()-11,"")</f>
        <v>28</v>
      </c>
      <c r="C39" s="481" t="s">
        <v>882</v>
      </c>
      <c r="D39" s="482" t="s">
        <v>379</v>
      </c>
      <c r="E39" s="483">
        <v>109</v>
      </c>
      <c r="F39" s="483">
        <v>1471500</v>
      </c>
      <c r="G39" s="25">
        <f t="array" ref="G39">SUM(IF("1522"&amp;C39=KHN&amp;MH,SL))</f>
        <v>0</v>
      </c>
      <c r="H39" s="25">
        <f t="array" ref="H39">SUM(IF("1522"&amp;C39=KHN&amp;MH,TH))</f>
        <v>0</v>
      </c>
      <c r="I39" s="25">
        <f t="array" ref="I39">SUM(IF("1522"&amp;C39=KHC&amp;MH,SL))</f>
        <v>0</v>
      </c>
      <c r="J39" s="25">
        <f t="array" ref="J39">SUM(IF("1522"&amp;C39=KHC&amp;MH,TH))</f>
        <v>0</v>
      </c>
      <c r="K39" s="483">
        <f t="shared" ref="K39" si="11">E39+G39-I39</f>
        <v>109</v>
      </c>
      <c r="L39" s="483">
        <f t="shared" ref="L39" si="12">F39+H39-J39</f>
        <v>1471500</v>
      </c>
      <c r="M39" s="471"/>
      <c r="N39" s="474" t="s">
        <v>412</v>
      </c>
      <c r="O39" s="476" t="s">
        <v>408</v>
      </c>
      <c r="P39" s="473">
        <v>311318331</v>
      </c>
      <c r="Q39" s="473" t="s">
        <v>413</v>
      </c>
      <c r="R39" s="473"/>
      <c r="S39" s="473" t="s">
        <v>342</v>
      </c>
    </row>
    <row r="40" spans="1:19" s="458" customFormat="1" ht="18.75" customHeight="1">
      <c r="A40" s="467" t="str">
        <f t="shared" si="1"/>
        <v>VL</v>
      </c>
      <c r="B40" s="468">
        <f t="shared" ref="B40" si="13">IF(C40&lt;&gt;"",ROW()-11,"")</f>
        <v>29</v>
      </c>
      <c r="C40" s="481" t="s">
        <v>883</v>
      </c>
      <c r="D40" s="482" t="s">
        <v>379</v>
      </c>
      <c r="E40" s="483">
        <v>1832</v>
      </c>
      <c r="F40" s="483">
        <v>18869600</v>
      </c>
      <c r="G40" s="25">
        <f t="array" ref="G40">SUM(IF("1522"&amp;C40=KHN&amp;MH,SL))</f>
        <v>0</v>
      </c>
      <c r="H40" s="25">
        <f t="array" ref="H40">SUM(IF("1522"&amp;C40=KHN&amp;MH,TH))</f>
        <v>0</v>
      </c>
      <c r="I40" s="25">
        <f t="array" ref="I40">SUM(IF("1522"&amp;C40=KHC&amp;MH,SL))</f>
        <v>1697</v>
      </c>
      <c r="J40" s="25">
        <f t="array" ref="J40">SUM(IF("1522"&amp;C40=KHC&amp;MH,TH))</f>
        <v>17479100</v>
      </c>
      <c r="K40" s="483">
        <f t="shared" ref="K40" si="14">E40+G40-I40</f>
        <v>135</v>
      </c>
      <c r="L40" s="483">
        <f t="shared" ref="L40" si="15">F40+H40-J40</f>
        <v>1390500</v>
      </c>
      <c r="M40" s="471"/>
      <c r="N40" s="474" t="s">
        <v>414</v>
      </c>
      <c r="O40" s="476" t="s">
        <v>408</v>
      </c>
      <c r="P40" s="473">
        <v>310882191</v>
      </c>
      <c r="Q40" s="473" t="s">
        <v>415</v>
      </c>
      <c r="R40" s="473"/>
      <c r="S40" s="473" t="s">
        <v>342</v>
      </c>
    </row>
    <row r="41" spans="1:19" s="458" customFormat="1" ht="18.75" customHeight="1">
      <c r="A41" s="467" t="str">
        <f t="shared" si="1"/>
        <v>VL</v>
      </c>
      <c r="B41" s="468">
        <f t="shared" si="9"/>
        <v>30</v>
      </c>
      <c r="C41" s="481" t="s">
        <v>387</v>
      </c>
      <c r="D41" s="482" t="s">
        <v>379</v>
      </c>
      <c r="E41" s="483">
        <v>607</v>
      </c>
      <c r="F41" s="483">
        <v>8194500</v>
      </c>
      <c r="G41" s="25">
        <f t="array" ref="G41">SUM(IF("1522"&amp;C41=KHN&amp;MH,SL))</f>
        <v>0</v>
      </c>
      <c r="H41" s="25">
        <f t="array" ref="H41">SUM(IF("1522"&amp;C41=KHN&amp;MH,TH))</f>
        <v>0</v>
      </c>
      <c r="I41" s="25">
        <f t="array" ref="I41">SUM(IF("1522"&amp;C41=KHC&amp;MH,SL))</f>
        <v>0</v>
      </c>
      <c r="J41" s="25">
        <f t="array" ref="J41">SUM(IF("1522"&amp;C41=KHC&amp;MH,TH))</f>
        <v>0</v>
      </c>
      <c r="K41" s="483">
        <f t="shared" si="6"/>
        <v>607</v>
      </c>
      <c r="L41" s="483">
        <f t="shared" si="7"/>
        <v>8194500</v>
      </c>
      <c r="M41" s="471"/>
      <c r="N41" s="474" t="s">
        <v>417</v>
      </c>
      <c r="O41" s="476" t="s">
        <v>408</v>
      </c>
      <c r="P41" s="473">
        <v>310882158</v>
      </c>
      <c r="Q41" s="473" t="s">
        <v>418</v>
      </c>
      <c r="R41" s="473"/>
      <c r="S41" s="473" t="s">
        <v>342</v>
      </c>
    </row>
    <row r="42" spans="1:19" s="458" customFormat="1" ht="18" customHeight="1">
      <c r="A42" s="467" t="str">
        <f t="shared" si="1"/>
        <v>VL</v>
      </c>
      <c r="B42" s="468">
        <f t="shared" si="9"/>
        <v>31</v>
      </c>
      <c r="C42" s="311" t="s">
        <v>837</v>
      </c>
      <c r="D42" s="482" t="s">
        <v>379</v>
      </c>
      <c r="E42" s="483">
        <v>0</v>
      </c>
      <c r="F42" s="483">
        <v>0</v>
      </c>
      <c r="G42" s="25">
        <f t="array" ref="G42">SUM(IF("1522"&amp;C42=KHN&amp;MH,SL))</f>
        <v>0</v>
      </c>
      <c r="H42" s="25">
        <f t="array" ref="H42">SUM(IF("1522"&amp;C42=KHN&amp;MH,TH))</f>
        <v>0</v>
      </c>
      <c r="I42" s="25">
        <f t="array" ref="I42">SUM(IF("1522"&amp;C42=KHC&amp;MH,SL))</f>
        <v>0</v>
      </c>
      <c r="J42" s="25">
        <f t="array" ref="J42">SUM(IF("1522"&amp;C42=KHC&amp;MH,TH))</f>
        <v>0</v>
      </c>
      <c r="K42" s="483">
        <f t="shared" si="6"/>
        <v>0</v>
      </c>
      <c r="L42" s="483">
        <f t="shared" si="7"/>
        <v>0</v>
      </c>
      <c r="M42" s="471"/>
      <c r="N42" s="474" t="s">
        <v>417</v>
      </c>
      <c r="O42" s="476" t="s">
        <v>408</v>
      </c>
      <c r="P42" s="473">
        <v>310882158</v>
      </c>
      <c r="Q42" s="473" t="s">
        <v>418</v>
      </c>
      <c r="R42" s="473"/>
      <c r="S42" s="473" t="s">
        <v>342</v>
      </c>
    </row>
    <row r="43" spans="1:19" s="458" customFormat="1" ht="18" customHeight="1">
      <c r="A43" s="467" t="str">
        <f t="shared" si="1"/>
        <v>VL</v>
      </c>
      <c r="B43" s="468">
        <f t="shared" si="9"/>
        <v>32</v>
      </c>
      <c r="C43" s="66" t="s">
        <v>838</v>
      </c>
      <c r="D43" s="482" t="s">
        <v>379</v>
      </c>
      <c r="E43" s="483">
        <v>0</v>
      </c>
      <c r="F43" s="483">
        <v>0</v>
      </c>
      <c r="G43" s="25">
        <f t="array" ref="G43">SUM(IF("1522"&amp;C43=KHN&amp;MH,SL))</f>
        <v>0</v>
      </c>
      <c r="H43" s="25">
        <f t="array" ref="H43">SUM(IF("1522"&amp;C43=KHN&amp;MH,TH))</f>
        <v>0</v>
      </c>
      <c r="I43" s="25">
        <f t="array" ref="I43">SUM(IF("1522"&amp;C43=KHC&amp;MH,SL))</f>
        <v>0</v>
      </c>
      <c r="J43" s="25">
        <f t="array" ref="J43">SUM(IF("1522"&amp;C43=KHC&amp;MH,TH))</f>
        <v>0</v>
      </c>
      <c r="K43" s="483">
        <f t="shared" si="6"/>
        <v>0</v>
      </c>
      <c r="L43" s="483">
        <f t="shared" si="7"/>
        <v>0</v>
      </c>
      <c r="M43" s="471"/>
      <c r="N43" s="474" t="s">
        <v>419</v>
      </c>
      <c r="O43" s="476" t="s">
        <v>408</v>
      </c>
      <c r="P43" s="473">
        <v>310526150</v>
      </c>
      <c r="Q43" s="473" t="s">
        <v>409</v>
      </c>
      <c r="R43" s="473"/>
      <c r="S43" s="473" t="s">
        <v>342</v>
      </c>
    </row>
    <row r="44" spans="1:19" s="458" customFormat="1" ht="18" customHeight="1">
      <c r="A44" s="467" t="str">
        <f t="shared" si="1"/>
        <v>VL</v>
      </c>
      <c r="B44" s="468">
        <f>IF(C44&lt;&gt;"",ROW()-11,"")</f>
        <v>33</v>
      </c>
      <c r="C44" s="311" t="s">
        <v>836</v>
      </c>
      <c r="D44" s="482" t="s">
        <v>379</v>
      </c>
      <c r="E44" s="483">
        <v>3427</v>
      </c>
      <c r="F44" s="483">
        <v>35246100</v>
      </c>
      <c r="G44" s="25">
        <f t="array" ref="G44">SUM(IF("1522"&amp;C44=KHN&amp;MH,SL))</f>
        <v>0</v>
      </c>
      <c r="H44" s="25">
        <f t="array" ref="H44">SUM(IF("1522"&amp;C44=KHN&amp;MH,TH))</f>
        <v>0</v>
      </c>
      <c r="I44" s="25">
        <f t="array" ref="I44">SUM(IF("1522"&amp;C44=KHC&amp;MH,SL))</f>
        <v>3427</v>
      </c>
      <c r="J44" s="25">
        <f t="array" ref="J44">SUM(IF("1522"&amp;C44=KHC&amp;MH,TH))</f>
        <v>35246100</v>
      </c>
      <c r="K44" s="483">
        <f t="shared" si="6"/>
        <v>0</v>
      </c>
      <c r="L44" s="483">
        <f t="shared" si="7"/>
        <v>0</v>
      </c>
      <c r="M44" s="471"/>
      <c r="N44" s="474" t="s">
        <v>420</v>
      </c>
      <c r="O44" s="476" t="s">
        <v>408</v>
      </c>
      <c r="P44" s="473">
        <v>311514350</v>
      </c>
      <c r="Q44" s="473" t="s">
        <v>411</v>
      </c>
      <c r="R44" s="473"/>
      <c r="S44" s="473" t="s">
        <v>342</v>
      </c>
    </row>
    <row r="45" spans="1:19" s="458" customFormat="1" ht="19.5" customHeight="1">
      <c r="A45" s="467" t="str">
        <f t="shared" si="1"/>
        <v>VL</v>
      </c>
      <c r="B45" s="468">
        <f>IF(C45&lt;&gt;"",ROW()-11,"")</f>
        <v>34</v>
      </c>
      <c r="C45" s="311" t="s">
        <v>884</v>
      </c>
      <c r="D45" s="482" t="s">
        <v>379</v>
      </c>
      <c r="E45" s="483">
        <v>1040</v>
      </c>
      <c r="F45" s="483">
        <v>14040000</v>
      </c>
      <c r="G45" s="25">
        <f t="array" ref="G45">SUM(IF("1522"&amp;C45=KHN&amp;MH,SL))</f>
        <v>1020</v>
      </c>
      <c r="H45" s="25">
        <f t="array" ref="H45">SUM(IF("1522"&amp;C45=KHN&amp;MH,TH))</f>
        <v>14484000</v>
      </c>
      <c r="I45" s="25">
        <f t="array" ref="I45">SUM(IF("1522"&amp;C45=KHC&amp;MH,SL))</f>
        <v>1040</v>
      </c>
      <c r="J45" s="25">
        <f t="array" ref="J45">SUM(IF("1522"&amp;C45=KHC&amp;MH,TH))</f>
        <v>14040000</v>
      </c>
      <c r="K45" s="483">
        <f t="shared" ref="K45" si="16">E45+G45-I45</f>
        <v>1020</v>
      </c>
      <c r="L45" s="483">
        <f t="shared" ref="L45" si="17">F45+H45-J45</f>
        <v>14484000</v>
      </c>
      <c r="M45" s="471"/>
      <c r="N45" s="474" t="s">
        <v>421</v>
      </c>
      <c r="O45" s="476" t="s">
        <v>422</v>
      </c>
      <c r="P45" s="473">
        <v>270106056</v>
      </c>
      <c r="Q45" s="473" t="s">
        <v>422</v>
      </c>
      <c r="R45" s="473" t="s">
        <v>423</v>
      </c>
      <c r="S45" s="473" t="s">
        <v>342</v>
      </c>
    </row>
    <row r="46" spans="1:19" s="458" customFormat="1" ht="19.5" customHeight="1">
      <c r="A46" s="467" t="str">
        <f t="shared" si="1"/>
        <v>VL</v>
      </c>
      <c r="B46" s="468">
        <f>IF(C46&lt;&gt;"",ROW()-11,"")</f>
        <v>35</v>
      </c>
      <c r="C46" s="311" t="s">
        <v>806</v>
      </c>
      <c r="D46" s="482" t="s">
        <v>379</v>
      </c>
      <c r="E46" s="483">
        <v>0</v>
      </c>
      <c r="F46" s="483">
        <v>0</v>
      </c>
      <c r="G46" s="25">
        <f t="array" ref="G46">SUM(IF("1522"&amp;C46=KHN&amp;MH,SL))</f>
        <v>0</v>
      </c>
      <c r="H46" s="25">
        <f t="array" ref="H46">SUM(IF("1522"&amp;C46=KHN&amp;MH,TH))</f>
        <v>0</v>
      </c>
      <c r="I46" s="25">
        <f t="array" ref="I46">SUM(IF("1522"&amp;C46=KHC&amp;MH,SL))</f>
        <v>0</v>
      </c>
      <c r="J46" s="25">
        <f t="array" ref="J46">SUM(IF("1522"&amp;C46=KHC&amp;MH,TH))</f>
        <v>0</v>
      </c>
      <c r="K46" s="483">
        <f t="shared" si="6"/>
        <v>0</v>
      </c>
      <c r="L46" s="483">
        <f t="shared" si="7"/>
        <v>0</v>
      </c>
      <c r="M46" s="471"/>
      <c r="N46" s="474" t="s">
        <v>424</v>
      </c>
      <c r="O46" s="476" t="s">
        <v>422</v>
      </c>
      <c r="P46" s="473">
        <v>270176684</v>
      </c>
      <c r="Q46" s="473" t="s">
        <v>422</v>
      </c>
      <c r="R46" s="473" t="s">
        <v>425</v>
      </c>
      <c r="S46" s="473" t="s">
        <v>342</v>
      </c>
    </row>
    <row r="47" spans="1:19" s="458" customFormat="1" ht="19.5" customHeight="1">
      <c r="A47" s="467" t="str">
        <f t="shared" si="1"/>
        <v>VL</v>
      </c>
      <c r="B47" s="468">
        <f>IF(C47&lt;&gt;"",ROW()-11,"")</f>
        <v>36</v>
      </c>
      <c r="C47" s="481" t="s">
        <v>384</v>
      </c>
      <c r="D47" s="482" t="s">
        <v>379</v>
      </c>
      <c r="E47" s="483">
        <v>0</v>
      </c>
      <c r="F47" s="483">
        <v>0</v>
      </c>
      <c r="G47" s="25">
        <f t="array" ref="G47">SUM(IF("1522"&amp;C47=KHN&amp;MH,SL))</f>
        <v>1419</v>
      </c>
      <c r="H47" s="25">
        <f t="array" ref="H47">SUM(IF("1522"&amp;C47=KHN&amp;MH,TH))</f>
        <v>8514000</v>
      </c>
      <c r="I47" s="25">
        <f t="array" ref="I47">SUM(IF("1522"&amp;C47=KHC&amp;MH,SL))</f>
        <v>1419</v>
      </c>
      <c r="J47" s="25">
        <f t="array" ref="J47">SUM(IF("1522"&amp;C47=KHC&amp;MH,TH))</f>
        <v>8514000</v>
      </c>
      <c r="K47" s="483">
        <f t="shared" si="6"/>
        <v>0</v>
      </c>
      <c r="L47" s="483">
        <f t="shared" si="7"/>
        <v>0</v>
      </c>
      <c r="M47" s="471"/>
      <c r="N47" s="474" t="s">
        <v>426</v>
      </c>
      <c r="O47" s="476" t="s">
        <v>422</v>
      </c>
      <c r="P47" s="473">
        <v>270176960</v>
      </c>
      <c r="Q47" s="473" t="s">
        <v>422</v>
      </c>
      <c r="R47" s="473" t="s">
        <v>427</v>
      </c>
      <c r="S47" s="473" t="s">
        <v>342</v>
      </c>
    </row>
    <row r="48" spans="1:19" s="458" customFormat="1" ht="19.5" customHeight="1">
      <c r="A48" s="467" t="str">
        <f t="shared" si="1"/>
        <v>VL</v>
      </c>
      <c r="B48" s="468">
        <f t="shared" si="9"/>
        <v>37</v>
      </c>
      <c r="C48" s="311" t="s">
        <v>805</v>
      </c>
      <c r="D48" s="482" t="s">
        <v>379</v>
      </c>
      <c r="E48" s="483">
        <v>0</v>
      </c>
      <c r="F48" s="483">
        <v>0</v>
      </c>
      <c r="G48" s="25">
        <f t="array" ref="G48">SUM(IF("1522"&amp;C48=KHN&amp;MH,SL))</f>
        <v>0</v>
      </c>
      <c r="H48" s="25">
        <f t="array" ref="H48">SUM(IF("1522"&amp;C48=KHN&amp;MH,TH))</f>
        <v>0</v>
      </c>
      <c r="I48" s="25">
        <f t="array" ref="I48">SUM(IF("1522"&amp;C48=KHC&amp;MH,SL))</f>
        <v>0</v>
      </c>
      <c r="J48" s="25">
        <f t="array" ref="J48">SUM(IF("1522"&amp;C48=KHC&amp;MH,TH))</f>
        <v>0</v>
      </c>
      <c r="K48" s="483">
        <f t="shared" si="6"/>
        <v>0</v>
      </c>
      <c r="L48" s="483">
        <f t="shared" si="7"/>
        <v>0</v>
      </c>
      <c r="M48" s="471"/>
      <c r="N48" s="474" t="s">
        <v>428</v>
      </c>
      <c r="O48" s="476" t="s">
        <v>422</v>
      </c>
      <c r="P48" s="473">
        <v>271181056</v>
      </c>
      <c r="Q48" s="473" t="s">
        <v>422</v>
      </c>
      <c r="R48" s="473"/>
      <c r="S48" s="473" t="s">
        <v>342</v>
      </c>
    </row>
    <row r="49" spans="1:19" s="458" customFormat="1" ht="19.5" customHeight="1">
      <c r="A49" s="467" t="str">
        <f t="shared" si="1"/>
        <v>VL</v>
      </c>
      <c r="B49" s="468">
        <f t="shared" ref="B49:B54" si="18">IF(C49&lt;&gt;"",ROW()-11,"")</f>
        <v>38</v>
      </c>
      <c r="C49" s="311" t="s">
        <v>807</v>
      </c>
      <c r="D49" s="482" t="s">
        <v>379</v>
      </c>
      <c r="E49" s="483">
        <v>0</v>
      </c>
      <c r="F49" s="483">
        <v>0</v>
      </c>
      <c r="G49" s="25">
        <f t="array" ref="G49">SUM(IF("1522"&amp;C49=KHN&amp;MH,SL))</f>
        <v>0</v>
      </c>
      <c r="H49" s="25">
        <f t="array" ref="H49">SUM(IF("1522"&amp;C49=KHN&amp;MH,TH))</f>
        <v>0</v>
      </c>
      <c r="I49" s="25">
        <f t="array" ref="I49">SUM(IF("1522"&amp;C49=KHC&amp;MH,SL))</f>
        <v>0</v>
      </c>
      <c r="J49" s="25">
        <f t="array" ref="J49">SUM(IF("1522"&amp;C49=KHC&amp;MH,TH))</f>
        <v>0</v>
      </c>
      <c r="K49" s="483">
        <f t="shared" si="6"/>
        <v>0</v>
      </c>
      <c r="L49" s="483">
        <f t="shared" si="7"/>
        <v>0</v>
      </c>
      <c r="M49" s="471"/>
      <c r="N49" s="474" t="s">
        <v>430</v>
      </c>
      <c r="O49" s="476" t="s">
        <v>422</v>
      </c>
      <c r="P49" s="473">
        <v>270986506</v>
      </c>
      <c r="Q49" s="473" t="s">
        <v>422</v>
      </c>
      <c r="R49" s="473"/>
      <c r="S49" s="473" t="s">
        <v>342</v>
      </c>
    </row>
    <row r="50" spans="1:19" s="458" customFormat="1" ht="18" customHeight="1">
      <c r="A50" s="467" t="str">
        <f t="shared" si="1"/>
        <v>VL</v>
      </c>
      <c r="B50" s="468">
        <f t="shared" si="18"/>
        <v>39</v>
      </c>
      <c r="C50" s="481" t="s">
        <v>391</v>
      </c>
      <c r="D50" s="482" t="s">
        <v>379</v>
      </c>
      <c r="E50" s="483">
        <v>0</v>
      </c>
      <c r="F50" s="483">
        <v>0</v>
      </c>
      <c r="G50" s="25">
        <f t="array" ref="G50">SUM(IF("1522"&amp;C50=KHN&amp;MH,SL))</f>
        <v>424</v>
      </c>
      <c r="H50" s="25">
        <f t="array" ref="H50">SUM(IF("1522"&amp;C50=KHN&amp;MH,TH))</f>
        <v>7632000</v>
      </c>
      <c r="I50" s="25">
        <f t="array" ref="I50">SUM(IF("1522"&amp;C50=KHC&amp;MH,SL))</f>
        <v>280</v>
      </c>
      <c r="J50" s="25">
        <f t="array" ref="J50">SUM(IF("1522"&amp;C50=KHC&amp;MH,TH))</f>
        <v>5040000</v>
      </c>
      <c r="K50" s="483">
        <f t="shared" si="6"/>
        <v>144</v>
      </c>
      <c r="L50" s="483">
        <f t="shared" si="7"/>
        <v>2592000</v>
      </c>
      <c r="M50" s="471"/>
      <c r="N50" s="474" t="s">
        <v>431</v>
      </c>
      <c r="O50" s="476" t="s">
        <v>422</v>
      </c>
      <c r="P50" s="473">
        <v>273042454</v>
      </c>
      <c r="Q50" s="473" t="s">
        <v>432</v>
      </c>
      <c r="R50" s="473" t="s">
        <v>433</v>
      </c>
      <c r="S50" s="473" t="s">
        <v>342</v>
      </c>
    </row>
    <row r="51" spans="1:19" s="458" customFormat="1" ht="18" customHeight="1">
      <c r="A51" s="467" t="str">
        <f t="shared" si="1"/>
        <v>VL</v>
      </c>
      <c r="B51" s="468">
        <f t="shared" si="18"/>
        <v>40</v>
      </c>
      <c r="C51" s="311" t="s">
        <v>804</v>
      </c>
      <c r="D51" s="482" t="s">
        <v>379</v>
      </c>
      <c r="E51" s="483">
        <v>303</v>
      </c>
      <c r="F51" s="483">
        <v>3939000</v>
      </c>
      <c r="G51" s="25">
        <f t="array" ref="G51">SUM(IF("1522"&amp;C51=KHN&amp;MH,SL))</f>
        <v>0</v>
      </c>
      <c r="H51" s="25">
        <f t="array" ref="H51">SUM(IF("1522"&amp;C51=KHN&amp;MH,TH))</f>
        <v>0</v>
      </c>
      <c r="I51" s="25">
        <f t="array" ref="I51">SUM(IF("1522"&amp;C51=KHC&amp;MH,SL))</f>
        <v>303</v>
      </c>
      <c r="J51" s="25">
        <f t="array" ref="J51">SUM(IF("1522"&amp;C51=KHC&amp;MH,TH))</f>
        <v>3939000</v>
      </c>
      <c r="K51" s="483">
        <f t="shared" si="6"/>
        <v>0</v>
      </c>
      <c r="L51" s="483">
        <f t="shared" si="7"/>
        <v>0</v>
      </c>
      <c r="M51" s="471"/>
      <c r="N51" s="474" t="s">
        <v>435</v>
      </c>
      <c r="O51" s="476" t="s">
        <v>422</v>
      </c>
      <c r="P51" s="473">
        <v>273249576</v>
      </c>
      <c r="Q51" s="473" t="s">
        <v>422</v>
      </c>
      <c r="R51" s="473"/>
      <c r="S51" s="473" t="s">
        <v>342</v>
      </c>
    </row>
    <row r="52" spans="1:19" s="458" customFormat="1" ht="18.75" customHeight="1">
      <c r="A52" s="467" t="str">
        <f t="shared" si="1"/>
        <v>VL</v>
      </c>
      <c r="B52" s="468">
        <f t="shared" si="18"/>
        <v>41</v>
      </c>
      <c r="C52" s="90" t="s">
        <v>903</v>
      </c>
      <c r="D52" s="482" t="s">
        <v>379</v>
      </c>
      <c r="E52" s="483">
        <v>1835</v>
      </c>
      <c r="F52" s="483">
        <v>13762500</v>
      </c>
      <c r="G52" s="25">
        <f t="array" ref="G52">SUM(IF("1522"&amp;C52=KHN&amp;MH,SL))</f>
        <v>0</v>
      </c>
      <c r="H52" s="25">
        <f t="array" ref="H52">SUM(IF("1522"&amp;C52=KHN&amp;MH,TH))</f>
        <v>0</v>
      </c>
      <c r="I52" s="25">
        <f t="array" ref="I52">SUM(IF("1522"&amp;C52=KHC&amp;MH,SL))</f>
        <v>1835</v>
      </c>
      <c r="J52" s="25">
        <f t="array" ref="J52">SUM(IF("1522"&amp;C52=KHC&amp;MH,TH))</f>
        <v>13762500</v>
      </c>
      <c r="K52" s="483">
        <f t="shared" si="6"/>
        <v>0</v>
      </c>
      <c r="L52" s="483">
        <f t="shared" si="7"/>
        <v>0</v>
      </c>
      <c r="M52" s="471"/>
      <c r="N52" s="474" t="s">
        <v>437</v>
      </c>
      <c r="O52" s="476" t="s">
        <v>422</v>
      </c>
      <c r="P52" s="473">
        <v>271642418</v>
      </c>
      <c r="Q52" s="473" t="s">
        <v>422</v>
      </c>
      <c r="R52" s="473"/>
      <c r="S52" s="473" t="s">
        <v>342</v>
      </c>
    </row>
    <row r="53" spans="1:19" s="458" customFormat="1" ht="18.75" customHeight="1">
      <c r="A53" s="467" t="str">
        <f t="shared" si="1"/>
        <v>VL</v>
      </c>
      <c r="B53" s="468">
        <f t="shared" si="18"/>
        <v>42</v>
      </c>
      <c r="C53" s="71" t="s">
        <v>922</v>
      </c>
      <c r="D53" s="482" t="s">
        <v>379</v>
      </c>
      <c r="E53" s="802">
        <v>0</v>
      </c>
      <c r="F53" s="802">
        <v>0</v>
      </c>
      <c r="G53" s="25">
        <f t="array" ref="G53">SUM(IF("1522"&amp;C53=KHN&amp;MH,SL))</f>
        <v>0</v>
      </c>
      <c r="H53" s="25">
        <f t="array" ref="H53">SUM(IF("1522"&amp;C53=KHN&amp;MH,TH))</f>
        <v>0</v>
      </c>
      <c r="I53" s="25">
        <f t="array" ref="I53">SUM(IF("1522"&amp;C53=KHC&amp;MH,SL))</f>
        <v>0</v>
      </c>
      <c r="J53" s="25">
        <f t="array" ref="J53">SUM(IF("1522"&amp;C53=KHC&amp;MH,TH))</f>
        <v>0</v>
      </c>
      <c r="K53" s="483">
        <f t="shared" ref="K53:L53" si="19">E53+G53-I53</f>
        <v>0</v>
      </c>
      <c r="L53" s="483">
        <f t="shared" si="19"/>
        <v>0</v>
      </c>
      <c r="M53" s="471"/>
      <c r="N53" s="480" t="s">
        <v>439</v>
      </c>
      <c r="O53" s="476" t="s">
        <v>422</v>
      </c>
      <c r="P53" s="473">
        <v>273017840</v>
      </c>
      <c r="Q53" s="473" t="s">
        <v>440</v>
      </c>
      <c r="R53" s="473"/>
      <c r="S53" s="473" t="s">
        <v>342</v>
      </c>
    </row>
    <row r="54" spans="1:19" s="458" customFormat="1" ht="18.75" customHeight="1">
      <c r="A54" s="467" t="str">
        <f t="shared" ref="A54" si="20">IF(B54&lt;&gt;"","VL","")</f>
        <v>VL</v>
      </c>
      <c r="B54" s="468">
        <f t="shared" si="18"/>
        <v>43</v>
      </c>
      <c r="C54" s="71" t="s">
        <v>937</v>
      </c>
      <c r="D54" s="482" t="s">
        <v>379</v>
      </c>
      <c r="E54" s="802">
        <v>760</v>
      </c>
      <c r="F54" s="802">
        <v>7772000</v>
      </c>
      <c r="G54" s="25">
        <f t="array" ref="G54">SUM(IF("1522"&amp;C54=KHN&amp;MH,SL))</f>
        <v>0</v>
      </c>
      <c r="H54" s="25">
        <f t="array" ref="H54">SUM(IF("1522"&amp;C54=KHN&amp;MH,TH))</f>
        <v>0</v>
      </c>
      <c r="I54" s="25">
        <f t="array" ref="I54">SUM(IF("1522"&amp;C54=KHC&amp;MH,SL))</f>
        <v>760</v>
      </c>
      <c r="J54" s="25">
        <f t="array" ref="J54">SUM(IF("1522"&amp;C54=KHC&amp;MH,TH))</f>
        <v>7772000</v>
      </c>
      <c r="K54" s="483">
        <f t="shared" ref="K54" si="21">E54+G54-I54</f>
        <v>0</v>
      </c>
      <c r="L54" s="483">
        <f t="shared" ref="L54" si="22">F54+H54-J54</f>
        <v>0</v>
      </c>
      <c r="M54" s="471"/>
      <c r="N54" s="480" t="s">
        <v>439</v>
      </c>
      <c r="O54" s="476" t="s">
        <v>422</v>
      </c>
      <c r="P54" s="473">
        <v>273017840</v>
      </c>
      <c r="Q54" s="473" t="s">
        <v>440</v>
      </c>
      <c r="R54" s="473"/>
      <c r="S54" s="473" t="s">
        <v>342</v>
      </c>
    </row>
    <row r="55" spans="1:19" s="458" customFormat="1" ht="18.75" customHeight="1">
      <c r="A55" s="467" t="str">
        <f>IF(B55&lt;&gt;"","VL","")</f>
        <v>VL</v>
      </c>
      <c r="B55" s="468">
        <f t="shared" si="8"/>
        <v>44</v>
      </c>
      <c r="C55" s="71" t="s">
        <v>950</v>
      </c>
      <c r="D55" s="482" t="s">
        <v>379</v>
      </c>
      <c r="E55" s="802">
        <v>0</v>
      </c>
      <c r="F55" s="486">
        <v>0</v>
      </c>
      <c r="G55" s="25">
        <f t="array" ref="G55">SUM(IF("1522"&amp;C55=KHN&amp;MH,SL))</f>
        <v>450</v>
      </c>
      <c r="H55" s="25">
        <f t="array" ref="H55">SUM(IF("1522"&amp;C55=KHN&amp;MH,TH))</f>
        <v>1080000</v>
      </c>
      <c r="I55" s="25">
        <f t="array" ref="I55">SUM(IF("1522"&amp;C55=KHC&amp;MH,SL))</f>
        <v>280</v>
      </c>
      <c r="J55" s="25">
        <f t="array" ref="J55">SUM(IF("1522"&amp;C55=KHC&amp;MH,TH))</f>
        <v>672000</v>
      </c>
      <c r="K55" s="483">
        <f t="shared" ref="K55" si="23">E55+G55-I55</f>
        <v>170</v>
      </c>
      <c r="L55" s="483">
        <f t="shared" ref="L55" si="24">F55+H55-J55</f>
        <v>408000</v>
      </c>
      <c r="M55" s="471"/>
      <c r="N55" s="474" t="s">
        <v>870</v>
      </c>
      <c r="O55" s="476">
        <v>260456563</v>
      </c>
      <c r="P55" s="473" t="s">
        <v>422</v>
      </c>
      <c r="Q55" s="473" t="s">
        <v>422</v>
      </c>
      <c r="R55" s="473"/>
      <c r="S55" s="473" t="s">
        <v>342</v>
      </c>
    </row>
    <row r="56" spans="1:19" s="458" customFormat="1" ht="18.75" customHeight="1">
      <c r="A56" s="467"/>
      <c r="B56" s="464"/>
      <c r="C56" s="487" t="s">
        <v>416</v>
      </c>
      <c r="D56" s="13"/>
      <c r="E56" s="13">
        <f t="shared" ref="E56:L56" si="25">SUM(E12:E55)</f>
        <v>165439</v>
      </c>
      <c r="F56" s="13">
        <f>SUM(F12:F55)</f>
        <v>352290084</v>
      </c>
      <c r="G56" s="13">
        <f t="shared" si="25"/>
        <v>12924</v>
      </c>
      <c r="H56" s="13">
        <f t="shared" si="25"/>
        <v>136190200</v>
      </c>
      <c r="I56" s="13">
        <f t="shared" si="25"/>
        <v>18771</v>
      </c>
      <c r="J56" s="13">
        <f t="shared" si="25"/>
        <v>229253500</v>
      </c>
      <c r="K56" s="13">
        <f t="shared" si="25"/>
        <v>159592</v>
      </c>
      <c r="L56" s="13">
        <f t="shared" si="25"/>
        <v>259226784</v>
      </c>
      <c r="M56" s="471"/>
      <c r="N56" s="480" t="s">
        <v>871</v>
      </c>
      <c r="O56" s="476">
        <v>261183075</v>
      </c>
      <c r="P56" s="473" t="s">
        <v>422</v>
      </c>
      <c r="Q56" s="473" t="s">
        <v>422</v>
      </c>
      <c r="R56" s="473"/>
      <c r="S56" s="473" t="s">
        <v>342</v>
      </c>
    </row>
    <row r="57" spans="1:19" s="458" customFormat="1" ht="18.75" customHeight="1">
      <c r="A57" s="467" t="str">
        <f>IF(B57&lt;&gt;"","NL","")</f>
        <v/>
      </c>
      <c r="B57" s="797"/>
      <c r="C57" s="798"/>
      <c r="D57" s="799"/>
      <c r="E57" s="799"/>
      <c r="F57" s="799">
        <f>F56-CDPS!C22</f>
        <v>298700</v>
      </c>
      <c r="G57" s="799"/>
      <c r="H57" s="799">
        <f>H56-CDPS!E22</f>
        <v>0</v>
      </c>
      <c r="I57" s="799"/>
      <c r="J57" s="799">
        <f>J56-CDPS!F22</f>
        <v>0</v>
      </c>
      <c r="K57" s="799"/>
      <c r="L57" s="799">
        <f>L56-CDPS!G22</f>
        <v>298700</v>
      </c>
      <c r="M57" s="471"/>
      <c r="N57" s="481" t="s">
        <v>868</v>
      </c>
      <c r="O57" s="482">
        <v>273017843</v>
      </c>
      <c r="P57" s="483" t="s">
        <v>891</v>
      </c>
      <c r="Q57" s="483" t="s">
        <v>422</v>
      </c>
      <c r="R57" s="473" t="s">
        <v>892</v>
      </c>
      <c r="S57" s="473" t="s">
        <v>342</v>
      </c>
    </row>
    <row r="58" spans="1:19" s="458" customFormat="1" ht="18.75" customHeight="1">
      <c r="A58" s="467" t="str">
        <f t="shared" ref="A58:A71" si="26">IF(B58&lt;&gt;"","NL","")</f>
        <v>NL</v>
      </c>
      <c r="B58" s="796">
        <f>IF(C58&lt;&gt;"",ROW()-(ROW()-1),"")</f>
        <v>1</v>
      </c>
      <c r="C58" s="469" t="s">
        <v>619</v>
      </c>
      <c r="D58" s="470" t="s">
        <v>338</v>
      </c>
      <c r="E58" s="25"/>
      <c r="F58" s="25"/>
      <c r="G58" s="25">
        <f t="array" ref="G58">SUM(IF("1521"&amp;C58=KHN&amp;MH,SL))</f>
        <v>0</v>
      </c>
      <c r="H58" s="25">
        <f t="array" ref="H58">SUM(IF("1521"&amp;C58=KHN&amp;MH,TH))</f>
        <v>0</v>
      </c>
      <c r="I58" s="25">
        <f t="array" ref="I58">SUM(IF("1521"&amp;C58=KHC&amp;MH,SL))</f>
        <v>0</v>
      </c>
      <c r="J58" s="25">
        <f t="array" ref="J58">SUM(IF("1521"&amp;C58=KHC&amp;MH,TH))</f>
        <v>0</v>
      </c>
      <c r="K58" s="25">
        <f t="shared" ref="K58:L63" si="27">E58+G58-I58</f>
        <v>0</v>
      </c>
      <c r="L58" s="25">
        <f t="shared" si="27"/>
        <v>0</v>
      </c>
      <c r="M58" s="471"/>
      <c r="N58" s="481" t="s">
        <v>869</v>
      </c>
      <c r="O58" s="482">
        <v>190253143</v>
      </c>
      <c r="P58" s="483" t="s">
        <v>422</v>
      </c>
      <c r="Q58" s="483" t="s">
        <v>422</v>
      </c>
      <c r="R58" s="473" t="s">
        <v>893</v>
      </c>
      <c r="S58" s="473" t="s">
        <v>342</v>
      </c>
    </row>
    <row r="59" spans="1:19" s="458" customFormat="1" ht="18.75" customHeight="1">
      <c r="A59" s="467" t="str">
        <f t="shared" si="26"/>
        <v>NL</v>
      </c>
      <c r="B59" s="468">
        <f>IF(C59&lt;&gt;"",B58+1,"")</f>
        <v>2</v>
      </c>
      <c r="C59" s="474" t="s">
        <v>620</v>
      </c>
      <c r="D59" s="470" t="s">
        <v>338</v>
      </c>
      <c r="E59" s="8"/>
      <c r="F59" s="8"/>
      <c r="G59" s="25">
        <f t="array" ref="G59">SUM(IF("1521"&amp;C59=KHN&amp;MH,SL))</f>
        <v>0</v>
      </c>
      <c r="H59" s="25">
        <f t="array" ref="H59">SUM(IF("1521"&amp;C59=KHN&amp;MH,TH))</f>
        <v>0</v>
      </c>
      <c r="I59" s="25">
        <f t="array" ref="I59">SUM(IF("1521"&amp;C59=KHC&amp;MH,SL))</f>
        <v>0</v>
      </c>
      <c r="J59" s="25">
        <f t="array" ref="J59">SUM(IF("1521"&amp;C59=KHC&amp;MH,TH))</f>
        <v>0</v>
      </c>
      <c r="K59" s="8">
        <f t="shared" si="27"/>
        <v>0</v>
      </c>
      <c r="L59" s="8">
        <f t="shared" si="27"/>
        <v>0</v>
      </c>
      <c r="M59" s="471"/>
      <c r="N59" s="481" t="s">
        <v>874</v>
      </c>
      <c r="O59" s="482"/>
      <c r="P59" s="483"/>
      <c r="Q59" s="483"/>
      <c r="R59" s="473"/>
      <c r="S59" s="473" t="s">
        <v>336</v>
      </c>
    </row>
    <row r="60" spans="1:19" s="458" customFormat="1" ht="18.75" customHeight="1">
      <c r="A60" s="467" t="str">
        <f t="shared" si="26"/>
        <v>NL</v>
      </c>
      <c r="B60" s="468">
        <f t="shared" ref="B60:B68" si="28">IF(C60&lt;&gt;"",B59+1,"")</f>
        <v>3</v>
      </c>
      <c r="C60" s="474" t="s">
        <v>895</v>
      </c>
      <c r="D60" s="470" t="s">
        <v>338</v>
      </c>
      <c r="E60" s="8"/>
      <c r="F60" s="8"/>
      <c r="G60" s="25">
        <f t="array" ref="G60">SUM(IF("1521"&amp;C60=KHN&amp;MH,SL))</f>
        <v>0</v>
      </c>
      <c r="H60" s="25">
        <f t="array" ref="H60">SUM(IF("1521"&amp;C60=KHN&amp;MH,TH))</f>
        <v>0</v>
      </c>
      <c r="I60" s="25">
        <f t="array" ref="I60">SUM(IF("1521"&amp;C60=KHC&amp;MH,SL))</f>
        <v>0</v>
      </c>
      <c r="J60" s="25">
        <f t="array" ref="J60">SUM(IF("1521"&amp;C60=KHC&amp;MH,TH))</f>
        <v>0</v>
      </c>
      <c r="K60" s="8">
        <f t="shared" ref="K60" si="29">E60+G60-I60</f>
        <v>0</v>
      </c>
      <c r="L60" s="8">
        <f t="shared" ref="L60" si="30">F60+H60-J60</f>
        <v>0</v>
      </c>
      <c r="M60" s="471"/>
      <c r="N60" s="481"/>
      <c r="O60" s="482"/>
      <c r="P60" s="483"/>
      <c r="Q60" s="483"/>
      <c r="R60" s="473"/>
      <c r="S60" s="473"/>
    </row>
    <row r="61" spans="1:19" s="458" customFormat="1" ht="19.5" customHeight="1">
      <c r="A61" s="467" t="str">
        <f t="shared" si="26"/>
        <v>NL</v>
      </c>
      <c r="B61" s="468">
        <f t="shared" si="28"/>
        <v>4</v>
      </c>
      <c r="C61" s="474" t="s">
        <v>858</v>
      </c>
      <c r="D61" s="470" t="s">
        <v>338</v>
      </c>
      <c r="E61" s="8"/>
      <c r="F61" s="8"/>
      <c r="G61" s="25">
        <f t="array" ref="G61">SUM(IF("1521"&amp;C61=KHN&amp;MH,SL))</f>
        <v>0</v>
      </c>
      <c r="H61" s="25">
        <f t="array" ref="H61">SUM(IF("1521"&amp;C61=KHN&amp;MH,TH))</f>
        <v>0</v>
      </c>
      <c r="I61" s="25">
        <f t="array" ref="I61">SUM(IF("1521"&amp;C61=KHC&amp;MH,SL))</f>
        <v>0</v>
      </c>
      <c r="J61" s="25">
        <f t="array" ref="J61">SUM(IF("1521"&amp;C61=KHC&amp;MH,TH))</f>
        <v>0</v>
      </c>
      <c r="K61" s="8">
        <f t="shared" si="27"/>
        <v>0</v>
      </c>
      <c r="L61" s="8">
        <f t="shared" si="27"/>
        <v>0</v>
      </c>
      <c r="M61" s="471"/>
      <c r="N61" s="474" t="s">
        <v>442</v>
      </c>
      <c r="O61" s="474"/>
      <c r="P61" s="474"/>
      <c r="Q61" s="474"/>
      <c r="R61" s="474"/>
      <c r="S61" s="474"/>
    </row>
    <row r="62" spans="1:19" s="458" customFormat="1" ht="19.5" customHeight="1">
      <c r="A62" s="467" t="str">
        <f t="shared" si="26"/>
        <v>NL</v>
      </c>
      <c r="B62" s="468">
        <f t="shared" si="28"/>
        <v>5</v>
      </c>
      <c r="C62" s="474" t="s">
        <v>859</v>
      </c>
      <c r="D62" s="470" t="s">
        <v>338</v>
      </c>
      <c r="E62" s="8"/>
      <c r="F62" s="8"/>
      <c r="G62" s="25">
        <f t="array" ref="G62">SUM(IF("1521"&amp;C62=KHN&amp;MH,SL))</f>
        <v>0</v>
      </c>
      <c r="H62" s="25">
        <f t="array" ref="H62">SUM(IF("1521"&amp;C62=KHN&amp;MH,TH))</f>
        <v>0</v>
      </c>
      <c r="I62" s="25">
        <f t="array" ref="I62">SUM(IF("1521"&amp;C62=KHC&amp;MH,SL))</f>
        <v>0</v>
      </c>
      <c r="J62" s="25">
        <f t="array" ref="J62">SUM(IF("1521"&amp;C62=KHC&amp;MH,TH))</f>
        <v>0</v>
      </c>
      <c r="K62" s="8">
        <f t="shared" si="27"/>
        <v>0</v>
      </c>
      <c r="L62" s="8">
        <f t="shared" si="27"/>
        <v>0</v>
      </c>
      <c r="M62" s="471"/>
      <c r="N62" s="492"/>
      <c r="O62" s="492"/>
      <c r="P62" s="492"/>
      <c r="Q62" s="492"/>
      <c r="R62" s="492"/>
      <c r="S62" s="492"/>
    </row>
    <row r="63" spans="1:19" s="458" customFormat="1" ht="19.5" customHeight="1">
      <c r="A63" s="467" t="str">
        <f t="shared" si="26"/>
        <v>NL</v>
      </c>
      <c r="B63" s="468">
        <f t="shared" si="28"/>
        <v>6</v>
      </c>
      <c r="C63" s="474" t="s">
        <v>860</v>
      </c>
      <c r="D63" s="470" t="s">
        <v>338</v>
      </c>
      <c r="E63" s="8"/>
      <c r="F63" s="8"/>
      <c r="G63" s="25">
        <f t="array" ref="G63">SUM(IF("1521"&amp;C63=KHN&amp;MH,SL))</f>
        <v>0</v>
      </c>
      <c r="H63" s="25">
        <f t="array" ref="H63">SUM(IF("1521"&amp;C63=KHN&amp;MH,TH))</f>
        <v>0</v>
      </c>
      <c r="I63" s="25">
        <f t="array" ref="I63">SUM(IF("1521"&amp;C63=KHC&amp;MH,SL))</f>
        <v>0</v>
      </c>
      <c r="J63" s="25">
        <f t="array" ref="J63">SUM(IF("1521"&amp;C63=KHC&amp;MH,TH))</f>
        <v>0</v>
      </c>
      <c r="K63" s="8">
        <f t="shared" si="27"/>
        <v>0</v>
      </c>
      <c r="L63" s="8">
        <f t="shared" si="27"/>
        <v>0</v>
      </c>
      <c r="M63" s="471"/>
      <c r="N63" s="492"/>
      <c r="O63" s="492"/>
      <c r="P63" s="492"/>
      <c r="Q63" s="492"/>
      <c r="R63" s="492"/>
      <c r="S63" s="492"/>
    </row>
    <row r="64" spans="1:19" s="458" customFormat="1" ht="19.5" customHeight="1">
      <c r="A64" s="467" t="str">
        <f t="shared" si="26"/>
        <v>NL</v>
      </c>
      <c r="B64" s="468">
        <f t="shared" si="28"/>
        <v>7</v>
      </c>
      <c r="C64" s="474" t="s">
        <v>861</v>
      </c>
      <c r="D64" s="470" t="s">
        <v>338</v>
      </c>
      <c r="E64" s="8"/>
      <c r="F64" s="8"/>
      <c r="G64" s="25">
        <f t="array" ref="G64">SUM(IF("1521"&amp;C64=KHN&amp;MH,SL))</f>
        <v>0</v>
      </c>
      <c r="H64" s="25">
        <f t="array" ref="H64">SUM(IF("1521"&amp;C64=KHN&amp;MH,TH))</f>
        <v>0</v>
      </c>
      <c r="I64" s="25">
        <f t="array" ref="I64">SUM(IF("1521"&amp;C64=KHC&amp;MH,SL))</f>
        <v>0</v>
      </c>
      <c r="J64" s="25">
        <f t="array" ref="J64">SUM(IF("1521"&amp;C64=KHC&amp;MH,TH))</f>
        <v>0</v>
      </c>
      <c r="K64" s="8">
        <f t="shared" ref="K64:L70" si="31">E64+G64-I64</f>
        <v>0</v>
      </c>
      <c r="L64" s="8">
        <f t="shared" si="31"/>
        <v>0</v>
      </c>
      <c r="M64" s="471"/>
      <c r="N64" s="492"/>
      <c r="O64" s="492"/>
      <c r="P64" s="492"/>
      <c r="Q64" s="492"/>
      <c r="R64" s="492"/>
      <c r="S64" s="492"/>
    </row>
    <row r="65" spans="1:20" s="458" customFormat="1" ht="19.5" customHeight="1">
      <c r="A65" s="467" t="str">
        <f t="shared" si="26"/>
        <v>NL</v>
      </c>
      <c r="B65" s="468">
        <f t="shared" si="28"/>
        <v>8</v>
      </c>
      <c r="C65" s="474" t="s">
        <v>862</v>
      </c>
      <c r="D65" s="470" t="s">
        <v>338</v>
      </c>
      <c r="E65" s="8"/>
      <c r="F65" s="8"/>
      <c r="G65" s="25">
        <f t="array" ref="G65">SUM(IF("1521"&amp;C65=KHN&amp;MH,SL))</f>
        <v>0</v>
      </c>
      <c r="H65" s="25">
        <f t="array" ref="H65">SUM(IF("1521"&amp;C65=KHN&amp;MH,TH))</f>
        <v>0</v>
      </c>
      <c r="I65" s="25">
        <f t="array" ref="I65">SUM(IF("1521"&amp;C65=KHC&amp;MH,SL))</f>
        <v>0</v>
      </c>
      <c r="J65" s="25">
        <f t="array" ref="J65">SUM(IF("1521"&amp;C65=KHC&amp;MH,TH))</f>
        <v>0</v>
      </c>
      <c r="K65" s="8">
        <f t="shared" si="31"/>
        <v>0</v>
      </c>
      <c r="L65" s="8">
        <f t="shared" si="31"/>
        <v>0</v>
      </c>
      <c r="M65" s="471"/>
      <c r="N65" s="492"/>
      <c r="O65" s="492"/>
      <c r="P65" s="492"/>
      <c r="Q65" s="492"/>
      <c r="R65" s="492"/>
      <c r="S65" s="492"/>
    </row>
    <row r="66" spans="1:20" s="458" customFormat="1" ht="19.5" customHeight="1">
      <c r="A66" s="467" t="str">
        <f t="shared" si="26"/>
        <v>NL</v>
      </c>
      <c r="B66" s="468">
        <f t="shared" si="28"/>
        <v>9</v>
      </c>
      <c r="C66" s="474" t="s">
        <v>863</v>
      </c>
      <c r="D66" s="470" t="s">
        <v>338</v>
      </c>
      <c r="E66" s="8"/>
      <c r="F66" s="8"/>
      <c r="G66" s="25">
        <f t="array" ref="G66">SUM(IF("1521"&amp;C66=KHN&amp;MH,SL))</f>
        <v>0</v>
      </c>
      <c r="H66" s="25">
        <f t="array" ref="H66">SUM(IF("1521"&amp;C66=KHN&amp;MH,TH))</f>
        <v>0</v>
      </c>
      <c r="I66" s="25">
        <f t="array" ref="I66">SUM(IF("1521"&amp;C66=KHC&amp;MH,SL))</f>
        <v>0</v>
      </c>
      <c r="J66" s="25">
        <f t="array" ref="J66">SUM(IF("1521"&amp;C66=KHC&amp;MH,TH))</f>
        <v>0</v>
      </c>
      <c r="K66" s="8">
        <f t="shared" si="31"/>
        <v>0</v>
      </c>
      <c r="L66" s="8">
        <f t="shared" si="31"/>
        <v>0</v>
      </c>
      <c r="M66" s="471"/>
      <c r="N66" s="492"/>
      <c r="O66" s="492"/>
      <c r="P66" s="492"/>
      <c r="Q66" s="492"/>
      <c r="R66" s="492"/>
      <c r="S66" s="492"/>
    </row>
    <row r="67" spans="1:20" s="458" customFormat="1" ht="19.5" customHeight="1">
      <c r="A67" s="467" t="str">
        <f t="shared" si="26"/>
        <v>NL</v>
      </c>
      <c r="B67" s="468">
        <f t="shared" si="28"/>
        <v>10</v>
      </c>
      <c r="C67" s="474" t="s">
        <v>872</v>
      </c>
      <c r="D67" s="470" t="s">
        <v>338</v>
      </c>
      <c r="E67" s="8"/>
      <c r="F67" s="8"/>
      <c r="G67" s="25">
        <f t="array" ref="G67">SUM(IF("1521"&amp;C67=KHN&amp;MH,SL))</f>
        <v>0</v>
      </c>
      <c r="H67" s="25">
        <f t="array" ref="H67">SUM(IF("1521"&amp;C67=KHN&amp;MH,TH))</f>
        <v>0</v>
      </c>
      <c r="I67" s="25">
        <f t="array" ref="I67">SUM(IF("1521"&amp;C67=KHC&amp;MH,SL))</f>
        <v>0</v>
      </c>
      <c r="J67" s="25">
        <f t="array" ref="J67">SUM(IF("1521"&amp;C67=KHC&amp;MH,TH))</f>
        <v>0</v>
      </c>
      <c r="K67" s="8">
        <f t="shared" si="31"/>
        <v>0</v>
      </c>
      <c r="L67" s="8">
        <f t="shared" si="31"/>
        <v>0</v>
      </c>
      <c r="M67" s="492"/>
      <c r="N67" s="492"/>
      <c r="O67" s="492"/>
      <c r="P67" s="492"/>
      <c r="Q67" s="492"/>
      <c r="R67" s="492"/>
      <c r="S67" s="492"/>
    </row>
    <row r="68" spans="1:20" s="458" customFormat="1" ht="19.5" customHeight="1">
      <c r="A68" s="467" t="str">
        <f t="shared" si="26"/>
        <v>NL</v>
      </c>
      <c r="B68" s="468">
        <f t="shared" si="28"/>
        <v>11</v>
      </c>
      <c r="C68" s="474" t="s">
        <v>873</v>
      </c>
      <c r="D68" s="470" t="s">
        <v>338</v>
      </c>
      <c r="E68" s="8"/>
      <c r="F68" s="8"/>
      <c r="G68" s="25">
        <f t="array" ref="G68">SUM(IF("1521"&amp;C68=KHN&amp;MH,SL))</f>
        <v>0</v>
      </c>
      <c r="H68" s="25">
        <f t="array" ref="H68">SUM(IF("1521"&amp;C68=KHN&amp;MH,TH))</f>
        <v>0</v>
      </c>
      <c r="I68" s="25">
        <f t="array" ref="I68">SUM(IF("1521"&amp;C68=KHC&amp;MH,SL))</f>
        <v>0</v>
      </c>
      <c r="J68" s="25">
        <f t="array" ref="J68">SUM(IF("1521"&amp;C68=KHC&amp;MH,TH))</f>
        <v>0</v>
      </c>
      <c r="K68" s="8">
        <f t="shared" si="31"/>
        <v>0</v>
      </c>
      <c r="L68" s="8">
        <f t="shared" si="31"/>
        <v>0</v>
      </c>
      <c r="N68" s="492"/>
      <c r="O68" s="492"/>
      <c r="P68" s="492"/>
      <c r="Q68" s="492"/>
      <c r="R68" s="492"/>
      <c r="S68" s="492"/>
    </row>
    <row r="69" spans="1:20" s="458" customFormat="1" ht="19.5" customHeight="1">
      <c r="A69" s="467" t="str">
        <f t="shared" si="26"/>
        <v>NL</v>
      </c>
      <c r="B69" s="468">
        <f t="shared" ref="B69:B71" si="32">IF(C69&lt;&gt;"",B68+1,"")</f>
        <v>12</v>
      </c>
      <c r="C69" s="474" t="s">
        <v>864</v>
      </c>
      <c r="D69" s="470" t="s">
        <v>338</v>
      </c>
      <c r="E69" s="8"/>
      <c r="F69" s="8"/>
      <c r="G69" s="25">
        <f t="array" ref="G69">SUM(IF("1521"&amp;C69=KHN&amp;MH,SL))</f>
        <v>0</v>
      </c>
      <c r="H69" s="25">
        <f t="array" ref="H69">SUM(IF("1521"&amp;C69=KHN&amp;MH,TH))</f>
        <v>0</v>
      </c>
      <c r="I69" s="25">
        <f t="array" ref="I69">SUM(IF("1521"&amp;C69=KHC&amp;MH,SL))</f>
        <v>0</v>
      </c>
      <c r="J69" s="25">
        <f t="array" ref="J69">SUM(IF("1521"&amp;C69=KHC&amp;MH,TH))</f>
        <v>0</v>
      </c>
      <c r="K69" s="8">
        <f t="shared" si="31"/>
        <v>0</v>
      </c>
      <c r="L69" s="8">
        <f t="shared" si="31"/>
        <v>0</v>
      </c>
      <c r="N69" s="492"/>
      <c r="O69" s="492"/>
      <c r="P69" s="492"/>
      <c r="Q69" s="492"/>
      <c r="R69" s="492"/>
      <c r="S69" s="492"/>
    </row>
    <row r="70" spans="1:20" s="458" customFormat="1" ht="18.75" customHeight="1">
      <c r="A70" s="467" t="str">
        <f t="shared" si="26"/>
        <v>NL</v>
      </c>
      <c r="B70" s="468">
        <f t="shared" si="32"/>
        <v>13</v>
      </c>
      <c r="C70" s="474" t="s">
        <v>865</v>
      </c>
      <c r="D70" s="470" t="s">
        <v>338</v>
      </c>
      <c r="E70" s="8"/>
      <c r="F70" s="8"/>
      <c r="G70" s="25">
        <f t="array" ref="G70">SUM(IF("1521"&amp;C70=KHN&amp;MH,SL))</f>
        <v>0</v>
      </c>
      <c r="H70" s="25">
        <f t="array" ref="H70">SUM(IF("1521"&amp;C70=KHN&amp;MH,TH))</f>
        <v>0</v>
      </c>
      <c r="I70" s="25">
        <f t="array" ref="I70">SUM(IF("1521"&amp;C70=KHC&amp;MH,SL))</f>
        <v>0</v>
      </c>
      <c r="J70" s="25">
        <f t="array" ref="J70">SUM(IF("1521"&amp;C70=KHC&amp;MH,TH))</f>
        <v>0</v>
      </c>
      <c r="K70" s="8">
        <f t="shared" si="31"/>
        <v>0</v>
      </c>
      <c r="L70" s="8">
        <f t="shared" si="31"/>
        <v>0</v>
      </c>
      <c r="N70" s="492"/>
      <c r="O70" s="492"/>
      <c r="P70" s="492"/>
      <c r="Q70" s="492"/>
      <c r="R70" s="492"/>
      <c r="S70" s="492"/>
      <c r="T70" s="492"/>
    </row>
    <row r="71" spans="1:20" s="458" customFormat="1" ht="18.75" customHeight="1">
      <c r="A71" s="467" t="str">
        <f t="shared" si="26"/>
        <v/>
      </c>
      <c r="B71" s="468" t="str">
        <f t="shared" si="32"/>
        <v/>
      </c>
      <c r="C71" s="488"/>
      <c r="D71" s="489"/>
      <c r="E71" s="490"/>
      <c r="F71" s="490"/>
      <c r="G71" s="490"/>
      <c r="H71" s="490"/>
      <c r="I71" s="490"/>
      <c r="J71" s="490"/>
      <c r="K71" s="8"/>
      <c r="L71" s="8"/>
      <c r="P71" s="492"/>
      <c r="Q71" s="492"/>
      <c r="R71" s="492"/>
      <c r="S71" s="492"/>
      <c r="T71" s="492"/>
    </row>
    <row r="72" spans="1:20" s="458" customFormat="1" ht="19.5" customHeight="1">
      <c r="A72" s="467"/>
      <c r="B72" s="464"/>
      <c r="C72" s="487" t="s">
        <v>429</v>
      </c>
      <c r="D72" s="464"/>
      <c r="E72" s="13">
        <f>SUM(E58:E71)</f>
        <v>0</v>
      </c>
      <c r="F72" s="13">
        <f t="shared" ref="F72:L72" si="33">SUM(F58:F71)</f>
        <v>0</v>
      </c>
      <c r="G72" s="13">
        <f t="shared" si="33"/>
        <v>0</v>
      </c>
      <c r="H72" s="13">
        <f t="shared" si="33"/>
        <v>0</v>
      </c>
      <c r="I72" s="13">
        <f t="shared" si="33"/>
        <v>0</v>
      </c>
      <c r="J72" s="13">
        <f t="shared" si="33"/>
        <v>0</v>
      </c>
      <c r="K72" s="13">
        <f t="shared" si="33"/>
        <v>0</v>
      </c>
      <c r="L72" s="13">
        <f t="shared" si="33"/>
        <v>0</v>
      </c>
      <c r="P72" s="492"/>
      <c r="Q72" s="492"/>
      <c r="R72" s="492"/>
      <c r="S72" s="492"/>
    </row>
    <row r="73" spans="1:20" s="458" customFormat="1" ht="19.5" customHeight="1">
      <c r="A73" s="467" t="str">
        <f>IF(B73&lt;&gt;"","TP","")</f>
        <v/>
      </c>
      <c r="B73" s="797"/>
      <c r="C73" s="798"/>
      <c r="D73" s="797"/>
      <c r="E73" s="799"/>
      <c r="F73" s="799">
        <f>F72-CDPS!C21</f>
        <v>0</v>
      </c>
      <c r="G73" s="799"/>
      <c r="H73" s="799">
        <f>H72-CDPS!E21</f>
        <v>0</v>
      </c>
      <c r="I73" s="799"/>
      <c r="J73" s="799">
        <f>J72-CDPS!F21</f>
        <v>0</v>
      </c>
      <c r="K73" s="799"/>
      <c r="L73" s="799">
        <f>L72-CDPS!G21</f>
        <v>0</v>
      </c>
      <c r="Q73" s="493"/>
      <c r="R73" s="493"/>
      <c r="S73" s="493"/>
    </row>
    <row r="74" spans="1:20" s="458" customFormat="1" ht="19.5" customHeight="1">
      <c r="A74" s="467" t="str">
        <f t="shared" ref="A74:A115" si="34">IF(B74&lt;&gt;"","TP","")</f>
        <v>TP</v>
      </c>
      <c r="B74" s="796">
        <f>IF(C74&lt;&gt;"",ROW()-(ROW()-1),"")</f>
        <v>1</v>
      </c>
      <c r="C74" s="469" t="s">
        <v>434</v>
      </c>
      <c r="D74" s="491" t="s">
        <v>338</v>
      </c>
      <c r="E74" s="25"/>
      <c r="F74" s="25"/>
      <c r="G74" s="25">
        <f t="array" ref="G74">SUM(IF("155"&amp;C74=KHN&amp;MH,SL))</f>
        <v>0</v>
      </c>
      <c r="H74" s="25">
        <f t="array" ref="H74">SUM(IF("155"&amp;C74=KHN&amp;MH,TH))</f>
        <v>0</v>
      </c>
      <c r="I74" s="25">
        <f t="array" ref="I74">SUM(IF("155"&amp;C74=KHC&amp;MH,SL))</f>
        <v>0</v>
      </c>
      <c r="J74" s="25">
        <f t="array" ref="J74">SUM(IF("155"&amp;C74=KHC&amp;MH,TH))</f>
        <v>0</v>
      </c>
      <c r="K74" s="25">
        <f t="shared" ref="K74:L78" si="35">E74+G74-I74</f>
        <v>0</v>
      </c>
      <c r="L74" s="25">
        <f t="shared" si="35"/>
        <v>0</v>
      </c>
      <c r="Q74" s="469" t="s">
        <v>434</v>
      </c>
      <c r="R74" s="469"/>
      <c r="S74" s="491">
        <v>4.5</v>
      </c>
    </row>
    <row r="75" spans="1:20" s="458" customFormat="1" ht="19.5" customHeight="1">
      <c r="A75" s="467" t="str">
        <f t="shared" si="34"/>
        <v>TP</v>
      </c>
      <c r="B75" s="468">
        <f>IF(C75&lt;&gt;"",B74+1,"")</f>
        <v>2</v>
      </c>
      <c r="C75" s="469" t="s">
        <v>459</v>
      </c>
      <c r="D75" s="491" t="s">
        <v>338</v>
      </c>
      <c r="E75" s="25"/>
      <c r="F75" s="25"/>
      <c r="G75" s="25">
        <f t="array" ref="G75">SUM(IF("155"&amp;C75=KHN&amp;MH,SL))</f>
        <v>84994</v>
      </c>
      <c r="H75" s="25">
        <f t="array" ref="H75">SUM(IF("155"&amp;C75=KHN&amp;MH,TH))</f>
        <v>4920916000</v>
      </c>
      <c r="I75" s="25">
        <f t="array" ref="I75">SUM(IF("155"&amp;C75=KHC&amp;MH,SL))</f>
        <v>0</v>
      </c>
      <c r="J75" s="25">
        <f t="array" ref="J75">SUM(IF("155"&amp;C75=KHC&amp;MH,TH))</f>
        <v>0</v>
      </c>
      <c r="K75" s="8">
        <f t="shared" si="35"/>
        <v>84994</v>
      </c>
      <c r="L75" s="8">
        <f t="shared" si="35"/>
        <v>4920916000</v>
      </c>
      <c r="Q75" s="474" t="s">
        <v>436</v>
      </c>
      <c r="R75" s="469"/>
      <c r="S75" s="491">
        <v>5</v>
      </c>
    </row>
    <row r="76" spans="1:20" s="458" customFormat="1" ht="20.25" customHeight="1">
      <c r="A76" s="467" t="str">
        <f t="shared" si="34"/>
        <v>TP</v>
      </c>
      <c r="B76" s="468">
        <f>IF(C76&lt;&gt;"",B75+1,"")</f>
        <v>3</v>
      </c>
      <c r="C76" s="474" t="s">
        <v>897</v>
      </c>
      <c r="D76" s="491" t="s">
        <v>338</v>
      </c>
      <c r="E76" s="8">
        <v>24465.8</v>
      </c>
      <c r="F76" s="8">
        <v>3468509299</v>
      </c>
      <c r="G76" s="25">
        <f t="array" ref="G76">SUM(IF("155"&amp;C76=KHN&amp;MH,SL))</f>
        <v>0</v>
      </c>
      <c r="H76" s="25">
        <f t="array" ref="H76">SUM(IF("155"&amp;C76=KHN&amp;MH,TH))</f>
        <v>0</v>
      </c>
      <c r="I76" s="25">
        <f t="array" ref="I76">SUM(IF("155"&amp;C76=KHC&amp;MH,SL))</f>
        <v>0</v>
      </c>
      <c r="J76" s="25">
        <f t="array" ref="J76">SUM(IF("155"&amp;C76=KHC&amp;MH,TH))</f>
        <v>0</v>
      </c>
      <c r="K76" s="8">
        <f t="shared" si="35"/>
        <v>24465.8</v>
      </c>
      <c r="L76" s="8">
        <f t="shared" si="35"/>
        <v>3468509299</v>
      </c>
      <c r="N76" s="467"/>
      <c r="Q76" s="474" t="s">
        <v>438</v>
      </c>
      <c r="R76" s="469"/>
      <c r="S76" s="491">
        <v>5</v>
      </c>
    </row>
    <row r="77" spans="1:20" s="458" customFormat="1" ht="20.25" customHeight="1">
      <c r="A77" s="467" t="str">
        <f t="shared" si="34"/>
        <v>TP</v>
      </c>
      <c r="B77" s="468">
        <f>IF(C77&lt;&gt;"",B76+1,"")</f>
        <v>4</v>
      </c>
      <c r="C77" s="474" t="s">
        <v>438</v>
      </c>
      <c r="D77" s="491" t="s">
        <v>338</v>
      </c>
      <c r="E77" s="8"/>
      <c r="F77" s="8"/>
      <c r="G77" s="25">
        <f t="array" ref="G77">SUM(IF("155"&amp;C77=KHN&amp;MH,SL))</f>
        <v>0</v>
      </c>
      <c r="H77" s="25">
        <f t="array" ref="H77">SUM(IF("155"&amp;C77=KHN&amp;MH,TH))</f>
        <v>0</v>
      </c>
      <c r="I77" s="25">
        <f t="array" ref="I77">SUM(IF("155"&amp;C77=KHC&amp;MH,SL))</f>
        <v>0</v>
      </c>
      <c r="J77" s="25">
        <f t="array" ref="J77">SUM(IF("155"&amp;C77=KHC&amp;MH,TH))</f>
        <v>0</v>
      </c>
      <c r="K77" s="8">
        <f t="shared" si="35"/>
        <v>0</v>
      </c>
      <c r="L77" s="8">
        <f t="shared" si="35"/>
        <v>0</v>
      </c>
      <c r="N77" s="969"/>
      <c r="Q77" s="474" t="s">
        <v>441</v>
      </c>
      <c r="R77" s="469"/>
      <c r="S77" s="491">
        <v>5</v>
      </c>
    </row>
    <row r="78" spans="1:20" s="458" customFormat="1" ht="20.25" customHeight="1">
      <c r="A78" s="467" t="str">
        <f t="shared" si="34"/>
        <v>TP</v>
      </c>
      <c r="B78" s="468">
        <f>IF(C78&lt;&gt;"",B77+1,"")</f>
        <v>5</v>
      </c>
      <c r="C78" s="474" t="s">
        <v>924</v>
      </c>
      <c r="D78" s="491" t="s">
        <v>338</v>
      </c>
      <c r="E78" s="8"/>
      <c r="F78" s="8"/>
      <c r="G78" s="25">
        <f t="array" ref="G78">SUM(IF("155"&amp;C78=KHN&amp;MH,SL))</f>
        <v>0</v>
      </c>
      <c r="H78" s="25">
        <f t="array" ref="H78">SUM(IF("155"&amp;C78=KHN&amp;MH,TH))</f>
        <v>0</v>
      </c>
      <c r="I78" s="25">
        <f t="array" ref="I78">SUM(IF("155"&amp;C78=KHC&amp;MH,SL))</f>
        <v>0</v>
      </c>
      <c r="J78" s="25">
        <f t="array" ref="J78">SUM(IF("155"&amp;C78=KHC&amp;MH,TH))</f>
        <v>0</v>
      </c>
      <c r="K78" s="8">
        <f t="shared" si="35"/>
        <v>0</v>
      </c>
      <c r="L78" s="8">
        <f t="shared" si="35"/>
        <v>0</v>
      </c>
      <c r="N78" s="997">
        <f>L76-3354455174</f>
        <v>114054125</v>
      </c>
      <c r="Q78" s="474" t="s">
        <v>443</v>
      </c>
      <c r="R78" s="474"/>
      <c r="S78" s="494"/>
    </row>
    <row r="79" spans="1:20" s="458" customFormat="1" ht="20.25" customHeight="1">
      <c r="A79" s="467" t="str">
        <f t="shared" si="34"/>
        <v>TP</v>
      </c>
      <c r="B79" s="468">
        <f>IF(C79&lt;&gt;"",B78+1,"")</f>
        <v>6</v>
      </c>
      <c r="C79" s="474" t="s">
        <v>443</v>
      </c>
      <c r="D79" s="491" t="s">
        <v>338</v>
      </c>
      <c r="E79" s="8"/>
      <c r="F79" s="8"/>
      <c r="G79" s="25">
        <f t="array" ref="G79">SUM(IF("155"&amp;C79=KHN&amp;MH,SL))</f>
        <v>0</v>
      </c>
      <c r="H79" s="25">
        <f t="array" ref="H79">SUM(IF("155"&amp;C79=KHN&amp;MH,TH))</f>
        <v>0</v>
      </c>
      <c r="I79" s="25">
        <f t="array" ref="I79">SUM(IF("155"&amp;C79=KHC&amp;MH,SL))</f>
        <v>0</v>
      </c>
      <c r="J79" s="25">
        <f t="array" ref="J79">SUM(IF("155"&amp;C79=KHC&amp;MH,TH))</f>
        <v>0</v>
      </c>
      <c r="K79" s="8">
        <f t="shared" ref="K79:K102" si="36">E79+G79-I79</f>
        <v>0</v>
      </c>
      <c r="L79" s="8">
        <f t="shared" ref="L79:L102" si="37">F79+H79-J79</f>
        <v>0</v>
      </c>
      <c r="N79" s="458">
        <f>N78/8125</f>
        <v>14037.430769230768</v>
      </c>
      <c r="Q79" s="474" t="s">
        <v>447</v>
      </c>
      <c r="R79" s="474"/>
      <c r="S79" s="494">
        <v>8</v>
      </c>
    </row>
    <row r="80" spans="1:20" s="458" customFormat="1" ht="20.25" customHeight="1">
      <c r="A80" s="467" t="str">
        <f t="shared" si="34"/>
        <v>TP</v>
      </c>
      <c r="B80" s="468">
        <f t="shared" ref="B80:B102" si="38">IF(C80&lt;&gt;"",B79+1,"")</f>
        <v>7</v>
      </c>
      <c r="C80" s="474" t="s">
        <v>444</v>
      </c>
      <c r="D80" s="491" t="s">
        <v>338</v>
      </c>
      <c r="E80" s="8">
        <v>0</v>
      </c>
      <c r="F80" s="8">
        <v>0</v>
      </c>
      <c r="G80" s="25">
        <f t="array" ref="G80">SUM(IF("155"&amp;C80=KHN&amp;MH,SL))</f>
        <v>0</v>
      </c>
      <c r="H80" s="25">
        <f t="array" ref="H80">SUM(IF("155"&amp;C80=KHN&amp;MH,TH))</f>
        <v>0</v>
      </c>
      <c r="I80" s="25">
        <f t="array" ref="I80">SUM(IF("155"&amp;C80=KHC&amp;MH,SL))</f>
        <v>0</v>
      </c>
      <c r="J80" s="25">
        <f t="array" ref="J80">SUM(IF("155"&amp;C80=KHC&amp;MH,TH))</f>
        <v>0</v>
      </c>
      <c r="K80" s="8">
        <f t="shared" si="36"/>
        <v>0</v>
      </c>
      <c r="L80" s="8">
        <f t="shared" si="37"/>
        <v>0</v>
      </c>
      <c r="N80" s="458">
        <f>N79*3000</f>
        <v>42112292.307692304</v>
      </c>
      <c r="Q80" s="474" t="s">
        <v>449</v>
      </c>
      <c r="R80" s="474"/>
      <c r="S80" s="494">
        <v>9</v>
      </c>
    </row>
    <row r="81" spans="1:19" s="458" customFormat="1" ht="20.25" customHeight="1">
      <c r="A81" s="467" t="str">
        <f t="shared" si="34"/>
        <v>TP</v>
      </c>
      <c r="B81" s="468">
        <f t="shared" si="38"/>
        <v>8</v>
      </c>
      <c r="C81" s="474" t="s">
        <v>445</v>
      </c>
      <c r="D81" s="491" t="s">
        <v>338</v>
      </c>
      <c r="E81" s="8">
        <v>0</v>
      </c>
      <c r="F81" s="8">
        <v>0</v>
      </c>
      <c r="G81" s="25">
        <f t="array" ref="G81">SUM(IF("155"&amp;C81=KHN&amp;MH,SL))</f>
        <v>0</v>
      </c>
      <c r="H81" s="25">
        <f t="array" ref="H81">SUM(IF("155"&amp;C81=KHN&amp;MH,TH))</f>
        <v>0</v>
      </c>
      <c r="I81" s="25">
        <f t="array" ref="I81">SUM(IF("155"&amp;C81=KHC&amp;MH,SL))</f>
        <v>0</v>
      </c>
      <c r="J81" s="25">
        <f t="array" ref="J81">SUM(IF("155"&amp;C81=KHC&amp;MH,TH))</f>
        <v>0</v>
      </c>
      <c r="K81" s="8">
        <f t="shared" si="36"/>
        <v>0</v>
      </c>
      <c r="L81" s="8">
        <f t="shared" si="37"/>
        <v>0</v>
      </c>
      <c r="Q81" s="474" t="s">
        <v>450</v>
      </c>
      <c r="R81" s="474"/>
      <c r="S81" s="494">
        <v>8</v>
      </c>
    </row>
    <row r="82" spans="1:19" s="458" customFormat="1" ht="20.25" customHeight="1">
      <c r="A82" s="467" t="str">
        <f t="shared" si="34"/>
        <v>TP</v>
      </c>
      <c r="B82" s="468">
        <f t="shared" si="38"/>
        <v>9</v>
      </c>
      <c r="C82" s="474" t="s">
        <v>808</v>
      </c>
      <c r="D82" s="491" t="s">
        <v>338</v>
      </c>
      <c r="E82" s="8">
        <v>0</v>
      </c>
      <c r="F82" s="8">
        <v>0</v>
      </c>
      <c r="G82" s="25">
        <f t="array" ref="G82">SUM(IF("155"&amp;C82=KHN&amp;MH,SL))</f>
        <v>0</v>
      </c>
      <c r="H82" s="25">
        <f t="array" ref="H82">SUM(IF("155"&amp;C82=KHN&amp;MH,TH))</f>
        <v>0</v>
      </c>
      <c r="I82" s="25">
        <f t="array" ref="I82">SUM(IF("155"&amp;C82=KHC&amp;MH,SL))</f>
        <v>0</v>
      </c>
      <c r="J82" s="25">
        <f t="array" ref="J82">SUM(IF("155"&amp;C82=KHC&amp;MH,TH))</f>
        <v>0</v>
      </c>
      <c r="K82" s="8">
        <f t="shared" si="36"/>
        <v>0</v>
      </c>
      <c r="L82" s="8">
        <f t="shared" si="37"/>
        <v>0</v>
      </c>
      <c r="Q82" s="474" t="s">
        <v>446</v>
      </c>
      <c r="R82" s="474"/>
      <c r="S82" s="494">
        <v>8</v>
      </c>
    </row>
    <row r="83" spans="1:19" s="458" customFormat="1" ht="19.5" customHeight="1">
      <c r="A83" s="467" t="str">
        <f t="shared" si="34"/>
        <v>TP</v>
      </c>
      <c r="B83" s="468">
        <f t="shared" si="38"/>
        <v>10</v>
      </c>
      <c r="C83" s="474" t="s">
        <v>857</v>
      </c>
      <c r="D83" s="491" t="s">
        <v>338</v>
      </c>
      <c r="E83" s="8">
        <v>0</v>
      </c>
      <c r="F83" s="8">
        <v>0</v>
      </c>
      <c r="G83" s="25">
        <f t="array" ref="G83">SUM(IF("155"&amp;C83=KHN&amp;MH,SL))</f>
        <v>0</v>
      </c>
      <c r="H83" s="25">
        <f t="array" ref="H83">SUM(IF("155"&amp;C83=KHN&amp;MH,TH))</f>
        <v>0</v>
      </c>
      <c r="I83" s="25">
        <f t="array" ref="I83">SUM(IF("155"&amp;C83=KHC&amp;MH,SL))</f>
        <v>0</v>
      </c>
      <c r="J83" s="25">
        <f t="array" ref="J83">SUM(IF("155"&amp;C83=KHC&amp;MH,TH))</f>
        <v>0</v>
      </c>
      <c r="K83" s="8">
        <f t="shared" si="36"/>
        <v>0</v>
      </c>
      <c r="L83" s="8">
        <f t="shared" si="37"/>
        <v>0</v>
      </c>
      <c r="Q83" s="474" t="s">
        <v>451</v>
      </c>
      <c r="R83" s="474"/>
      <c r="S83" s="494">
        <v>5</v>
      </c>
    </row>
    <row r="84" spans="1:19" s="458" customFormat="1" ht="20.25" customHeight="1">
      <c r="A84" s="467" t="str">
        <f t="shared" si="34"/>
        <v>TP</v>
      </c>
      <c r="B84" s="468">
        <f t="shared" si="38"/>
        <v>11</v>
      </c>
      <c r="C84" s="474" t="s">
        <v>809</v>
      </c>
      <c r="D84" s="491" t="s">
        <v>338</v>
      </c>
      <c r="E84" s="8">
        <v>0</v>
      </c>
      <c r="F84" s="8">
        <v>0</v>
      </c>
      <c r="G84" s="25">
        <f t="array" ref="G84">SUM(IF("155"&amp;C84=KHN&amp;MH,SL))</f>
        <v>0</v>
      </c>
      <c r="H84" s="25">
        <f t="array" ref="H84">SUM(IF("155"&amp;C84=KHN&amp;MH,TH))</f>
        <v>0</v>
      </c>
      <c r="I84" s="25">
        <f t="array" ref="I84">SUM(IF("155"&amp;C84=KHC&amp;MH,SL))</f>
        <v>0</v>
      </c>
      <c r="J84" s="25">
        <f t="array" ref="J84">SUM(IF("155"&amp;C84=KHC&amp;MH,TH))</f>
        <v>0</v>
      </c>
      <c r="K84" s="8">
        <f t="shared" si="36"/>
        <v>0</v>
      </c>
      <c r="L84" s="8">
        <f t="shared" si="37"/>
        <v>0</v>
      </c>
      <c r="Q84" s="474" t="s">
        <v>453</v>
      </c>
      <c r="R84" s="474"/>
      <c r="S84" s="494">
        <v>5</v>
      </c>
    </row>
    <row r="85" spans="1:19" s="458" customFormat="1" ht="20.25" customHeight="1">
      <c r="A85" s="467" t="str">
        <f t="shared" si="34"/>
        <v>TP</v>
      </c>
      <c r="B85" s="468">
        <f t="shared" si="38"/>
        <v>12</v>
      </c>
      <c r="C85" s="474" t="s">
        <v>853</v>
      </c>
      <c r="D85" s="491" t="s">
        <v>338</v>
      </c>
      <c r="E85" s="8">
        <v>0</v>
      </c>
      <c r="F85" s="8">
        <v>0</v>
      </c>
      <c r="G85" s="25">
        <f t="array" ref="G85">SUM(IF("155"&amp;C85=KHN&amp;MH,SL))</f>
        <v>0</v>
      </c>
      <c r="H85" s="25">
        <f t="array" ref="H85">SUM(IF("155"&amp;C85=KHN&amp;MH,TH))</f>
        <v>0</v>
      </c>
      <c r="I85" s="25">
        <f t="array" ref="I85">SUM(IF("155"&amp;C85=KHC&amp;MH,SL))</f>
        <v>0</v>
      </c>
      <c r="J85" s="25">
        <f t="array" ref="J85">SUM(IF("155"&amp;C85=KHC&amp;MH,TH))</f>
        <v>0</v>
      </c>
      <c r="K85" s="8">
        <f t="shared" si="36"/>
        <v>0</v>
      </c>
      <c r="L85" s="8">
        <f t="shared" si="37"/>
        <v>0</v>
      </c>
      <c r="Q85" s="474" t="s">
        <v>454</v>
      </c>
      <c r="R85" s="474"/>
      <c r="S85" s="494">
        <v>5</v>
      </c>
    </row>
    <row r="86" spans="1:19" s="458" customFormat="1" ht="20.25" customHeight="1">
      <c r="A86" s="467" t="str">
        <f t="shared" si="34"/>
        <v>TP</v>
      </c>
      <c r="B86" s="468">
        <f t="shared" si="38"/>
        <v>13</v>
      </c>
      <c r="C86" s="474" t="s">
        <v>819</v>
      </c>
      <c r="D86" s="491" t="s">
        <v>338</v>
      </c>
      <c r="E86" s="8">
        <v>0</v>
      </c>
      <c r="F86" s="8">
        <v>0</v>
      </c>
      <c r="G86" s="25">
        <f t="array" ref="G86">SUM(IF("155"&amp;C86=KHN&amp;MH,SL))</f>
        <v>0</v>
      </c>
      <c r="H86" s="25">
        <f t="array" ref="H86">SUM(IF("155"&amp;C86=KHN&amp;MH,TH))</f>
        <v>0</v>
      </c>
      <c r="I86" s="25">
        <f t="array" ref="I86">SUM(IF("155"&amp;C86=KHC&amp;MH,SL))</f>
        <v>0</v>
      </c>
      <c r="J86" s="25">
        <f t="array" ref="J86">SUM(IF("155"&amp;C86=KHC&amp;MH,TH))</f>
        <v>0</v>
      </c>
      <c r="K86" s="8">
        <f t="shared" si="36"/>
        <v>0</v>
      </c>
      <c r="L86" s="8">
        <f t="shared" si="37"/>
        <v>0</v>
      </c>
      <c r="Q86" s="474" t="s">
        <v>456</v>
      </c>
      <c r="R86" s="474"/>
      <c r="S86" s="494">
        <v>4.5</v>
      </c>
    </row>
    <row r="87" spans="1:19" s="458" customFormat="1" ht="20.25" customHeight="1">
      <c r="A87" s="467" t="str">
        <f t="shared" si="34"/>
        <v>TP</v>
      </c>
      <c r="B87" s="468">
        <f t="shared" si="38"/>
        <v>14</v>
      </c>
      <c r="C87" s="474" t="s">
        <v>446</v>
      </c>
      <c r="D87" s="491" t="s">
        <v>338</v>
      </c>
      <c r="E87" s="8">
        <v>0</v>
      </c>
      <c r="F87" s="8">
        <v>0</v>
      </c>
      <c r="G87" s="25">
        <f t="array" ref="G87">SUM(IF("155"&amp;C87=KHN&amp;MH,SL))</f>
        <v>0</v>
      </c>
      <c r="H87" s="25">
        <f t="array" ref="H87">SUM(IF("155"&amp;C87=KHN&amp;MH,TH))</f>
        <v>0</v>
      </c>
      <c r="I87" s="25">
        <f t="array" ref="I87">SUM(IF("155"&amp;C87=KHC&amp;MH,SL))</f>
        <v>0</v>
      </c>
      <c r="J87" s="25">
        <f t="array" ref="J87">SUM(IF("155"&amp;C87=KHC&amp;MH,TH))</f>
        <v>0</v>
      </c>
      <c r="K87" s="8">
        <f t="shared" si="36"/>
        <v>0</v>
      </c>
      <c r="L87" s="8">
        <f t="shared" si="37"/>
        <v>0</v>
      </c>
      <c r="Q87" s="474" t="s">
        <v>457</v>
      </c>
      <c r="R87" s="474"/>
      <c r="S87" s="494">
        <v>4.5</v>
      </c>
    </row>
    <row r="88" spans="1:19" s="458" customFormat="1" ht="20.25" customHeight="1">
      <c r="A88" s="467" t="str">
        <f t="shared" si="34"/>
        <v>TP</v>
      </c>
      <c r="B88" s="468">
        <f t="shared" si="38"/>
        <v>15</v>
      </c>
      <c r="C88" s="474" t="s">
        <v>810</v>
      </c>
      <c r="D88" s="491" t="s">
        <v>338</v>
      </c>
      <c r="E88" s="8">
        <v>0</v>
      </c>
      <c r="F88" s="8">
        <v>0</v>
      </c>
      <c r="G88" s="25">
        <f t="array" ref="G88">SUM(IF("155"&amp;C88=KHN&amp;MH,SL))</f>
        <v>0</v>
      </c>
      <c r="H88" s="25">
        <f t="array" ref="H88">SUM(IF("155"&amp;C88=KHN&amp;MH,TH))</f>
        <v>0</v>
      </c>
      <c r="I88" s="25">
        <f t="array" ref="I88">SUM(IF("155"&amp;C88=KHC&amp;MH,SL))</f>
        <v>0</v>
      </c>
      <c r="J88" s="25">
        <f t="array" ref="J88">SUM(IF("155"&amp;C88=KHC&amp;MH,TH))</f>
        <v>0</v>
      </c>
      <c r="K88" s="8">
        <f t="shared" si="36"/>
        <v>0</v>
      </c>
      <c r="L88" s="8">
        <f t="shared" si="37"/>
        <v>0</v>
      </c>
      <c r="Q88" s="474" t="s">
        <v>444</v>
      </c>
      <c r="R88" s="474"/>
      <c r="S88" s="494">
        <v>13</v>
      </c>
    </row>
    <row r="89" spans="1:19" s="458" customFormat="1" ht="20.25" customHeight="1">
      <c r="A89" s="467" t="str">
        <f t="shared" si="34"/>
        <v>TP</v>
      </c>
      <c r="B89" s="468">
        <f t="shared" si="38"/>
        <v>16</v>
      </c>
      <c r="C89" s="474" t="s">
        <v>899</v>
      </c>
      <c r="D89" s="491" t="s">
        <v>338</v>
      </c>
      <c r="E89" s="8">
        <v>0</v>
      </c>
      <c r="F89" s="8">
        <v>0</v>
      </c>
      <c r="G89" s="25">
        <f t="array" ref="G89">SUM(IF("155"&amp;C89=KHN&amp;MH,SL))</f>
        <v>0</v>
      </c>
      <c r="H89" s="25">
        <f t="array" ref="H89">SUM(IF("155"&amp;C89=KHN&amp;MH,TH))</f>
        <v>0</v>
      </c>
      <c r="I89" s="25">
        <f t="array" ref="I89">SUM(IF("155"&amp;C89=KHC&amp;MH,SL))</f>
        <v>0</v>
      </c>
      <c r="J89" s="25">
        <f t="array" ref="J89">SUM(IF("155"&amp;C89=KHC&amp;MH,TH))</f>
        <v>0</v>
      </c>
      <c r="K89" s="8">
        <f t="shared" si="36"/>
        <v>0</v>
      </c>
      <c r="L89" s="8">
        <f t="shared" si="37"/>
        <v>0</v>
      </c>
      <c r="Q89" s="474" t="s">
        <v>445</v>
      </c>
      <c r="R89" s="474"/>
      <c r="S89" s="494">
        <v>11</v>
      </c>
    </row>
    <row r="90" spans="1:19" s="458" customFormat="1" ht="20.25" customHeight="1">
      <c r="A90" s="467" t="str">
        <f t="shared" si="34"/>
        <v>TP</v>
      </c>
      <c r="B90" s="468">
        <f t="shared" si="38"/>
        <v>17</v>
      </c>
      <c r="C90" s="474" t="s">
        <v>834</v>
      </c>
      <c r="D90" s="491" t="s">
        <v>338</v>
      </c>
      <c r="E90" s="8">
        <v>0</v>
      </c>
      <c r="F90" s="8">
        <v>0</v>
      </c>
      <c r="G90" s="25">
        <f t="array" ref="G90">SUM(IF("155"&amp;C90=KHN&amp;MH,SL))</f>
        <v>0</v>
      </c>
      <c r="H90" s="25">
        <f t="array" ref="H90">SUM(IF("155"&amp;C90=KHN&amp;MH,TH))</f>
        <v>0</v>
      </c>
      <c r="I90" s="25">
        <f t="array" ref="I90">SUM(IF("155"&amp;C90=KHC&amp;MH,SL))</f>
        <v>0</v>
      </c>
      <c r="J90" s="25">
        <f t="array" ref="J90">SUM(IF("155"&amp;C90=KHC&amp;MH,TH))</f>
        <v>0</v>
      </c>
      <c r="K90" s="8">
        <f t="shared" si="36"/>
        <v>0</v>
      </c>
      <c r="L90" s="8">
        <f t="shared" si="37"/>
        <v>0</v>
      </c>
      <c r="Q90" s="474" t="s">
        <v>458</v>
      </c>
      <c r="R90" s="474"/>
      <c r="S90" s="494">
        <v>4.4000000000000004</v>
      </c>
    </row>
    <row r="91" spans="1:19" s="458" customFormat="1" ht="20.25" customHeight="1">
      <c r="A91" s="467" t="str">
        <f t="shared" si="34"/>
        <v>TP</v>
      </c>
      <c r="B91" s="468">
        <f t="shared" si="38"/>
        <v>18</v>
      </c>
      <c r="C91" s="474" t="s">
        <v>818</v>
      </c>
      <c r="D91" s="491" t="s">
        <v>338</v>
      </c>
      <c r="E91" s="8">
        <v>0</v>
      </c>
      <c r="F91" s="8">
        <v>0</v>
      </c>
      <c r="G91" s="25">
        <f t="array" ref="G91">SUM(IF("155"&amp;C91=KHN&amp;MH,SL))</f>
        <v>0</v>
      </c>
      <c r="H91" s="25">
        <f t="array" ref="H91">SUM(IF("155"&amp;C91=KHN&amp;MH,TH))</f>
        <v>0</v>
      </c>
      <c r="I91" s="25">
        <f t="array" ref="I91">SUM(IF("155"&amp;C91=KHC&amp;MH,SL))</f>
        <v>0</v>
      </c>
      <c r="J91" s="25">
        <f t="array" ref="J91">SUM(IF("155"&amp;C91=KHC&amp;MH,TH))</f>
        <v>0</v>
      </c>
      <c r="K91" s="8">
        <f t="shared" si="36"/>
        <v>0</v>
      </c>
      <c r="L91" s="8">
        <f t="shared" si="37"/>
        <v>0</v>
      </c>
      <c r="Q91" s="474" t="s">
        <v>459</v>
      </c>
      <c r="R91" s="474"/>
      <c r="S91" s="494">
        <v>3</v>
      </c>
    </row>
    <row r="92" spans="1:19" s="458" customFormat="1" ht="20.25" customHeight="1">
      <c r="A92" s="467" t="str">
        <f t="shared" si="34"/>
        <v>TP</v>
      </c>
      <c r="B92" s="468">
        <f t="shared" si="38"/>
        <v>19</v>
      </c>
      <c r="C92" s="474" t="s">
        <v>851</v>
      </c>
      <c r="D92" s="491" t="s">
        <v>338</v>
      </c>
      <c r="E92" s="8">
        <v>0</v>
      </c>
      <c r="F92" s="8">
        <v>0</v>
      </c>
      <c r="G92" s="25">
        <f t="array" ref="G92">SUM(IF("155"&amp;C92=KHN&amp;MH,SL))</f>
        <v>0</v>
      </c>
      <c r="H92" s="25">
        <f t="array" ref="H92">SUM(IF("155"&amp;C92=KHN&amp;MH,TH))</f>
        <v>0</v>
      </c>
      <c r="I92" s="25">
        <f t="array" ref="I92">SUM(IF("155"&amp;C92=KHC&amp;MH,SL))</f>
        <v>0</v>
      </c>
      <c r="J92" s="25">
        <f t="array" ref="J92">SUM(IF("155"&amp;C92=KHC&amp;MH,TH))</f>
        <v>0</v>
      </c>
      <c r="K92" s="8">
        <f t="shared" si="36"/>
        <v>0</v>
      </c>
      <c r="L92" s="8">
        <f t="shared" si="37"/>
        <v>0</v>
      </c>
      <c r="Q92" s="474" t="s">
        <v>899</v>
      </c>
      <c r="R92" s="474"/>
      <c r="S92" s="494">
        <v>7</v>
      </c>
    </row>
    <row r="93" spans="1:19" s="458" customFormat="1" ht="20.25" customHeight="1">
      <c r="A93" s="467" t="str">
        <f t="shared" si="34"/>
        <v>TP</v>
      </c>
      <c r="B93" s="468">
        <f t="shared" si="38"/>
        <v>20</v>
      </c>
      <c r="C93" s="474" t="s">
        <v>852</v>
      </c>
      <c r="D93" s="491" t="s">
        <v>338</v>
      </c>
      <c r="E93" s="8">
        <v>0</v>
      </c>
      <c r="F93" s="8">
        <v>0</v>
      </c>
      <c r="G93" s="25">
        <f t="array" ref="G93">SUM(IF("155"&amp;C93=KHN&amp;MH,SL))</f>
        <v>0</v>
      </c>
      <c r="H93" s="25">
        <f t="array" ref="H93">SUM(IF("155"&amp;C93=KHN&amp;MH,TH))</f>
        <v>0</v>
      </c>
      <c r="I93" s="25">
        <f t="array" ref="I93">SUM(IF("155"&amp;C93=KHC&amp;MH,SL))</f>
        <v>0</v>
      </c>
      <c r="J93" s="25">
        <f t="array" ref="J93">SUM(IF("155"&amp;C93=KHC&amp;MH,TH))</f>
        <v>0</v>
      </c>
      <c r="K93" s="8">
        <f t="shared" si="36"/>
        <v>0</v>
      </c>
      <c r="L93" s="8">
        <f t="shared" si="37"/>
        <v>0</v>
      </c>
    </row>
    <row r="94" spans="1:19" s="458" customFormat="1" ht="20.25" customHeight="1">
      <c r="A94" s="467" t="str">
        <f t="shared" si="34"/>
        <v>TP</v>
      </c>
      <c r="B94" s="468">
        <f t="shared" si="38"/>
        <v>21</v>
      </c>
      <c r="C94" s="474" t="s">
        <v>828</v>
      </c>
      <c r="D94" s="491" t="s">
        <v>338</v>
      </c>
      <c r="E94" s="8">
        <v>0</v>
      </c>
      <c r="F94" s="8">
        <v>0</v>
      </c>
      <c r="G94" s="25">
        <f t="array" ref="G94">SUM(IF("155"&amp;C94=KHN&amp;MH,SL))</f>
        <v>0</v>
      </c>
      <c r="H94" s="25">
        <f t="array" ref="H94">SUM(IF("155"&amp;C94=KHN&amp;MH,TH))</f>
        <v>0</v>
      </c>
      <c r="I94" s="25">
        <f t="array" ref="I94">SUM(IF("155"&amp;C94=KHC&amp;MH,SL))</f>
        <v>0</v>
      </c>
      <c r="J94" s="25">
        <f t="array" ref="J94">SUM(IF("155"&amp;C94=KHC&amp;MH,TH))</f>
        <v>0</v>
      </c>
      <c r="K94" s="8">
        <f t="shared" si="36"/>
        <v>0</v>
      </c>
      <c r="L94" s="8">
        <f>F94+H94-J94</f>
        <v>0</v>
      </c>
    </row>
    <row r="95" spans="1:19" s="458" customFormat="1" ht="20.25" customHeight="1">
      <c r="A95" s="467" t="str">
        <f t="shared" si="34"/>
        <v>TP</v>
      </c>
      <c r="B95" s="468">
        <f t="shared" si="38"/>
        <v>22</v>
      </c>
      <c r="C95" s="474" t="s">
        <v>824</v>
      </c>
      <c r="D95" s="491" t="s">
        <v>338</v>
      </c>
      <c r="E95" s="8">
        <v>0</v>
      </c>
      <c r="F95" s="8">
        <v>0</v>
      </c>
      <c r="G95" s="25">
        <f t="array" ref="G95">SUM(IF("155"&amp;C95=KHN&amp;MH,SL))</f>
        <v>0</v>
      </c>
      <c r="H95" s="25">
        <f t="array" ref="H95">SUM(IF("155"&amp;C95=KHN&amp;MH,TH))</f>
        <v>0</v>
      </c>
      <c r="I95" s="25">
        <f t="array" ref="I95">SUM(IF("155"&amp;C95=KHC&amp;MH,SL))</f>
        <v>0</v>
      </c>
      <c r="J95" s="25">
        <f t="array" ref="J95">SUM(IF("155"&amp;C95=KHC&amp;MH,TH))</f>
        <v>0</v>
      </c>
      <c r="K95" s="8">
        <f t="shared" si="36"/>
        <v>0</v>
      </c>
      <c r="L95" s="8">
        <f t="shared" si="37"/>
        <v>0</v>
      </c>
    </row>
    <row r="96" spans="1:19" s="458" customFormat="1" ht="20.25" customHeight="1">
      <c r="A96" s="467" t="str">
        <f t="shared" si="34"/>
        <v>TP</v>
      </c>
      <c r="B96" s="468">
        <f t="shared" si="38"/>
        <v>23</v>
      </c>
      <c r="C96" s="474" t="s">
        <v>825</v>
      </c>
      <c r="D96" s="491" t="s">
        <v>338</v>
      </c>
      <c r="E96" s="8">
        <v>0</v>
      </c>
      <c r="F96" s="8">
        <v>0</v>
      </c>
      <c r="G96" s="25">
        <f t="array" ref="G96">SUM(IF("155"&amp;C96=KHN&amp;MH,SL))</f>
        <v>0</v>
      </c>
      <c r="H96" s="25">
        <f t="array" ref="H96">SUM(IF("155"&amp;C96=KHN&amp;MH,TH))</f>
        <v>0</v>
      </c>
      <c r="I96" s="25">
        <f t="array" ref="I96">SUM(IF("155"&amp;C96=KHC&amp;MH,SL))</f>
        <v>0</v>
      </c>
      <c r="J96" s="25">
        <f t="array" ref="J96">SUM(IF("155"&amp;C96=KHC&amp;MH,TH))</f>
        <v>0</v>
      </c>
      <c r="K96" s="8">
        <f t="shared" si="36"/>
        <v>0</v>
      </c>
      <c r="L96" s="8">
        <f t="shared" si="37"/>
        <v>0</v>
      </c>
    </row>
    <row r="97" spans="1:14" s="458" customFormat="1" ht="21" customHeight="1">
      <c r="A97" s="467" t="str">
        <f t="shared" si="34"/>
        <v>TP</v>
      </c>
      <c r="B97" s="468">
        <f t="shared" si="38"/>
        <v>24</v>
      </c>
      <c r="C97" s="474" t="s">
        <v>820</v>
      </c>
      <c r="D97" s="491" t="s">
        <v>338</v>
      </c>
      <c r="E97" s="8">
        <v>0</v>
      </c>
      <c r="F97" s="8">
        <v>0</v>
      </c>
      <c r="G97" s="25">
        <f t="array" ref="G97">SUM(IF("155"&amp;C97=KHN&amp;MH,SL))</f>
        <v>0</v>
      </c>
      <c r="H97" s="25">
        <f t="array" ref="H97">SUM(IF("155"&amp;C97=KHN&amp;MH,TH))</f>
        <v>0</v>
      </c>
      <c r="I97" s="25">
        <f t="array" ref="I97">SUM(IF("155"&amp;C97=KHC&amp;MH,SL))</f>
        <v>0</v>
      </c>
      <c r="J97" s="25">
        <f t="array" ref="J97">SUM(IF("155"&amp;C97=KHC&amp;MH,TH))</f>
        <v>0</v>
      </c>
      <c r="K97" s="8">
        <f t="shared" si="36"/>
        <v>0</v>
      </c>
      <c r="L97" s="8">
        <f t="shared" si="37"/>
        <v>0</v>
      </c>
      <c r="N97" s="492"/>
    </row>
    <row r="98" spans="1:14" s="458" customFormat="1" ht="21" customHeight="1">
      <c r="A98" s="467" t="str">
        <f t="shared" si="34"/>
        <v>TP</v>
      </c>
      <c r="B98" s="468">
        <f t="shared" si="38"/>
        <v>25</v>
      </c>
      <c r="C98" s="474" t="s">
        <v>826</v>
      </c>
      <c r="D98" s="491" t="s">
        <v>338</v>
      </c>
      <c r="E98" s="8">
        <v>0</v>
      </c>
      <c r="F98" s="8">
        <v>0</v>
      </c>
      <c r="G98" s="25">
        <f t="array" ref="G98">SUM(IF("155"&amp;C98=KHN&amp;MH,SL))</f>
        <v>0</v>
      </c>
      <c r="H98" s="25">
        <f t="array" ref="H98">SUM(IF("155"&amp;C98=KHN&amp;MH,TH))</f>
        <v>0</v>
      </c>
      <c r="I98" s="25">
        <f t="array" ref="I98">SUM(IF("155"&amp;C98=KHC&amp;MH,SL))</f>
        <v>0</v>
      </c>
      <c r="J98" s="25">
        <f t="array" ref="J98">SUM(IF("155"&amp;C98=KHC&amp;MH,TH))</f>
        <v>0</v>
      </c>
      <c r="K98" s="8">
        <f t="shared" si="36"/>
        <v>0</v>
      </c>
      <c r="L98" s="8">
        <f t="shared" si="37"/>
        <v>0</v>
      </c>
      <c r="N98" s="492"/>
    </row>
    <row r="99" spans="1:14" s="458" customFormat="1" ht="21" customHeight="1">
      <c r="A99" s="467" t="str">
        <f t="shared" si="34"/>
        <v>TP</v>
      </c>
      <c r="B99" s="468">
        <f t="shared" si="38"/>
        <v>26</v>
      </c>
      <c r="C99" s="474" t="s">
        <v>821</v>
      </c>
      <c r="D99" s="491" t="s">
        <v>338</v>
      </c>
      <c r="E99" s="8">
        <v>0</v>
      </c>
      <c r="F99" s="8">
        <v>0</v>
      </c>
      <c r="G99" s="25">
        <f t="array" ref="G99">SUM(IF("155"&amp;C99=KHN&amp;MH,SL))</f>
        <v>0</v>
      </c>
      <c r="H99" s="25">
        <f t="array" ref="H99">SUM(IF("155"&amp;C99=KHN&amp;MH,TH))</f>
        <v>0</v>
      </c>
      <c r="I99" s="25">
        <f t="array" ref="I99">SUM(IF("155"&amp;C99=KHC&amp;MH,SL))</f>
        <v>0</v>
      </c>
      <c r="J99" s="25">
        <f t="array" ref="J99">SUM(IF("155"&amp;C99=KHC&amp;MH,TH))</f>
        <v>0</v>
      </c>
      <c r="K99" s="8">
        <f t="shared" si="36"/>
        <v>0</v>
      </c>
      <c r="L99" s="8">
        <f t="shared" si="37"/>
        <v>0</v>
      </c>
      <c r="N99" s="492"/>
    </row>
    <row r="100" spans="1:14" s="458" customFormat="1" ht="21" customHeight="1">
      <c r="A100" s="467" t="str">
        <f t="shared" si="34"/>
        <v>TP</v>
      </c>
      <c r="B100" s="468">
        <f t="shared" si="38"/>
        <v>27</v>
      </c>
      <c r="C100" s="474" t="s">
        <v>822</v>
      </c>
      <c r="D100" s="491" t="s">
        <v>338</v>
      </c>
      <c r="E100" s="8">
        <v>0</v>
      </c>
      <c r="F100" s="8">
        <v>0</v>
      </c>
      <c r="G100" s="25">
        <f t="array" ref="G100">SUM(IF("155"&amp;C100=KHN&amp;MH,SL))</f>
        <v>0</v>
      </c>
      <c r="H100" s="25">
        <f t="array" ref="H100">SUM(IF("155"&amp;C100=KHN&amp;MH,TH))</f>
        <v>0</v>
      </c>
      <c r="I100" s="25">
        <f t="array" ref="I100">SUM(IF("155"&amp;C100=KHC&amp;MH,SL))</f>
        <v>0</v>
      </c>
      <c r="J100" s="25">
        <f t="array" ref="J100">SUM(IF("155"&amp;C100=KHC&amp;MH,TH))</f>
        <v>0</v>
      </c>
      <c r="K100" s="8">
        <f t="shared" si="36"/>
        <v>0</v>
      </c>
      <c r="L100" s="8">
        <f t="shared" si="37"/>
        <v>0</v>
      </c>
    </row>
    <row r="101" spans="1:14" s="458" customFormat="1" ht="21" customHeight="1">
      <c r="A101" s="467" t="str">
        <f t="shared" si="34"/>
        <v>TP</v>
      </c>
      <c r="B101" s="468">
        <f t="shared" si="38"/>
        <v>28</v>
      </c>
      <c r="C101" s="474" t="s">
        <v>827</v>
      </c>
      <c r="D101" s="491" t="s">
        <v>338</v>
      </c>
      <c r="E101" s="8">
        <v>0</v>
      </c>
      <c r="F101" s="8">
        <v>0</v>
      </c>
      <c r="G101" s="25">
        <f t="array" ref="G101">SUM(IF("155"&amp;C101=KHN&amp;MH,SL))</f>
        <v>0</v>
      </c>
      <c r="H101" s="25">
        <f t="array" ref="H101">SUM(IF("155"&amp;C101=KHN&amp;MH,TH))</f>
        <v>0</v>
      </c>
      <c r="I101" s="25">
        <f t="array" ref="I101">SUM(IF("155"&amp;C101=KHC&amp;MH,SL))</f>
        <v>0</v>
      </c>
      <c r="J101" s="25">
        <f t="array" ref="J101">SUM(IF("155"&amp;C101=KHC&amp;MH,TH))</f>
        <v>0</v>
      </c>
      <c r="K101" s="8">
        <f t="shared" si="36"/>
        <v>0</v>
      </c>
      <c r="L101" s="8">
        <f t="shared" si="37"/>
        <v>0</v>
      </c>
      <c r="N101" s="492"/>
    </row>
    <row r="102" spans="1:14" s="458" customFormat="1" ht="21" customHeight="1">
      <c r="A102" s="467" t="str">
        <f t="shared" si="34"/>
        <v>TP</v>
      </c>
      <c r="B102" s="468">
        <f t="shared" si="38"/>
        <v>29</v>
      </c>
      <c r="C102" s="474" t="s">
        <v>823</v>
      </c>
      <c r="D102" s="491" t="s">
        <v>338</v>
      </c>
      <c r="E102" s="8">
        <v>0</v>
      </c>
      <c r="F102" s="8">
        <v>0</v>
      </c>
      <c r="G102" s="25">
        <f t="array" ref="G102">SUM(IF("155"&amp;C102=KHN&amp;MH,SL))</f>
        <v>0</v>
      </c>
      <c r="H102" s="25">
        <f t="array" ref="H102">SUM(IF("155"&amp;C102=KHN&amp;MH,TH))</f>
        <v>0</v>
      </c>
      <c r="I102" s="25">
        <f t="array" ref="I102">SUM(IF("155"&amp;C102=KHC&amp;MH,SL))</f>
        <v>0</v>
      </c>
      <c r="J102" s="25">
        <f t="array" ref="J102">SUM(IF("155"&amp;C102=KHC&amp;MH,TH))</f>
        <v>0</v>
      </c>
      <c r="K102" s="8">
        <f t="shared" si="36"/>
        <v>0</v>
      </c>
      <c r="L102" s="8">
        <f t="shared" si="37"/>
        <v>0</v>
      </c>
    </row>
    <row r="103" spans="1:14" s="458" customFormat="1" ht="21" customHeight="1">
      <c r="A103" s="467" t="str">
        <f t="shared" si="34"/>
        <v>TP</v>
      </c>
      <c r="B103" s="468">
        <f t="shared" ref="B103" si="39">IF(C103&lt;&gt;"",B102+1,"")</f>
        <v>30</v>
      </c>
      <c r="C103" s="474" t="s">
        <v>829</v>
      </c>
      <c r="D103" s="491" t="s">
        <v>338</v>
      </c>
      <c r="E103" s="8">
        <v>0</v>
      </c>
      <c r="F103" s="8">
        <v>0</v>
      </c>
      <c r="G103" s="25">
        <f t="array" ref="G103">SUM(IF("155"&amp;C103=KHN&amp;MH,SL))</f>
        <v>0</v>
      </c>
      <c r="H103" s="25">
        <f t="array" ref="H103">SUM(IF("155"&amp;C103=KHN&amp;MH,TH))</f>
        <v>0</v>
      </c>
      <c r="I103" s="25">
        <f t="array" ref="I103">SUM(IF("155"&amp;C103=KHC&amp;MH,SL))</f>
        <v>0</v>
      </c>
      <c r="J103" s="25">
        <f t="array" ref="J103">SUM(IF("155"&amp;C103=KHC&amp;MH,TH))</f>
        <v>0</v>
      </c>
      <c r="K103" s="8">
        <f t="shared" ref="K103" si="40">E103+G103-I103</f>
        <v>0</v>
      </c>
      <c r="L103" s="8">
        <f t="shared" ref="L103" si="41">F103+H103-J103</f>
        <v>0</v>
      </c>
    </row>
    <row r="104" spans="1:14" s="458" customFormat="1" ht="21.75" customHeight="1">
      <c r="A104" s="467" t="str">
        <f t="shared" si="34"/>
        <v>TP</v>
      </c>
      <c r="B104" s="468">
        <f t="shared" ref="B104:B112" si="42">IF(C104&lt;&gt;"",B103+1,"")</f>
        <v>31</v>
      </c>
      <c r="C104" s="474" t="s">
        <v>907</v>
      </c>
      <c r="D104" s="491" t="s">
        <v>338</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ref="K104:K112" si="43">E104+G104-I104</f>
        <v>0</v>
      </c>
      <c r="L104" s="8">
        <f t="shared" ref="L104:L112" si="44">F104+H104-J104</f>
        <v>0</v>
      </c>
    </row>
    <row r="105" spans="1:14" s="458" customFormat="1" ht="21.75" customHeight="1">
      <c r="A105" s="467" t="str">
        <f t="shared" si="34"/>
        <v>TP</v>
      </c>
      <c r="B105" s="468">
        <f t="shared" si="42"/>
        <v>32</v>
      </c>
      <c r="C105" s="474" t="s">
        <v>909</v>
      </c>
      <c r="D105" s="491" t="s">
        <v>338</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si="43"/>
        <v>0</v>
      </c>
      <c r="L105" s="8">
        <f t="shared" si="44"/>
        <v>0</v>
      </c>
    </row>
    <row r="106" spans="1:14" s="458" customFormat="1" ht="21.75" customHeight="1">
      <c r="A106" s="467" t="str">
        <f t="shared" si="34"/>
        <v>TP</v>
      </c>
      <c r="B106" s="468">
        <f t="shared" si="42"/>
        <v>33</v>
      </c>
      <c r="C106" s="474" t="s">
        <v>908</v>
      </c>
      <c r="D106" s="491" t="s">
        <v>338</v>
      </c>
      <c r="E106" s="8">
        <v>0</v>
      </c>
      <c r="F106" s="8">
        <v>0</v>
      </c>
      <c r="G106" s="25">
        <f t="array" ref="G106">SUM(IF("155"&amp;C106=KHN&amp;MH,SL))</f>
        <v>0</v>
      </c>
      <c r="H106" s="25">
        <f t="array" ref="H106">SUM(IF("155"&amp;C106=KHN&amp;MH,TH))</f>
        <v>0</v>
      </c>
      <c r="I106" s="25">
        <f t="array" ref="I106">SUM(IF("155"&amp;C106=KHC&amp;MH,SL))</f>
        <v>0</v>
      </c>
      <c r="J106" s="25">
        <f t="array" ref="J106">SUM(IF("155"&amp;C106=KHC&amp;MH,TH))</f>
        <v>0</v>
      </c>
      <c r="K106" s="8">
        <f t="shared" si="43"/>
        <v>0</v>
      </c>
      <c r="L106" s="8">
        <f t="shared" si="44"/>
        <v>0</v>
      </c>
    </row>
    <row r="107" spans="1:14" s="458" customFormat="1" ht="21.75" customHeight="1">
      <c r="A107" s="467" t="str">
        <f t="shared" si="34"/>
        <v>TP</v>
      </c>
      <c r="B107" s="468">
        <f t="shared" si="42"/>
        <v>34</v>
      </c>
      <c r="C107" s="474" t="s">
        <v>910</v>
      </c>
      <c r="D107" s="491" t="s">
        <v>338</v>
      </c>
      <c r="E107" s="8">
        <v>0</v>
      </c>
      <c r="F107" s="8">
        <v>0</v>
      </c>
      <c r="G107" s="25">
        <f t="array" ref="G107">SUM(IF("155"&amp;C107=KHN&amp;MH,SL))</f>
        <v>0</v>
      </c>
      <c r="H107" s="25">
        <f t="array" ref="H107">SUM(IF("155"&amp;C107=KHN&amp;MH,TH))</f>
        <v>0</v>
      </c>
      <c r="I107" s="25">
        <f t="array" ref="I107">SUM(IF("155"&amp;C107=KHC&amp;MH,SL))</f>
        <v>0</v>
      </c>
      <c r="J107" s="25">
        <f t="array" ref="J107">SUM(IF("155"&amp;C107=KHC&amp;MH,TH))</f>
        <v>0</v>
      </c>
      <c r="K107" s="8">
        <f t="shared" si="43"/>
        <v>0</v>
      </c>
      <c r="L107" s="8">
        <f t="shared" si="44"/>
        <v>0</v>
      </c>
    </row>
    <row r="108" spans="1:14" s="458" customFormat="1" ht="21.75" customHeight="1">
      <c r="A108" s="467" t="str">
        <f t="shared" si="34"/>
        <v>TP</v>
      </c>
      <c r="B108" s="468">
        <f t="shared" si="42"/>
        <v>35</v>
      </c>
      <c r="C108" s="474" t="s">
        <v>911</v>
      </c>
      <c r="D108" s="491" t="s">
        <v>338</v>
      </c>
      <c r="E108" s="8">
        <v>0</v>
      </c>
      <c r="F108" s="8">
        <v>0</v>
      </c>
      <c r="G108" s="25">
        <f t="array" ref="G108">SUM(IF("155"&amp;C108=KHN&amp;MH,SL))</f>
        <v>0</v>
      </c>
      <c r="H108" s="25">
        <f t="array" ref="H108">SUM(IF("155"&amp;C108=KHN&amp;MH,TH))</f>
        <v>0</v>
      </c>
      <c r="I108" s="25">
        <f t="array" ref="I108">SUM(IF("155"&amp;C108=KHC&amp;MH,SL))</f>
        <v>0</v>
      </c>
      <c r="J108" s="25">
        <f t="array" ref="J108">SUM(IF("155"&amp;C108=KHC&amp;MH,TH))</f>
        <v>0</v>
      </c>
      <c r="K108" s="8">
        <f t="shared" si="43"/>
        <v>0</v>
      </c>
      <c r="L108" s="8">
        <f t="shared" si="44"/>
        <v>0</v>
      </c>
    </row>
    <row r="109" spans="1:14" s="458" customFormat="1" ht="21.75" customHeight="1">
      <c r="A109" s="467" t="str">
        <f t="shared" si="34"/>
        <v>TP</v>
      </c>
      <c r="B109" s="468">
        <f t="shared" si="42"/>
        <v>36</v>
      </c>
      <c r="C109" s="474" t="s">
        <v>912</v>
      </c>
      <c r="D109" s="491" t="s">
        <v>338</v>
      </c>
      <c r="E109" s="8">
        <v>0</v>
      </c>
      <c r="F109" s="8">
        <v>0</v>
      </c>
      <c r="G109" s="25">
        <f t="array" ref="G109">SUM(IF("155"&amp;C109=KHN&amp;MH,SL))</f>
        <v>0</v>
      </c>
      <c r="H109" s="25">
        <f t="array" ref="H109">SUM(IF("155"&amp;C109=KHN&amp;MH,TH))</f>
        <v>0</v>
      </c>
      <c r="I109" s="25">
        <f t="array" ref="I109">SUM(IF("155"&amp;C109=KHC&amp;MH,SL))</f>
        <v>0</v>
      </c>
      <c r="J109" s="25">
        <f t="array" ref="J109">SUM(IF("155"&amp;C109=KHC&amp;MH,TH))</f>
        <v>0</v>
      </c>
      <c r="K109" s="8">
        <f t="shared" si="43"/>
        <v>0</v>
      </c>
      <c r="L109" s="8">
        <f t="shared" si="44"/>
        <v>0</v>
      </c>
    </row>
    <row r="110" spans="1:14" s="458" customFormat="1" ht="21.75" customHeight="1">
      <c r="A110" s="467" t="str">
        <f t="shared" si="34"/>
        <v>TP</v>
      </c>
      <c r="B110" s="468">
        <f t="shared" si="42"/>
        <v>37</v>
      </c>
      <c r="C110" s="474" t="s">
        <v>913</v>
      </c>
      <c r="D110" s="491" t="s">
        <v>338</v>
      </c>
      <c r="E110" s="8">
        <v>0</v>
      </c>
      <c r="F110" s="8">
        <v>0</v>
      </c>
      <c r="G110" s="25">
        <f t="array" ref="G110">SUM(IF("155"&amp;C110=KHN&amp;MH,SL))</f>
        <v>0</v>
      </c>
      <c r="H110" s="25">
        <f t="array" ref="H110">SUM(IF("155"&amp;C110=KHN&amp;MH,TH))</f>
        <v>0</v>
      </c>
      <c r="I110" s="25">
        <f t="array" ref="I110">SUM(IF("155"&amp;C110=KHC&amp;MH,SL))</f>
        <v>0</v>
      </c>
      <c r="J110" s="25">
        <f t="array" ref="J110">SUM(IF("155"&amp;C110=KHC&amp;MH,TH))</f>
        <v>0</v>
      </c>
      <c r="K110" s="8">
        <f t="shared" si="43"/>
        <v>0</v>
      </c>
      <c r="L110" s="8">
        <f t="shared" si="44"/>
        <v>0</v>
      </c>
    </row>
    <row r="111" spans="1:14" s="458" customFormat="1" ht="21.75" customHeight="1">
      <c r="A111" s="467" t="str">
        <f t="shared" si="34"/>
        <v>TP</v>
      </c>
      <c r="B111" s="468">
        <f t="shared" si="42"/>
        <v>38</v>
      </c>
      <c r="C111" s="474" t="s">
        <v>914</v>
      </c>
      <c r="D111" s="491" t="s">
        <v>338</v>
      </c>
      <c r="E111" s="8">
        <v>0</v>
      </c>
      <c r="F111" s="8">
        <v>0</v>
      </c>
      <c r="G111" s="25">
        <f t="array" ref="G111">SUM(IF("155"&amp;C111=KHN&amp;MH,SL))</f>
        <v>0</v>
      </c>
      <c r="H111" s="25">
        <f t="array" ref="H111">SUM(IF("155"&amp;C111=KHN&amp;MH,TH))</f>
        <v>0</v>
      </c>
      <c r="I111" s="25">
        <f t="array" ref="I111">SUM(IF("155"&amp;C111=KHC&amp;MH,SL))</f>
        <v>0</v>
      </c>
      <c r="J111" s="25">
        <f t="array" ref="J111">SUM(IF("155"&amp;C111=KHC&amp;MH,TH))</f>
        <v>0</v>
      </c>
      <c r="K111" s="8">
        <f t="shared" si="43"/>
        <v>0</v>
      </c>
      <c r="L111" s="8">
        <f t="shared" si="44"/>
        <v>0</v>
      </c>
    </row>
    <row r="112" spans="1:14" s="458" customFormat="1" ht="21.75" customHeight="1">
      <c r="A112" s="467" t="str">
        <f t="shared" si="34"/>
        <v/>
      </c>
      <c r="B112" s="468" t="str">
        <f t="shared" si="42"/>
        <v/>
      </c>
      <c r="C112" s="474"/>
      <c r="D112" s="491" t="s">
        <v>338</v>
      </c>
      <c r="E112" s="8">
        <v>0</v>
      </c>
      <c r="F112" s="8">
        <v>0</v>
      </c>
      <c r="G112" s="25">
        <f t="array" ref="G112">SUM(IF("155"&amp;C112=KHN&amp;MH,SL))</f>
        <v>0</v>
      </c>
      <c r="H112" s="25">
        <f t="array" ref="H112">SUM(IF("155"&amp;C112=KHN&amp;MH,TH))</f>
        <v>0</v>
      </c>
      <c r="I112" s="25">
        <f t="array" ref="I112">SUM(IF("155"&amp;C112=KHC&amp;MH,SL))</f>
        <v>0</v>
      </c>
      <c r="J112" s="25">
        <f t="array" ref="J112">SUM(IF("155"&amp;C112=KHC&amp;MH,TH))</f>
        <v>0</v>
      </c>
      <c r="K112" s="8">
        <f t="shared" si="43"/>
        <v>0</v>
      </c>
      <c r="L112" s="8">
        <f t="shared" si="44"/>
        <v>0</v>
      </c>
    </row>
    <row r="113" spans="1:12" s="458" customFormat="1" ht="21.75" customHeight="1">
      <c r="A113" s="467" t="str">
        <f t="shared" si="34"/>
        <v/>
      </c>
      <c r="B113" s="468"/>
      <c r="C113" s="474"/>
      <c r="D113" s="491"/>
      <c r="E113" s="8"/>
      <c r="F113" s="8"/>
      <c r="G113" s="25"/>
      <c r="H113" s="25"/>
      <c r="I113" s="25"/>
      <c r="J113" s="25"/>
      <c r="K113" s="8"/>
      <c r="L113" s="8"/>
    </row>
    <row r="114" spans="1:12" s="458" customFormat="1" ht="21.75" customHeight="1">
      <c r="A114" s="467" t="str">
        <f t="shared" si="34"/>
        <v/>
      </c>
      <c r="B114" s="464"/>
      <c r="C114" s="487" t="s">
        <v>448</v>
      </c>
      <c r="D114" s="464"/>
      <c r="E114" s="13">
        <f t="shared" ref="E114:L114" si="45">SUM(E74:E113)</f>
        <v>24465.8</v>
      </c>
      <c r="F114" s="13">
        <f t="shared" si="45"/>
        <v>3468509299</v>
      </c>
      <c r="G114" s="13">
        <f t="shared" si="45"/>
        <v>84994</v>
      </c>
      <c r="H114" s="13">
        <f t="shared" si="45"/>
        <v>4920916000</v>
      </c>
      <c r="I114" s="13">
        <f t="shared" si="45"/>
        <v>0</v>
      </c>
      <c r="J114" s="13">
        <f t="shared" si="45"/>
        <v>0</v>
      </c>
      <c r="K114" s="13">
        <f t="shared" si="45"/>
        <v>109459.8</v>
      </c>
      <c r="L114" s="13">
        <f t="shared" si="45"/>
        <v>8389425299</v>
      </c>
    </row>
    <row r="115" spans="1:12" s="458" customFormat="1" ht="21.75" customHeight="1">
      <c r="A115" s="467" t="str">
        <f t="shared" si="34"/>
        <v/>
      </c>
      <c r="B115" s="798"/>
      <c r="C115" s="798"/>
      <c r="D115" s="797"/>
      <c r="E115" s="799"/>
      <c r="F115" s="799">
        <f>F114-CDPS!C26</f>
        <v>0</v>
      </c>
      <c r="G115" s="799"/>
      <c r="H115" s="799">
        <f>H114-CDPS!E26</f>
        <v>0</v>
      </c>
      <c r="I115" s="799"/>
      <c r="J115" s="799">
        <f>J114-CDPS!F26</f>
        <v>0</v>
      </c>
      <c r="K115" s="799"/>
      <c r="L115" s="799">
        <f>L114-CDPS!G26</f>
        <v>0</v>
      </c>
    </row>
    <row r="116" spans="1:12" s="458" customFormat="1" ht="15">
      <c r="C116" s="1346"/>
      <c r="D116" s="1346"/>
      <c r="E116" s="1346"/>
      <c r="F116" s="496"/>
      <c r="G116" s="496"/>
      <c r="H116" s="496"/>
      <c r="I116" s="496"/>
      <c r="J116" s="1346" t="s">
        <v>452</v>
      </c>
      <c r="K116" s="1346"/>
      <c r="L116" s="1346"/>
    </row>
    <row r="117" spans="1:12" s="458" customFormat="1" ht="15">
      <c r="C117" s="497" t="s">
        <v>11</v>
      </c>
      <c r="D117" s="497"/>
      <c r="E117" s="497"/>
      <c r="F117" s="1346" t="s">
        <v>12</v>
      </c>
      <c r="G117" s="1346"/>
      <c r="H117" s="1346"/>
      <c r="I117" s="496"/>
      <c r="J117" s="1346" t="s">
        <v>131</v>
      </c>
      <c r="K117" s="1346"/>
      <c r="L117" s="1346"/>
    </row>
    <row r="118" spans="1:12" s="458" customFormat="1" ht="15">
      <c r="C118" s="497" t="s">
        <v>13</v>
      </c>
      <c r="D118" s="497" t="s">
        <v>455</v>
      </c>
      <c r="E118" s="497"/>
      <c r="F118" s="1346" t="s">
        <v>13</v>
      </c>
      <c r="G118" s="1346"/>
      <c r="H118" s="1346"/>
      <c r="J118" s="1346" t="s">
        <v>161</v>
      </c>
      <c r="K118" s="1346"/>
      <c r="L118" s="1346"/>
    </row>
    <row r="119" spans="1:12" s="458" customFormat="1">
      <c r="D119" s="463"/>
      <c r="E119" s="495"/>
      <c r="F119" s="495"/>
      <c r="G119" s="467"/>
      <c r="H119" s="467"/>
      <c r="I119" s="467"/>
      <c r="J119" s="467"/>
      <c r="K119" s="467"/>
      <c r="L119" s="467"/>
    </row>
    <row r="120" spans="1:12" s="458" customFormat="1">
      <c r="D120" s="463"/>
      <c r="E120" s="495"/>
      <c r="F120" s="495"/>
      <c r="G120" s="467"/>
      <c r="H120" s="467"/>
      <c r="I120" s="467"/>
      <c r="J120" s="467"/>
      <c r="K120" s="467"/>
      <c r="L120" s="467"/>
    </row>
  </sheetData>
  <autoFilter ref="B11:O11"/>
  <sortState ref="C75:C99">
    <sortCondition ref="C75:C99"/>
  </sortState>
  <mergeCells count="27">
    <mergeCell ref="F118:H118"/>
    <mergeCell ref="J118:L118"/>
    <mergeCell ref="S8:S10"/>
    <mergeCell ref="C116:E116"/>
    <mergeCell ref="J116:L116"/>
    <mergeCell ref="F117:H117"/>
    <mergeCell ref="J117:L117"/>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35" t="s">
        <v>470</v>
      </c>
      <c r="B1" s="536"/>
      <c r="C1" s="536"/>
      <c r="D1" s="536"/>
      <c r="E1" s="536"/>
      <c r="F1" s="536"/>
      <c r="G1" s="536"/>
      <c r="H1" s="536"/>
      <c r="I1" s="536"/>
      <c r="J1" s="536"/>
      <c r="K1" s="536"/>
      <c r="L1" s="536"/>
      <c r="M1" s="536"/>
      <c r="N1" s="536"/>
      <c r="O1" s="537"/>
      <c r="P1" s="536"/>
    </row>
    <row r="2" spans="1:16" ht="16.5" customHeight="1">
      <c r="A2" s="414"/>
      <c r="B2" s="538" t="s">
        <v>314</v>
      </c>
      <c r="C2" s="539"/>
      <c r="D2" s="540"/>
      <c r="E2" s="541"/>
      <c r="F2" s="2"/>
      <c r="G2" s="414"/>
      <c r="H2" s="414"/>
      <c r="I2" s="414"/>
      <c r="J2" s="1353" t="s">
        <v>471</v>
      </c>
      <c r="K2" s="1353"/>
      <c r="L2" s="1353"/>
      <c r="M2" s="1353"/>
      <c r="N2" s="542"/>
      <c r="O2" s="414"/>
      <c r="P2" s="414"/>
    </row>
    <row r="3" spans="1:16" ht="16.5" customHeight="1">
      <c r="A3" s="414"/>
      <c r="B3" s="538" t="s">
        <v>316</v>
      </c>
      <c r="C3" s="538"/>
      <c r="D3" s="538"/>
      <c r="E3" s="543"/>
      <c r="F3" s="538"/>
      <c r="G3" s="414"/>
      <c r="H3" s="414"/>
      <c r="I3" s="414"/>
      <c r="J3" s="1354" t="s">
        <v>50</v>
      </c>
      <c r="K3" s="1354"/>
      <c r="L3" s="1354"/>
      <c r="M3" s="1354"/>
      <c r="N3" s="544"/>
      <c r="O3" s="414"/>
      <c r="P3" s="414"/>
    </row>
    <row r="4" spans="1:16" ht="16.5" customHeight="1">
      <c r="A4" s="414"/>
      <c r="B4" s="538"/>
      <c r="C4" s="538"/>
      <c r="D4" s="538"/>
      <c r="E4" s="543"/>
      <c r="F4" s="538"/>
      <c r="G4" s="414"/>
      <c r="H4" s="414"/>
      <c r="I4" s="414"/>
      <c r="J4" s="1354"/>
      <c r="K4" s="1354"/>
      <c r="L4" s="1354"/>
      <c r="M4" s="1354"/>
      <c r="N4" s="544"/>
      <c r="O4" s="414"/>
      <c r="P4" s="414"/>
    </row>
    <row r="5" spans="1:16" ht="18.75" customHeight="1">
      <c r="A5" s="536"/>
      <c r="B5" s="1355" t="s">
        <v>472</v>
      </c>
      <c r="C5" s="1355"/>
      <c r="D5" s="1355"/>
      <c r="E5" s="1355"/>
      <c r="F5" s="1355"/>
      <c r="G5" s="1355"/>
      <c r="H5" s="1355"/>
      <c r="I5" s="1355"/>
      <c r="J5" s="1355"/>
      <c r="K5" s="1355"/>
      <c r="L5" s="1355"/>
      <c r="M5" s="1355"/>
      <c r="N5" s="545"/>
      <c r="O5" s="536"/>
      <c r="P5" s="536"/>
    </row>
    <row r="6" spans="1:16">
      <c r="A6" s="546"/>
      <c r="B6" s="1356" t="s">
        <v>473</v>
      </c>
      <c r="C6" s="1356"/>
      <c r="D6" s="1356"/>
      <c r="E6" s="1356"/>
      <c r="F6" s="1356"/>
      <c r="G6" s="1356"/>
      <c r="H6" s="1356"/>
      <c r="I6" s="1356"/>
      <c r="J6" s="1356"/>
      <c r="K6" s="1356"/>
      <c r="L6" s="1356"/>
      <c r="M6" s="1356"/>
      <c r="N6" s="547"/>
      <c r="O6" s="546"/>
      <c r="P6" s="546"/>
    </row>
    <row r="7" spans="1:16" ht="15">
      <c r="A7" s="536"/>
      <c r="B7" s="536"/>
      <c r="C7" s="548"/>
      <c r="D7" s="548"/>
      <c r="E7" s="549"/>
      <c r="F7" s="550" t="s">
        <v>645</v>
      </c>
      <c r="G7" s="782" t="str">
        <f>IF($O$10="VL","1522",IF($O$10="NL","1521",IF($O$10="TP","155","")))</f>
        <v>1522</v>
      </c>
      <c r="H7" s="550" t="s">
        <v>474</v>
      </c>
      <c r="I7" s="548" t="str">
        <f>IF($O$10="NL","Nguyên Liệu",IF($O$10="TP","Thành Phẩm",IF($O$10="VL","Vật Liệu","")))</f>
        <v>Vật Liệu</v>
      </c>
      <c r="J7" s="548"/>
      <c r="K7" s="548"/>
      <c r="L7" s="548"/>
      <c r="M7" s="548"/>
      <c r="N7" s="549"/>
      <c r="O7" s="536"/>
      <c r="P7" s="536"/>
    </row>
    <row r="8" spans="1:16" ht="15">
      <c r="A8" s="536"/>
      <c r="B8" s="549"/>
      <c r="C8" s="548"/>
      <c r="D8" s="548"/>
      <c r="E8" s="549"/>
      <c r="F8" s="549" t="s">
        <v>475</v>
      </c>
      <c r="G8" s="536"/>
      <c r="H8" s="548"/>
      <c r="I8" s="548"/>
      <c r="J8" s="1357" t="s">
        <v>903</v>
      </c>
      <c r="K8" s="1357"/>
      <c r="L8" s="1357"/>
      <c r="M8" s="548"/>
      <c r="N8" s="548"/>
      <c r="O8" s="536"/>
      <c r="P8" s="536"/>
    </row>
    <row r="9" spans="1:16" ht="15">
      <c r="A9" s="536"/>
      <c r="B9" s="536"/>
      <c r="C9" s="536"/>
      <c r="D9" s="551"/>
      <c r="E9" s="552"/>
      <c r="F9" s="551"/>
      <c r="G9" s="551"/>
      <c r="H9" s="551"/>
      <c r="I9" s="551"/>
      <c r="J9" s="551"/>
      <c r="K9" s="551" t="s">
        <v>148</v>
      </c>
      <c r="L9" s="536"/>
      <c r="M9" s="553"/>
      <c r="N9" s="554"/>
      <c r="O9" s="536"/>
      <c r="P9" s="536"/>
    </row>
    <row r="10" spans="1:16" ht="15.75" customHeight="1">
      <c r="A10" s="1351" t="s">
        <v>37</v>
      </c>
      <c r="B10" s="1352" t="s">
        <v>1</v>
      </c>
      <c r="C10" s="1352"/>
      <c r="D10" s="1350" t="s">
        <v>0</v>
      </c>
      <c r="E10" s="1350" t="s">
        <v>476</v>
      </c>
      <c r="F10" s="1350" t="s">
        <v>464</v>
      </c>
      <c r="G10" s="1348" t="s">
        <v>477</v>
      </c>
      <c r="H10" s="1349"/>
      <c r="I10" s="1348" t="s">
        <v>478</v>
      </c>
      <c r="J10" s="1349"/>
      <c r="K10" s="1348" t="s">
        <v>479</v>
      </c>
      <c r="L10" s="1349"/>
      <c r="M10" s="1350" t="s">
        <v>152</v>
      </c>
      <c r="N10" s="555"/>
      <c r="O10" s="556" t="s">
        <v>480</v>
      </c>
      <c r="P10" s="536"/>
    </row>
    <row r="11" spans="1:16" ht="31.5" customHeight="1">
      <c r="A11" s="1351"/>
      <c r="B11" s="557" t="s">
        <v>17</v>
      </c>
      <c r="C11" s="557" t="s">
        <v>34</v>
      </c>
      <c r="D11" s="1350"/>
      <c r="E11" s="1350"/>
      <c r="F11" s="1350"/>
      <c r="G11" s="557" t="s">
        <v>463</v>
      </c>
      <c r="H11" s="557" t="s">
        <v>465</v>
      </c>
      <c r="I11" s="557" t="s">
        <v>463</v>
      </c>
      <c r="J11" s="557" t="s">
        <v>465</v>
      </c>
      <c r="K11" s="557" t="s">
        <v>463</v>
      </c>
      <c r="L11" s="557" t="s">
        <v>465</v>
      </c>
      <c r="M11" s="1350"/>
      <c r="N11" s="555"/>
      <c r="O11" s="536"/>
      <c r="P11" s="536"/>
    </row>
    <row r="12" spans="1:16" ht="15">
      <c r="A12" s="558"/>
      <c r="B12" s="559" t="s">
        <v>2</v>
      </c>
      <c r="C12" s="560" t="s">
        <v>3</v>
      </c>
      <c r="D12" s="560" t="s">
        <v>4</v>
      </c>
      <c r="E12" s="559" t="s">
        <v>5</v>
      </c>
      <c r="F12" s="559">
        <v>1</v>
      </c>
      <c r="G12" s="559">
        <v>2</v>
      </c>
      <c r="H12" s="559" t="s">
        <v>481</v>
      </c>
      <c r="I12" s="559">
        <v>4</v>
      </c>
      <c r="J12" s="559" t="s">
        <v>482</v>
      </c>
      <c r="K12" s="559">
        <v>6</v>
      </c>
      <c r="L12" s="559" t="s">
        <v>483</v>
      </c>
      <c r="M12" s="559"/>
      <c r="N12" s="561"/>
      <c r="O12" s="549"/>
      <c r="P12" s="549"/>
    </row>
    <row r="13" spans="1:16" ht="15">
      <c r="A13" s="562"/>
      <c r="B13" s="562"/>
      <c r="C13" s="562"/>
      <c r="D13" s="563" t="s">
        <v>173</v>
      </c>
      <c r="E13" s="564"/>
      <c r="F13" s="565">
        <f>L13/K13</f>
        <v>7500</v>
      </c>
      <c r="G13" s="565"/>
      <c r="H13" s="565"/>
      <c r="I13" s="565"/>
      <c r="J13" s="565"/>
      <c r="K13" s="566">
        <f>VLOOKUP($J$8,NXT!$C$12:$L$113,3,0)</f>
        <v>1835</v>
      </c>
      <c r="L13" s="566">
        <f>VLOOKUP($J$8,NXT!$C$12:$L$113,4,0)</f>
        <v>13762500</v>
      </c>
      <c r="M13" s="565"/>
      <c r="N13" s="561"/>
      <c r="O13" s="536"/>
      <c r="P13" s="536"/>
    </row>
    <row r="14" spans="1:16" ht="15">
      <c r="A14" s="519">
        <f ca="1">IF(B14="","",ROW()-13)</f>
        <v>1</v>
      </c>
      <c r="B14" s="567">
        <f ca="1">IF(ROWS($1:1)&gt;COUNT(Dong11),"",OFFSET(TH!D$1,SMALL(Dong11,ROWS($1:1)),))</f>
        <v>0</v>
      </c>
      <c r="C14" s="568">
        <f ca="1">IF(ROWS($1:1)&gt;COUNT(Dong11),"",OFFSET(TH!E$1,SMALL(Dong11,ROWS($1:1)),))</f>
        <v>0</v>
      </c>
      <c r="D14" s="569" t="str">
        <f ca="1">IF(ROWS($1:1)&gt;COUNT(Dong11),"",OFFSET(TH!F$1,SMALL(Dong11,ROWS($1:1)),)&amp;" - "&amp;OFFSET(TH!H$1,SMALL(Dong11,ROWS($1:1)),))</f>
        <v xml:space="preserve">Thùng carton 50x29.5x19 - </v>
      </c>
      <c r="E14" s="567" t="str">
        <f ca="1">IF(ROWS($1:1)&gt;COUNT(Dong11),"",IF(OFFSET(TH!N$1,SMALL(Dong11,ROWS($1:1)),)=$G$7,OFFSET(TH!O$1,SMALL(Dong11,ROWS($1:1)),),OFFSET(TH!N$1,SMALL(Dong11,ROWS($1:1)),)))</f>
        <v>154</v>
      </c>
      <c r="F14" s="570">
        <f ca="1">IF(ROWS($1:1)&gt;COUNT(Dong11),0,OFFSET(TH!J$1,SMALL(Dong11,ROWS($1:1)),))</f>
        <v>7500</v>
      </c>
      <c r="G14" s="570">
        <f ca="1">IF(ROWS($1:1)&gt;COUNT(Dong11),0,IF(MID(OFFSET(TH!D$1,SMALL(Dong11,ROWS($1:1)),),4,1)="N",OFFSET(TH!I$1,SMALL(Dong11,ROWS($1:1)),),0))</f>
        <v>0</v>
      </c>
      <c r="H14" s="571">
        <f ca="1">ROUND(F14*G14,0)</f>
        <v>0</v>
      </c>
      <c r="I14" s="570">
        <f ca="1">IF(ROWS($1:1)&gt;COUNT(Dong11),0,IF(MID(OFFSET(TH!D$1,SMALL(Dong11,ROWS($1:1)),),4,1)="X",OFFSET(TH!I$1,SMALL(Dong11,ROWS($1:1)),),0))</f>
        <v>0</v>
      </c>
      <c r="J14" s="571">
        <f ca="1">ROUND(F14*I14,0)</f>
        <v>0</v>
      </c>
      <c r="K14" s="571">
        <f ca="1">IF(D14&lt;&gt;"",K13+G14-I14,0)</f>
        <v>1835</v>
      </c>
      <c r="L14" s="571">
        <f ca="1">IF(D14&lt;&gt;"",L13+H14-J14,0)</f>
        <v>13762500</v>
      </c>
      <c r="M14" s="571"/>
      <c r="N14" s="561"/>
      <c r="O14" s="536"/>
      <c r="P14" s="536"/>
    </row>
    <row r="15" spans="1:16" ht="15">
      <c r="A15" s="519" t="str">
        <f t="shared" ref="A15:A30" ca="1" si="0">IF(B15="","",A14+1)</f>
        <v/>
      </c>
      <c r="B15" s="567" t="str">
        <f ca="1">IF(ROWS($1:2)&gt;COUNT(Dong11),"",OFFSET(TH!D$1,SMALL(Dong11,ROWS($1:2)),))</f>
        <v/>
      </c>
      <c r="C15" s="568" t="str">
        <f ca="1">IF(ROWS($1:2)&gt;COUNT(Dong11),"",OFFSET(TH!E$1,SMALL(Dong11,ROWS($1:2)),))</f>
        <v/>
      </c>
      <c r="D15" s="569" t="str">
        <f ca="1">IF(ROWS($1:2)&gt;COUNT(Dong11),"",OFFSET(TH!F$1,SMALL(Dong11,ROWS($1:2)),)&amp;" - "&amp;OFFSET(TH!H$1,SMALL(Dong11,ROWS($1:2)),))</f>
        <v/>
      </c>
      <c r="E15" s="567" t="str">
        <f ca="1">IF(ROWS($1:2)&gt;COUNT(Dong11),"",IF(OFFSET(TH!N$1,SMALL(Dong11,ROWS($1:2)),)=$G$7,OFFSET(TH!O$1,SMALL(Dong11,ROWS($1:2)),),OFFSET(TH!N$1,SMALL(Dong11,ROWS($1:2)),)))</f>
        <v/>
      </c>
      <c r="F15" s="570">
        <f ca="1">IF(ROWS($1:2)&gt;COUNT(Dong11),0,OFFSET(TH!J$1,SMALL(Dong11,ROWS($1:2)),))</f>
        <v>0</v>
      </c>
      <c r="G15" s="570">
        <f ca="1">IF(ROWS($1:2)&gt;COUNT(Dong11),0,IF(MID(OFFSET(TH!D$1,SMALL(Dong11,ROWS($1:2)),),4,1)="N",OFFSET(TH!I$1,SMALL(Dong11,ROWS($1:2)),),0))</f>
        <v>0</v>
      </c>
      <c r="H15" s="571">
        <f t="shared" ref="H15:H30" ca="1" si="1">ROUND(F15*G15,0)</f>
        <v>0</v>
      </c>
      <c r="I15" s="570">
        <f ca="1">IF(ROWS($1:2)&gt;COUNT(Dong11),0,IF(MID(OFFSET(TH!D$1,SMALL(Dong11,ROWS($1:2)),),4,1)="X",OFFSET(TH!I$1,SMALL(Dong11,ROWS($1:2)),),0))</f>
        <v>0</v>
      </c>
      <c r="J15" s="571">
        <f t="shared" ref="J15:J30" ca="1" si="2">ROUND(F15*I15,0)</f>
        <v>0</v>
      </c>
      <c r="K15" s="571">
        <f t="shared" ref="K15:K16" ca="1" si="3">IF(D15&lt;&gt;"",K14+G15-I15,0)</f>
        <v>0</v>
      </c>
      <c r="L15" s="571">
        <f t="shared" ref="L15:L16" ca="1" si="4">IF(D15&lt;&gt;"",L14+H15-J15,0)</f>
        <v>0</v>
      </c>
      <c r="M15" s="571"/>
      <c r="N15" s="561"/>
      <c r="O15" s="536"/>
      <c r="P15" s="536"/>
    </row>
    <row r="16" spans="1:16" ht="15">
      <c r="A16" s="519" t="str">
        <f t="shared" ca="1" si="0"/>
        <v/>
      </c>
      <c r="B16" s="567" t="str">
        <f ca="1">IF(ROWS($1:3)&gt;COUNT(Dong11),"",OFFSET(TH!D$1,SMALL(Dong11,ROWS($1:3)),))</f>
        <v/>
      </c>
      <c r="C16" s="568" t="str">
        <f ca="1">IF(ROWS($1:3)&gt;COUNT(Dong11),"",OFFSET(TH!E$1,SMALL(Dong11,ROWS($1:3)),))</f>
        <v/>
      </c>
      <c r="D16" s="569" t="str">
        <f ca="1">IF(ROWS($1:3)&gt;COUNT(Dong11),"",OFFSET(TH!F$1,SMALL(Dong11,ROWS($1:3)),)&amp;" - "&amp;OFFSET(TH!H$1,SMALL(Dong11,ROWS($1:3)),))</f>
        <v/>
      </c>
      <c r="E16" s="567" t="str">
        <f ca="1">IF(ROWS($1:3)&gt;COUNT(Dong11),"",IF(OFFSET(TH!N$1,SMALL(Dong11,ROWS($1:3)),)=$G$7,OFFSET(TH!O$1,SMALL(Dong11,ROWS($1:3)),),OFFSET(TH!N$1,SMALL(Dong11,ROWS($1:3)),)))</f>
        <v/>
      </c>
      <c r="F16" s="570">
        <f ca="1">IF(ROWS($1:3)&gt;COUNT(Dong11),0,OFFSET(TH!J$1,SMALL(Dong11,ROWS($1:3)),))</f>
        <v>0</v>
      </c>
      <c r="G16" s="570">
        <f ca="1">IF(ROWS($1:3)&gt;COUNT(Dong11),0,IF(MID(OFFSET(TH!D$1,SMALL(Dong11,ROWS($1:3)),),4,1)="N",OFFSET(TH!I$1,SMALL(Dong11,ROWS($1:3)),),0))</f>
        <v>0</v>
      </c>
      <c r="H16" s="571">
        <f t="shared" ca="1" si="1"/>
        <v>0</v>
      </c>
      <c r="I16" s="570">
        <f ca="1">IF(ROWS($1:3)&gt;COUNT(Dong11),0,IF(MID(OFFSET(TH!D$1,SMALL(Dong11,ROWS($1:3)),),4,1)="X",OFFSET(TH!I$1,SMALL(Dong11,ROWS($1:3)),),0))</f>
        <v>0</v>
      </c>
      <c r="J16" s="571">
        <f t="shared" ca="1" si="2"/>
        <v>0</v>
      </c>
      <c r="K16" s="571">
        <f t="shared" ca="1" si="3"/>
        <v>0</v>
      </c>
      <c r="L16" s="571">
        <f t="shared" ca="1" si="4"/>
        <v>0</v>
      </c>
      <c r="M16" s="571"/>
      <c r="N16" s="561"/>
      <c r="O16" s="536"/>
      <c r="P16" s="536"/>
    </row>
    <row r="17" spans="1:16" ht="15">
      <c r="A17" s="519" t="str">
        <f t="shared" ca="1" si="0"/>
        <v/>
      </c>
      <c r="B17" s="567" t="str">
        <f ca="1">IF(ROWS($1:4)&gt;COUNT(Dong11),"",OFFSET(TH!D$1,SMALL(Dong11,ROWS($1:4)),))</f>
        <v/>
      </c>
      <c r="C17" s="568" t="str">
        <f ca="1">IF(ROWS($1:4)&gt;COUNT(Dong11),"",OFFSET(TH!E$1,SMALL(Dong11,ROWS($1:4)),))</f>
        <v/>
      </c>
      <c r="D17" s="569" t="str">
        <f ca="1">IF(ROWS($1:4)&gt;COUNT(Dong11),"",OFFSET(TH!F$1,SMALL(Dong11,ROWS($1:4)),)&amp;" - "&amp;OFFSET(TH!H$1,SMALL(Dong11,ROWS($1:4)),))</f>
        <v/>
      </c>
      <c r="E17" s="567" t="str">
        <f ca="1">IF(ROWS($1:4)&gt;COUNT(Dong11),"",IF(OFFSET(TH!N$1,SMALL(Dong11,ROWS($1:4)),)=$G$7,OFFSET(TH!O$1,SMALL(Dong11,ROWS($1:4)),),OFFSET(TH!N$1,SMALL(Dong11,ROWS($1:4)),)))</f>
        <v/>
      </c>
      <c r="F17" s="570">
        <f ca="1">IF(ROWS($1:4)&gt;COUNT(Dong11),0,OFFSET(TH!J$1,SMALL(Dong11,ROWS($1:4)),))</f>
        <v>0</v>
      </c>
      <c r="G17" s="570">
        <f ca="1">IF(ROWS($1:4)&gt;COUNT(Dong11),0,IF(MID(OFFSET(TH!D$1,SMALL(Dong11,ROWS($1:4)),),4,1)="N",OFFSET(TH!I$1,SMALL(Dong11,ROWS($1:4)),),0))</f>
        <v>0</v>
      </c>
      <c r="H17" s="571">
        <f t="shared" ca="1" si="1"/>
        <v>0</v>
      </c>
      <c r="I17" s="570">
        <f ca="1">IF(ROWS($1:4)&gt;COUNT(Dong11),0,IF(MID(OFFSET(TH!D$1,SMALL(Dong11,ROWS($1:4)),),4,1)="X",OFFSET(TH!I$1,SMALL(Dong11,ROWS($1:4)),),0))</f>
        <v>0</v>
      </c>
      <c r="J17" s="571">
        <f t="shared" ca="1" si="2"/>
        <v>0</v>
      </c>
      <c r="K17" s="571">
        <f t="shared" ref="K17:K50" ca="1" si="5">IF(D17&lt;&gt;"",K16+G17-I17,0)</f>
        <v>0</v>
      </c>
      <c r="L17" s="571">
        <f t="shared" ref="L17:L50" ca="1" si="6">IF(D17&lt;&gt;"",L16+H17-J17,0)</f>
        <v>0</v>
      </c>
      <c r="M17" s="571"/>
      <c r="N17" s="561"/>
      <c r="O17" s="536"/>
      <c r="P17" s="572"/>
    </row>
    <row r="18" spans="1:16" ht="15">
      <c r="A18" s="519" t="str">
        <f t="shared" ca="1" si="0"/>
        <v/>
      </c>
      <c r="B18" s="567" t="str">
        <f ca="1">IF(ROWS($1:5)&gt;COUNT(Dong11),"",OFFSET(TH!D$1,SMALL(Dong11,ROWS($1:5)),))</f>
        <v/>
      </c>
      <c r="C18" s="568" t="str">
        <f ca="1">IF(ROWS($1:5)&gt;COUNT(Dong11),"",OFFSET(TH!E$1,SMALL(Dong11,ROWS($1:5)),))</f>
        <v/>
      </c>
      <c r="D18" s="569" t="str">
        <f ca="1">IF(ROWS($1:5)&gt;COUNT(Dong11),"",OFFSET(TH!F$1,SMALL(Dong11,ROWS($1:5)),)&amp;" - "&amp;OFFSET(TH!H$1,SMALL(Dong11,ROWS($1:5)),))</f>
        <v/>
      </c>
      <c r="E18" s="567" t="str">
        <f ca="1">IF(ROWS($1:5)&gt;COUNT(Dong11),"",IF(OFFSET(TH!N$1,SMALL(Dong11,ROWS($1:5)),)=$G$7,OFFSET(TH!O$1,SMALL(Dong11,ROWS($1:5)),),OFFSET(TH!N$1,SMALL(Dong11,ROWS($1:5)),)))</f>
        <v/>
      </c>
      <c r="F18" s="570">
        <f ca="1">IF(ROWS($1:5)&gt;COUNT(Dong11),0,OFFSET(TH!J$1,SMALL(Dong11,ROWS($1:5)),))</f>
        <v>0</v>
      </c>
      <c r="G18" s="570">
        <f ca="1">IF(ROWS($1:5)&gt;COUNT(Dong11),0,IF(MID(OFFSET(TH!D$1,SMALL(Dong11,ROWS($1:5)),),4,1)="N",OFFSET(TH!I$1,SMALL(Dong11,ROWS($1:5)),),0))</f>
        <v>0</v>
      </c>
      <c r="H18" s="571">
        <f t="shared" ca="1" si="1"/>
        <v>0</v>
      </c>
      <c r="I18" s="570">
        <f ca="1">IF(ROWS($1:5)&gt;COUNT(Dong11),0,IF(MID(OFFSET(TH!D$1,SMALL(Dong11,ROWS($1:5)),),4,1)="X",OFFSET(TH!I$1,SMALL(Dong11,ROWS($1:5)),),0))</f>
        <v>0</v>
      </c>
      <c r="J18" s="571">
        <f t="shared" ca="1" si="2"/>
        <v>0</v>
      </c>
      <c r="K18" s="571">
        <f t="shared" ca="1" si="5"/>
        <v>0</v>
      </c>
      <c r="L18" s="571">
        <f t="shared" ca="1" si="6"/>
        <v>0</v>
      </c>
      <c r="M18" s="571"/>
      <c r="N18" s="561"/>
      <c r="O18" s="536"/>
      <c r="P18" s="536"/>
    </row>
    <row r="19" spans="1:16" ht="15">
      <c r="A19" s="519" t="str">
        <f t="shared" ca="1" si="0"/>
        <v/>
      </c>
      <c r="B19" s="567" t="str">
        <f ca="1">IF(ROWS($1:6)&gt;COUNT(Dong11),"",OFFSET(TH!D$1,SMALL(Dong11,ROWS($1:6)),))</f>
        <v/>
      </c>
      <c r="C19" s="568" t="str">
        <f ca="1">IF(ROWS($1:6)&gt;COUNT(Dong11),"",OFFSET(TH!E$1,SMALL(Dong11,ROWS($1:6)),))</f>
        <v/>
      </c>
      <c r="D19" s="569" t="str">
        <f ca="1">IF(ROWS($1:6)&gt;COUNT(Dong11),"",OFFSET(TH!F$1,SMALL(Dong11,ROWS($1:6)),)&amp;" - "&amp;OFFSET(TH!H$1,SMALL(Dong11,ROWS($1:6)),))</f>
        <v/>
      </c>
      <c r="E19" s="567" t="str">
        <f ca="1">IF(ROWS($1:6)&gt;COUNT(Dong11),"",IF(OFFSET(TH!N$1,SMALL(Dong11,ROWS($1:6)),)=$G$7,OFFSET(TH!O$1,SMALL(Dong11,ROWS($1:6)),),OFFSET(TH!N$1,SMALL(Dong11,ROWS($1:6)),)))</f>
        <v/>
      </c>
      <c r="F19" s="570">
        <f ca="1">IF(ROWS($1:6)&gt;COUNT(Dong11),0,OFFSET(TH!J$1,SMALL(Dong11,ROWS($1:6)),))</f>
        <v>0</v>
      </c>
      <c r="G19" s="570">
        <f ca="1">IF(ROWS($1:6)&gt;COUNT(Dong11),0,IF(MID(OFFSET(TH!D$1,SMALL(Dong11,ROWS($1:6)),),4,1)="N",OFFSET(TH!I$1,SMALL(Dong11,ROWS($1:6)),),0))</f>
        <v>0</v>
      </c>
      <c r="H19" s="571">
        <f t="shared" ca="1" si="1"/>
        <v>0</v>
      </c>
      <c r="I19" s="570">
        <f ca="1">IF(ROWS($1:6)&gt;COUNT(Dong11),0,IF(MID(OFFSET(TH!D$1,SMALL(Dong11,ROWS($1:6)),),4,1)="X",OFFSET(TH!I$1,SMALL(Dong11,ROWS($1:6)),),0))</f>
        <v>0</v>
      </c>
      <c r="J19" s="571">
        <f t="shared" ca="1" si="2"/>
        <v>0</v>
      </c>
      <c r="K19" s="571">
        <f t="shared" ca="1" si="5"/>
        <v>0</v>
      </c>
      <c r="L19" s="571">
        <f t="shared" ca="1" si="6"/>
        <v>0</v>
      </c>
      <c r="M19" s="571"/>
      <c r="N19" s="561"/>
      <c r="O19" s="536"/>
      <c r="P19" s="536"/>
    </row>
    <row r="20" spans="1:16" ht="15">
      <c r="A20" s="519" t="str">
        <f t="shared" ca="1" si="0"/>
        <v/>
      </c>
      <c r="B20" s="567" t="str">
        <f ca="1">IF(ROWS($1:7)&gt;COUNT(Dong11),"",OFFSET(TH!D$1,SMALL(Dong11,ROWS($1:7)),))</f>
        <v/>
      </c>
      <c r="C20" s="568" t="str">
        <f ca="1">IF(ROWS($1:7)&gt;COUNT(Dong11),"",OFFSET(TH!E$1,SMALL(Dong11,ROWS($1:7)),))</f>
        <v/>
      </c>
      <c r="D20" s="569" t="str">
        <f ca="1">IF(ROWS($1:7)&gt;COUNT(Dong11),"",OFFSET(TH!F$1,SMALL(Dong11,ROWS($1:7)),)&amp;" - "&amp;OFFSET(TH!H$1,SMALL(Dong11,ROWS($1:7)),))</f>
        <v/>
      </c>
      <c r="E20" s="567" t="str">
        <f ca="1">IF(ROWS($1:7)&gt;COUNT(Dong11),"",IF(OFFSET(TH!N$1,SMALL(Dong11,ROWS($1:7)),)=$G$7,OFFSET(TH!O$1,SMALL(Dong11,ROWS($1:7)),),OFFSET(TH!N$1,SMALL(Dong11,ROWS($1:7)),)))</f>
        <v/>
      </c>
      <c r="F20" s="570">
        <f ca="1">IF(ROWS($1:7)&gt;COUNT(Dong11),0,OFFSET(TH!J$1,SMALL(Dong11,ROWS($1:7)),))</f>
        <v>0</v>
      </c>
      <c r="G20" s="570">
        <f ca="1">IF(ROWS($1:7)&gt;COUNT(Dong11),0,IF(MID(OFFSET(TH!D$1,SMALL(Dong11,ROWS($1:7)),),4,1)="N",OFFSET(TH!I$1,SMALL(Dong11,ROWS($1:7)),),0))</f>
        <v>0</v>
      </c>
      <c r="H20" s="571">
        <f t="shared" ca="1" si="1"/>
        <v>0</v>
      </c>
      <c r="I20" s="570">
        <f ca="1">IF(ROWS($1:7)&gt;COUNT(Dong11),0,IF(MID(OFFSET(TH!D$1,SMALL(Dong11,ROWS($1:7)),),4,1)="X",OFFSET(TH!I$1,SMALL(Dong11,ROWS($1:7)),),0))</f>
        <v>0</v>
      </c>
      <c r="J20" s="571">
        <f t="shared" ca="1" si="2"/>
        <v>0</v>
      </c>
      <c r="K20" s="571">
        <f t="shared" ca="1" si="5"/>
        <v>0</v>
      </c>
      <c r="L20" s="571">
        <f t="shared" ca="1" si="6"/>
        <v>0</v>
      </c>
      <c r="M20" s="571"/>
      <c r="N20" s="561"/>
      <c r="O20" s="536"/>
      <c r="P20" s="536"/>
    </row>
    <row r="21" spans="1:16" ht="15">
      <c r="A21" s="519" t="str">
        <f t="shared" ca="1" si="0"/>
        <v/>
      </c>
      <c r="B21" s="567" t="str">
        <f ca="1">IF(ROWS($1:8)&gt;COUNT(Dong11),"",OFFSET(TH!D$1,SMALL(Dong11,ROWS($1:8)),))</f>
        <v/>
      </c>
      <c r="C21" s="568" t="str">
        <f ca="1">IF(ROWS($1:8)&gt;COUNT(Dong11),"",OFFSET(TH!E$1,SMALL(Dong11,ROWS($1:8)),))</f>
        <v/>
      </c>
      <c r="D21" s="569" t="str">
        <f ca="1">IF(ROWS($1:8)&gt;COUNT(Dong11),"",OFFSET(TH!F$1,SMALL(Dong11,ROWS($1:8)),)&amp;" - "&amp;OFFSET(TH!H$1,SMALL(Dong11,ROWS($1:8)),))</f>
        <v/>
      </c>
      <c r="E21" s="567" t="str">
        <f ca="1">IF(ROWS($1:8)&gt;COUNT(Dong11),"",IF(OFFSET(TH!N$1,SMALL(Dong11,ROWS($1:8)),)=$G$7,OFFSET(TH!O$1,SMALL(Dong11,ROWS($1:8)),),OFFSET(TH!N$1,SMALL(Dong11,ROWS($1:8)),)))</f>
        <v/>
      </c>
      <c r="F21" s="570">
        <f ca="1">IF(ROWS($1:8)&gt;COUNT(Dong11),0,OFFSET(TH!J$1,SMALL(Dong11,ROWS($1:8)),))</f>
        <v>0</v>
      </c>
      <c r="G21" s="570">
        <f ca="1">IF(ROWS($1:8)&gt;COUNT(Dong11),0,IF(MID(OFFSET(TH!D$1,SMALL(Dong11,ROWS($1:8)),),4,1)="N",OFFSET(TH!I$1,SMALL(Dong11,ROWS($1:8)),),0))</f>
        <v>0</v>
      </c>
      <c r="H21" s="571">
        <f t="shared" ca="1" si="1"/>
        <v>0</v>
      </c>
      <c r="I21" s="570">
        <f ca="1">IF(ROWS($1:8)&gt;COUNT(Dong11),0,IF(MID(OFFSET(TH!D$1,SMALL(Dong11,ROWS($1:8)),),4,1)="X",OFFSET(TH!I$1,SMALL(Dong11,ROWS($1:8)),),0))</f>
        <v>0</v>
      </c>
      <c r="J21" s="571">
        <f t="shared" ca="1" si="2"/>
        <v>0</v>
      </c>
      <c r="K21" s="571">
        <f t="shared" ca="1" si="5"/>
        <v>0</v>
      </c>
      <c r="L21" s="571">
        <f t="shared" ca="1" si="6"/>
        <v>0</v>
      </c>
      <c r="M21" s="571"/>
      <c r="N21" s="561"/>
      <c r="O21" s="536"/>
      <c r="P21" s="536"/>
    </row>
    <row r="22" spans="1:16" ht="15">
      <c r="A22" s="519" t="str">
        <f t="shared" ca="1" si="0"/>
        <v/>
      </c>
      <c r="B22" s="567" t="str">
        <f ca="1">IF(ROWS($1:9)&gt;COUNT(Dong11),"",OFFSET(TH!D$1,SMALL(Dong11,ROWS($1:9)),))</f>
        <v/>
      </c>
      <c r="C22" s="568" t="str">
        <f ca="1">IF(ROWS($1:9)&gt;COUNT(Dong11),"",OFFSET(TH!E$1,SMALL(Dong11,ROWS($1:9)),))</f>
        <v/>
      </c>
      <c r="D22" s="569" t="str">
        <f ca="1">IF(ROWS($1:9)&gt;COUNT(Dong11),"",OFFSET(TH!F$1,SMALL(Dong11,ROWS($1:9)),)&amp;" - "&amp;OFFSET(TH!H$1,SMALL(Dong11,ROWS($1:9)),))</f>
        <v/>
      </c>
      <c r="E22" s="567" t="str">
        <f ca="1">IF(ROWS($1:9)&gt;COUNT(Dong11),"",IF(OFFSET(TH!N$1,SMALL(Dong11,ROWS($1:9)),)=$G$7,OFFSET(TH!O$1,SMALL(Dong11,ROWS($1:9)),),OFFSET(TH!N$1,SMALL(Dong11,ROWS($1:9)),)))</f>
        <v/>
      </c>
      <c r="F22" s="570">
        <f ca="1">IF(ROWS($1:9)&gt;COUNT(Dong11),0,OFFSET(TH!J$1,SMALL(Dong11,ROWS($1:9)),))</f>
        <v>0</v>
      </c>
      <c r="G22" s="570">
        <f ca="1">IF(ROWS($1:9)&gt;COUNT(Dong11),0,IF(MID(OFFSET(TH!D$1,SMALL(Dong11,ROWS($1:9)),),4,1)="N",OFFSET(TH!I$1,SMALL(Dong11,ROWS($1:9)),),0))</f>
        <v>0</v>
      </c>
      <c r="H22" s="571">
        <f t="shared" ca="1" si="1"/>
        <v>0</v>
      </c>
      <c r="I22" s="570">
        <f ca="1">IF(ROWS($1:9)&gt;COUNT(Dong11),0,IF(MID(OFFSET(TH!D$1,SMALL(Dong11,ROWS($1:9)),),4,1)="X",OFFSET(TH!I$1,SMALL(Dong11,ROWS($1:9)),),0))</f>
        <v>0</v>
      </c>
      <c r="J22" s="571">
        <f t="shared" ca="1" si="2"/>
        <v>0</v>
      </c>
      <c r="K22" s="571">
        <f t="shared" ca="1" si="5"/>
        <v>0</v>
      </c>
      <c r="L22" s="571">
        <f t="shared" ca="1" si="6"/>
        <v>0</v>
      </c>
      <c r="M22" s="571"/>
      <c r="N22" s="561"/>
      <c r="O22" s="536"/>
      <c r="P22" s="536"/>
    </row>
    <row r="23" spans="1:16" ht="15">
      <c r="A23" s="519" t="str">
        <f t="shared" ca="1" si="0"/>
        <v/>
      </c>
      <c r="B23" s="567" t="str">
        <f ca="1">IF(ROWS($1:10)&gt;COUNT(Dong11),"",OFFSET(TH!D$1,SMALL(Dong11,ROWS($1:10)),))</f>
        <v/>
      </c>
      <c r="C23" s="568" t="str">
        <f ca="1">IF(ROWS($1:10)&gt;COUNT(Dong11),"",OFFSET(TH!E$1,SMALL(Dong11,ROWS($1:10)),))</f>
        <v/>
      </c>
      <c r="D23" s="569" t="str">
        <f ca="1">IF(ROWS($1:10)&gt;COUNT(Dong11),"",OFFSET(TH!F$1,SMALL(Dong11,ROWS($1:10)),)&amp;" - "&amp;OFFSET(TH!H$1,SMALL(Dong11,ROWS($1:10)),))</f>
        <v/>
      </c>
      <c r="E23" s="567" t="str">
        <f ca="1">IF(ROWS($1:10)&gt;COUNT(Dong11),"",IF(OFFSET(TH!N$1,SMALL(Dong11,ROWS($1:10)),)=$G$7,OFFSET(TH!O$1,SMALL(Dong11,ROWS($1:10)),),OFFSET(TH!N$1,SMALL(Dong11,ROWS($1:10)),)))</f>
        <v/>
      </c>
      <c r="F23" s="570">
        <f ca="1">IF(ROWS($1:10)&gt;COUNT(Dong11),0,OFFSET(TH!J$1,SMALL(Dong11,ROWS($1:10)),))</f>
        <v>0</v>
      </c>
      <c r="G23" s="570">
        <f ca="1">IF(ROWS($1:10)&gt;COUNT(Dong11),0,IF(MID(OFFSET(TH!D$1,SMALL(Dong11,ROWS($1:10)),),4,1)="N",OFFSET(TH!I$1,SMALL(Dong11,ROWS($1:10)),),0))</f>
        <v>0</v>
      </c>
      <c r="H23" s="571">
        <f t="shared" ca="1" si="1"/>
        <v>0</v>
      </c>
      <c r="I23" s="570">
        <f ca="1">IF(ROWS($1:10)&gt;COUNT(Dong11),0,IF(MID(OFFSET(TH!D$1,SMALL(Dong11,ROWS($1:10)),),4,1)="X",OFFSET(TH!I$1,SMALL(Dong11,ROWS($1:10)),),0))</f>
        <v>0</v>
      </c>
      <c r="J23" s="571">
        <f t="shared" ca="1" si="2"/>
        <v>0</v>
      </c>
      <c r="K23" s="571">
        <f t="shared" ca="1" si="5"/>
        <v>0</v>
      </c>
      <c r="L23" s="571">
        <f t="shared" ca="1" si="6"/>
        <v>0</v>
      </c>
      <c r="M23" s="571"/>
      <c r="N23" s="561"/>
      <c r="O23" s="536"/>
      <c r="P23" s="536"/>
    </row>
    <row r="24" spans="1:16" ht="15">
      <c r="A24" s="519" t="str">
        <f t="shared" ca="1" si="0"/>
        <v/>
      </c>
      <c r="B24" s="567" t="str">
        <f ca="1">IF(ROWS($1:11)&gt;COUNT(Dong11),"",OFFSET(TH!D$1,SMALL(Dong11,ROWS($1:11)),))</f>
        <v/>
      </c>
      <c r="C24" s="568" t="str">
        <f ca="1">IF(ROWS($1:11)&gt;COUNT(Dong11),"",OFFSET(TH!E$1,SMALL(Dong11,ROWS($1:11)),))</f>
        <v/>
      </c>
      <c r="D24" s="569" t="str">
        <f ca="1">IF(ROWS($1:11)&gt;COUNT(Dong11),"",OFFSET(TH!F$1,SMALL(Dong11,ROWS($1:11)),)&amp;" - "&amp;OFFSET(TH!H$1,SMALL(Dong11,ROWS($1:11)),))</f>
        <v/>
      </c>
      <c r="E24" s="567" t="str">
        <f ca="1">IF(ROWS($1:11)&gt;COUNT(Dong11),"",IF(OFFSET(TH!N$1,SMALL(Dong11,ROWS($1:11)),)=$G$7,OFFSET(TH!O$1,SMALL(Dong11,ROWS($1:11)),),OFFSET(TH!N$1,SMALL(Dong11,ROWS($1:11)),)))</f>
        <v/>
      </c>
      <c r="F24" s="570">
        <f ca="1">IF(ROWS($1:11)&gt;COUNT(Dong11),0,OFFSET(TH!J$1,SMALL(Dong11,ROWS($1:11)),))</f>
        <v>0</v>
      </c>
      <c r="G24" s="570">
        <f ca="1">IF(ROWS($1:11)&gt;COUNT(Dong11),0,IF(MID(OFFSET(TH!D$1,SMALL(Dong11,ROWS($1:11)),),4,1)="N",OFFSET(TH!I$1,SMALL(Dong11,ROWS($1:11)),),0))</f>
        <v>0</v>
      </c>
      <c r="H24" s="571">
        <f t="shared" ca="1" si="1"/>
        <v>0</v>
      </c>
      <c r="I24" s="570">
        <f ca="1">IF(ROWS($1:11)&gt;COUNT(Dong11),0,IF(MID(OFFSET(TH!D$1,SMALL(Dong11,ROWS($1:11)),),4,1)="X",OFFSET(TH!I$1,SMALL(Dong11,ROWS($1:11)),),0))</f>
        <v>0</v>
      </c>
      <c r="J24" s="571">
        <f t="shared" ca="1" si="2"/>
        <v>0</v>
      </c>
      <c r="K24" s="571">
        <f t="shared" ca="1" si="5"/>
        <v>0</v>
      </c>
      <c r="L24" s="571">
        <f t="shared" ca="1" si="6"/>
        <v>0</v>
      </c>
      <c r="M24" s="571"/>
      <c r="N24" s="561"/>
      <c r="O24" s="536"/>
      <c r="P24" s="536"/>
    </row>
    <row r="25" spans="1:16" ht="15">
      <c r="A25" s="519" t="str">
        <f t="shared" ca="1" si="0"/>
        <v/>
      </c>
      <c r="B25" s="567" t="str">
        <f ca="1">IF(ROWS($1:12)&gt;COUNT(Dong11),"",OFFSET(TH!D$1,SMALL(Dong11,ROWS($1:12)),))</f>
        <v/>
      </c>
      <c r="C25" s="568" t="str">
        <f ca="1">IF(ROWS($1:12)&gt;COUNT(Dong11),"",OFFSET(TH!E$1,SMALL(Dong11,ROWS($1:12)),))</f>
        <v/>
      </c>
      <c r="D25" s="569" t="str">
        <f ca="1">IF(ROWS($1:12)&gt;COUNT(Dong11),"",OFFSET(TH!F$1,SMALL(Dong11,ROWS($1:12)),)&amp;" - "&amp;OFFSET(TH!H$1,SMALL(Dong11,ROWS($1:12)),))</f>
        <v/>
      </c>
      <c r="E25" s="567" t="str">
        <f ca="1">IF(ROWS($1:12)&gt;COUNT(Dong11),"",IF(OFFSET(TH!N$1,SMALL(Dong11,ROWS($1:12)),)=$G$7,OFFSET(TH!O$1,SMALL(Dong11,ROWS($1:12)),),OFFSET(TH!N$1,SMALL(Dong11,ROWS($1:12)),)))</f>
        <v/>
      </c>
      <c r="F25" s="570">
        <f ca="1">IF(ROWS($1:12)&gt;COUNT(Dong11),0,OFFSET(TH!J$1,SMALL(Dong11,ROWS($1:12)),))</f>
        <v>0</v>
      </c>
      <c r="G25" s="570">
        <f ca="1">IF(ROWS($1:12)&gt;COUNT(Dong11),0,IF(MID(OFFSET(TH!D$1,SMALL(Dong11,ROWS($1:12)),),4,1)="N",OFFSET(TH!I$1,SMALL(Dong11,ROWS($1:12)),),0))</f>
        <v>0</v>
      </c>
      <c r="H25" s="571">
        <f t="shared" ca="1" si="1"/>
        <v>0</v>
      </c>
      <c r="I25" s="570">
        <f ca="1">IF(ROWS($1:12)&gt;COUNT(Dong11),0,IF(MID(OFFSET(TH!D$1,SMALL(Dong11,ROWS($1:12)),),4,1)="X",OFFSET(TH!I$1,SMALL(Dong11,ROWS($1:12)),),0))</f>
        <v>0</v>
      </c>
      <c r="J25" s="571">
        <f t="shared" ca="1" si="2"/>
        <v>0</v>
      </c>
      <c r="K25" s="571">
        <f t="shared" ca="1" si="5"/>
        <v>0</v>
      </c>
      <c r="L25" s="571">
        <f t="shared" ca="1" si="6"/>
        <v>0</v>
      </c>
      <c r="M25" s="571"/>
      <c r="N25" s="561"/>
      <c r="O25" s="536"/>
      <c r="P25" s="536"/>
    </row>
    <row r="26" spans="1:16" ht="15">
      <c r="A26" s="519" t="str">
        <f t="shared" ca="1" si="0"/>
        <v/>
      </c>
      <c r="B26" s="567" t="str">
        <f ca="1">IF(ROWS($1:13)&gt;COUNT(Dong11),"",OFFSET(TH!D$1,SMALL(Dong11,ROWS($1:13)),))</f>
        <v/>
      </c>
      <c r="C26" s="568" t="str">
        <f ca="1">IF(ROWS($1:13)&gt;COUNT(Dong11),"",OFFSET(TH!E$1,SMALL(Dong11,ROWS($1:13)),))</f>
        <v/>
      </c>
      <c r="D26" s="569" t="str">
        <f ca="1">IF(ROWS($1:13)&gt;COUNT(Dong11),"",OFFSET(TH!F$1,SMALL(Dong11,ROWS($1:13)),)&amp;" - "&amp;OFFSET(TH!H$1,SMALL(Dong11,ROWS($1:13)),))</f>
        <v/>
      </c>
      <c r="E26" s="567" t="str">
        <f ca="1">IF(ROWS($1:13)&gt;COUNT(Dong11),"",IF(OFFSET(TH!N$1,SMALL(Dong11,ROWS($1:13)),)=$G$7,OFFSET(TH!O$1,SMALL(Dong11,ROWS($1:13)),),OFFSET(TH!N$1,SMALL(Dong11,ROWS($1:13)),)))</f>
        <v/>
      </c>
      <c r="F26" s="570">
        <f ca="1">IF(ROWS($1:13)&gt;COUNT(Dong11),0,OFFSET(TH!J$1,SMALL(Dong11,ROWS($1:13)),))</f>
        <v>0</v>
      </c>
      <c r="G26" s="570">
        <f ca="1">IF(ROWS($1:13)&gt;COUNT(Dong11),0,IF(MID(OFFSET(TH!D$1,SMALL(Dong11,ROWS($1:13)),),4,1)="N",OFFSET(TH!I$1,SMALL(Dong11,ROWS($1:13)),),0))</f>
        <v>0</v>
      </c>
      <c r="H26" s="571">
        <f t="shared" ca="1" si="1"/>
        <v>0</v>
      </c>
      <c r="I26" s="570">
        <f ca="1">IF(ROWS($1:13)&gt;COUNT(Dong11),0,IF(MID(OFFSET(TH!D$1,SMALL(Dong11,ROWS($1:13)),),4,1)="X",OFFSET(TH!I$1,SMALL(Dong11,ROWS($1:13)),),0))</f>
        <v>0</v>
      </c>
      <c r="J26" s="571">
        <f t="shared" ca="1" si="2"/>
        <v>0</v>
      </c>
      <c r="K26" s="571">
        <f t="shared" ca="1" si="5"/>
        <v>0</v>
      </c>
      <c r="L26" s="571">
        <f t="shared" ca="1" si="6"/>
        <v>0</v>
      </c>
      <c r="M26" s="571"/>
      <c r="N26" s="561"/>
      <c r="O26" s="536"/>
      <c r="P26" s="536"/>
    </row>
    <row r="27" spans="1:16" ht="15">
      <c r="A27" s="519" t="str">
        <f t="shared" ca="1" si="0"/>
        <v/>
      </c>
      <c r="B27" s="567" t="str">
        <f ca="1">IF(ROWS($1:14)&gt;COUNT(Dong11),"",OFFSET(TH!D$1,SMALL(Dong11,ROWS($1:14)),))</f>
        <v/>
      </c>
      <c r="C27" s="568" t="str">
        <f ca="1">IF(ROWS($1:14)&gt;COUNT(Dong11),"",OFFSET(TH!E$1,SMALL(Dong11,ROWS($1:14)),))</f>
        <v/>
      </c>
      <c r="D27" s="569" t="str">
        <f ca="1">IF(ROWS($1:14)&gt;COUNT(Dong11),"",OFFSET(TH!F$1,SMALL(Dong11,ROWS($1:14)),)&amp;" - "&amp;OFFSET(TH!H$1,SMALL(Dong11,ROWS($1:14)),))</f>
        <v/>
      </c>
      <c r="E27" s="567" t="str">
        <f ca="1">IF(ROWS($1:14)&gt;COUNT(Dong11),"",IF(OFFSET(TH!N$1,SMALL(Dong11,ROWS($1:14)),)=$G$7,OFFSET(TH!O$1,SMALL(Dong11,ROWS($1:14)),),OFFSET(TH!N$1,SMALL(Dong11,ROWS($1:14)),)))</f>
        <v/>
      </c>
      <c r="F27" s="570">
        <f ca="1">IF(ROWS($1:14)&gt;COUNT(Dong11),0,OFFSET(TH!J$1,SMALL(Dong11,ROWS($1:14)),))</f>
        <v>0</v>
      </c>
      <c r="G27" s="570">
        <f ca="1">IF(ROWS($1:14)&gt;COUNT(Dong11),0,IF(MID(OFFSET(TH!D$1,SMALL(Dong11,ROWS($1:14)),),4,1)="N",OFFSET(TH!I$1,SMALL(Dong11,ROWS($1:14)),),0))</f>
        <v>0</v>
      </c>
      <c r="H27" s="571">
        <f t="shared" ca="1" si="1"/>
        <v>0</v>
      </c>
      <c r="I27" s="570">
        <f ca="1">IF(ROWS($1:14)&gt;COUNT(Dong11),0,IF(MID(OFFSET(TH!D$1,SMALL(Dong11,ROWS($1:14)),),4,1)="X",OFFSET(TH!I$1,SMALL(Dong11,ROWS($1:14)),),0))</f>
        <v>0</v>
      </c>
      <c r="J27" s="571">
        <f t="shared" ca="1" si="2"/>
        <v>0</v>
      </c>
      <c r="K27" s="571">
        <f t="shared" ca="1" si="5"/>
        <v>0</v>
      </c>
      <c r="L27" s="571">
        <f t="shared" ca="1" si="6"/>
        <v>0</v>
      </c>
      <c r="M27" s="571"/>
      <c r="N27" s="561"/>
      <c r="O27" s="536"/>
      <c r="P27" s="536"/>
    </row>
    <row r="28" spans="1:16" ht="15">
      <c r="A28" s="519" t="str">
        <f t="shared" ca="1" si="0"/>
        <v/>
      </c>
      <c r="B28" s="567" t="str">
        <f ca="1">IF(ROWS($1:15)&gt;COUNT(Dong11),"",OFFSET(TH!D$1,SMALL(Dong11,ROWS($1:15)),))</f>
        <v/>
      </c>
      <c r="C28" s="568" t="str">
        <f ca="1">IF(ROWS($1:15)&gt;COUNT(Dong11),"",OFFSET(TH!E$1,SMALL(Dong11,ROWS($1:15)),))</f>
        <v/>
      </c>
      <c r="D28" s="569" t="str">
        <f ca="1">IF(ROWS($1:15)&gt;COUNT(Dong11),"",OFFSET(TH!F$1,SMALL(Dong11,ROWS($1:15)),)&amp;" - "&amp;OFFSET(TH!H$1,SMALL(Dong11,ROWS($1:15)),))</f>
        <v/>
      </c>
      <c r="E28" s="567" t="str">
        <f ca="1">IF(ROWS($1:15)&gt;COUNT(Dong11),"",IF(OFFSET(TH!N$1,SMALL(Dong11,ROWS($1:15)),)=$G$7,OFFSET(TH!O$1,SMALL(Dong11,ROWS($1:15)),),OFFSET(TH!N$1,SMALL(Dong11,ROWS($1:15)),)))</f>
        <v/>
      </c>
      <c r="F28" s="570">
        <f ca="1">IF(ROWS($1:15)&gt;COUNT(Dong11),0,OFFSET(TH!J$1,SMALL(Dong11,ROWS($1:15)),))</f>
        <v>0</v>
      </c>
      <c r="G28" s="570">
        <f ca="1">IF(ROWS($1:15)&gt;COUNT(Dong11),0,IF(MID(OFFSET(TH!D$1,SMALL(Dong11,ROWS($1:15)),),4,1)="N",OFFSET(TH!I$1,SMALL(Dong11,ROWS($1:15)),),0))</f>
        <v>0</v>
      </c>
      <c r="H28" s="571">
        <f t="shared" ca="1" si="1"/>
        <v>0</v>
      </c>
      <c r="I28" s="570">
        <f ca="1">IF(ROWS($1:15)&gt;COUNT(Dong11),0,IF(MID(OFFSET(TH!D$1,SMALL(Dong11,ROWS($1:15)),),4,1)="X",OFFSET(TH!I$1,SMALL(Dong11,ROWS($1:15)),),0))</f>
        <v>0</v>
      </c>
      <c r="J28" s="571">
        <f t="shared" ca="1" si="2"/>
        <v>0</v>
      </c>
      <c r="K28" s="571">
        <f t="shared" ca="1" si="5"/>
        <v>0</v>
      </c>
      <c r="L28" s="571">
        <f t="shared" ca="1" si="6"/>
        <v>0</v>
      </c>
      <c r="M28" s="571"/>
      <c r="N28" s="561"/>
      <c r="O28" s="536"/>
      <c r="P28" s="536"/>
    </row>
    <row r="29" spans="1:16" ht="15">
      <c r="A29" s="519" t="str">
        <f t="shared" ca="1" si="0"/>
        <v/>
      </c>
      <c r="B29" s="567" t="str">
        <f ca="1">IF(ROWS($1:16)&gt;COUNT(Dong11),"",OFFSET(TH!D$1,SMALL(Dong11,ROWS($1:16)),))</f>
        <v/>
      </c>
      <c r="C29" s="568" t="str">
        <f ca="1">IF(ROWS($1:16)&gt;COUNT(Dong11),"",OFFSET(TH!E$1,SMALL(Dong11,ROWS($1:16)),))</f>
        <v/>
      </c>
      <c r="D29" s="569" t="str">
        <f ca="1">IF(ROWS($1:16)&gt;COUNT(Dong11),"",OFFSET(TH!F$1,SMALL(Dong11,ROWS($1:16)),)&amp;" - "&amp;OFFSET(TH!H$1,SMALL(Dong11,ROWS($1:16)),))</f>
        <v/>
      </c>
      <c r="E29" s="567" t="str">
        <f ca="1">IF(ROWS($1:16)&gt;COUNT(Dong11),"",IF(OFFSET(TH!N$1,SMALL(Dong11,ROWS($1:16)),)=$G$7,OFFSET(TH!O$1,SMALL(Dong11,ROWS($1:16)),),OFFSET(TH!N$1,SMALL(Dong11,ROWS($1:16)),)))</f>
        <v/>
      </c>
      <c r="F29" s="570">
        <f ca="1">IF(ROWS($1:16)&gt;COUNT(Dong11),0,OFFSET(TH!J$1,SMALL(Dong11,ROWS($1:16)),))</f>
        <v>0</v>
      </c>
      <c r="G29" s="570">
        <f ca="1">IF(ROWS($1:16)&gt;COUNT(Dong11),0,IF(MID(OFFSET(TH!D$1,SMALL(Dong11,ROWS($1:16)),),4,1)="N",OFFSET(TH!I$1,SMALL(Dong11,ROWS($1:16)),),0))</f>
        <v>0</v>
      </c>
      <c r="H29" s="571">
        <f t="shared" ca="1" si="1"/>
        <v>0</v>
      </c>
      <c r="I29" s="570">
        <f ca="1">IF(ROWS($1:16)&gt;COUNT(Dong11),0,IF(MID(OFFSET(TH!D$1,SMALL(Dong11,ROWS($1:16)),),4,1)="X",OFFSET(TH!I$1,SMALL(Dong11,ROWS($1:16)),),0))</f>
        <v>0</v>
      </c>
      <c r="J29" s="571">
        <f t="shared" ca="1" si="2"/>
        <v>0</v>
      </c>
      <c r="K29" s="571">
        <f t="shared" ca="1" si="5"/>
        <v>0</v>
      </c>
      <c r="L29" s="571">
        <f t="shared" ca="1" si="6"/>
        <v>0</v>
      </c>
      <c r="M29" s="571"/>
      <c r="N29" s="561"/>
      <c r="O29" s="536"/>
      <c r="P29" s="536"/>
    </row>
    <row r="30" spans="1:16" ht="15">
      <c r="A30" s="519" t="str">
        <f t="shared" ca="1" si="0"/>
        <v/>
      </c>
      <c r="B30" s="567" t="str">
        <f ca="1">IF(ROWS($1:17)&gt;COUNT(Dong11),"",OFFSET(TH!D$1,SMALL(Dong11,ROWS($1:17)),))</f>
        <v/>
      </c>
      <c r="C30" s="568" t="str">
        <f ca="1">IF(ROWS($1:17)&gt;COUNT(Dong11),"",OFFSET(TH!E$1,SMALL(Dong11,ROWS($1:17)),))</f>
        <v/>
      </c>
      <c r="D30" s="569" t="str">
        <f ca="1">IF(ROWS($1:17)&gt;COUNT(Dong11),"",OFFSET(TH!F$1,SMALL(Dong11,ROWS($1:17)),)&amp;" - "&amp;OFFSET(TH!H$1,SMALL(Dong11,ROWS($1:17)),))</f>
        <v/>
      </c>
      <c r="E30" s="567" t="str">
        <f ca="1">IF(ROWS($1:17)&gt;COUNT(Dong11),"",IF(OFFSET(TH!N$1,SMALL(Dong11,ROWS($1:17)),)=$G$7,OFFSET(TH!O$1,SMALL(Dong11,ROWS($1:17)),),OFFSET(TH!N$1,SMALL(Dong11,ROWS($1:17)),)))</f>
        <v/>
      </c>
      <c r="F30" s="570">
        <f ca="1">IF(ROWS($1:17)&gt;COUNT(Dong11),0,OFFSET(TH!J$1,SMALL(Dong11,ROWS($1:17)),))</f>
        <v>0</v>
      </c>
      <c r="G30" s="570">
        <f ca="1">IF(ROWS($1:17)&gt;COUNT(Dong11),0,IF(MID(OFFSET(TH!D$1,SMALL(Dong11,ROWS($1:17)),),4,1)="N",OFFSET(TH!I$1,SMALL(Dong11,ROWS($1:17)),),0))</f>
        <v>0</v>
      </c>
      <c r="H30" s="571">
        <f t="shared" ca="1" si="1"/>
        <v>0</v>
      </c>
      <c r="I30" s="570">
        <f ca="1">IF(ROWS($1:17)&gt;COUNT(Dong11),0,IF(MID(OFFSET(TH!D$1,SMALL(Dong11,ROWS($1:17)),),4,1)="X",OFFSET(TH!I$1,SMALL(Dong11,ROWS($1:17)),),0))</f>
        <v>0</v>
      </c>
      <c r="J30" s="571">
        <f t="shared" ca="1" si="2"/>
        <v>0</v>
      </c>
      <c r="K30" s="571">
        <f t="shared" ca="1" si="5"/>
        <v>0</v>
      </c>
      <c r="L30" s="571">
        <f t="shared" ca="1" si="6"/>
        <v>0</v>
      </c>
      <c r="M30" s="571"/>
      <c r="N30" s="561"/>
      <c r="O30" s="536"/>
      <c r="P30" s="536"/>
    </row>
    <row r="31" spans="1:16" ht="15">
      <c r="A31" s="519" t="str">
        <f t="shared" ref="A31:A45" ca="1" si="7">IF(B31="","",A30+1)</f>
        <v/>
      </c>
      <c r="B31" s="567" t="str">
        <f ca="1">IF(ROWS($1:18)&gt;COUNT(Dong11),"",OFFSET(TH!D$1,SMALL(Dong11,ROWS($1:18)),))</f>
        <v/>
      </c>
      <c r="C31" s="568" t="str">
        <f ca="1">IF(ROWS($1:18)&gt;COUNT(Dong11),"",OFFSET(TH!E$1,SMALL(Dong11,ROWS($1:18)),))</f>
        <v/>
      </c>
      <c r="D31" s="569" t="str">
        <f ca="1">IF(ROWS($1:18)&gt;COUNT(Dong11),"",OFFSET(TH!F$1,SMALL(Dong11,ROWS($1:18)),)&amp;" - "&amp;OFFSET(TH!H$1,SMALL(Dong11,ROWS($1:18)),))</f>
        <v/>
      </c>
      <c r="E31" s="567" t="str">
        <f ca="1">IF(ROWS($1:18)&gt;COUNT(Dong11),"",IF(OFFSET(TH!N$1,SMALL(Dong11,ROWS($1:18)),)=$G$7,OFFSET(TH!O$1,SMALL(Dong11,ROWS($1:18)),),OFFSET(TH!N$1,SMALL(Dong11,ROWS($1:18)),)))</f>
        <v/>
      </c>
      <c r="F31" s="570">
        <f ca="1">IF(ROWS($1:18)&gt;COUNT(Dong11),0,OFFSET(TH!J$1,SMALL(Dong11,ROWS($1:18)),))</f>
        <v>0</v>
      </c>
      <c r="G31" s="570">
        <f ca="1">IF(ROWS($1:18)&gt;COUNT(Dong11),0,IF(MID(OFFSET(TH!D$1,SMALL(Dong11,ROWS($1:18)),),4,1)="N",OFFSET(TH!I$1,SMALL(Dong11,ROWS($1:18)),),0))</f>
        <v>0</v>
      </c>
      <c r="H31" s="571">
        <f t="shared" ref="H31:H45" ca="1" si="8">ROUND(F31*G31,0)</f>
        <v>0</v>
      </c>
      <c r="I31" s="570">
        <f ca="1">IF(ROWS($1:18)&gt;COUNT(Dong11),0,IF(MID(OFFSET(TH!D$1,SMALL(Dong11,ROWS($1:18)),),4,1)="X",OFFSET(TH!I$1,SMALL(Dong11,ROWS($1:18)),),0))</f>
        <v>0</v>
      </c>
      <c r="J31" s="571">
        <f t="shared" ref="J31:J45" ca="1" si="9">ROUND(F31*I31,0)</f>
        <v>0</v>
      </c>
      <c r="K31" s="571">
        <f t="shared" ca="1" si="5"/>
        <v>0</v>
      </c>
      <c r="L31" s="571">
        <f t="shared" ca="1" si="6"/>
        <v>0</v>
      </c>
      <c r="M31" s="571"/>
      <c r="N31" s="561"/>
      <c r="O31" s="536"/>
      <c r="P31" s="536"/>
    </row>
    <row r="32" spans="1:16" ht="15">
      <c r="A32" s="519" t="str">
        <f t="shared" ca="1" si="7"/>
        <v/>
      </c>
      <c r="B32" s="567" t="str">
        <f ca="1">IF(ROWS($1:19)&gt;COUNT(Dong11),"",OFFSET(TH!D$1,SMALL(Dong11,ROWS($1:19)),))</f>
        <v/>
      </c>
      <c r="C32" s="568" t="str">
        <f ca="1">IF(ROWS($1:19)&gt;COUNT(Dong11),"",OFFSET(TH!E$1,SMALL(Dong11,ROWS($1:19)),))</f>
        <v/>
      </c>
      <c r="D32" s="569" t="str">
        <f ca="1">IF(ROWS($1:19)&gt;COUNT(Dong11),"",OFFSET(TH!F$1,SMALL(Dong11,ROWS($1:19)),)&amp;" - "&amp;OFFSET(TH!H$1,SMALL(Dong11,ROWS($1:19)),))</f>
        <v/>
      </c>
      <c r="E32" s="567" t="str">
        <f ca="1">IF(ROWS($1:19)&gt;COUNT(Dong11),"",IF(OFFSET(TH!N$1,SMALL(Dong11,ROWS($1:19)),)=$G$7,OFFSET(TH!O$1,SMALL(Dong11,ROWS($1:19)),),OFFSET(TH!N$1,SMALL(Dong11,ROWS($1:19)),)))</f>
        <v/>
      </c>
      <c r="F32" s="570">
        <f ca="1">IF(ROWS($1:19)&gt;COUNT(Dong11),0,OFFSET(TH!J$1,SMALL(Dong11,ROWS($1:19)),))</f>
        <v>0</v>
      </c>
      <c r="G32" s="570">
        <f ca="1">IF(ROWS($1:19)&gt;COUNT(Dong11),0,IF(MID(OFFSET(TH!D$1,SMALL(Dong11,ROWS($1:19)),),4,1)="N",OFFSET(TH!I$1,SMALL(Dong11,ROWS($1:19)),),0))</f>
        <v>0</v>
      </c>
      <c r="H32" s="571">
        <f t="shared" ca="1" si="8"/>
        <v>0</v>
      </c>
      <c r="I32" s="570">
        <f ca="1">IF(ROWS($1:19)&gt;COUNT(Dong11),0,IF(MID(OFFSET(TH!D$1,SMALL(Dong11,ROWS($1:19)),),4,1)="X",OFFSET(TH!I$1,SMALL(Dong11,ROWS($1:19)),),0))</f>
        <v>0</v>
      </c>
      <c r="J32" s="571">
        <f t="shared" ca="1" si="9"/>
        <v>0</v>
      </c>
      <c r="K32" s="571">
        <f t="shared" ca="1" si="5"/>
        <v>0</v>
      </c>
      <c r="L32" s="571">
        <f t="shared" ca="1" si="6"/>
        <v>0</v>
      </c>
      <c r="M32" s="571"/>
      <c r="N32" s="561"/>
      <c r="O32" s="536"/>
      <c r="P32" s="536"/>
    </row>
    <row r="33" spans="1:16" ht="15">
      <c r="A33" s="519" t="str">
        <f t="shared" ca="1" si="7"/>
        <v/>
      </c>
      <c r="B33" s="567" t="str">
        <f ca="1">IF(ROWS($1:20)&gt;COUNT(Dong11),"",OFFSET(TH!D$1,SMALL(Dong11,ROWS($1:20)),))</f>
        <v/>
      </c>
      <c r="C33" s="568" t="str">
        <f ca="1">IF(ROWS($1:20)&gt;COUNT(Dong11),"",OFFSET(TH!E$1,SMALL(Dong11,ROWS($1:20)),))</f>
        <v/>
      </c>
      <c r="D33" s="569" t="str">
        <f ca="1">IF(ROWS($1:20)&gt;COUNT(Dong11),"",OFFSET(TH!F$1,SMALL(Dong11,ROWS($1:20)),)&amp;" - "&amp;OFFSET(TH!H$1,SMALL(Dong11,ROWS($1:20)),))</f>
        <v/>
      </c>
      <c r="E33" s="567" t="str">
        <f ca="1">IF(ROWS($1:20)&gt;COUNT(Dong11),"",IF(OFFSET(TH!N$1,SMALL(Dong11,ROWS($1:20)),)=$G$7,OFFSET(TH!O$1,SMALL(Dong11,ROWS($1:20)),),OFFSET(TH!N$1,SMALL(Dong11,ROWS($1:20)),)))</f>
        <v/>
      </c>
      <c r="F33" s="570">
        <f ca="1">IF(ROWS($1:20)&gt;COUNT(Dong11),0,OFFSET(TH!J$1,SMALL(Dong11,ROWS($1:20)),))</f>
        <v>0</v>
      </c>
      <c r="G33" s="570">
        <f ca="1">IF(ROWS($1:20)&gt;COUNT(Dong11),0,IF(MID(OFFSET(TH!D$1,SMALL(Dong11,ROWS($1:20)),),4,1)="N",OFFSET(TH!I$1,SMALL(Dong11,ROWS($1:20)),),0))</f>
        <v>0</v>
      </c>
      <c r="H33" s="571">
        <f t="shared" ca="1" si="8"/>
        <v>0</v>
      </c>
      <c r="I33" s="570">
        <f ca="1">IF(ROWS($1:20)&gt;COUNT(Dong11),0,IF(MID(OFFSET(TH!D$1,SMALL(Dong11,ROWS($1:20)),),4,1)="X",OFFSET(TH!I$1,SMALL(Dong11,ROWS($1:20)),),0))</f>
        <v>0</v>
      </c>
      <c r="J33" s="571">
        <f t="shared" ca="1" si="9"/>
        <v>0</v>
      </c>
      <c r="K33" s="571">
        <f t="shared" ca="1" si="5"/>
        <v>0</v>
      </c>
      <c r="L33" s="571">
        <f t="shared" ca="1" si="6"/>
        <v>0</v>
      </c>
      <c r="M33" s="571"/>
      <c r="N33" s="561"/>
      <c r="O33" s="536"/>
      <c r="P33" s="536"/>
    </row>
    <row r="34" spans="1:16" ht="15">
      <c r="A34" s="519" t="str">
        <f t="shared" ca="1" si="7"/>
        <v/>
      </c>
      <c r="B34" s="567" t="str">
        <f ca="1">IF(ROWS($1:21)&gt;COUNT(Dong11),"",OFFSET(TH!D$1,SMALL(Dong11,ROWS($1:21)),))</f>
        <v/>
      </c>
      <c r="C34" s="568" t="str">
        <f ca="1">IF(ROWS($1:21)&gt;COUNT(Dong11),"",OFFSET(TH!E$1,SMALL(Dong11,ROWS($1:21)),))</f>
        <v/>
      </c>
      <c r="D34" s="569" t="str">
        <f ca="1">IF(ROWS($1:21)&gt;COUNT(Dong11),"",OFFSET(TH!F$1,SMALL(Dong11,ROWS($1:21)),)&amp;" - "&amp;OFFSET(TH!H$1,SMALL(Dong11,ROWS($1:21)),))</f>
        <v/>
      </c>
      <c r="E34" s="567" t="str">
        <f ca="1">IF(ROWS($1:21)&gt;COUNT(Dong11),"",IF(OFFSET(TH!N$1,SMALL(Dong11,ROWS($1:21)),)=$G$7,OFFSET(TH!O$1,SMALL(Dong11,ROWS($1:21)),),OFFSET(TH!N$1,SMALL(Dong11,ROWS($1:21)),)))</f>
        <v/>
      </c>
      <c r="F34" s="570">
        <f ca="1">IF(ROWS($1:21)&gt;COUNT(Dong11),0,OFFSET(TH!J$1,SMALL(Dong11,ROWS($1:21)),))</f>
        <v>0</v>
      </c>
      <c r="G34" s="570">
        <f ca="1">IF(ROWS($1:21)&gt;COUNT(Dong11),0,IF(MID(OFFSET(TH!D$1,SMALL(Dong11,ROWS($1:21)),),4,1)="N",OFFSET(TH!I$1,SMALL(Dong11,ROWS($1:21)),),0))</f>
        <v>0</v>
      </c>
      <c r="H34" s="571">
        <f t="shared" ca="1" si="8"/>
        <v>0</v>
      </c>
      <c r="I34" s="570">
        <f ca="1">IF(ROWS($1:21)&gt;COUNT(Dong11),0,IF(MID(OFFSET(TH!D$1,SMALL(Dong11,ROWS($1:21)),),4,1)="X",OFFSET(TH!I$1,SMALL(Dong11,ROWS($1:21)),),0))</f>
        <v>0</v>
      </c>
      <c r="J34" s="571">
        <f t="shared" ca="1" si="9"/>
        <v>0</v>
      </c>
      <c r="K34" s="571">
        <f t="shared" ca="1" si="5"/>
        <v>0</v>
      </c>
      <c r="L34" s="571">
        <f t="shared" ca="1" si="6"/>
        <v>0</v>
      </c>
      <c r="M34" s="571"/>
      <c r="N34" s="561"/>
      <c r="O34" s="536"/>
      <c r="P34" s="536"/>
    </row>
    <row r="35" spans="1:16" ht="15">
      <c r="A35" s="519" t="str">
        <f t="shared" ca="1" si="7"/>
        <v/>
      </c>
      <c r="B35" s="567" t="str">
        <f ca="1">IF(ROWS($1:22)&gt;COUNT(Dong11),"",OFFSET(TH!D$1,SMALL(Dong11,ROWS($1:22)),))</f>
        <v/>
      </c>
      <c r="C35" s="568" t="str">
        <f ca="1">IF(ROWS($1:22)&gt;COUNT(Dong11),"",OFFSET(TH!E$1,SMALL(Dong11,ROWS($1:22)),))</f>
        <v/>
      </c>
      <c r="D35" s="569" t="str">
        <f ca="1">IF(ROWS($1:22)&gt;COUNT(Dong11),"",OFFSET(TH!F$1,SMALL(Dong11,ROWS($1:22)),)&amp;" - "&amp;OFFSET(TH!H$1,SMALL(Dong11,ROWS($1:22)),))</f>
        <v/>
      </c>
      <c r="E35" s="567" t="str">
        <f ca="1">IF(ROWS($1:22)&gt;COUNT(Dong11),"",IF(OFFSET(TH!N$1,SMALL(Dong11,ROWS($1:22)),)=$G$7,OFFSET(TH!O$1,SMALL(Dong11,ROWS($1:22)),),OFFSET(TH!N$1,SMALL(Dong11,ROWS($1:22)),)))</f>
        <v/>
      </c>
      <c r="F35" s="570">
        <f ca="1">IF(ROWS($1:22)&gt;COUNT(Dong11),0,OFFSET(TH!J$1,SMALL(Dong11,ROWS($1:22)),))</f>
        <v>0</v>
      </c>
      <c r="G35" s="570">
        <f ca="1">IF(ROWS($1:22)&gt;COUNT(Dong11),0,IF(MID(OFFSET(TH!D$1,SMALL(Dong11,ROWS($1:22)),),4,1)="N",OFFSET(TH!I$1,SMALL(Dong11,ROWS($1:22)),),0))</f>
        <v>0</v>
      </c>
      <c r="H35" s="571">
        <f t="shared" ca="1" si="8"/>
        <v>0</v>
      </c>
      <c r="I35" s="570">
        <f ca="1">IF(ROWS($1:22)&gt;COUNT(Dong11),0,IF(MID(OFFSET(TH!D$1,SMALL(Dong11,ROWS($1:22)),),4,1)="X",OFFSET(TH!I$1,SMALL(Dong11,ROWS($1:22)),),0))</f>
        <v>0</v>
      </c>
      <c r="J35" s="571">
        <f t="shared" ca="1" si="9"/>
        <v>0</v>
      </c>
      <c r="K35" s="571">
        <f t="shared" ca="1" si="5"/>
        <v>0</v>
      </c>
      <c r="L35" s="571">
        <f t="shared" ca="1" si="6"/>
        <v>0</v>
      </c>
      <c r="M35" s="571"/>
      <c r="N35" s="561"/>
      <c r="O35" s="536"/>
      <c r="P35" s="536"/>
    </row>
    <row r="36" spans="1:16" ht="15">
      <c r="A36" s="519" t="str">
        <f t="shared" ca="1" si="7"/>
        <v/>
      </c>
      <c r="B36" s="567" t="str">
        <f ca="1">IF(ROWS($1:23)&gt;COUNT(Dong11),"",OFFSET(TH!D$1,SMALL(Dong11,ROWS($1:23)),))</f>
        <v/>
      </c>
      <c r="C36" s="568" t="str">
        <f ca="1">IF(ROWS($1:23)&gt;COUNT(Dong11),"",OFFSET(TH!E$1,SMALL(Dong11,ROWS($1:23)),))</f>
        <v/>
      </c>
      <c r="D36" s="569" t="str">
        <f ca="1">IF(ROWS($1:23)&gt;COUNT(Dong11),"",OFFSET(TH!F$1,SMALL(Dong11,ROWS($1:23)),)&amp;" - "&amp;OFFSET(TH!H$1,SMALL(Dong11,ROWS($1:23)),))</f>
        <v/>
      </c>
      <c r="E36" s="567" t="str">
        <f ca="1">IF(ROWS($1:23)&gt;COUNT(Dong11),"",IF(OFFSET(TH!N$1,SMALL(Dong11,ROWS($1:23)),)=$G$7,OFFSET(TH!O$1,SMALL(Dong11,ROWS($1:23)),),OFFSET(TH!N$1,SMALL(Dong11,ROWS($1:23)),)))</f>
        <v/>
      </c>
      <c r="F36" s="570">
        <f ca="1">IF(ROWS($1:23)&gt;COUNT(Dong11),0,OFFSET(TH!J$1,SMALL(Dong11,ROWS($1:23)),))</f>
        <v>0</v>
      </c>
      <c r="G36" s="570">
        <f ca="1">IF(ROWS($1:23)&gt;COUNT(Dong11),0,IF(MID(OFFSET(TH!D$1,SMALL(Dong11,ROWS($1:23)),),4,1)="N",OFFSET(TH!I$1,SMALL(Dong11,ROWS($1:23)),),0))</f>
        <v>0</v>
      </c>
      <c r="H36" s="571">
        <f t="shared" ca="1" si="8"/>
        <v>0</v>
      </c>
      <c r="I36" s="570">
        <f ca="1">IF(ROWS($1:23)&gt;COUNT(Dong11),0,IF(MID(OFFSET(TH!D$1,SMALL(Dong11,ROWS($1:23)),),4,1)="X",OFFSET(TH!I$1,SMALL(Dong11,ROWS($1:23)),),0))</f>
        <v>0</v>
      </c>
      <c r="J36" s="571">
        <f t="shared" ca="1" si="9"/>
        <v>0</v>
      </c>
      <c r="K36" s="571">
        <f t="shared" ca="1" si="5"/>
        <v>0</v>
      </c>
      <c r="L36" s="571">
        <f t="shared" ca="1" si="6"/>
        <v>0</v>
      </c>
      <c r="M36" s="571"/>
      <c r="N36" s="561"/>
      <c r="O36" s="536"/>
      <c r="P36" s="536"/>
    </row>
    <row r="37" spans="1:16" ht="15">
      <c r="A37" s="519" t="str">
        <f t="shared" ca="1" si="7"/>
        <v/>
      </c>
      <c r="B37" s="567" t="str">
        <f ca="1">IF(ROWS($1:24)&gt;COUNT(Dong11),"",OFFSET(TH!D$1,SMALL(Dong11,ROWS($1:24)),))</f>
        <v/>
      </c>
      <c r="C37" s="568" t="str">
        <f ca="1">IF(ROWS($1:24)&gt;COUNT(Dong11),"",OFFSET(TH!E$1,SMALL(Dong11,ROWS($1:24)),))</f>
        <v/>
      </c>
      <c r="D37" s="569" t="str">
        <f ca="1">IF(ROWS($1:24)&gt;COUNT(Dong11),"",OFFSET(TH!F$1,SMALL(Dong11,ROWS($1:24)),)&amp;" - "&amp;OFFSET(TH!H$1,SMALL(Dong11,ROWS($1:24)),))</f>
        <v/>
      </c>
      <c r="E37" s="567" t="str">
        <f ca="1">IF(ROWS($1:24)&gt;COUNT(Dong11),"",IF(OFFSET(TH!N$1,SMALL(Dong11,ROWS($1:24)),)=$G$7,OFFSET(TH!O$1,SMALL(Dong11,ROWS($1:24)),),OFFSET(TH!N$1,SMALL(Dong11,ROWS($1:24)),)))</f>
        <v/>
      </c>
      <c r="F37" s="570">
        <f ca="1">IF(ROWS($1:24)&gt;COUNT(Dong11),0,OFFSET(TH!J$1,SMALL(Dong11,ROWS($1:24)),))</f>
        <v>0</v>
      </c>
      <c r="G37" s="570">
        <f ca="1">IF(ROWS($1:24)&gt;COUNT(Dong11),0,IF(MID(OFFSET(TH!D$1,SMALL(Dong11,ROWS($1:24)),),4,1)="N",OFFSET(TH!I$1,SMALL(Dong11,ROWS($1:24)),),0))</f>
        <v>0</v>
      </c>
      <c r="H37" s="571">
        <f t="shared" ca="1" si="8"/>
        <v>0</v>
      </c>
      <c r="I37" s="570">
        <f ca="1">IF(ROWS($1:24)&gt;COUNT(Dong11),0,IF(MID(OFFSET(TH!D$1,SMALL(Dong11,ROWS($1:24)),),4,1)="X",OFFSET(TH!I$1,SMALL(Dong11,ROWS($1:24)),),0))</f>
        <v>0</v>
      </c>
      <c r="J37" s="571">
        <f t="shared" ca="1" si="9"/>
        <v>0</v>
      </c>
      <c r="K37" s="571">
        <f t="shared" ca="1" si="5"/>
        <v>0</v>
      </c>
      <c r="L37" s="571">
        <f t="shared" ca="1" si="6"/>
        <v>0</v>
      </c>
      <c r="M37" s="571"/>
      <c r="N37" s="561"/>
      <c r="O37" s="536"/>
      <c r="P37" s="536"/>
    </row>
    <row r="38" spans="1:16" ht="15">
      <c r="A38" s="519" t="str">
        <f t="shared" ca="1" si="7"/>
        <v/>
      </c>
      <c r="B38" s="567" t="str">
        <f ca="1">IF(ROWS($1:25)&gt;COUNT(Dong11),"",OFFSET(TH!D$1,SMALL(Dong11,ROWS($1:25)),))</f>
        <v/>
      </c>
      <c r="C38" s="568" t="str">
        <f ca="1">IF(ROWS($1:25)&gt;COUNT(Dong11),"",OFFSET(TH!E$1,SMALL(Dong11,ROWS($1:25)),))</f>
        <v/>
      </c>
      <c r="D38" s="569" t="str">
        <f ca="1">IF(ROWS($1:25)&gt;COUNT(Dong11),"",OFFSET(TH!F$1,SMALL(Dong11,ROWS($1:25)),)&amp;" - "&amp;OFFSET(TH!H$1,SMALL(Dong11,ROWS($1:25)),))</f>
        <v/>
      </c>
      <c r="E38" s="567" t="str">
        <f ca="1">IF(ROWS($1:25)&gt;COUNT(Dong11),"",IF(OFFSET(TH!N$1,SMALL(Dong11,ROWS($1:25)),)=$G$7,OFFSET(TH!O$1,SMALL(Dong11,ROWS($1:25)),),OFFSET(TH!N$1,SMALL(Dong11,ROWS($1:25)),)))</f>
        <v/>
      </c>
      <c r="F38" s="570">
        <f ca="1">IF(ROWS($1:25)&gt;COUNT(Dong11),0,OFFSET(TH!J$1,SMALL(Dong11,ROWS($1:25)),))</f>
        <v>0</v>
      </c>
      <c r="G38" s="570">
        <f ca="1">IF(ROWS($1:25)&gt;COUNT(Dong11),0,IF(MID(OFFSET(TH!D$1,SMALL(Dong11,ROWS($1:25)),),4,1)="N",OFFSET(TH!I$1,SMALL(Dong11,ROWS($1:25)),),0))</f>
        <v>0</v>
      </c>
      <c r="H38" s="571">
        <f t="shared" ca="1" si="8"/>
        <v>0</v>
      </c>
      <c r="I38" s="570">
        <f ca="1">IF(ROWS($1:25)&gt;COUNT(Dong11),0,IF(MID(OFFSET(TH!D$1,SMALL(Dong11,ROWS($1:25)),),4,1)="X",OFFSET(TH!I$1,SMALL(Dong11,ROWS($1:25)),),0))</f>
        <v>0</v>
      </c>
      <c r="J38" s="571">
        <f t="shared" ca="1" si="9"/>
        <v>0</v>
      </c>
      <c r="K38" s="571">
        <f t="shared" ca="1" si="5"/>
        <v>0</v>
      </c>
      <c r="L38" s="571">
        <f t="shared" ca="1" si="6"/>
        <v>0</v>
      </c>
      <c r="M38" s="571"/>
      <c r="N38" s="561"/>
      <c r="O38" s="536"/>
      <c r="P38" s="536"/>
    </row>
    <row r="39" spans="1:16" ht="15">
      <c r="A39" s="519" t="str">
        <f t="shared" ca="1" si="7"/>
        <v/>
      </c>
      <c r="B39" s="567" t="str">
        <f ca="1">IF(ROWS($1:26)&gt;COUNT(Dong11),"",OFFSET(TH!D$1,SMALL(Dong11,ROWS($1:26)),))</f>
        <v/>
      </c>
      <c r="C39" s="568" t="str">
        <f ca="1">IF(ROWS($1:26)&gt;COUNT(Dong11),"",OFFSET(TH!E$1,SMALL(Dong11,ROWS($1:26)),))</f>
        <v/>
      </c>
      <c r="D39" s="569" t="str">
        <f ca="1">IF(ROWS($1:26)&gt;COUNT(Dong11),"",OFFSET(TH!F$1,SMALL(Dong11,ROWS($1:26)),)&amp;" - "&amp;OFFSET(TH!H$1,SMALL(Dong11,ROWS($1:26)),))</f>
        <v/>
      </c>
      <c r="E39" s="567" t="str">
        <f ca="1">IF(ROWS($1:26)&gt;COUNT(Dong11),"",IF(OFFSET(TH!N$1,SMALL(Dong11,ROWS($1:26)),)=$G$7,OFFSET(TH!O$1,SMALL(Dong11,ROWS($1:26)),),OFFSET(TH!N$1,SMALL(Dong11,ROWS($1:26)),)))</f>
        <v/>
      </c>
      <c r="F39" s="570">
        <f ca="1">IF(ROWS($1:26)&gt;COUNT(Dong11),0,OFFSET(TH!J$1,SMALL(Dong11,ROWS($1:26)),))</f>
        <v>0</v>
      </c>
      <c r="G39" s="570">
        <f ca="1">IF(ROWS($1:26)&gt;COUNT(Dong11),0,IF(MID(OFFSET(TH!D$1,SMALL(Dong11,ROWS($1:26)),),4,1)="N",OFFSET(TH!I$1,SMALL(Dong11,ROWS($1:26)),),0))</f>
        <v>0</v>
      </c>
      <c r="H39" s="571">
        <f t="shared" ca="1" si="8"/>
        <v>0</v>
      </c>
      <c r="I39" s="570">
        <f ca="1">IF(ROWS($1:26)&gt;COUNT(Dong11),0,IF(MID(OFFSET(TH!D$1,SMALL(Dong11,ROWS($1:26)),),4,1)="X",OFFSET(TH!I$1,SMALL(Dong11,ROWS($1:26)),),0))</f>
        <v>0</v>
      </c>
      <c r="J39" s="571">
        <f t="shared" ca="1" si="9"/>
        <v>0</v>
      </c>
      <c r="K39" s="571">
        <f t="shared" ca="1" si="5"/>
        <v>0</v>
      </c>
      <c r="L39" s="571">
        <f t="shared" ca="1" si="6"/>
        <v>0</v>
      </c>
      <c r="M39" s="571"/>
      <c r="N39" s="561"/>
      <c r="O39" s="536"/>
      <c r="P39" s="536"/>
    </row>
    <row r="40" spans="1:16" ht="15">
      <c r="A40" s="519" t="str">
        <f t="shared" ca="1" si="7"/>
        <v/>
      </c>
      <c r="B40" s="567" t="str">
        <f ca="1">IF(ROWS($1:27)&gt;COUNT(Dong11),"",OFFSET(TH!D$1,SMALL(Dong11,ROWS($1:27)),))</f>
        <v/>
      </c>
      <c r="C40" s="568" t="str">
        <f ca="1">IF(ROWS($1:27)&gt;COUNT(Dong11),"",OFFSET(TH!E$1,SMALL(Dong11,ROWS($1:27)),))</f>
        <v/>
      </c>
      <c r="D40" s="569" t="str">
        <f ca="1">IF(ROWS($1:27)&gt;COUNT(Dong11),"",OFFSET(TH!F$1,SMALL(Dong11,ROWS($1:27)),)&amp;" - "&amp;OFFSET(TH!H$1,SMALL(Dong11,ROWS($1:27)),))</f>
        <v/>
      </c>
      <c r="E40" s="567" t="str">
        <f ca="1">IF(ROWS($1:27)&gt;COUNT(Dong11),"",IF(OFFSET(TH!N$1,SMALL(Dong11,ROWS($1:27)),)=$G$7,OFFSET(TH!O$1,SMALL(Dong11,ROWS($1:27)),),OFFSET(TH!N$1,SMALL(Dong11,ROWS($1:27)),)))</f>
        <v/>
      </c>
      <c r="F40" s="570">
        <f ca="1">IF(ROWS($1:27)&gt;COUNT(Dong11),0,OFFSET(TH!J$1,SMALL(Dong11,ROWS($1:27)),))</f>
        <v>0</v>
      </c>
      <c r="G40" s="570">
        <f ca="1">IF(ROWS($1:27)&gt;COUNT(Dong11),0,IF(MID(OFFSET(TH!D$1,SMALL(Dong11,ROWS($1:27)),),4,1)="N",OFFSET(TH!I$1,SMALL(Dong11,ROWS($1:27)),),0))</f>
        <v>0</v>
      </c>
      <c r="H40" s="571">
        <f t="shared" ca="1" si="8"/>
        <v>0</v>
      </c>
      <c r="I40" s="570">
        <f ca="1">IF(ROWS($1:27)&gt;COUNT(Dong11),0,IF(MID(OFFSET(TH!D$1,SMALL(Dong11,ROWS($1:27)),),4,1)="X",OFFSET(TH!I$1,SMALL(Dong11,ROWS($1:27)),),0))</f>
        <v>0</v>
      </c>
      <c r="J40" s="571">
        <f t="shared" ca="1" si="9"/>
        <v>0</v>
      </c>
      <c r="K40" s="571">
        <f t="shared" ca="1" si="5"/>
        <v>0</v>
      </c>
      <c r="L40" s="571">
        <f t="shared" ca="1" si="6"/>
        <v>0</v>
      </c>
      <c r="M40" s="571"/>
      <c r="N40" s="561"/>
      <c r="O40" s="536"/>
      <c r="P40" s="536"/>
    </row>
    <row r="41" spans="1:16" ht="15">
      <c r="A41" s="519" t="str">
        <f t="shared" ca="1" si="7"/>
        <v/>
      </c>
      <c r="B41" s="567" t="str">
        <f ca="1">IF(ROWS($1:28)&gt;COUNT(Dong11),"",OFFSET(TH!D$1,SMALL(Dong11,ROWS($1:28)),))</f>
        <v/>
      </c>
      <c r="C41" s="568" t="str">
        <f ca="1">IF(ROWS($1:28)&gt;COUNT(Dong11),"",OFFSET(TH!E$1,SMALL(Dong11,ROWS($1:28)),))</f>
        <v/>
      </c>
      <c r="D41" s="569" t="str">
        <f ca="1">IF(ROWS($1:28)&gt;COUNT(Dong11),"",OFFSET(TH!F$1,SMALL(Dong11,ROWS($1:28)),)&amp;" - "&amp;OFFSET(TH!H$1,SMALL(Dong11,ROWS($1:28)),))</f>
        <v/>
      </c>
      <c r="E41" s="567" t="str">
        <f ca="1">IF(ROWS($1:28)&gt;COUNT(Dong11),"",IF(OFFSET(TH!N$1,SMALL(Dong11,ROWS($1:28)),)=$G$7,OFFSET(TH!O$1,SMALL(Dong11,ROWS($1:28)),),OFFSET(TH!N$1,SMALL(Dong11,ROWS($1:28)),)))</f>
        <v/>
      </c>
      <c r="F41" s="570">
        <f ca="1">IF(ROWS($1:28)&gt;COUNT(Dong11),0,OFFSET(TH!J$1,SMALL(Dong11,ROWS($1:28)),))</f>
        <v>0</v>
      </c>
      <c r="G41" s="570">
        <f ca="1">IF(ROWS($1:28)&gt;COUNT(Dong11),0,IF(MID(OFFSET(TH!D$1,SMALL(Dong11,ROWS($1:28)),),4,1)="N",OFFSET(TH!I$1,SMALL(Dong11,ROWS($1:28)),),0))</f>
        <v>0</v>
      </c>
      <c r="H41" s="571">
        <f t="shared" ca="1" si="8"/>
        <v>0</v>
      </c>
      <c r="I41" s="570">
        <f ca="1">IF(ROWS($1:28)&gt;COUNT(Dong11),0,IF(MID(OFFSET(TH!D$1,SMALL(Dong11,ROWS($1:28)),),4,1)="X",OFFSET(TH!I$1,SMALL(Dong11,ROWS($1:28)),),0))</f>
        <v>0</v>
      </c>
      <c r="J41" s="571">
        <f t="shared" ca="1" si="9"/>
        <v>0</v>
      </c>
      <c r="K41" s="571">
        <f t="shared" ca="1" si="5"/>
        <v>0</v>
      </c>
      <c r="L41" s="571">
        <f t="shared" ca="1" si="6"/>
        <v>0</v>
      </c>
      <c r="M41" s="571"/>
      <c r="N41" s="561"/>
      <c r="O41" s="536"/>
      <c r="P41" s="536"/>
    </row>
    <row r="42" spans="1:16" ht="15">
      <c r="A42" s="519" t="str">
        <f t="shared" ca="1" si="7"/>
        <v/>
      </c>
      <c r="B42" s="567" t="str">
        <f ca="1">IF(ROWS($1:29)&gt;COUNT(Dong11),"",OFFSET(TH!D$1,SMALL(Dong11,ROWS($1:29)),))</f>
        <v/>
      </c>
      <c r="C42" s="568" t="str">
        <f ca="1">IF(ROWS($1:29)&gt;COUNT(Dong11),"",OFFSET(TH!E$1,SMALL(Dong11,ROWS($1:29)),))</f>
        <v/>
      </c>
      <c r="D42" s="569" t="str">
        <f ca="1">IF(ROWS($1:29)&gt;COUNT(Dong11),"",OFFSET(TH!F$1,SMALL(Dong11,ROWS($1:29)),)&amp;" - "&amp;OFFSET(TH!H$1,SMALL(Dong11,ROWS($1:29)),))</f>
        <v/>
      </c>
      <c r="E42" s="567" t="str">
        <f ca="1">IF(ROWS($1:29)&gt;COUNT(Dong11),"",IF(OFFSET(TH!N$1,SMALL(Dong11,ROWS($1:29)),)=$G$7,OFFSET(TH!O$1,SMALL(Dong11,ROWS($1:29)),),OFFSET(TH!N$1,SMALL(Dong11,ROWS($1:29)),)))</f>
        <v/>
      </c>
      <c r="F42" s="570">
        <f ca="1">IF(ROWS($1:29)&gt;COUNT(Dong11),0,OFFSET(TH!J$1,SMALL(Dong11,ROWS($1:29)),))</f>
        <v>0</v>
      </c>
      <c r="G42" s="570">
        <f ca="1">IF(ROWS($1:29)&gt;COUNT(Dong11),0,IF(MID(OFFSET(TH!D$1,SMALL(Dong11,ROWS($1:29)),),4,1)="N",OFFSET(TH!I$1,SMALL(Dong11,ROWS($1:29)),),0))</f>
        <v>0</v>
      </c>
      <c r="H42" s="571">
        <f t="shared" ca="1" si="8"/>
        <v>0</v>
      </c>
      <c r="I42" s="570">
        <f ca="1">IF(ROWS($1:29)&gt;COUNT(Dong11),0,IF(MID(OFFSET(TH!D$1,SMALL(Dong11,ROWS($1:29)),),4,1)="X",OFFSET(TH!I$1,SMALL(Dong11,ROWS($1:29)),),0))</f>
        <v>0</v>
      </c>
      <c r="J42" s="571">
        <f t="shared" ca="1" si="9"/>
        <v>0</v>
      </c>
      <c r="K42" s="571">
        <f t="shared" ca="1" si="5"/>
        <v>0</v>
      </c>
      <c r="L42" s="571">
        <f t="shared" ca="1" si="6"/>
        <v>0</v>
      </c>
      <c r="M42" s="571"/>
      <c r="N42" s="561"/>
      <c r="O42" s="536"/>
      <c r="P42" s="536"/>
    </row>
    <row r="43" spans="1:16" ht="15">
      <c r="A43" s="519" t="str">
        <f t="shared" ca="1" si="7"/>
        <v/>
      </c>
      <c r="B43" s="567" t="str">
        <f ca="1">IF(ROWS($1:30)&gt;COUNT(Dong11),"",OFFSET(TH!D$1,SMALL(Dong11,ROWS($1:30)),))</f>
        <v/>
      </c>
      <c r="C43" s="568" t="str">
        <f ca="1">IF(ROWS($1:30)&gt;COUNT(Dong11),"",OFFSET(TH!E$1,SMALL(Dong11,ROWS($1:30)),))</f>
        <v/>
      </c>
      <c r="D43" s="569" t="str">
        <f ca="1">IF(ROWS($1:30)&gt;COUNT(Dong11),"",OFFSET(TH!F$1,SMALL(Dong11,ROWS($1:30)),)&amp;" - "&amp;OFFSET(TH!H$1,SMALL(Dong11,ROWS($1:30)),))</f>
        <v/>
      </c>
      <c r="E43" s="567" t="str">
        <f ca="1">IF(ROWS($1:30)&gt;COUNT(Dong11),"",IF(OFFSET(TH!N$1,SMALL(Dong11,ROWS($1:30)),)=$G$7,OFFSET(TH!O$1,SMALL(Dong11,ROWS($1:30)),),OFFSET(TH!N$1,SMALL(Dong11,ROWS($1:30)),)))</f>
        <v/>
      </c>
      <c r="F43" s="570">
        <f ca="1">IF(ROWS($1:30)&gt;COUNT(Dong11),0,OFFSET(TH!J$1,SMALL(Dong11,ROWS($1:30)),))</f>
        <v>0</v>
      </c>
      <c r="G43" s="570">
        <f ca="1">IF(ROWS($1:30)&gt;COUNT(Dong11),0,IF(MID(OFFSET(TH!D$1,SMALL(Dong11,ROWS($1:30)),),4,1)="N",OFFSET(TH!I$1,SMALL(Dong11,ROWS($1:30)),),0))</f>
        <v>0</v>
      </c>
      <c r="H43" s="571">
        <f t="shared" ca="1" si="8"/>
        <v>0</v>
      </c>
      <c r="I43" s="570">
        <f ca="1">IF(ROWS($1:30)&gt;COUNT(Dong11),0,IF(MID(OFFSET(TH!D$1,SMALL(Dong11,ROWS($1:30)),),4,1)="X",OFFSET(TH!I$1,SMALL(Dong11,ROWS($1:30)),),0))</f>
        <v>0</v>
      </c>
      <c r="J43" s="571">
        <f t="shared" ca="1" si="9"/>
        <v>0</v>
      </c>
      <c r="K43" s="571">
        <f t="shared" ca="1" si="5"/>
        <v>0</v>
      </c>
      <c r="L43" s="571">
        <f t="shared" ca="1" si="6"/>
        <v>0</v>
      </c>
      <c r="M43" s="571"/>
      <c r="N43" s="561"/>
      <c r="O43" s="536"/>
      <c r="P43" s="536"/>
    </row>
    <row r="44" spans="1:16" ht="15">
      <c r="A44" s="519" t="str">
        <f t="shared" ca="1" si="7"/>
        <v/>
      </c>
      <c r="B44" s="567" t="str">
        <f ca="1">IF(ROWS($1:31)&gt;COUNT(Dong11),"",OFFSET(TH!D$1,SMALL(Dong11,ROWS($1:31)),))</f>
        <v/>
      </c>
      <c r="C44" s="568" t="str">
        <f ca="1">IF(ROWS($1:31)&gt;COUNT(Dong11),"",OFFSET(TH!E$1,SMALL(Dong11,ROWS($1:31)),))</f>
        <v/>
      </c>
      <c r="D44" s="569" t="str">
        <f ca="1">IF(ROWS($1:31)&gt;COUNT(Dong11),"",OFFSET(TH!F$1,SMALL(Dong11,ROWS($1:31)),)&amp;" - "&amp;OFFSET(TH!H$1,SMALL(Dong11,ROWS($1:31)),))</f>
        <v/>
      </c>
      <c r="E44" s="567" t="str">
        <f ca="1">IF(ROWS($1:31)&gt;COUNT(Dong11),"",IF(OFFSET(TH!N$1,SMALL(Dong11,ROWS($1:31)),)=$G$7,OFFSET(TH!O$1,SMALL(Dong11,ROWS($1:31)),),OFFSET(TH!N$1,SMALL(Dong11,ROWS($1:31)),)))</f>
        <v/>
      </c>
      <c r="F44" s="570">
        <f ca="1">IF(ROWS($1:31)&gt;COUNT(Dong11),0,OFFSET(TH!J$1,SMALL(Dong11,ROWS($1:31)),))</f>
        <v>0</v>
      </c>
      <c r="G44" s="570">
        <f ca="1">IF(ROWS($1:31)&gt;COUNT(Dong11),0,IF(MID(OFFSET(TH!D$1,SMALL(Dong11,ROWS($1:31)),),4,1)="N",OFFSET(TH!I$1,SMALL(Dong11,ROWS($1:31)),),0))</f>
        <v>0</v>
      </c>
      <c r="H44" s="571">
        <f t="shared" ca="1" si="8"/>
        <v>0</v>
      </c>
      <c r="I44" s="570">
        <f ca="1">IF(ROWS($1:31)&gt;COUNT(Dong11),0,IF(MID(OFFSET(TH!D$1,SMALL(Dong11,ROWS($1:31)),),4,1)="X",OFFSET(TH!I$1,SMALL(Dong11,ROWS($1:31)),),0))</f>
        <v>0</v>
      </c>
      <c r="J44" s="571">
        <f t="shared" ca="1" si="9"/>
        <v>0</v>
      </c>
      <c r="K44" s="571">
        <f t="shared" ca="1" si="5"/>
        <v>0</v>
      </c>
      <c r="L44" s="571">
        <f t="shared" ca="1" si="6"/>
        <v>0</v>
      </c>
      <c r="M44" s="571"/>
      <c r="N44" s="561"/>
      <c r="O44" s="536"/>
      <c r="P44" s="536"/>
    </row>
    <row r="45" spans="1:16" ht="15">
      <c r="A45" s="519" t="str">
        <f t="shared" ca="1" si="7"/>
        <v/>
      </c>
      <c r="B45" s="567" t="str">
        <f ca="1">IF(ROWS($1:32)&gt;COUNT(Dong11),"",OFFSET(TH!D$1,SMALL(Dong11,ROWS($1:32)),))</f>
        <v/>
      </c>
      <c r="C45" s="568" t="str">
        <f ca="1">IF(ROWS($1:32)&gt;COUNT(Dong11),"",OFFSET(TH!E$1,SMALL(Dong11,ROWS($1:32)),))</f>
        <v/>
      </c>
      <c r="D45" s="569" t="str">
        <f ca="1">IF(ROWS($1:32)&gt;COUNT(Dong11),"",OFFSET(TH!F$1,SMALL(Dong11,ROWS($1:32)),)&amp;" - "&amp;OFFSET(TH!H$1,SMALL(Dong11,ROWS($1:32)),))</f>
        <v/>
      </c>
      <c r="E45" s="567" t="str">
        <f ca="1">IF(ROWS($1:32)&gt;COUNT(Dong11),"",IF(OFFSET(TH!N$1,SMALL(Dong11,ROWS($1:32)),)=$G$7,OFFSET(TH!O$1,SMALL(Dong11,ROWS($1:32)),),OFFSET(TH!N$1,SMALL(Dong11,ROWS($1:32)),)))</f>
        <v/>
      </c>
      <c r="F45" s="570">
        <f ca="1">IF(ROWS($1:32)&gt;COUNT(Dong11),0,OFFSET(TH!J$1,SMALL(Dong11,ROWS($1:32)),))</f>
        <v>0</v>
      </c>
      <c r="G45" s="570">
        <f ca="1">IF(ROWS($1:32)&gt;COUNT(Dong11),0,IF(MID(OFFSET(TH!D$1,SMALL(Dong11,ROWS($1:32)),),4,1)="N",OFFSET(TH!I$1,SMALL(Dong11,ROWS($1:32)),),0))</f>
        <v>0</v>
      </c>
      <c r="H45" s="571">
        <f t="shared" ca="1" si="8"/>
        <v>0</v>
      </c>
      <c r="I45" s="570">
        <f ca="1">IF(ROWS($1:32)&gt;COUNT(Dong11),0,IF(MID(OFFSET(TH!D$1,SMALL(Dong11,ROWS($1:32)),),4,1)="X",OFFSET(TH!I$1,SMALL(Dong11,ROWS($1:32)),),0))</f>
        <v>0</v>
      </c>
      <c r="J45" s="571">
        <f t="shared" ca="1" si="9"/>
        <v>0</v>
      </c>
      <c r="K45" s="571">
        <f t="shared" ca="1" si="5"/>
        <v>0</v>
      </c>
      <c r="L45" s="571">
        <f t="shared" ca="1" si="6"/>
        <v>0</v>
      </c>
      <c r="M45" s="571"/>
      <c r="N45" s="561"/>
      <c r="O45" s="536"/>
      <c r="P45" s="536"/>
    </row>
    <row r="46" spans="1:16" ht="15">
      <c r="A46" s="519" t="str">
        <f t="shared" ref="A46:A50" ca="1" si="10">IF(B46="","",A45+1)</f>
        <v/>
      </c>
      <c r="B46" s="567" t="str">
        <f ca="1">IF(ROWS($1:33)&gt;COUNT(Dong11),"",OFFSET(TH!D$1,SMALL(Dong11,ROWS($1:33)),))</f>
        <v/>
      </c>
      <c r="C46" s="568" t="str">
        <f ca="1">IF(ROWS($1:33)&gt;COUNT(Dong11),"",OFFSET(TH!E$1,SMALL(Dong11,ROWS($1:33)),))</f>
        <v/>
      </c>
      <c r="D46" s="569" t="str">
        <f ca="1">IF(ROWS($1:33)&gt;COUNT(Dong11),"",OFFSET(TH!F$1,SMALL(Dong11,ROWS($1:33)),)&amp;" - "&amp;OFFSET(TH!H$1,SMALL(Dong11,ROWS($1:33)),))</f>
        <v/>
      </c>
      <c r="E46" s="567" t="str">
        <f ca="1">IF(ROWS($1:33)&gt;COUNT(Dong11),"",IF(OFFSET(TH!N$1,SMALL(Dong11,ROWS($1:33)),)=$G$7,OFFSET(TH!O$1,SMALL(Dong11,ROWS($1:33)),),OFFSET(TH!N$1,SMALL(Dong11,ROWS($1:33)),)))</f>
        <v/>
      </c>
      <c r="F46" s="570">
        <f ca="1">IF(ROWS($1:33)&gt;COUNT(Dong11),0,OFFSET(TH!J$1,SMALL(Dong11,ROWS($1:33)),))</f>
        <v>0</v>
      </c>
      <c r="G46" s="570">
        <f ca="1">IF(ROWS($1:33)&gt;COUNT(Dong11),0,IF(MID(OFFSET(TH!D$1,SMALL(Dong11,ROWS($1:33)),),4,1)="N",OFFSET(TH!I$1,SMALL(Dong11,ROWS($1:33)),),0))</f>
        <v>0</v>
      </c>
      <c r="H46" s="571">
        <f t="shared" ref="H46:H50" ca="1" si="11">ROUND(F46*G46,0)</f>
        <v>0</v>
      </c>
      <c r="I46" s="570">
        <f ca="1">IF(ROWS($1:33)&gt;COUNT(Dong11),0,IF(MID(OFFSET(TH!D$1,SMALL(Dong11,ROWS($1:33)),),4,1)="X",OFFSET(TH!I$1,SMALL(Dong11,ROWS($1:33)),),0))</f>
        <v>0</v>
      </c>
      <c r="J46" s="571">
        <f t="shared" ref="J46:J50" ca="1" si="12">ROUND(F46*I46,0)</f>
        <v>0</v>
      </c>
      <c r="K46" s="571">
        <f t="shared" ca="1" si="5"/>
        <v>0</v>
      </c>
      <c r="L46" s="571">
        <f t="shared" ca="1" si="6"/>
        <v>0</v>
      </c>
      <c r="M46" s="571"/>
      <c r="N46" s="561"/>
      <c r="O46" s="536"/>
      <c r="P46" s="536"/>
    </row>
    <row r="47" spans="1:16" ht="15">
      <c r="A47" s="519" t="str">
        <f t="shared" ca="1" si="10"/>
        <v/>
      </c>
      <c r="B47" s="567" t="str">
        <f ca="1">IF(ROWS($1:34)&gt;COUNT(Dong11),"",OFFSET(TH!D$1,SMALL(Dong11,ROWS($1:34)),))</f>
        <v/>
      </c>
      <c r="C47" s="568" t="str">
        <f ca="1">IF(ROWS($1:34)&gt;COUNT(Dong11),"",OFFSET(TH!E$1,SMALL(Dong11,ROWS($1:34)),))</f>
        <v/>
      </c>
      <c r="D47" s="569" t="str">
        <f ca="1">IF(ROWS($1:34)&gt;COUNT(Dong11),"",OFFSET(TH!F$1,SMALL(Dong11,ROWS($1:34)),)&amp;" - "&amp;OFFSET(TH!H$1,SMALL(Dong11,ROWS($1:34)),))</f>
        <v/>
      </c>
      <c r="E47" s="567" t="str">
        <f ca="1">IF(ROWS($1:34)&gt;COUNT(Dong11),"",IF(OFFSET(TH!N$1,SMALL(Dong11,ROWS($1:34)),)=$G$7,OFFSET(TH!O$1,SMALL(Dong11,ROWS($1:34)),),OFFSET(TH!N$1,SMALL(Dong11,ROWS($1:34)),)))</f>
        <v/>
      </c>
      <c r="F47" s="570">
        <f ca="1">IF(ROWS($1:34)&gt;COUNT(Dong11),0,OFFSET(TH!J$1,SMALL(Dong11,ROWS($1:34)),))</f>
        <v>0</v>
      </c>
      <c r="G47" s="570">
        <f ca="1">IF(ROWS($1:34)&gt;COUNT(Dong11),0,IF(MID(OFFSET(TH!D$1,SMALL(Dong11,ROWS($1:34)),),4,1)="N",OFFSET(TH!I$1,SMALL(Dong11,ROWS($1:34)),),0))</f>
        <v>0</v>
      </c>
      <c r="H47" s="571">
        <f t="shared" ca="1" si="11"/>
        <v>0</v>
      </c>
      <c r="I47" s="570">
        <f ca="1">IF(ROWS($1:34)&gt;COUNT(Dong11),0,IF(MID(OFFSET(TH!D$1,SMALL(Dong11,ROWS($1:34)),),4,1)="X",OFFSET(TH!I$1,SMALL(Dong11,ROWS($1:34)),),0))</f>
        <v>0</v>
      </c>
      <c r="J47" s="571">
        <f t="shared" ca="1" si="12"/>
        <v>0</v>
      </c>
      <c r="K47" s="571">
        <f t="shared" ca="1" si="5"/>
        <v>0</v>
      </c>
      <c r="L47" s="571">
        <f t="shared" ca="1" si="6"/>
        <v>0</v>
      </c>
      <c r="M47" s="571"/>
      <c r="N47" s="561"/>
      <c r="O47" s="536"/>
      <c r="P47" s="536"/>
    </row>
    <row r="48" spans="1:16" ht="15">
      <c r="A48" s="519" t="str">
        <f t="shared" ca="1" si="10"/>
        <v/>
      </c>
      <c r="B48" s="567" t="str">
        <f ca="1">IF(ROWS($1:35)&gt;COUNT(Dong11),"",OFFSET(TH!D$1,SMALL(Dong11,ROWS($1:35)),))</f>
        <v/>
      </c>
      <c r="C48" s="568" t="str">
        <f ca="1">IF(ROWS($1:35)&gt;COUNT(Dong11),"",OFFSET(TH!E$1,SMALL(Dong11,ROWS($1:35)),))</f>
        <v/>
      </c>
      <c r="D48" s="569" t="str">
        <f ca="1">IF(ROWS($1:35)&gt;COUNT(Dong11),"",OFFSET(TH!F$1,SMALL(Dong11,ROWS($1:35)),)&amp;" - "&amp;OFFSET(TH!H$1,SMALL(Dong11,ROWS($1:35)),))</f>
        <v/>
      </c>
      <c r="E48" s="567" t="str">
        <f ca="1">IF(ROWS($1:35)&gt;COUNT(Dong11),"",IF(OFFSET(TH!N$1,SMALL(Dong11,ROWS($1:35)),)=$G$7,OFFSET(TH!O$1,SMALL(Dong11,ROWS($1:35)),),OFFSET(TH!N$1,SMALL(Dong11,ROWS($1:35)),)))</f>
        <v/>
      </c>
      <c r="F48" s="570">
        <f ca="1">IF(ROWS($1:35)&gt;COUNT(Dong11),0,OFFSET(TH!J$1,SMALL(Dong11,ROWS($1:35)),))</f>
        <v>0</v>
      </c>
      <c r="G48" s="570">
        <f ca="1">IF(ROWS($1:35)&gt;COUNT(Dong11),0,IF(MID(OFFSET(TH!D$1,SMALL(Dong11,ROWS($1:35)),),4,1)="N",OFFSET(TH!I$1,SMALL(Dong11,ROWS($1:35)),),0))</f>
        <v>0</v>
      </c>
      <c r="H48" s="571">
        <f t="shared" ca="1" si="11"/>
        <v>0</v>
      </c>
      <c r="I48" s="570">
        <f ca="1">IF(ROWS($1:35)&gt;COUNT(Dong11),0,IF(MID(OFFSET(TH!D$1,SMALL(Dong11,ROWS($1:35)),),4,1)="X",OFFSET(TH!I$1,SMALL(Dong11,ROWS($1:35)),),0))</f>
        <v>0</v>
      </c>
      <c r="J48" s="571">
        <f t="shared" ca="1" si="12"/>
        <v>0</v>
      </c>
      <c r="K48" s="571">
        <f t="shared" ca="1" si="5"/>
        <v>0</v>
      </c>
      <c r="L48" s="571">
        <f t="shared" ca="1" si="6"/>
        <v>0</v>
      </c>
      <c r="M48" s="571"/>
      <c r="N48" s="561"/>
      <c r="O48" s="536"/>
      <c r="P48" s="536"/>
    </row>
    <row r="49" spans="1:16" ht="15">
      <c r="A49" s="519" t="str">
        <f t="shared" ca="1" si="10"/>
        <v/>
      </c>
      <c r="B49" s="567" t="str">
        <f ca="1">IF(ROWS($1:36)&gt;COUNT(Dong11),"",OFFSET(TH!D$1,SMALL(Dong11,ROWS($1:36)),))</f>
        <v/>
      </c>
      <c r="C49" s="568" t="str">
        <f ca="1">IF(ROWS($1:36)&gt;COUNT(Dong11),"",OFFSET(TH!E$1,SMALL(Dong11,ROWS($1:36)),))</f>
        <v/>
      </c>
      <c r="D49" s="569" t="str">
        <f ca="1">IF(ROWS($1:36)&gt;COUNT(Dong11),"",OFFSET(TH!F$1,SMALL(Dong11,ROWS($1:36)),)&amp;" - "&amp;OFFSET(TH!H$1,SMALL(Dong11,ROWS($1:36)),))</f>
        <v/>
      </c>
      <c r="E49" s="567" t="str">
        <f ca="1">IF(ROWS($1:36)&gt;COUNT(Dong11),"",IF(OFFSET(TH!N$1,SMALL(Dong11,ROWS($1:36)),)=$G$7,OFFSET(TH!O$1,SMALL(Dong11,ROWS($1:36)),),OFFSET(TH!N$1,SMALL(Dong11,ROWS($1:36)),)))</f>
        <v/>
      </c>
      <c r="F49" s="570">
        <f ca="1">IF(ROWS($1:36)&gt;COUNT(Dong11),0,OFFSET(TH!J$1,SMALL(Dong11,ROWS($1:36)),))</f>
        <v>0</v>
      </c>
      <c r="G49" s="570">
        <f ca="1">IF(ROWS($1:36)&gt;COUNT(Dong11),0,IF(MID(OFFSET(TH!D$1,SMALL(Dong11,ROWS($1:36)),),4,1)="N",OFFSET(TH!I$1,SMALL(Dong11,ROWS($1:36)),),0))</f>
        <v>0</v>
      </c>
      <c r="H49" s="571">
        <f t="shared" ca="1" si="11"/>
        <v>0</v>
      </c>
      <c r="I49" s="570">
        <f ca="1">IF(ROWS($1:36)&gt;COUNT(Dong11),0,IF(MID(OFFSET(TH!D$1,SMALL(Dong11,ROWS($1:36)),),4,1)="X",OFFSET(TH!I$1,SMALL(Dong11,ROWS($1:36)),),0))</f>
        <v>0</v>
      </c>
      <c r="J49" s="571">
        <f t="shared" ca="1" si="12"/>
        <v>0</v>
      </c>
      <c r="K49" s="571">
        <f t="shared" ca="1" si="5"/>
        <v>0</v>
      </c>
      <c r="L49" s="571">
        <f t="shared" ca="1" si="6"/>
        <v>0</v>
      </c>
      <c r="M49" s="571"/>
      <c r="N49" s="561"/>
      <c r="O49" s="536"/>
      <c r="P49" s="536"/>
    </row>
    <row r="50" spans="1:16" ht="15">
      <c r="A50" s="519" t="str">
        <f t="shared" ca="1" si="10"/>
        <v/>
      </c>
      <c r="B50" s="567" t="str">
        <f ca="1">IF(ROWS($1:37)&gt;COUNT(Dong11),"",OFFSET(TH!D$1,SMALL(Dong11,ROWS($1:37)),))</f>
        <v/>
      </c>
      <c r="C50" s="568" t="str">
        <f ca="1">IF(ROWS($1:37)&gt;COUNT(Dong11),"",OFFSET(TH!E$1,SMALL(Dong11,ROWS($1:37)),))</f>
        <v/>
      </c>
      <c r="D50" s="569" t="str">
        <f ca="1">IF(ROWS($1:37)&gt;COUNT(Dong11),"",OFFSET(TH!F$1,SMALL(Dong11,ROWS($1:37)),)&amp;" - "&amp;OFFSET(TH!H$1,SMALL(Dong11,ROWS($1:37)),))</f>
        <v/>
      </c>
      <c r="E50" s="567" t="str">
        <f ca="1">IF(ROWS($1:37)&gt;COUNT(Dong11),"",IF(OFFSET(TH!N$1,SMALL(Dong11,ROWS($1:37)),)=$G$7,OFFSET(TH!O$1,SMALL(Dong11,ROWS($1:37)),),OFFSET(TH!N$1,SMALL(Dong11,ROWS($1:37)),)))</f>
        <v/>
      </c>
      <c r="F50" s="570">
        <f ca="1">IF(ROWS($1:37)&gt;COUNT(Dong11),0,OFFSET(TH!J$1,SMALL(Dong11,ROWS($1:37)),))</f>
        <v>0</v>
      </c>
      <c r="G50" s="570">
        <f ca="1">IF(ROWS($1:37)&gt;COUNT(Dong11),0,IF(MID(OFFSET(TH!D$1,SMALL(Dong11,ROWS($1:37)),),4,1)="N",OFFSET(TH!I$1,SMALL(Dong11,ROWS($1:37)),),0))</f>
        <v>0</v>
      </c>
      <c r="H50" s="571">
        <f t="shared" ca="1" si="11"/>
        <v>0</v>
      </c>
      <c r="I50" s="570">
        <f ca="1">IF(ROWS($1:37)&gt;COUNT(Dong11),0,IF(MID(OFFSET(TH!D$1,SMALL(Dong11,ROWS($1:37)),),4,1)="X",OFFSET(TH!I$1,SMALL(Dong11,ROWS($1:37)),),0))</f>
        <v>0</v>
      </c>
      <c r="J50" s="571">
        <f t="shared" ca="1" si="12"/>
        <v>0</v>
      </c>
      <c r="K50" s="571">
        <f t="shared" ca="1" si="5"/>
        <v>0</v>
      </c>
      <c r="L50" s="571">
        <f t="shared" ca="1" si="6"/>
        <v>0</v>
      </c>
      <c r="M50" s="571"/>
      <c r="N50" s="561"/>
      <c r="O50" s="536"/>
      <c r="P50" s="536"/>
    </row>
    <row r="51" spans="1:16" ht="15">
      <c r="A51" s="573"/>
      <c r="B51" s="573"/>
      <c r="C51" s="573"/>
      <c r="D51" s="573" t="s">
        <v>484</v>
      </c>
      <c r="E51" s="559" t="s">
        <v>21</v>
      </c>
      <c r="F51" s="559" t="s">
        <v>21</v>
      </c>
      <c r="G51" s="574">
        <f ca="1">SUM(G14:G50)</f>
        <v>0</v>
      </c>
      <c r="H51" s="574">
        <f ca="1">SUM(H14:H50)</f>
        <v>0</v>
      </c>
      <c r="I51" s="574">
        <f ca="1">SUM(I14:I50)</f>
        <v>0</v>
      </c>
      <c r="J51" s="574">
        <f ca="1">SUM(J14:J50)</f>
        <v>0</v>
      </c>
      <c r="K51" s="574">
        <f ca="1">K13+G51-I51</f>
        <v>1835</v>
      </c>
      <c r="L51" s="574">
        <f ca="1">L13+H51-J51</f>
        <v>13762500</v>
      </c>
      <c r="M51" s="573"/>
      <c r="N51" s="561"/>
      <c r="O51" s="536"/>
      <c r="P51" s="536"/>
    </row>
    <row r="52" spans="1:16" ht="15">
      <c r="A52" s="536"/>
      <c r="B52" s="575" t="s">
        <v>485</v>
      </c>
      <c r="C52" s="536"/>
      <c r="D52" s="536"/>
      <c r="E52" s="549"/>
      <c r="F52" s="536"/>
      <c r="G52" s="572"/>
      <c r="H52" s="536"/>
      <c r="I52" s="536"/>
      <c r="J52" s="536"/>
      <c r="K52" s="536"/>
      <c r="L52" s="536"/>
      <c r="M52" s="536"/>
      <c r="N52" s="561"/>
      <c r="O52" s="536"/>
      <c r="P52" s="536"/>
    </row>
    <row r="53" spans="1:16" ht="15">
      <c r="A53" s="536"/>
      <c r="B53" s="576" t="str">
        <f ca="1">IF(ISERROR(" - Ngày mở sổ: ngày "&amp;DAY(C14)&amp;" tháng "&amp;MONTH(C14)&amp;" năm "&amp;YEAR(C14))," - Ngày mở sổ: ngày 01 tháng  01 năm 2016 "," - Ngày mở sổ: ngày "&amp;DAY(C14)&amp;" tháng "&amp;MONTH(C14)&amp;" năm "&amp;YEAR(C14))</f>
        <v xml:space="preserve"> - Ngày mở sổ: ngày 0 tháng 1 năm 1900</v>
      </c>
      <c r="C53" s="536"/>
      <c r="D53" s="536"/>
      <c r="E53" s="549"/>
      <c r="F53" s="536"/>
      <c r="G53" s="572"/>
      <c r="H53" s="536"/>
      <c r="I53" s="572"/>
      <c r="J53" s="536"/>
      <c r="K53" s="536"/>
      <c r="L53" s="536"/>
      <c r="M53" s="536"/>
      <c r="N53" s="561"/>
      <c r="O53" s="536"/>
      <c r="P53" s="536"/>
    </row>
    <row r="54" spans="1:16" ht="15">
      <c r="A54" s="536"/>
      <c r="B54" s="548"/>
      <c r="C54" s="548"/>
      <c r="D54" s="548"/>
      <c r="E54" s="549"/>
      <c r="F54" s="548"/>
      <c r="G54" s="577"/>
      <c r="H54" s="549"/>
      <c r="I54" s="578"/>
      <c r="J54" s="1347" t="s">
        <v>452</v>
      </c>
      <c r="K54" s="1347"/>
      <c r="L54" s="1347"/>
      <c r="M54" s="1347"/>
      <c r="N54" s="561"/>
      <c r="O54" s="536"/>
      <c r="P54" s="536"/>
    </row>
    <row r="55" spans="1:16" ht="15">
      <c r="A55" s="536"/>
      <c r="B55" s="536"/>
      <c r="C55" s="548"/>
      <c r="D55" s="911" t="s">
        <v>11</v>
      </c>
      <c r="E55" s="1347" t="s">
        <v>12</v>
      </c>
      <c r="F55" s="1347"/>
      <c r="G55" s="1347"/>
      <c r="H55" s="1347"/>
      <c r="I55" s="1347"/>
      <c r="J55" s="1347" t="s">
        <v>131</v>
      </c>
      <c r="K55" s="1347"/>
      <c r="L55" s="1347"/>
      <c r="M55" s="1347"/>
      <c r="N55" s="561"/>
      <c r="O55" s="536"/>
      <c r="P55" s="536"/>
    </row>
    <row r="56" spans="1:16" ht="15">
      <c r="A56" s="536"/>
      <c r="B56" s="536"/>
      <c r="C56" s="548"/>
      <c r="D56" s="911" t="s">
        <v>13</v>
      </c>
      <c r="E56" s="1347" t="s">
        <v>13</v>
      </c>
      <c r="F56" s="1347"/>
      <c r="G56" s="1347"/>
      <c r="H56" s="1347" t="s">
        <v>161</v>
      </c>
      <c r="I56" s="1347"/>
      <c r="J56" s="1347" t="s">
        <v>161</v>
      </c>
      <c r="K56" s="1347"/>
      <c r="L56" s="1347"/>
      <c r="M56" s="1347"/>
      <c r="N56" s="561"/>
      <c r="O56" s="536"/>
      <c r="P56" s="536"/>
    </row>
  </sheetData>
  <autoFilter ref="A12:Q56"/>
  <mergeCells count="19">
    <mergeCell ref="J2:M2"/>
    <mergeCell ref="J3:M4"/>
    <mergeCell ref="B5:M5"/>
    <mergeCell ref="B6:M6"/>
    <mergeCell ref="J8:L8"/>
    <mergeCell ref="A10:A11"/>
    <mergeCell ref="B10:C10"/>
    <mergeCell ref="D10:D11"/>
    <mergeCell ref="E10:E11"/>
    <mergeCell ref="F10:F11"/>
    <mergeCell ref="E56:I56"/>
    <mergeCell ref="J56:M56"/>
    <mergeCell ref="G10:H10"/>
    <mergeCell ref="I10:J10"/>
    <mergeCell ref="K10:L10"/>
    <mergeCell ref="M10:M11"/>
    <mergeCell ref="J54:M54"/>
    <mergeCell ref="E55:I55"/>
    <mergeCell ref="J55:M55"/>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39"/>
  <sheetViews>
    <sheetView showZeros="0" workbookViewId="0">
      <pane ySplit="4" topLeftCell="A5" activePane="bottomLeft" state="frozen"/>
      <selection activeCell="G34" sqref="G34"/>
      <selection pane="bottomLeft" activeCell="A9" sqref="A9:XFD9"/>
    </sheetView>
  </sheetViews>
  <sheetFormatPr defaultColWidth="8" defaultRowHeight="13.5"/>
  <cols>
    <col min="1" max="1" width="4.28515625" style="223" customWidth="1"/>
    <col min="2" max="2" width="21.85546875" style="223" customWidth="1"/>
    <col min="3" max="3" width="8.7109375" style="223" customWidth="1"/>
    <col min="4" max="4" width="8.7109375" style="223" hidden="1" customWidth="1"/>
    <col min="5" max="5" width="8.140625" style="223" customWidth="1"/>
    <col min="6" max="6" width="9.42578125" style="223" customWidth="1"/>
    <col min="7" max="7" width="10.140625" style="975" customWidth="1"/>
    <col min="8" max="8" width="13.7109375" style="223" customWidth="1"/>
    <col min="9" max="9" width="10.5703125" style="975" customWidth="1"/>
    <col min="10" max="10" width="14.5703125" style="223" customWidth="1"/>
    <col min="11" max="11" width="9.7109375" style="975" customWidth="1"/>
    <col min="12" max="12" width="13.7109375" style="223" customWidth="1"/>
    <col min="13" max="13" width="8.140625" style="223" customWidth="1"/>
    <col min="14" max="14" width="12.140625" style="223" customWidth="1"/>
    <col min="15" max="15" width="10.85546875" style="975" customWidth="1"/>
    <col min="16" max="16" width="14" style="223" customWidth="1"/>
    <col min="17" max="16384" width="8" style="223"/>
  </cols>
  <sheetData>
    <row r="1" spans="1:16" ht="21.75" customHeight="1">
      <c r="A1" s="1298" t="s">
        <v>1136</v>
      </c>
      <c r="B1" s="1298"/>
      <c r="C1" s="1298"/>
      <c r="D1" s="1298"/>
      <c r="E1" s="1298"/>
      <c r="F1" s="1298"/>
      <c r="G1" s="1298"/>
      <c r="H1" s="1298"/>
      <c r="I1" s="1298"/>
      <c r="J1" s="1298"/>
      <c r="K1" s="1298"/>
      <c r="L1" s="1298"/>
      <c r="M1" s="1298"/>
      <c r="N1" s="1298"/>
      <c r="O1" s="1298"/>
      <c r="P1" s="1298"/>
    </row>
    <row r="2" spans="1:16" s="10" customFormat="1" ht="15.75" customHeight="1">
      <c r="A2" s="1301" t="s">
        <v>37</v>
      </c>
      <c r="B2" s="1303" t="s">
        <v>176</v>
      </c>
      <c r="C2" s="1303" t="s">
        <v>177</v>
      </c>
      <c r="D2" s="1303" t="s">
        <v>179</v>
      </c>
      <c r="E2" s="1313" t="s">
        <v>39</v>
      </c>
      <c r="F2" s="1313"/>
      <c r="G2" s="1313"/>
      <c r="H2" s="1313"/>
      <c r="I2" s="1313" t="s">
        <v>40</v>
      </c>
      <c r="J2" s="1313"/>
      <c r="K2" s="1313"/>
      <c r="L2" s="1313"/>
      <c r="M2" s="1299" t="s">
        <v>44</v>
      </c>
      <c r="N2" s="1358"/>
      <c r="O2" s="1358"/>
      <c r="P2" s="1300"/>
    </row>
    <row r="3" spans="1:16" s="10" customFormat="1" ht="15.75" customHeight="1">
      <c r="A3" s="1302"/>
      <c r="B3" s="1304"/>
      <c r="C3" s="1304"/>
      <c r="D3" s="1304"/>
      <c r="E3" s="1313" t="s">
        <v>45</v>
      </c>
      <c r="F3" s="1313"/>
      <c r="G3" s="1313" t="s">
        <v>46</v>
      </c>
      <c r="H3" s="1313"/>
      <c r="I3" s="1313" t="s">
        <v>45</v>
      </c>
      <c r="J3" s="1313"/>
      <c r="K3" s="1313" t="s">
        <v>46</v>
      </c>
      <c r="L3" s="1313"/>
      <c r="M3" s="1313" t="s">
        <v>45</v>
      </c>
      <c r="N3" s="1313"/>
      <c r="O3" s="1313" t="s">
        <v>46</v>
      </c>
      <c r="P3" s="1313"/>
    </row>
    <row r="4" spans="1:16" s="10" customFormat="1" ht="15.75" customHeight="1">
      <c r="A4" s="1302"/>
      <c r="B4" s="1304"/>
      <c r="C4" s="1304"/>
      <c r="D4" s="1304"/>
      <c r="E4" s="324" t="s">
        <v>226</v>
      </c>
      <c r="F4" s="324" t="s">
        <v>227</v>
      </c>
      <c r="G4" s="973" t="s">
        <v>226</v>
      </c>
      <c r="H4" s="324" t="s">
        <v>227</v>
      </c>
      <c r="I4" s="973" t="s">
        <v>226</v>
      </c>
      <c r="J4" s="324" t="s">
        <v>227</v>
      </c>
      <c r="K4" s="973" t="s">
        <v>226</v>
      </c>
      <c r="L4" s="324" t="s">
        <v>227</v>
      </c>
      <c r="M4" s="324" t="s">
        <v>226</v>
      </c>
      <c r="N4" s="324" t="s">
        <v>227</v>
      </c>
      <c r="O4" s="973" t="s">
        <v>226</v>
      </c>
      <c r="P4" s="324" t="s">
        <v>227</v>
      </c>
    </row>
    <row r="5" spans="1:16" s="10" customFormat="1" ht="18" customHeight="1">
      <c r="A5" s="740">
        <f t="shared" ref="A5:A15" si="0">IF(B5&lt;&gt;"",ROW()-4,"")</f>
        <v>1</v>
      </c>
      <c r="B5" s="739" t="s">
        <v>846</v>
      </c>
      <c r="C5" s="224">
        <v>42556</v>
      </c>
      <c r="D5" s="224"/>
      <c r="E5" s="224"/>
      <c r="F5" s="8"/>
      <c r="G5" s="225">
        <v>89000</v>
      </c>
      <c r="H5" s="8">
        <v>1983988000</v>
      </c>
      <c r="I5" s="326">
        <f t="array" ref="I5">SUM(IF("341"&amp;B5=LEFT(KHN,3)&amp;KH,_TH))</f>
        <v>89000</v>
      </c>
      <c r="J5" s="8">
        <f t="array" ref="J5">SUM(IF("341"&amp;B5=LEFT(KHN,3)&amp;KH,TH))</f>
        <v>2002500000</v>
      </c>
      <c r="K5" s="225">
        <f t="array" ref="K5">SUM(IF("341"&amp;B5=LEFT(KHC,3)&amp;KH,_TH))</f>
        <v>0</v>
      </c>
      <c r="L5" s="8">
        <f t="array" ref="L5">SUM(IF("341"&amp;B5=LEFT(KHC,3)&amp;KH,TH))</f>
        <v>18512000</v>
      </c>
      <c r="M5" s="227">
        <f t="shared" ref="M5:M15" si="1">ROUND(MAX(E5+I5-G5-K5,0),2)</f>
        <v>0</v>
      </c>
      <c r="N5" s="227">
        <f t="shared" ref="N5:N15" si="2">ROUND(MAX(F5+J5-H5-L5,0),2)</f>
        <v>0</v>
      </c>
      <c r="O5" s="226">
        <f t="shared" ref="O5:O15" si="3">ROUND(MAX(G5+K5-E5-I5,0),2)</f>
        <v>0</v>
      </c>
      <c r="P5" s="227">
        <f t="shared" ref="P5:P15" si="4">ROUND(MAX(H5+L5-F5-J5,0),2)</f>
        <v>0</v>
      </c>
    </row>
    <row r="6" spans="1:16" s="10" customFormat="1" ht="18" customHeight="1">
      <c r="A6" s="740">
        <f t="shared" si="0"/>
        <v>2</v>
      </c>
      <c r="B6" s="739" t="s">
        <v>854</v>
      </c>
      <c r="C6" s="224">
        <v>42600</v>
      </c>
      <c r="D6" s="224"/>
      <c r="E6" s="224"/>
      <c r="F6" s="8"/>
      <c r="G6" s="225">
        <v>63000</v>
      </c>
      <c r="H6" s="8">
        <v>1404396000</v>
      </c>
      <c r="I6" s="326">
        <f t="array" ref="I6">SUM(IF("341"&amp;B6=LEFT(KHN,3)&amp;KH,_TH))</f>
        <v>63000</v>
      </c>
      <c r="J6" s="8">
        <f t="array" ref="J6">SUM(IF("341"&amp;B6=LEFT(KHN,3)&amp;KH,TH))</f>
        <v>1430100000</v>
      </c>
      <c r="K6" s="225">
        <f t="array" ref="K6">SUM(IF("341"&amp;B6=LEFT(KHC,3)&amp;KH,_TH))</f>
        <v>0</v>
      </c>
      <c r="L6" s="8">
        <f t="array" ref="L6">SUM(IF("341"&amp;B6=LEFT(KHC,3)&amp;KH,TH))</f>
        <v>25704000</v>
      </c>
      <c r="M6" s="227">
        <f t="shared" si="1"/>
        <v>0</v>
      </c>
      <c r="N6" s="227">
        <f t="shared" si="2"/>
        <v>0</v>
      </c>
      <c r="O6" s="226">
        <f t="shared" si="3"/>
        <v>0</v>
      </c>
      <c r="P6" s="227">
        <f t="shared" si="4"/>
        <v>0</v>
      </c>
    </row>
    <row r="7" spans="1:16" s="10" customFormat="1" ht="18" customHeight="1">
      <c r="A7" s="740">
        <f t="shared" si="0"/>
        <v>3</v>
      </c>
      <c r="B7" s="7" t="s">
        <v>856</v>
      </c>
      <c r="C7" s="224">
        <v>42612</v>
      </c>
      <c r="D7" s="224">
        <v>0</v>
      </c>
      <c r="E7" s="224">
        <v>0</v>
      </c>
      <c r="F7" s="8">
        <v>0</v>
      </c>
      <c r="G7" s="225">
        <v>89500</v>
      </c>
      <c r="H7" s="8">
        <v>1996566000</v>
      </c>
      <c r="I7" s="326">
        <f t="array" ref="I7">SUM(IF("341"&amp;B7=LEFT(KHN,3)&amp;KH,_TH))</f>
        <v>89500</v>
      </c>
      <c r="J7" s="8">
        <f t="array" ref="J7">SUM(IF("341"&amp;B7=LEFT(KHN,3)&amp;KH,TH))</f>
        <v>2031650000</v>
      </c>
      <c r="K7" s="225">
        <f t="array" ref="K7">SUM(IF("341"&amp;B7=LEFT(KHC,3)&amp;KH,_TH))</f>
        <v>0</v>
      </c>
      <c r="L7" s="8">
        <f t="array" ref="L7">SUM(IF("341"&amp;B7=LEFT(KHC,3)&amp;KH,TH))</f>
        <v>35084000</v>
      </c>
      <c r="M7" s="227">
        <f t="shared" si="1"/>
        <v>0</v>
      </c>
      <c r="N7" s="227">
        <f t="shared" si="2"/>
        <v>0</v>
      </c>
      <c r="O7" s="226">
        <f t="shared" si="3"/>
        <v>0</v>
      </c>
      <c r="P7" s="227">
        <f t="shared" si="4"/>
        <v>0</v>
      </c>
    </row>
    <row r="8" spans="1:16" s="10" customFormat="1" ht="18" customHeight="1">
      <c r="A8" s="740">
        <f t="shared" si="0"/>
        <v>4</v>
      </c>
      <c r="B8" s="7" t="s">
        <v>889</v>
      </c>
      <c r="C8" s="224">
        <v>42626</v>
      </c>
      <c r="D8" s="224">
        <v>0</v>
      </c>
      <c r="E8" s="224">
        <v>0</v>
      </c>
      <c r="F8" s="8">
        <v>0</v>
      </c>
      <c r="G8" s="225">
        <v>88000</v>
      </c>
      <c r="H8" s="8">
        <v>1961960000</v>
      </c>
      <c r="I8" s="326">
        <f t="array" ref="I8">SUM(IF("341"&amp;B8=LEFT(KHN,3)&amp;KH,_TH))</f>
        <v>88000</v>
      </c>
      <c r="J8" s="8">
        <f t="array" ref="J8">SUM(IF("341"&amp;B8=LEFT(KHN,3)&amp;KH,TH))</f>
        <v>1997600000</v>
      </c>
      <c r="K8" s="225">
        <f t="array" ref="K8">SUM(IF("341"&amp;B8=LEFT(KHC,3)&amp;KH,_TH))</f>
        <v>0</v>
      </c>
      <c r="L8" s="8">
        <f t="array" ref="L8">SUM(IF("341"&amp;B8=LEFT(KHC,3)&amp;KH,TH))</f>
        <v>35640000</v>
      </c>
      <c r="M8" s="227">
        <f t="shared" si="1"/>
        <v>0</v>
      </c>
      <c r="N8" s="227">
        <f t="shared" si="2"/>
        <v>0</v>
      </c>
      <c r="O8" s="226">
        <f t="shared" si="3"/>
        <v>0</v>
      </c>
      <c r="P8" s="227">
        <f t="shared" si="4"/>
        <v>0</v>
      </c>
    </row>
    <row r="9" spans="1:16" s="10" customFormat="1" ht="18" customHeight="1">
      <c r="A9" s="740">
        <f t="shared" si="0"/>
        <v>5</v>
      </c>
      <c r="B9" s="7" t="s">
        <v>887</v>
      </c>
      <c r="C9" s="224">
        <v>42649</v>
      </c>
      <c r="D9" s="224">
        <v>0</v>
      </c>
      <c r="E9" s="224">
        <v>0</v>
      </c>
      <c r="F9" s="8">
        <v>0</v>
      </c>
      <c r="G9" s="225">
        <v>96000</v>
      </c>
      <c r="H9" s="8">
        <v>2140416000</v>
      </c>
      <c r="I9" s="326">
        <f t="array" ref="I9">SUM(IF("341"&amp;B9=LEFT(KHN,3)&amp;KH,_TH))</f>
        <v>0</v>
      </c>
      <c r="J9" s="8">
        <f t="array" ref="J9">SUM(IF("341"&amp;B9=LEFT(KHN,3)&amp;KH,TH))</f>
        <v>0</v>
      </c>
      <c r="K9" s="225">
        <f t="array" ref="K9">SUM(IF("341"&amp;B9=LEFT(KHC,3)&amp;KH,_TH))</f>
        <v>0</v>
      </c>
      <c r="L9" s="8">
        <f t="array" ref="L9">SUM(IF("341"&amp;B9=LEFT(KHC,3)&amp;KH,TH))</f>
        <v>0</v>
      </c>
      <c r="M9" s="227">
        <f t="shared" si="1"/>
        <v>0</v>
      </c>
      <c r="N9" s="227">
        <f t="shared" si="2"/>
        <v>0</v>
      </c>
      <c r="O9" s="226">
        <f t="shared" si="3"/>
        <v>96000</v>
      </c>
      <c r="P9" s="227">
        <f t="shared" si="4"/>
        <v>2140416000</v>
      </c>
    </row>
    <row r="10" spans="1:16" s="10" customFormat="1" ht="18" customHeight="1">
      <c r="A10" s="740">
        <f t="shared" si="0"/>
        <v>6</v>
      </c>
      <c r="B10" s="7" t="s">
        <v>888</v>
      </c>
      <c r="C10" s="224">
        <v>42660</v>
      </c>
      <c r="D10" s="224">
        <v>0</v>
      </c>
      <c r="E10" s="224">
        <v>0</v>
      </c>
      <c r="F10" s="8">
        <v>0</v>
      </c>
      <c r="G10" s="225">
        <v>96000</v>
      </c>
      <c r="H10" s="8">
        <v>2140896000</v>
      </c>
      <c r="I10" s="326">
        <f t="array" ref="I10">SUM(IF("341"&amp;B10=LEFT(KHN,3)&amp;KH,_TH))</f>
        <v>0</v>
      </c>
      <c r="J10" s="8">
        <f t="array" ref="J10">SUM(IF("341"&amp;B10=LEFT(KHN,3)&amp;KH,TH))</f>
        <v>0</v>
      </c>
      <c r="K10" s="225">
        <f t="array" ref="K10">SUM(IF("341"&amp;B10=LEFT(KHC,3)&amp;KH,_TH))</f>
        <v>0</v>
      </c>
      <c r="L10" s="8">
        <f t="array" ref="L10">SUM(IF("341"&amp;B10=LEFT(KHC,3)&amp;KH,TH))</f>
        <v>0</v>
      </c>
      <c r="M10" s="227">
        <f t="shared" si="1"/>
        <v>0</v>
      </c>
      <c r="N10" s="227">
        <f t="shared" si="2"/>
        <v>0</v>
      </c>
      <c r="O10" s="226">
        <f t="shared" si="3"/>
        <v>96000</v>
      </c>
      <c r="P10" s="227">
        <f t="shared" si="4"/>
        <v>2140896000</v>
      </c>
    </row>
    <row r="11" spans="1:16" s="10" customFormat="1" ht="18" customHeight="1">
      <c r="A11" s="740">
        <f t="shared" si="0"/>
        <v>7</v>
      </c>
      <c r="B11" s="739" t="s">
        <v>1131</v>
      </c>
      <c r="C11" s="224">
        <v>42684</v>
      </c>
      <c r="D11" s="224"/>
      <c r="E11" s="224"/>
      <c r="F11" s="8"/>
      <c r="G11" s="225">
        <v>82000</v>
      </c>
      <c r="H11" s="8">
        <v>1829666000</v>
      </c>
      <c r="I11" s="326">
        <f t="array" ref="I11">SUM(IF("341"&amp;B11=LEFT(KHN,3)&amp;KH,_TH))</f>
        <v>0</v>
      </c>
      <c r="J11" s="8">
        <f t="array" ref="J11">SUM(IF("341"&amp;B11=LEFT(KHN,3)&amp;KH,TH))</f>
        <v>0</v>
      </c>
      <c r="K11" s="225">
        <f t="array" ref="K11">SUM(IF("341"&amp;B11=LEFT(KHC,3)&amp;KH,_TH))</f>
        <v>0</v>
      </c>
      <c r="L11" s="8">
        <f t="array" ref="L11">SUM(IF("341"&amp;B11=LEFT(KHC,3)&amp;KH,TH))</f>
        <v>0</v>
      </c>
      <c r="M11" s="227">
        <f t="shared" si="1"/>
        <v>0</v>
      </c>
      <c r="N11" s="227">
        <f t="shared" si="2"/>
        <v>0</v>
      </c>
      <c r="O11" s="226">
        <f t="shared" si="3"/>
        <v>82000</v>
      </c>
      <c r="P11" s="227">
        <f t="shared" si="4"/>
        <v>1829666000</v>
      </c>
    </row>
    <row r="12" spans="1:16" s="10" customFormat="1" ht="18" customHeight="1">
      <c r="A12" s="740">
        <f t="shared" si="0"/>
        <v>8</v>
      </c>
      <c r="B12" s="739" t="s">
        <v>1132</v>
      </c>
      <c r="C12" s="224">
        <v>42689</v>
      </c>
      <c r="D12" s="224"/>
      <c r="E12" s="224"/>
      <c r="F12" s="8"/>
      <c r="G12" s="225">
        <v>89000</v>
      </c>
      <c r="H12" s="8">
        <v>1988705000</v>
      </c>
      <c r="I12" s="326">
        <f t="array" ref="I12">SUM(IF("341"&amp;B12=LEFT(KHN,3)&amp;KH,_TH))</f>
        <v>0</v>
      </c>
      <c r="J12" s="8">
        <f t="array" ref="J12">SUM(IF("341"&amp;B12=LEFT(KHN,3)&amp;KH,TH))</f>
        <v>0</v>
      </c>
      <c r="K12" s="225">
        <f t="array" ref="K12">SUM(IF("341"&amp;B12=LEFT(KHC,3)&amp;KH,_TH))</f>
        <v>0</v>
      </c>
      <c r="L12" s="8">
        <f t="array" ref="L12">SUM(IF("341"&amp;B12=LEFT(KHC,3)&amp;KH,TH))</f>
        <v>0</v>
      </c>
      <c r="M12" s="227">
        <f t="shared" si="1"/>
        <v>0</v>
      </c>
      <c r="N12" s="227">
        <f t="shared" si="2"/>
        <v>0</v>
      </c>
      <c r="O12" s="226">
        <f t="shared" si="3"/>
        <v>89000</v>
      </c>
      <c r="P12" s="227">
        <f t="shared" si="4"/>
        <v>1988705000</v>
      </c>
    </row>
    <row r="13" spans="1:16" s="10" customFormat="1" ht="18" customHeight="1">
      <c r="A13" s="740">
        <f t="shared" si="0"/>
        <v>9</v>
      </c>
      <c r="B13" s="7" t="s">
        <v>1133</v>
      </c>
      <c r="C13" s="224">
        <v>42717</v>
      </c>
      <c r="D13" s="224">
        <v>0</v>
      </c>
      <c r="E13" s="224">
        <v>0</v>
      </c>
      <c r="F13" s="8">
        <v>0</v>
      </c>
      <c r="G13" s="225">
        <v>50400</v>
      </c>
      <c r="H13" s="8">
        <v>1139644800</v>
      </c>
      <c r="I13" s="326">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1"/>
        <v>0</v>
      </c>
      <c r="N13" s="227">
        <f t="shared" si="2"/>
        <v>0</v>
      </c>
      <c r="O13" s="226">
        <f t="shared" si="3"/>
        <v>0</v>
      </c>
      <c r="P13" s="227">
        <f t="shared" si="4"/>
        <v>0</v>
      </c>
    </row>
    <row r="14" spans="1:16" s="10" customFormat="1" ht="18" customHeight="1">
      <c r="A14" s="740">
        <f t="shared" si="0"/>
        <v>10</v>
      </c>
      <c r="B14" s="7" t="s">
        <v>1134</v>
      </c>
      <c r="C14" s="224">
        <v>42718</v>
      </c>
      <c r="D14" s="224">
        <v>0</v>
      </c>
      <c r="E14" s="224">
        <v>0</v>
      </c>
      <c r="F14" s="8">
        <v>0</v>
      </c>
      <c r="G14" s="225">
        <v>137000</v>
      </c>
      <c r="H14" s="8">
        <v>3111270000</v>
      </c>
      <c r="I14" s="326">
        <f t="array" ref="I14">SUM(IF("341"&amp;B14=LEFT(KHN,3)&amp;KH,_TH))</f>
        <v>0</v>
      </c>
      <c r="J14" s="8">
        <f t="array" ref="J14">SUM(IF("341"&amp;B14=LEFT(KHN,3)&amp;KH,TH))</f>
        <v>0</v>
      </c>
      <c r="K14" s="225">
        <f t="array" ref="K14">SUM(IF("341"&amp;B14=LEFT(KHC,3)&amp;KH,_TH))</f>
        <v>0</v>
      </c>
      <c r="L14" s="8">
        <f t="array" ref="L14">SUM(IF("341"&amp;B14=LEFT(KHC,3)&amp;KH,TH))</f>
        <v>0</v>
      </c>
      <c r="M14" s="227">
        <f t="shared" si="1"/>
        <v>0</v>
      </c>
      <c r="N14" s="227">
        <f t="shared" si="2"/>
        <v>0</v>
      </c>
      <c r="O14" s="226">
        <f t="shared" si="3"/>
        <v>137000</v>
      </c>
      <c r="P14" s="227">
        <f t="shared" si="4"/>
        <v>3111270000</v>
      </c>
    </row>
    <row r="15" spans="1:16" s="10" customFormat="1" ht="18" customHeight="1">
      <c r="A15" s="740">
        <f t="shared" si="0"/>
        <v>11</v>
      </c>
      <c r="B15" s="7" t="s">
        <v>1135</v>
      </c>
      <c r="C15" s="224">
        <v>42733</v>
      </c>
      <c r="D15" s="224">
        <v>0</v>
      </c>
      <c r="E15" s="224">
        <v>0</v>
      </c>
      <c r="F15" s="8">
        <v>0</v>
      </c>
      <c r="G15" s="225">
        <v>85000</v>
      </c>
      <c r="H15" s="8">
        <v>1934600000</v>
      </c>
      <c r="I15" s="326">
        <f t="array" ref="I15">SUM(IF("341"&amp;B15=LEFT(KHN,3)&amp;KH,_TH))</f>
        <v>0</v>
      </c>
      <c r="J15" s="8">
        <f t="array" ref="J15">SUM(IF("341"&amp;B15=LEFT(KHN,3)&amp;KH,TH))</f>
        <v>0</v>
      </c>
      <c r="K15" s="225">
        <f t="array" ref="K15">SUM(IF("341"&amp;B15=LEFT(KHC,3)&amp;KH,_TH))</f>
        <v>0</v>
      </c>
      <c r="L15" s="8">
        <f t="array" ref="L15">SUM(IF("341"&amp;B15=LEFT(KHC,3)&amp;KH,TH))</f>
        <v>0</v>
      </c>
      <c r="M15" s="227">
        <f t="shared" si="1"/>
        <v>0</v>
      </c>
      <c r="N15" s="227">
        <f t="shared" si="2"/>
        <v>0</v>
      </c>
      <c r="O15" s="226">
        <f t="shared" si="3"/>
        <v>85000</v>
      </c>
      <c r="P15" s="227">
        <f t="shared" si="4"/>
        <v>1934600000</v>
      </c>
    </row>
    <row r="16" spans="1:16" s="10" customFormat="1" ht="18" customHeight="1">
      <c r="A16" s="740">
        <f t="shared" ref="A16:A35" si="5">IF(B16&lt;&gt;"",ROW()-4,"")</f>
        <v>12</v>
      </c>
      <c r="B16" s="7" t="s">
        <v>848</v>
      </c>
      <c r="C16" s="224">
        <v>42552</v>
      </c>
      <c r="D16" s="224">
        <v>0</v>
      </c>
      <c r="E16" s="224">
        <v>0</v>
      </c>
      <c r="F16" s="8">
        <v>0</v>
      </c>
      <c r="G16" s="225">
        <v>43000</v>
      </c>
      <c r="H16" s="8">
        <v>959330000</v>
      </c>
      <c r="I16" s="326">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ref="M16:M35" si="6">ROUND(MAX(E16+I16-G16-K16,0),2)</f>
        <v>0</v>
      </c>
      <c r="N16" s="227">
        <f t="shared" ref="N16:N35" si="7">ROUND(MAX(F16+J16-H16-L16,0),2)</f>
        <v>0</v>
      </c>
      <c r="O16" s="226">
        <f t="shared" ref="O16:O35" si="8">ROUND(MAX(G16+K16-E16-I16,0),2)</f>
        <v>0</v>
      </c>
      <c r="P16" s="227">
        <f t="shared" ref="P16:P35" si="9">ROUND(MAX(H16+L16-F16-J16,0),2)</f>
        <v>0</v>
      </c>
    </row>
    <row r="17" spans="1:16" s="10" customFormat="1" ht="18" customHeight="1">
      <c r="A17" s="740">
        <f t="shared" si="5"/>
        <v>13</v>
      </c>
      <c r="B17" s="7" t="s">
        <v>849</v>
      </c>
      <c r="C17" s="224">
        <v>42586</v>
      </c>
      <c r="D17" s="224">
        <v>0</v>
      </c>
      <c r="E17" s="224">
        <v>0</v>
      </c>
      <c r="F17" s="8">
        <v>0</v>
      </c>
      <c r="G17" s="225">
        <v>52300</v>
      </c>
      <c r="H17" s="8">
        <v>1166028500</v>
      </c>
      <c r="I17" s="326">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6"/>
        <v>0</v>
      </c>
      <c r="N17" s="227">
        <f t="shared" si="7"/>
        <v>0</v>
      </c>
      <c r="O17" s="226">
        <f t="shared" si="8"/>
        <v>0</v>
      </c>
      <c r="P17" s="227">
        <f t="shared" si="9"/>
        <v>0</v>
      </c>
    </row>
    <row r="18" spans="1:16" s="10" customFormat="1" ht="18" customHeight="1">
      <c r="A18" s="740">
        <f t="shared" si="5"/>
        <v>14</v>
      </c>
      <c r="B18" s="7" t="s">
        <v>926</v>
      </c>
      <c r="C18" s="224">
        <v>42710</v>
      </c>
      <c r="D18" s="224">
        <v>0</v>
      </c>
      <c r="E18" s="224">
        <v>0</v>
      </c>
      <c r="F18" s="8">
        <v>0</v>
      </c>
      <c r="G18" s="225">
        <v>93000</v>
      </c>
      <c r="H18" s="8">
        <v>2113425000</v>
      </c>
      <c r="I18" s="326">
        <f t="array" ref="I18">SUM(IF("341"&amp;B18=LEFT(KHN,3)&amp;KH,_TH))</f>
        <v>0</v>
      </c>
      <c r="J18" s="8">
        <f t="array" ref="J18">SUM(IF("341"&amp;B18=LEFT(KHN,3)&amp;KH,TH))</f>
        <v>0</v>
      </c>
      <c r="K18" s="225">
        <f t="array" ref="K18">SUM(IF("341"&amp;B18=LEFT(KHC,3)&amp;KH,_TH))</f>
        <v>0</v>
      </c>
      <c r="L18" s="8">
        <f t="array" ref="L18">SUM(IF("341"&amp;B18=LEFT(KHC,3)&amp;KH,TH))</f>
        <v>0</v>
      </c>
      <c r="M18" s="227">
        <f t="shared" si="6"/>
        <v>0</v>
      </c>
      <c r="N18" s="227">
        <f t="shared" si="7"/>
        <v>0</v>
      </c>
      <c r="O18" s="226">
        <f t="shared" si="8"/>
        <v>93000</v>
      </c>
      <c r="P18" s="227">
        <f t="shared" si="9"/>
        <v>2113425000</v>
      </c>
    </row>
    <row r="19" spans="1:16" s="10" customFormat="1" ht="18" customHeight="1">
      <c r="A19" s="740">
        <f t="shared" si="5"/>
        <v>15</v>
      </c>
      <c r="B19" s="7" t="s">
        <v>927</v>
      </c>
      <c r="C19" s="224">
        <v>42718</v>
      </c>
      <c r="D19" s="224">
        <v>0</v>
      </c>
      <c r="E19" s="224">
        <v>0</v>
      </c>
      <c r="F19" s="8">
        <v>0</v>
      </c>
      <c r="G19" s="225">
        <v>70500</v>
      </c>
      <c r="H19" s="8">
        <v>1600702500</v>
      </c>
      <c r="I19" s="326">
        <f t="array" ref="I19">SUM(IF("341"&amp;B19=LEFT(KHN,3)&amp;KH,_TH))</f>
        <v>0</v>
      </c>
      <c r="J19" s="8">
        <f t="array" ref="J19">SUM(IF("341"&amp;B19=LEFT(KHN,3)&amp;KH,TH))</f>
        <v>0</v>
      </c>
      <c r="K19" s="225">
        <f t="array" ref="K19">SUM(IF("341"&amp;B19=LEFT(KHC,3)&amp;KH,_TH))</f>
        <v>0</v>
      </c>
      <c r="L19" s="8">
        <f t="array" ref="L19">SUM(IF("341"&amp;B19=LEFT(KHC,3)&amp;KH,TH))</f>
        <v>0</v>
      </c>
      <c r="M19" s="227">
        <f t="shared" si="6"/>
        <v>0</v>
      </c>
      <c r="N19" s="227">
        <f t="shared" si="7"/>
        <v>0</v>
      </c>
      <c r="O19" s="226">
        <f t="shared" si="8"/>
        <v>70500</v>
      </c>
      <c r="P19" s="227">
        <f t="shared" si="9"/>
        <v>1600702500</v>
      </c>
    </row>
    <row r="20" spans="1:16" s="10" customFormat="1" ht="18" customHeight="1">
      <c r="A20" s="740">
        <f t="shared" si="5"/>
        <v>16</v>
      </c>
      <c r="B20" s="330" t="s">
        <v>1048</v>
      </c>
      <c r="C20" s="224">
        <v>42742</v>
      </c>
      <c r="D20" s="224">
        <v>0</v>
      </c>
      <c r="E20" s="224">
        <v>0</v>
      </c>
      <c r="F20" s="8"/>
      <c r="G20" s="225"/>
      <c r="H20" s="8"/>
      <c r="I20" s="326">
        <f t="array" ref="I20">SUM(IF("341"&amp;B20=LEFT(KHN,3)&amp;KH,_TH))</f>
        <v>0</v>
      </c>
      <c r="J20" s="8">
        <f t="array" ref="J20">SUM(IF("341"&amp;B20=LEFT(KHN,3)&amp;KH,TH))</f>
        <v>0</v>
      </c>
      <c r="K20" s="225">
        <f t="array" ref="K20">SUM(IF("341"&amp;B20=LEFT(KHC,3)&amp;KH,_TH))</f>
        <v>43000</v>
      </c>
      <c r="L20" s="8">
        <f t="array" ref="L20">SUM(IF("341"&amp;B20=LEFT(KHC,3)&amp;KH,TH))</f>
        <v>969435000</v>
      </c>
      <c r="M20" s="227">
        <f t="shared" si="6"/>
        <v>0</v>
      </c>
      <c r="N20" s="227">
        <f t="shared" si="7"/>
        <v>0</v>
      </c>
      <c r="O20" s="226">
        <f t="shared" si="8"/>
        <v>43000</v>
      </c>
      <c r="P20" s="227">
        <f t="shared" si="9"/>
        <v>969435000</v>
      </c>
    </row>
    <row r="21" spans="1:16" s="10" customFormat="1" ht="18" customHeight="1">
      <c r="A21" s="740">
        <f>IF(B21&lt;&gt;"",ROW()-4,"")</f>
        <v>17</v>
      </c>
      <c r="B21" s="330" t="s">
        <v>1237</v>
      </c>
      <c r="C21" s="63">
        <v>42775</v>
      </c>
      <c r="D21" s="224"/>
      <c r="E21" s="224"/>
      <c r="F21" s="8"/>
      <c r="G21" s="225"/>
      <c r="H21" s="8"/>
      <c r="I21" s="326">
        <f t="array" ref="I21">SUM(IF("341"&amp;B21=LEFT(KHN,3)&amp;KH,_TH))</f>
        <v>0</v>
      </c>
      <c r="J21" s="8">
        <f t="array" ref="J21">SUM(IF("341"&amp;B21=LEFT(KHN,3)&amp;KH,TH))</f>
        <v>0</v>
      </c>
      <c r="K21" s="225">
        <f t="array" ref="K21">SUM(IF("341"&amp;B21=LEFT(KHC,3)&amp;KH,_TH))</f>
        <v>0</v>
      </c>
      <c r="L21" s="8">
        <f t="array" ref="L21">SUM(IF("341"&amp;B21=LEFT(KHC,3)&amp;KH,TH))</f>
        <v>1185118000</v>
      </c>
      <c r="M21" s="227">
        <f>ROUND(MAX(E21+I21-G21-K21,0),2)</f>
        <v>0</v>
      </c>
      <c r="N21" s="227">
        <f>ROUND(MAX(F21+J21-H21-L21,0),2)</f>
        <v>0</v>
      </c>
      <c r="O21" s="226">
        <f>ROUND(MAX(G21+K21-E21-I21,0),2)</f>
        <v>0</v>
      </c>
      <c r="P21" s="227">
        <f>ROUND(MAX(H21+L21-F21-J21,0),2)</f>
        <v>1185118000</v>
      </c>
    </row>
    <row r="22" spans="1:16" s="10" customFormat="1" ht="18" customHeight="1">
      <c r="A22" s="740">
        <f t="shared" si="5"/>
        <v>18</v>
      </c>
      <c r="B22" s="1085" t="s">
        <v>1224</v>
      </c>
      <c r="C22" s="224">
        <v>42741</v>
      </c>
      <c r="D22" s="224">
        <v>0</v>
      </c>
      <c r="E22" s="224">
        <v>0</v>
      </c>
      <c r="F22" s="8"/>
      <c r="G22" s="225"/>
      <c r="H22" s="8"/>
      <c r="I22" s="326">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6"/>
        <v>0</v>
      </c>
      <c r="N22" s="227">
        <f t="shared" si="7"/>
        <v>0</v>
      </c>
      <c r="O22" s="226">
        <f t="shared" si="8"/>
        <v>93000</v>
      </c>
      <c r="P22" s="227">
        <f t="shared" si="9"/>
        <v>2097894000</v>
      </c>
    </row>
    <row r="23" spans="1:16" s="10" customFormat="1" ht="18" customHeight="1">
      <c r="A23" s="740">
        <f t="shared" si="5"/>
        <v>19</v>
      </c>
      <c r="B23" s="1085" t="s">
        <v>1141</v>
      </c>
      <c r="C23" s="224">
        <v>42754</v>
      </c>
      <c r="D23" s="224"/>
      <c r="E23" s="224"/>
      <c r="F23" s="8"/>
      <c r="G23" s="225"/>
      <c r="H23" s="8"/>
      <c r="I23" s="326">
        <f t="array" ref="I23">SUM(IF("341"&amp;B23=LEFT(KHN,3)&amp;KH,_TH))</f>
        <v>41200</v>
      </c>
      <c r="J23" s="8">
        <f t="array" ref="J23">SUM(IF("341"&amp;B23=LEFT(KHN,3)&amp;KH,TH))</f>
        <v>935240000</v>
      </c>
      <c r="K23" s="225">
        <f t="array" ref="K23">SUM(IF("341"&amp;B23=LEFT(KHC,3)&amp;KH,_TH))</f>
        <v>41200</v>
      </c>
      <c r="L23" s="8">
        <f t="array" ref="L23">SUM(IF("341"&amp;B23=LEFT(KHC,3)&amp;KH,TH))</f>
        <v>935240000</v>
      </c>
      <c r="M23" s="227">
        <f t="shared" si="6"/>
        <v>0</v>
      </c>
      <c r="N23" s="227">
        <f t="shared" si="7"/>
        <v>0</v>
      </c>
      <c r="O23" s="226">
        <f t="shared" si="8"/>
        <v>0</v>
      </c>
      <c r="P23" s="227">
        <f t="shared" si="9"/>
        <v>0</v>
      </c>
    </row>
    <row r="24" spans="1:16" s="10" customFormat="1" ht="18" customHeight="1">
      <c r="A24" s="740">
        <f t="shared" si="5"/>
        <v>20</v>
      </c>
      <c r="B24" s="1085" t="s">
        <v>1140</v>
      </c>
      <c r="C24" s="224">
        <v>42754</v>
      </c>
      <c r="D24" s="224"/>
      <c r="E24" s="224"/>
      <c r="F24" s="8"/>
      <c r="G24" s="225"/>
      <c r="H24" s="8"/>
      <c r="I24" s="326">
        <f t="array" ref="I24">SUM(IF("341"&amp;B24=LEFT(KHN,3)&amp;KH,_TH))</f>
        <v>37584</v>
      </c>
      <c r="J24" s="8">
        <f t="array" ref="J24">SUM(IF("341"&amp;B24=LEFT(KHN,3)&amp;KH,TH))</f>
        <v>853156800</v>
      </c>
      <c r="K24" s="225">
        <f t="array" ref="K24">SUM(IF("341"&amp;B24=LEFT(KHC,3)&amp;KH,_TH))</f>
        <v>37584</v>
      </c>
      <c r="L24" s="8">
        <f t="array" ref="L24">SUM(IF("341"&amp;B24=LEFT(KHC,3)&amp;KH,TH))</f>
        <v>853156800</v>
      </c>
      <c r="M24" s="227">
        <f t="shared" si="6"/>
        <v>0</v>
      </c>
      <c r="N24" s="227">
        <f t="shared" si="7"/>
        <v>0</v>
      </c>
      <c r="O24" s="226">
        <f t="shared" si="8"/>
        <v>0</v>
      </c>
      <c r="P24" s="227">
        <f t="shared" si="9"/>
        <v>0</v>
      </c>
    </row>
    <row r="25" spans="1:16" s="10" customFormat="1" ht="18" customHeight="1">
      <c r="A25" s="740">
        <f t="shared" si="5"/>
        <v>21</v>
      </c>
      <c r="B25" s="1085" t="s">
        <v>1139</v>
      </c>
      <c r="C25" s="224">
        <v>42754</v>
      </c>
      <c r="D25" s="224"/>
      <c r="E25" s="224"/>
      <c r="F25" s="8"/>
      <c r="G25" s="225"/>
      <c r="H25" s="8"/>
      <c r="I25" s="326">
        <f t="array" ref="I25">SUM(IF("341"&amp;B25=LEFT(KHN,3)&amp;KH,_TH))</f>
        <v>0</v>
      </c>
      <c r="J25" s="8">
        <f t="array" ref="J25">SUM(IF("341"&amp;B25=LEFT(KHN,3)&amp;KH,TH))</f>
        <v>0</v>
      </c>
      <c r="K25" s="225">
        <f t="array" ref="K25">SUM(IF("341"&amp;B25=LEFT(KHC,3)&amp;KH,_TH))</f>
        <v>51100</v>
      </c>
      <c r="L25" s="8">
        <f t="array" ref="L25">SUM(IF("341"&amp;B25=LEFT(KHC,3)&amp;KH,TH))</f>
        <v>1152458300</v>
      </c>
      <c r="M25" s="227">
        <f t="shared" si="6"/>
        <v>0</v>
      </c>
      <c r="N25" s="227">
        <f t="shared" si="7"/>
        <v>0</v>
      </c>
      <c r="O25" s="226">
        <f t="shared" si="8"/>
        <v>51100</v>
      </c>
      <c r="P25" s="227">
        <f t="shared" si="9"/>
        <v>1152458300</v>
      </c>
    </row>
    <row r="26" spans="1:16" s="10" customFormat="1" ht="18" customHeight="1">
      <c r="A26" s="740">
        <f t="shared" si="5"/>
        <v>22</v>
      </c>
      <c r="B26" s="1085" t="s">
        <v>1142</v>
      </c>
      <c r="C26" s="224">
        <v>42751</v>
      </c>
      <c r="D26" s="224">
        <v>0</v>
      </c>
      <c r="E26" s="224">
        <v>0</v>
      </c>
      <c r="F26" s="8"/>
      <c r="G26" s="225"/>
      <c r="H26" s="8"/>
      <c r="I26" s="326">
        <f t="array" ref="I26">SUM(IF("341"&amp;B26=LEFT(KHN,3)&amp;KH,_TH))</f>
        <v>40000</v>
      </c>
      <c r="J26" s="8">
        <f t="array" ref="J26">SUM(IF("341"&amp;B26=LEFT(KHN,3)&amp;KH,TH))</f>
        <v>902200000</v>
      </c>
      <c r="K26" s="225">
        <f t="array" ref="K26">SUM(IF("341"&amp;B26=LEFT(KHC,3)&amp;KH,_TH))</f>
        <v>40000</v>
      </c>
      <c r="L26" s="8">
        <f t="array" ref="L26">SUM(IF("341"&amp;B26=LEFT(KHC,3)&amp;KH,TH))</f>
        <v>902200000</v>
      </c>
      <c r="M26" s="227">
        <f t="shared" si="6"/>
        <v>0</v>
      </c>
      <c r="N26" s="227">
        <f t="shared" si="7"/>
        <v>0</v>
      </c>
      <c r="O26" s="226">
        <f t="shared" si="8"/>
        <v>0</v>
      </c>
      <c r="P26" s="227">
        <f t="shared" si="9"/>
        <v>0</v>
      </c>
    </row>
    <row r="27" spans="1:16" s="10" customFormat="1" ht="18" customHeight="1">
      <c r="A27" s="740">
        <f t="shared" si="5"/>
        <v>23</v>
      </c>
      <c r="B27" s="1085" t="s">
        <v>1146</v>
      </c>
      <c r="C27" s="224">
        <v>42760</v>
      </c>
      <c r="D27" s="224">
        <v>0</v>
      </c>
      <c r="E27" s="224">
        <v>0</v>
      </c>
      <c r="F27" s="8"/>
      <c r="G27" s="225"/>
      <c r="H27" s="8"/>
      <c r="I27" s="326">
        <f t="array" ref="I27">SUM(IF("341"&amp;B27=LEFT(KHN,3)&amp;KH,_TH))</f>
        <v>68400</v>
      </c>
      <c r="J27" s="8">
        <f t="array" ref="J27">SUM(IF("341"&amp;B27=LEFT(KHN,3)&amp;KH,TH))</f>
        <v>1552680000</v>
      </c>
      <c r="K27" s="225">
        <f t="array" ref="K27">SUM(IF("341"&amp;B27=LEFT(KHC,3)&amp;KH,_TH))</f>
        <v>68400</v>
      </c>
      <c r="L27" s="8">
        <f t="array" ref="L27">SUM(IF("341"&amp;B27=LEFT(KHC,3)&amp;KH,TH))</f>
        <v>1552680000</v>
      </c>
      <c r="M27" s="227">
        <f t="shared" si="6"/>
        <v>0</v>
      </c>
      <c r="N27" s="227">
        <f t="shared" si="7"/>
        <v>0</v>
      </c>
      <c r="O27" s="226">
        <f t="shared" si="8"/>
        <v>0</v>
      </c>
      <c r="P27" s="227">
        <f t="shared" si="9"/>
        <v>0</v>
      </c>
    </row>
    <row r="28" spans="1:16" s="10" customFormat="1" ht="18" customHeight="1">
      <c r="A28" s="740">
        <f t="shared" si="5"/>
        <v>24</v>
      </c>
      <c r="B28" s="1091" t="s">
        <v>1144</v>
      </c>
      <c r="C28" s="224">
        <v>42751</v>
      </c>
      <c r="D28" s="224">
        <v>0</v>
      </c>
      <c r="E28" s="224">
        <v>0</v>
      </c>
      <c r="F28" s="8"/>
      <c r="G28" s="225"/>
      <c r="H28" s="8"/>
      <c r="I28" s="326">
        <f t="array" ref="I28">SUM(IF("341"&amp;B28=LEFT(KHN,3)&amp;KH,_TH))</f>
        <v>102600</v>
      </c>
      <c r="J28" s="8">
        <f t="array" ref="J28">SUM(IF("341"&amp;B28=LEFT(KHN,3)&amp;KH,TH))</f>
        <v>2329020000</v>
      </c>
      <c r="K28" s="225">
        <f t="array" ref="K28">SUM(IF("341"&amp;B28=LEFT(KHC,3)&amp;KH,_TH))</f>
        <v>102600</v>
      </c>
      <c r="L28" s="8">
        <f t="array" ref="L28">SUM(IF("341"&amp;B28=LEFT(KHC,3)&amp;KH,TH))</f>
        <v>2329020000</v>
      </c>
      <c r="M28" s="227">
        <f t="shared" si="6"/>
        <v>0</v>
      </c>
      <c r="N28" s="227">
        <f t="shared" si="7"/>
        <v>0</v>
      </c>
      <c r="O28" s="226">
        <f t="shared" si="8"/>
        <v>0</v>
      </c>
      <c r="P28" s="227">
        <f t="shared" si="9"/>
        <v>0</v>
      </c>
    </row>
    <row r="29" spans="1:16" s="10" customFormat="1" ht="18" customHeight="1">
      <c r="A29" s="740">
        <f t="shared" si="5"/>
        <v>25</v>
      </c>
      <c r="B29" s="71" t="s">
        <v>1223</v>
      </c>
      <c r="C29" s="224">
        <v>42788</v>
      </c>
      <c r="D29" s="224">
        <v>0</v>
      </c>
      <c r="E29" s="224">
        <v>0</v>
      </c>
      <c r="F29" s="8"/>
      <c r="G29" s="225"/>
      <c r="H29" s="8"/>
      <c r="I29" s="326">
        <f t="array" ref="I29">SUM(IF("341"&amp;B29=LEFT(KHN,3)&amp;KH,_TH))</f>
        <v>0</v>
      </c>
      <c r="J29" s="8">
        <f t="array" ref="J29">SUM(IF("341"&amp;B29=LEFT(KHN,3)&amp;KH,TH))</f>
        <v>0</v>
      </c>
      <c r="K29" s="225">
        <f t="array" ref="K29">SUM(IF("341"&amp;B29=LEFT(KHC,3)&amp;KH,_TH))</f>
        <v>83500</v>
      </c>
      <c r="L29" s="8">
        <f t="array" ref="L29">SUM(IF("341"&amp;B29=LEFT(KHC,3)&amp;KH,TH))</f>
        <v>1906305000</v>
      </c>
      <c r="M29" s="227">
        <f t="shared" si="6"/>
        <v>0</v>
      </c>
      <c r="N29" s="227">
        <f t="shared" si="7"/>
        <v>0</v>
      </c>
      <c r="O29" s="226">
        <f t="shared" si="8"/>
        <v>83500</v>
      </c>
      <c r="P29" s="227">
        <f t="shared" si="9"/>
        <v>1906305000</v>
      </c>
    </row>
    <row r="30" spans="1:16" s="10" customFormat="1" ht="18" customHeight="1">
      <c r="A30" s="740">
        <f t="shared" si="5"/>
        <v>26</v>
      </c>
      <c r="B30" s="90" t="s">
        <v>1222</v>
      </c>
      <c r="C30" s="224">
        <v>42774</v>
      </c>
      <c r="D30" s="224">
        <v>0</v>
      </c>
      <c r="E30" s="224">
        <v>0</v>
      </c>
      <c r="F30" s="8"/>
      <c r="G30" s="225"/>
      <c r="H30" s="8"/>
      <c r="I30" s="326">
        <f t="array" ref="I30">SUM(IF("341"&amp;B30=LEFT(KHN,3)&amp;KH,_TH))</f>
        <v>0</v>
      </c>
      <c r="J30" s="8">
        <f t="array" ref="J30">SUM(IF("341"&amp;B30=LEFT(KHN,3)&amp;KH,TH))</f>
        <v>0</v>
      </c>
      <c r="K30" s="225">
        <f t="array" ref="K30">SUM(IF("341"&amp;B30=LEFT(KHC,3)&amp;KH,_TH))</f>
        <v>63000</v>
      </c>
      <c r="L30" s="8">
        <f t="array" ref="L30">SUM(IF("341"&amp;B30=LEFT(KHC,3)&amp;KH,TH))</f>
        <v>1427643000</v>
      </c>
      <c r="M30" s="227">
        <f t="shared" si="6"/>
        <v>0</v>
      </c>
      <c r="N30" s="227">
        <f t="shared" si="7"/>
        <v>0</v>
      </c>
      <c r="O30" s="226">
        <f t="shared" si="8"/>
        <v>63000</v>
      </c>
      <c r="P30" s="227">
        <f t="shared" si="9"/>
        <v>1427643000</v>
      </c>
    </row>
    <row r="31" spans="1:16" s="10" customFormat="1" ht="18" customHeight="1">
      <c r="A31" s="740">
        <f t="shared" si="5"/>
        <v>27</v>
      </c>
      <c r="B31" s="7" t="s">
        <v>1225</v>
      </c>
      <c r="C31" s="224">
        <v>42797</v>
      </c>
      <c r="D31" s="224"/>
      <c r="E31" s="224"/>
      <c r="F31" s="8"/>
      <c r="G31" s="225"/>
      <c r="H31" s="8"/>
      <c r="I31" s="326">
        <f t="array" ref="I31">SUM(IF("341"&amp;B31=LEFT(KHN,3)&amp;KH,_TH))</f>
        <v>0</v>
      </c>
      <c r="J31" s="8">
        <f t="array" ref="J31">SUM(IF("341"&amp;B31=LEFT(KHN,3)&amp;KH,TH))</f>
        <v>0</v>
      </c>
      <c r="K31" s="225">
        <f t="array" ref="K31">SUM(IF("341"&amp;B31=LEFT(KHC,3)&amp;KH,_TH))</f>
        <v>0</v>
      </c>
      <c r="L31" s="8">
        <f t="array" ref="L31">SUM(IF("341"&amp;B31=LEFT(KHC,3)&amp;KH,TH))</f>
        <v>0</v>
      </c>
      <c r="M31" s="227">
        <f t="shared" si="6"/>
        <v>0</v>
      </c>
      <c r="N31" s="227">
        <f t="shared" si="7"/>
        <v>0</v>
      </c>
      <c r="O31" s="226">
        <f t="shared" si="8"/>
        <v>0</v>
      </c>
      <c r="P31" s="227">
        <f t="shared" si="9"/>
        <v>0</v>
      </c>
    </row>
    <row r="32" spans="1:16" s="10" customFormat="1" ht="18" customHeight="1">
      <c r="A32" s="740" t="str">
        <f t="shared" si="5"/>
        <v/>
      </c>
      <c r="B32" s="71"/>
      <c r="C32" s="63"/>
      <c r="D32" s="224"/>
      <c r="E32" s="224"/>
      <c r="F32" s="8"/>
      <c r="G32" s="225"/>
      <c r="H32" s="8"/>
      <c r="I32" s="326">
        <f t="array" ref="I32">SUM(IF("341"&amp;B32=LEFT(KHN,3)&amp;KH,_TH))</f>
        <v>0</v>
      </c>
      <c r="J32" s="8">
        <f t="array" ref="J32">SUM(IF("341"&amp;B32=LEFT(KHN,3)&amp;KH,TH))</f>
        <v>0</v>
      </c>
      <c r="K32" s="225">
        <f t="array" ref="K32">SUM(IF("341"&amp;B32=LEFT(KHC,3)&amp;KH,_TH))</f>
        <v>0</v>
      </c>
      <c r="L32" s="8">
        <f t="array" ref="L32">SUM(IF("341"&amp;B32=LEFT(KHC,3)&amp;KH,TH))</f>
        <v>0</v>
      </c>
      <c r="M32" s="227">
        <f t="shared" si="6"/>
        <v>0</v>
      </c>
      <c r="N32" s="227">
        <f t="shared" si="7"/>
        <v>0</v>
      </c>
      <c r="O32" s="226">
        <f t="shared" si="8"/>
        <v>0</v>
      </c>
      <c r="P32" s="227">
        <f t="shared" si="9"/>
        <v>0</v>
      </c>
    </row>
    <row r="33" spans="1:16" s="10" customFormat="1" ht="18" customHeight="1">
      <c r="A33" s="740" t="str">
        <f t="shared" si="5"/>
        <v/>
      </c>
      <c r="B33" s="71"/>
      <c r="C33" s="224"/>
      <c r="D33" s="224"/>
      <c r="E33" s="224"/>
      <c r="F33" s="8"/>
      <c r="G33" s="225"/>
      <c r="H33" s="8"/>
      <c r="I33" s="326">
        <f t="array" ref="I33">SUM(IF("341"&amp;B33=LEFT(KHN,3)&amp;KH,_TH))</f>
        <v>0</v>
      </c>
      <c r="J33" s="8">
        <f t="array" ref="J33">SUM(IF("341"&amp;B33=LEFT(KHN,3)&amp;KH,TH))</f>
        <v>0</v>
      </c>
      <c r="K33" s="225">
        <f t="array" ref="K33">SUM(IF("341"&amp;B33=LEFT(KHC,3)&amp;KH,_TH))</f>
        <v>0</v>
      </c>
      <c r="L33" s="8">
        <f t="array" ref="L33">SUM(IF("341"&amp;B33=LEFT(KHC,3)&amp;KH,TH))</f>
        <v>0</v>
      </c>
      <c r="M33" s="227">
        <f t="shared" si="6"/>
        <v>0</v>
      </c>
      <c r="N33" s="227">
        <f t="shared" si="7"/>
        <v>0</v>
      </c>
      <c r="O33" s="226">
        <f t="shared" si="8"/>
        <v>0</v>
      </c>
      <c r="P33" s="227">
        <f t="shared" si="9"/>
        <v>0</v>
      </c>
    </row>
    <row r="34" spans="1:16" s="10" customFormat="1" ht="18" customHeight="1">
      <c r="A34" s="740" t="str">
        <f t="shared" si="5"/>
        <v/>
      </c>
      <c r="B34" s="71"/>
      <c r="C34" s="224"/>
      <c r="D34" s="224"/>
      <c r="E34" s="224"/>
      <c r="F34" s="8"/>
      <c r="G34" s="225"/>
      <c r="H34" s="8"/>
      <c r="I34" s="326">
        <f t="array" ref="I34">SUM(IF("341"&amp;B34=LEFT(KHN,3)&amp;KH,_TH))</f>
        <v>0</v>
      </c>
      <c r="J34" s="8">
        <f t="array" ref="J34">SUM(IF("341"&amp;B34=LEFT(KHN,3)&amp;KH,TH))</f>
        <v>0</v>
      </c>
      <c r="K34" s="225">
        <f t="array" ref="K34">SUM(IF("341"&amp;B34=LEFT(KHC,3)&amp;KH,_TH))</f>
        <v>0</v>
      </c>
      <c r="L34" s="8">
        <f t="array" ref="L34">SUM(IF("341"&amp;B34=LEFT(KHC,3)&amp;KH,TH))</f>
        <v>0</v>
      </c>
      <c r="M34" s="227">
        <f t="shared" si="6"/>
        <v>0</v>
      </c>
      <c r="N34" s="227">
        <f t="shared" si="7"/>
        <v>0</v>
      </c>
      <c r="O34" s="226">
        <f t="shared" si="8"/>
        <v>0</v>
      </c>
      <c r="P34" s="227">
        <f t="shared" si="9"/>
        <v>0</v>
      </c>
    </row>
    <row r="35" spans="1:16" s="10" customFormat="1" ht="18" customHeight="1">
      <c r="A35" s="740" t="str">
        <f t="shared" si="5"/>
        <v/>
      </c>
      <c r="B35" s="972"/>
      <c r="C35" s="224"/>
      <c r="D35" s="224"/>
      <c r="E35" s="325"/>
      <c r="F35" s="25"/>
      <c r="G35" s="326"/>
      <c r="H35" s="25"/>
      <c r="I35" s="326">
        <f t="array" ref="I35">SUM(IF("341"&amp;B35=LEFT(KHN,3)&amp;KH,_TH))</f>
        <v>0</v>
      </c>
      <c r="J35" s="8">
        <f t="array" ref="J35">SUM(IF("341"&amp;B35=LEFT(KHN,3)&amp;KH,TH))</f>
        <v>0</v>
      </c>
      <c r="K35" s="225">
        <f t="array" ref="K35">SUM(IF("341"&amp;B35=LEFT(KHC,3)&amp;KH,_TH))</f>
        <v>0</v>
      </c>
      <c r="L35" s="8">
        <f t="array" ref="L35">SUM(IF("341"&amp;B35=LEFT(KHC,3)&amp;KH,TH))</f>
        <v>0</v>
      </c>
      <c r="M35" s="227">
        <f t="shared" si="6"/>
        <v>0</v>
      </c>
      <c r="N35" s="227">
        <f t="shared" si="7"/>
        <v>0</v>
      </c>
      <c r="O35" s="226">
        <f t="shared" si="8"/>
        <v>0</v>
      </c>
      <c r="P35" s="227">
        <f t="shared" si="9"/>
        <v>0</v>
      </c>
    </row>
    <row r="36" spans="1:16" s="10" customFormat="1" ht="18" customHeight="1">
      <c r="A36" s="740" t="str">
        <f>IF(B36&lt;&gt;"",ROW()-4,"")</f>
        <v/>
      </c>
      <c r="B36" s="228"/>
      <c r="C36" s="229"/>
      <c r="D36" s="229"/>
      <c r="E36" s="229"/>
      <c r="F36" s="225"/>
      <c r="G36" s="225"/>
      <c r="H36" s="225"/>
      <c r="I36" s="225"/>
      <c r="J36" s="225"/>
      <c r="K36" s="225"/>
      <c r="L36" s="225"/>
      <c r="M36" s="326"/>
      <c r="N36" s="226"/>
      <c r="O36" s="226"/>
      <c r="P36" s="226"/>
    </row>
    <row r="37" spans="1:16" s="14" customFormat="1" ht="18" customHeight="1">
      <c r="A37" s="11"/>
      <c r="B37" s="12" t="s">
        <v>41</v>
      </c>
      <c r="C37" s="12"/>
      <c r="D37" s="12"/>
      <c r="E37" s="12"/>
      <c r="F37" s="13">
        <f t="shared" ref="F37:P37" si="10">SUM(F5:F36)</f>
        <v>0</v>
      </c>
      <c r="G37" s="13">
        <f t="shared" si="10"/>
        <v>1223700</v>
      </c>
      <c r="H37" s="13">
        <f t="shared" si="10"/>
        <v>27471593800</v>
      </c>
      <c r="I37" s="13">
        <f t="shared" si="10"/>
        <v>764984</v>
      </c>
      <c r="J37" s="13">
        <f t="shared" si="10"/>
        <v>17342912600</v>
      </c>
      <c r="K37" s="13">
        <f t="shared" si="10"/>
        <v>623384</v>
      </c>
      <c r="L37" s="13">
        <f t="shared" si="10"/>
        <v>15469852600</v>
      </c>
      <c r="M37" s="13">
        <f t="shared" si="10"/>
        <v>0</v>
      </c>
      <c r="N37" s="13">
        <f t="shared" si="10"/>
        <v>0</v>
      </c>
      <c r="O37" s="974">
        <f t="shared" si="10"/>
        <v>1082100</v>
      </c>
      <c r="P37" s="13">
        <f t="shared" si="10"/>
        <v>25598533800</v>
      </c>
    </row>
    <row r="38" spans="1:16">
      <c r="J38" s="230">
        <f>J37-CDPS!E56</f>
        <v>0</v>
      </c>
      <c r="L38" s="230">
        <f>L37-CDPS!F56</f>
        <v>0</v>
      </c>
      <c r="P38" s="15"/>
    </row>
    <row r="39" spans="1:16">
      <c r="J39" s="230"/>
      <c r="K39" s="230"/>
      <c r="L39" s="230"/>
      <c r="P39" s="230"/>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D21" sqref="D2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2" customFormat="1" ht="16.5" customHeight="1">
      <c r="A1" s="236" t="s">
        <v>14</v>
      </c>
      <c r="B1" s="231"/>
      <c r="C1" s="231"/>
      <c r="H1" s="231"/>
      <c r="I1" s="231"/>
      <c r="J1" s="1305" t="s">
        <v>237</v>
      </c>
      <c r="K1" s="1305"/>
      <c r="L1" s="1305"/>
      <c r="M1" s="1305"/>
      <c r="N1" s="1305"/>
    </row>
    <row r="2" spans="1:14" s="232" customFormat="1" ht="16.5" customHeight="1">
      <c r="A2" s="237" t="s">
        <v>178</v>
      </c>
      <c r="B2" s="338"/>
      <c r="C2" s="338"/>
      <c r="H2" s="233"/>
      <c r="I2" s="233"/>
      <c r="J2" s="1306" t="s">
        <v>238</v>
      </c>
      <c r="K2" s="1306"/>
      <c r="L2" s="1306"/>
      <c r="M2" s="1306"/>
      <c r="N2" s="1306"/>
    </row>
    <row r="3" spans="1:14" s="232" customFormat="1" ht="16.5" customHeight="1">
      <c r="A3" s="338"/>
      <c r="B3" s="338"/>
      <c r="C3" s="338"/>
      <c r="H3" s="233"/>
      <c r="I3" s="233"/>
      <c r="J3" s="1306"/>
      <c r="K3" s="1306"/>
      <c r="L3" s="1306"/>
      <c r="M3" s="1306"/>
      <c r="N3" s="1306"/>
    </row>
    <row r="4" spans="1:14" s="232" customFormat="1" ht="16.5" customHeight="1">
      <c r="A4" s="338"/>
      <c r="B4" s="338"/>
      <c r="C4" s="338"/>
      <c r="H4" s="233"/>
      <c r="I4" s="233"/>
      <c r="J4" s="339"/>
      <c r="K4" s="339"/>
      <c r="L4" s="339"/>
      <c r="M4" s="339"/>
      <c r="N4" s="339"/>
    </row>
    <row r="5" spans="1:14" s="18" customFormat="1" ht="23.25" customHeight="1">
      <c r="A5" s="1323" t="s">
        <v>239</v>
      </c>
      <c r="B5" s="1323"/>
      <c r="C5" s="1323"/>
      <c r="D5" s="1323"/>
      <c r="E5" s="1323"/>
      <c r="F5" s="1323"/>
      <c r="G5" s="1323"/>
      <c r="H5" s="1323"/>
      <c r="I5" s="1323"/>
      <c r="J5" s="1323"/>
      <c r="K5" s="1323"/>
      <c r="L5" s="1323"/>
      <c r="M5" s="1323"/>
      <c r="N5" s="1323"/>
    </row>
    <row r="6" spans="1:14" s="18" customFormat="1">
      <c r="A6" s="1265" t="s">
        <v>240</v>
      </c>
      <c r="B6" s="1265"/>
      <c r="C6" s="1265"/>
      <c r="D6" s="1265"/>
      <c r="E6" s="1265"/>
      <c r="F6" s="1265"/>
      <c r="G6" s="1265"/>
      <c r="H6" s="1265"/>
      <c r="I6" s="1265"/>
      <c r="J6" s="1265"/>
      <c r="K6" s="1265"/>
      <c r="L6" s="1265"/>
      <c r="M6" s="1265"/>
      <c r="N6" s="1265"/>
    </row>
    <row r="7" spans="1:14" s="18" customFormat="1">
      <c r="A7" s="1265" t="s">
        <v>241</v>
      </c>
      <c r="B7" s="1265"/>
      <c r="C7" s="1265"/>
      <c r="D7" s="1265"/>
      <c r="E7" s="1265"/>
      <c r="F7" s="1265"/>
      <c r="G7" s="1265"/>
      <c r="H7" s="1265"/>
      <c r="I7" s="1265"/>
      <c r="J7" s="1265"/>
      <c r="K7" s="1265"/>
      <c r="L7" s="1265"/>
      <c r="M7" s="1265"/>
      <c r="N7" s="1265"/>
    </row>
    <row r="8" spans="1:14" s="18" customFormat="1" ht="15" customHeight="1">
      <c r="A8" s="1265" t="str">
        <f>IF(MID($H$9,4,4)="1015","Đối tượng cho vay: NH Eximbank CN Q11","Đối tượng cho vay: NH Eximbank CN Q4")</f>
        <v>Đối tượng cho vay: NH Eximbank CN Q4</v>
      </c>
      <c r="B8" s="1265"/>
      <c r="C8" s="1265"/>
      <c r="D8" s="1265"/>
      <c r="E8" s="1265"/>
      <c r="F8" s="1265"/>
      <c r="G8" s="1265"/>
      <c r="H8" s="1265"/>
      <c r="I8" s="1265"/>
      <c r="J8" s="1265"/>
      <c r="K8" s="1265"/>
      <c r="L8" s="1265"/>
      <c r="M8" s="1265"/>
      <c r="N8" s="1265"/>
    </row>
    <row r="9" spans="1:14" s="18" customFormat="1">
      <c r="A9" s="337"/>
      <c r="B9" s="337"/>
      <c r="C9" s="337"/>
      <c r="D9" s="337"/>
      <c r="E9" s="337"/>
      <c r="F9" s="337"/>
      <c r="G9" s="20" t="s">
        <v>242</v>
      </c>
      <c r="H9" s="1361" t="s">
        <v>846</v>
      </c>
      <c r="I9" s="1361"/>
      <c r="J9" s="340" t="str">
        <f>"ngày "&amp; TEXT(VLOOKUP($H$9,'341'!$B$5:$P$36,2,0),"dd/MM/yy")</f>
        <v>ngày 05/07/16</v>
      </c>
      <c r="K9" s="337"/>
      <c r="L9" s="337"/>
      <c r="M9" s="337"/>
      <c r="N9" s="337"/>
    </row>
    <row r="10" spans="1:14" s="18" customFormat="1">
      <c r="A10" s="1265" t="s">
        <v>243</v>
      </c>
      <c r="B10" s="1265"/>
      <c r="C10" s="1265"/>
      <c r="D10" s="1265"/>
      <c r="E10" s="1265"/>
      <c r="F10" s="1265"/>
      <c r="G10" s="1265"/>
      <c r="H10" s="1265"/>
      <c r="I10" s="1265"/>
      <c r="J10" s="1265"/>
      <c r="K10" s="1265"/>
      <c r="L10" s="1265"/>
      <c r="M10" s="1265"/>
      <c r="N10" s="1265"/>
    </row>
    <row r="11" spans="1:14" s="18" customFormat="1">
      <c r="C11" s="1308"/>
      <c r="D11" s="1308"/>
      <c r="E11" s="1308"/>
      <c r="F11" s="1308"/>
      <c r="G11" s="1308"/>
      <c r="H11" s="1308"/>
      <c r="I11" s="1308"/>
      <c r="J11" s="1308"/>
      <c r="K11" s="1308"/>
      <c r="L11" s="1308"/>
      <c r="M11" s="1308"/>
      <c r="N11" s="1308"/>
    </row>
    <row r="12" spans="1:14" s="18" customFormat="1" ht="15.75" customHeight="1">
      <c r="A12" s="1362" t="s">
        <v>22</v>
      </c>
      <c r="B12" s="1310" t="s">
        <v>1</v>
      </c>
      <c r="C12" s="1311"/>
      <c r="D12" s="1362" t="s">
        <v>0</v>
      </c>
      <c r="E12" s="1362" t="s">
        <v>16</v>
      </c>
      <c r="F12" s="1362" t="s">
        <v>244</v>
      </c>
      <c r="G12" s="1310" t="s">
        <v>23</v>
      </c>
      <c r="H12" s="1367"/>
      <c r="I12" s="1367"/>
      <c r="J12" s="1360"/>
      <c r="K12" s="1310" t="s">
        <v>33</v>
      </c>
      <c r="L12" s="1367"/>
      <c r="M12" s="1367"/>
      <c r="N12" s="1360"/>
    </row>
    <row r="13" spans="1:14" s="18" customFormat="1" ht="15.75" customHeight="1">
      <c r="A13" s="1363"/>
      <c r="B13" s="1368" t="s">
        <v>17</v>
      </c>
      <c r="C13" s="1368" t="s">
        <v>34</v>
      </c>
      <c r="D13" s="1363"/>
      <c r="E13" s="1363"/>
      <c r="F13" s="1365"/>
      <c r="G13" s="1359" t="s">
        <v>24</v>
      </c>
      <c r="H13" s="1360"/>
      <c r="I13" s="1359" t="s">
        <v>25</v>
      </c>
      <c r="J13" s="1360"/>
      <c r="K13" s="1359" t="s">
        <v>24</v>
      </c>
      <c r="L13" s="1360"/>
      <c r="M13" s="1359" t="s">
        <v>25</v>
      </c>
      <c r="N13" s="1360"/>
    </row>
    <row r="14" spans="1:14" s="18" customFormat="1" ht="32.25" customHeight="1">
      <c r="A14" s="1364"/>
      <c r="B14" s="1369"/>
      <c r="C14" s="1369"/>
      <c r="D14" s="1364"/>
      <c r="E14" s="1364"/>
      <c r="F14" s="1366"/>
      <c r="G14" s="29" t="s">
        <v>245</v>
      </c>
      <c r="H14" s="29" t="s">
        <v>246</v>
      </c>
      <c r="I14" s="29" t="s">
        <v>245</v>
      </c>
      <c r="J14" s="29" t="s">
        <v>246</v>
      </c>
      <c r="K14" s="29" t="s">
        <v>245</v>
      </c>
      <c r="L14" s="29" t="s">
        <v>246</v>
      </c>
      <c r="M14" s="29" t="s">
        <v>245</v>
      </c>
      <c r="N14" s="29" t="s">
        <v>246</v>
      </c>
    </row>
    <row r="15" spans="1:14" s="337" customFormat="1">
      <c r="A15" s="341" t="s">
        <v>2</v>
      </c>
      <c r="B15" s="342" t="s">
        <v>3</v>
      </c>
      <c r="C15" s="341" t="s">
        <v>4</v>
      </c>
      <c r="D15" s="341" t="s">
        <v>5</v>
      </c>
      <c r="E15" s="341" t="s">
        <v>6</v>
      </c>
      <c r="F15" s="341">
        <v>1</v>
      </c>
      <c r="G15" s="341">
        <v>2</v>
      </c>
      <c r="H15" s="341">
        <v>3</v>
      </c>
      <c r="I15" s="341">
        <v>4</v>
      </c>
      <c r="J15" s="341">
        <v>5</v>
      </c>
      <c r="K15" s="341">
        <v>6</v>
      </c>
      <c r="L15" s="341">
        <v>7</v>
      </c>
      <c r="M15" s="341">
        <v>8</v>
      </c>
      <c r="N15" s="341">
        <v>9</v>
      </c>
    </row>
    <row r="16" spans="1:14" s="18" customFormat="1" ht="19.5" customHeight="1">
      <c r="A16" s="361"/>
      <c r="B16" s="361"/>
      <c r="C16" s="361"/>
      <c r="D16" s="362" t="s">
        <v>7</v>
      </c>
      <c r="E16" s="363"/>
      <c r="F16" s="363"/>
      <c r="G16" s="361"/>
      <c r="H16" s="361"/>
      <c r="I16" s="361"/>
      <c r="J16" s="361"/>
      <c r="K16" s="364">
        <f>VLOOKUP($H$9,'341'!$B$5:$P$36,4,0)</f>
        <v>0</v>
      </c>
      <c r="L16" s="365">
        <f>VLOOKUP($H$9,'341'!$B$5:$P$36,5,0)</f>
        <v>0</v>
      </c>
      <c r="M16" s="364">
        <f>VLOOKUP($H$9,'341'!$B$5:$P$36,6,0)</f>
        <v>89000</v>
      </c>
      <c r="N16" s="365">
        <f>VLOOKUP($H$9,'341'!$B$5:$P$36,7,0)</f>
        <v>1983988000</v>
      </c>
    </row>
    <row r="17" spans="1:14" s="18" customFormat="1" ht="19.5" customHeight="1">
      <c r="A17" s="322">
        <f ca="1">IF(ROWS($1:1)&gt;COUNT(Dong4),"",OFFSET(TH!C$1,SMALL(Dong4,ROWS($1:1)),))</f>
        <v>42741</v>
      </c>
      <c r="B17" s="234" t="str">
        <f ca="1">IF(ROWS($1:1)&gt;COUNT(Dong4),"",OFFSET(TH!D$1,SMALL(Dong4,ROWS($1:1)),))</f>
        <v>GBN</v>
      </c>
      <c r="C17" s="234">
        <f ca="1">IF(ROWS($1:1)&gt;COUNT(Dong4),"",OFFSET(TH!E$1,SMALL(Dong4,ROWS($1:1)),))</f>
        <v>42741</v>
      </c>
      <c r="D17" s="366" t="str">
        <f ca="1">IF(ROWS($1:1)&gt;COUNT(Dong4),"",OFFSET(TH!F$1,SMALL(Dong4,ROWS($1:1)),))</f>
        <v>Trả gốc</v>
      </c>
      <c r="E17" s="234" t="str">
        <f ca="1">IF(ROWS($1:1)&gt;COUNT(Dong4),"",IF(LEFT(OFFSET(TH!O$1,SMALL(Dong4,ROWS($1:1)),),3)="341",OFFSET(TH!N$1,SMALL(Dong4,ROWS($1:1)),),OFFSET(TH!O$1,SMALL(Dong4,ROWS($1:1)),)))</f>
        <v>1122</v>
      </c>
      <c r="F17" s="367"/>
      <c r="G17" s="368">
        <f ca="1">IF(ROWS($1:1)&gt;COUNT(Dong4),"",IF(LEFT(OFFSET(TH!N$1,SMALL(Dong4,ROWS($1:1)),),3)="341",OFFSET(TH!K$1,SMALL(Dong4,ROWS($1:1)),),0))</f>
        <v>88934.61</v>
      </c>
      <c r="H17" s="367">
        <f ca="1">IF(ROWS($1:1)&gt;COUNT(Dong4),"",IF(LEFT(OFFSET(TH!N$1,SMALL(Dong4,ROWS($1:1)),),3)="341",OFFSET(TH!M$1,SMALL(Dong4,ROWS($1:1)),),0))</f>
        <v>2001028725</v>
      </c>
      <c r="I17" s="368">
        <f ca="1">IF(ROWS($1:1)&gt;COUNT(Dong4),"",IF(LEFT(OFFSET(TH!O$1,SMALL(Dong4,ROWS($1:1)),),3)="341",OFFSET(TH!K$1,SMALL(Dong4,ROWS($1:1)),),0))</f>
        <v>0</v>
      </c>
      <c r="J17" s="367">
        <f ca="1">IF(ROWS($1:1)&gt;COUNT(Dong4),"",IF(LEFT(OFFSET(TH!O$1,SMALL(Dong4,ROWS($1:1)),),3)="341",OFFSET(TH!M$1,SMALL(Dong4,ROWS($1:1)),),0))</f>
        <v>0</v>
      </c>
      <c r="K17" s="225">
        <f ca="1">IF(C17&lt;&gt;"",ROUND(MAX(K16+G17-I17-M16,0),2),0)</f>
        <v>0</v>
      </c>
      <c r="L17" s="8">
        <f ca="1">IF(C17&lt;&gt;"",MAX(L16-N16+H17-J17,0),0)</f>
        <v>17040725</v>
      </c>
      <c r="M17" s="225">
        <f ca="1">IF(C17&lt;&gt;"",ROUND(MAX(M16+I17-G17-K16,0),2),0)</f>
        <v>65.39</v>
      </c>
      <c r="N17" s="8">
        <f ca="1">IF(C17&lt;&gt;"",MAX(N16-L16+J17-H17,0),0)</f>
        <v>0</v>
      </c>
    </row>
    <row r="18" spans="1:14" s="369" customFormat="1" ht="19.5" customHeight="1">
      <c r="A18" s="322">
        <f ca="1">IF(ROWS($1:2)&gt;COUNT(Dong4),"",OFFSET(TH!C$1,SMALL(Dong4,ROWS($1:2)),))</f>
        <v>42741</v>
      </c>
      <c r="B18" s="234" t="str">
        <f ca="1">IF(ROWS($1:2)&gt;COUNT(Dong4),"",OFFSET(TH!D$1,SMALL(Dong4,ROWS($1:2)),))</f>
        <v>CTGS</v>
      </c>
      <c r="C18" s="234">
        <f ca="1">IF(ROWS($1:2)&gt;COUNT(Dong4),"",OFFSET(TH!E$1,SMALL(Dong4,ROWS($1:2)),))</f>
        <v>42741</v>
      </c>
      <c r="D18" s="366" t="str">
        <f ca="1">IF(ROWS($1:2)&gt;COUNT(Dong4),"",OFFSET(TH!F$1,SMALL(Dong4,ROWS($1:2)),))</f>
        <v>Kết chuyển hết nợ</v>
      </c>
      <c r="E18" s="234" t="str">
        <f ca="1">IF(ROWS($1:2)&gt;COUNT(Dong4),"",IF(LEFT(OFFSET(TH!O$1,SMALL(Dong4,ROWS($1:2)),),3)="341",OFFSET(TH!N$1,SMALL(Dong4,ROWS($1:2)),),OFFSET(TH!O$1,SMALL(Dong4,ROWS($1:2)),)))</f>
        <v>711</v>
      </c>
      <c r="F18" s="367"/>
      <c r="G18" s="368">
        <f ca="1">IF(ROWS($1:2)&gt;COUNT(Dong4),"",IF(LEFT(OFFSET(TH!N$1,SMALL(Dong4,ROWS($1:2)),),3)="341",OFFSET(TH!K$1,SMALL(Dong4,ROWS($1:2)),),0))</f>
        <v>65.39</v>
      </c>
      <c r="H18" s="367">
        <f ca="1">IF(ROWS($1:2)&gt;COUNT(Dong4),"",IF(LEFT(OFFSET(TH!N$1,SMALL(Dong4,ROWS($1:2)),),3)="341",OFFSET(TH!M$1,SMALL(Dong4,ROWS($1:2)),),0))</f>
        <v>1471275</v>
      </c>
      <c r="I18" s="368">
        <f ca="1">IF(ROWS($1:2)&gt;COUNT(Dong4),"",IF(LEFT(OFFSET(TH!O$1,SMALL(Dong4,ROWS($1:2)),),3)="341",OFFSET(TH!K$1,SMALL(Dong4,ROWS($1:2)),),0))</f>
        <v>0</v>
      </c>
      <c r="J18" s="367">
        <f ca="1">IF(ROWS($1:2)&gt;COUNT(Dong4),"",IF(LEFT(OFFSET(TH!O$1,SMALL(Dong4,ROWS($1:2)),),3)="341",OFFSET(TH!M$1,SMALL(Dong4,ROWS($1:2)),),0))</f>
        <v>0</v>
      </c>
      <c r="K18" s="225">
        <f ca="1">IF(C18&lt;&gt;"",ROUND(MAX(K17+G18-I18-M17,0),2),0)</f>
        <v>0</v>
      </c>
      <c r="L18" s="8">
        <f ca="1">IF(C18&lt;&gt;"",MAX(L17-N17+H18-J18,0),0)</f>
        <v>18512000</v>
      </c>
      <c r="M18" s="225">
        <f ca="1">IF(C18&lt;&gt;"",ROUND(MAX(M17+I18-G18-K17,0),2),0)</f>
        <v>0</v>
      </c>
      <c r="N18" s="8">
        <f ca="1">IF(C18&lt;&gt;"",MAX(N17-L17+J18-H18,0),0)</f>
        <v>0</v>
      </c>
    </row>
    <row r="19" spans="1:14" s="369" customFormat="1" ht="19.5" customHeight="1">
      <c r="A19" s="322">
        <f ca="1">IF(ROWS($1:3)&gt;COUNT(Dong4),"",OFFSET(TH!C$1,SMALL(Dong4,ROWS($1:3)),))</f>
        <v>42741</v>
      </c>
      <c r="B19" s="234" t="str">
        <f ca="1">IF(ROWS($1:3)&gt;COUNT(Dong4),"",OFFSET(TH!D$1,SMALL(Dong4,ROWS($1:3)),))</f>
        <v>CTGS</v>
      </c>
      <c r="C19" s="234">
        <f ca="1">IF(ROWS($1:3)&gt;COUNT(Dong4),"",OFFSET(TH!E$1,SMALL(Dong4,ROWS($1:3)),))</f>
        <v>42741</v>
      </c>
      <c r="D19" s="366" t="str">
        <f ca="1">IF(ROWS($1:3)&gt;COUNT(Dong4),"",OFFSET(TH!F$1,SMALL(Dong4,ROWS($1:3)),))</f>
        <v>Chênh lệch tỷ giá</v>
      </c>
      <c r="E19" s="234" t="str">
        <f ca="1">IF(ROWS($1:3)&gt;COUNT(Dong4),"",IF(LEFT(OFFSET(TH!O$1,SMALL(Dong4,ROWS($1:3)),),3)="341",OFFSET(TH!N$1,SMALL(Dong4,ROWS($1:3)),),OFFSET(TH!O$1,SMALL(Dong4,ROWS($1:3)),)))</f>
        <v>635</v>
      </c>
      <c r="F19" s="367"/>
      <c r="G19" s="368">
        <f ca="1">IF(ROWS($1:3)&gt;COUNT(Dong4),"",IF(LEFT(OFFSET(TH!N$1,SMALL(Dong4,ROWS($1:3)),),3)="341",OFFSET(TH!K$1,SMALL(Dong4,ROWS($1:3)),),0))</f>
        <v>0</v>
      </c>
      <c r="H19" s="367">
        <f ca="1">IF(ROWS($1:3)&gt;COUNT(Dong4),"",IF(LEFT(OFFSET(TH!N$1,SMALL(Dong4,ROWS($1:3)),),3)="341",OFFSET(TH!M$1,SMALL(Dong4,ROWS($1:3)),),0))</f>
        <v>0</v>
      </c>
      <c r="I19" s="368">
        <f ca="1">IF(ROWS($1:3)&gt;COUNT(Dong4),"",IF(LEFT(OFFSET(TH!O$1,SMALL(Dong4,ROWS($1:3)),),3)="341",OFFSET(TH!K$1,SMALL(Dong4,ROWS($1:3)),),0))</f>
        <v>0</v>
      </c>
      <c r="J19" s="367">
        <f ca="1">IF(ROWS($1:3)&gt;COUNT(Dong4),"",IF(LEFT(OFFSET(TH!O$1,SMALL(Dong4,ROWS($1:3)),),3)="341",OFFSET(TH!M$1,SMALL(Dong4,ROWS($1:3)),),0))</f>
        <v>18512000</v>
      </c>
      <c r="K19" s="225">
        <f ca="1">IF(C19&lt;&gt;"",ROUND(MAX(K18+G19-I19-M18,0),2),0)</f>
        <v>0</v>
      </c>
      <c r="L19" s="8">
        <f ca="1">IF(C19&lt;&gt;"",MAX(L18-N18+H19-J19,0),0)</f>
        <v>0</v>
      </c>
      <c r="M19" s="225">
        <f ca="1">IF(C19&lt;&gt;"",ROUND(MAX(M18+I19-G19-K18,0),2),0)</f>
        <v>0</v>
      </c>
      <c r="N19" s="8">
        <f ca="1">IF(C19&lt;&gt;"",MAX(N18-L18+J19-H19,0),0)</f>
        <v>0</v>
      </c>
    </row>
    <row r="20" spans="1:14" s="369" customFormat="1" ht="19.5" customHeight="1">
      <c r="A20" s="322" t="str">
        <f ca="1">IF(ROWS($1:4)&gt;COUNT(Dong4),"",OFFSET(TH!C$1,SMALL(Dong4,ROWS($1:4)),))</f>
        <v/>
      </c>
      <c r="B20" s="234" t="str">
        <f ca="1">IF(ROWS($1:4)&gt;COUNT(Dong4),"",OFFSET(TH!D$1,SMALL(Dong4,ROWS($1:4)),))</f>
        <v/>
      </c>
      <c r="C20" s="234" t="str">
        <f ca="1">IF(ROWS($1:4)&gt;COUNT(Dong4),"",OFFSET(TH!E$1,SMALL(Dong4,ROWS($1:4)),))</f>
        <v/>
      </c>
      <c r="D20" s="366" t="str">
        <f ca="1">IF(ROWS($1:4)&gt;COUNT(Dong4),"",OFFSET(TH!F$1,SMALL(Dong4,ROWS($1:4)),))</f>
        <v/>
      </c>
      <c r="E20" s="234" t="str">
        <f ca="1">IF(ROWS($1:4)&gt;COUNT(Dong4),"",IF(LEFT(OFFSET(TH!O$1,SMALL(Dong4,ROWS($1:4)),),3)="341",OFFSET(TH!N$1,SMALL(Dong4,ROWS($1:4)),),OFFSET(TH!O$1,SMALL(Dong4,ROWS($1:4)),)))</f>
        <v/>
      </c>
      <c r="F20" s="367"/>
      <c r="G20" s="368" t="str">
        <f ca="1">IF(ROWS($1:4)&gt;COUNT(Dong4),"",IF(LEFT(OFFSET(TH!N$1,SMALL(Dong4,ROWS($1:4)),),3)="341",OFFSET(TH!K$1,SMALL(Dong4,ROWS($1:4)),),0))</f>
        <v/>
      </c>
      <c r="H20" s="367" t="str">
        <f ca="1">IF(ROWS($1:4)&gt;COUNT(Dong4),"",IF(LEFT(OFFSET(TH!N$1,SMALL(Dong4,ROWS($1:4)),),3)="341",OFFSET(TH!M$1,SMALL(Dong4,ROWS($1:4)),),0))</f>
        <v/>
      </c>
      <c r="I20" s="368" t="str">
        <f ca="1">IF(ROWS($1:4)&gt;COUNT(Dong4),"",IF(LEFT(OFFSET(TH!O$1,SMALL(Dong4,ROWS($1:4)),),3)="341",OFFSET(TH!K$1,SMALL(Dong4,ROWS($1:4)),),0))</f>
        <v/>
      </c>
      <c r="J20" s="367"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9" customFormat="1" ht="19.5" customHeight="1">
      <c r="A21" s="322" t="str">
        <f ca="1">IF(ROWS($1:5)&gt;COUNT(Dong4),"",OFFSET(TH!C$1,SMALL(Dong4,ROWS($1:5)),))</f>
        <v/>
      </c>
      <c r="B21" s="234" t="str">
        <f ca="1">IF(ROWS($1:5)&gt;COUNT(Dong4),"",OFFSET(TH!D$1,SMALL(Dong4,ROWS($1:5)),))</f>
        <v/>
      </c>
      <c r="C21" s="234" t="str">
        <f ca="1">IF(ROWS($1:5)&gt;COUNT(Dong4),"",OFFSET(TH!E$1,SMALL(Dong4,ROWS($1:5)),))</f>
        <v/>
      </c>
      <c r="D21" s="366" t="str">
        <f ca="1">IF(ROWS($1:5)&gt;COUNT(Dong4),"",OFFSET(TH!F$1,SMALL(Dong4,ROWS($1:5)),))</f>
        <v/>
      </c>
      <c r="E21" s="234" t="str">
        <f ca="1">IF(ROWS($1:5)&gt;COUNT(Dong4),"",IF(LEFT(OFFSET(TH!O$1,SMALL(Dong4,ROWS($1:5)),),3)="341",OFFSET(TH!N$1,SMALL(Dong4,ROWS($1:5)),),OFFSET(TH!O$1,SMALL(Dong4,ROWS($1:5)),)))</f>
        <v/>
      </c>
      <c r="F21" s="367"/>
      <c r="G21" s="368" t="str">
        <f ca="1">IF(ROWS($1:5)&gt;COUNT(Dong4),"",IF(LEFT(OFFSET(TH!N$1,SMALL(Dong4,ROWS($1:5)),),3)="341",OFFSET(TH!K$1,SMALL(Dong4,ROWS($1:5)),),0))</f>
        <v/>
      </c>
      <c r="H21" s="367" t="str">
        <f ca="1">IF(ROWS($1:5)&gt;COUNT(Dong4),"",IF(LEFT(OFFSET(TH!N$1,SMALL(Dong4,ROWS($1:5)),),3)="341",OFFSET(TH!M$1,SMALL(Dong4,ROWS($1:5)),),0))</f>
        <v/>
      </c>
      <c r="I21" s="368" t="str">
        <f ca="1">IF(ROWS($1:5)&gt;COUNT(Dong4),"",IF(LEFT(OFFSET(TH!O$1,SMALL(Dong4,ROWS($1:5)),),3)="341",OFFSET(TH!K$1,SMALL(Dong4,ROWS($1:5)),),0))</f>
        <v/>
      </c>
      <c r="J21" s="367" t="str">
        <f ca="1">IF(ROWS($1:5)&gt;COUNT(Dong4),"",IF(LEFT(OFFSET(TH!O$1,SMALL(Dong4,ROWS($1:5)),),3)="341",OFFSET(TH!M$1,SMALL(Dong4,ROWS($1:5)),),0))</f>
        <v/>
      </c>
      <c r="K21" s="225">
        <f t="shared" ca="1" si="0"/>
        <v>0</v>
      </c>
      <c r="L21" s="8">
        <f t="shared" ca="1" si="1"/>
        <v>0</v>
      </c>
      <c r="M21" s="225">
        <f t="shared" ca="1" si="2"/>
        <v>0</v>
      </c>
      <c r="N21" s="8">
        <f t="shared" ca="1" si="3"/>
        <v>0</v>
      </c>
    </row>
    <row r="22" spans="1:14" s="369" customFormat="1" ht="19.5" customHeight="1">
      <c r="A22" s="322" t="str">
        <f ca="1">IF(ROWS($1:6)&gt;COUNT(Dong4),"",OFFSET(TH!C$1,SMALL(Dong4,ROWS($1:6)),))</f>
        <v/>
      </c>
      <c r="B22" s="234" t="str">
        <f ca="1">IF(ROWS($1:6)&gt;COUNT(Dong4),"",OFFSET(TH!D$1,SMALL(Dong4,ROWS($1:6)),))</f>
        <v/>
      </c>
      <c r="C22" s="234" t="str">
        <f ca="1">IF(ROWS($1:6)&gt;COUNT(Dong4),"",OFFSET(TH!E$1,SMALL(Dong4,ROWS($1:6)),))</f>
        <v/>
      </c>
      <c r="D22" s="366" t="str">
        <f ca="1">IF(ROWS($1:6)&gt;COUNT(Dong4),"",OFFSET(TH!F$1,SMALL(Dong4,ROWS($1:6)),))</f>
        <v/>
      </c>
      <c r="E22" s="234" t="str">
        <f ca="1">IF(ROWS($1:6)&gt;COUNT(Dong4),"",IF(LEFT(OFFSET(TH!O$1,SMALL(Dong4,ROWS($1:6)),),3)="341",OFFSET(TH!N$1,SMALL(Dong4,ROWS($1:6)),),OFFSET(TH!O$1,SMALL(Dong4,ROWS($1:6)),)))</f>
        <v/>
      </c>
      <c r="F22" s="367"/>
      <c r="G22" s="368" t="str">
        <f ca="1">IF(ROWS($1:6)&gt;COUNT(Dong4),"",IF(LEFT(OFFSET(TH!N$1,SMALL(Dong4,ROWS($1:6)),),3)="341",OFFSET(TH!K$1,SMALL(Dong4,ROWS($1:6)),),0))</f>
        <v/>
      </c>
      <c r="H22" s="367" t="str">
        <f ca="1">IF(ROWS($1:6)&gt;COUNT(Dong4),"",IF(LEFT(OFFSET(TH!N$1,SMALL(Dong4,ROWS($1:6)),),3)="341",OFFSET(TH!M$1,SMALL(Dong4,ROWS($1:6)),),0))</f>
        <v/>
      </c>
      <c r="I22" s="368" t="str">
        <f ca="1">IF(ROWS($1:6)&gt;COUNT(Dong4),"",IF(LEFT(OFFSET(TH!O$1,SMALL(Dong4,ROWS($1:6)),),3)="341",OFFSET(TH!K$1,SMALL(Dong4,ROWS($1:6)),),0))</f>
        <v/>
      </c>
      <c r="J22" s="367"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4"/>
      <c r="B23" s="234"/>
      <c r="C23" s="234"/>
      <c r="D23" s="370" t="s">
        <v>35</v>
      </c>
      <c r="E23" s="323" t="s">
        <v>21</v>
      </c>
      <c r="F23" s="323" t="s">
        <v>21</v>
      </c>
      <c r="G23" s="371">
        <f ca="1">SUM(G17:G22)</f>
        <v>89000</v>
      </c>
      <c r="H23" s="923">
        <f ca="1">SUM(H17:H22)</f>
        <v>2002500000</v>
      </c>
      <c r="I23" s="371">
        <f ca="1">SUM(I17:I22)</f>
        <v>0</v>
      </c>
      <c r="J23" s="923">
        <f ca="1">SUM(J17:J22)</f>
        <v>18512000</v>
      </c>
      <c r="K23" s="372" t="s">
        <v>21</v>
      </c>
      <c r="L23" s="372" t="s">
        <v>21</v>
      </c>
      <c r="M23" s="372" t="s">
        <v>21</v>
      </c>
      <c r="N23" s="372" t="s">
        <v>21</v>
      </c>
    </row>
    <row r="24" spans="1:14" s="18" customFormat="1" ht="19.5" customHeight="1">
      <c r="A24" s="373"/>
      <c r="B24" s="373"/>
      <c r="C24" s="373"/>
      <c r="D24" s="374" t="s">
        <v>10</v>
      </c>
      <c r="E24" s="375" t="s">
        <v>21</v>
      </c>
      <c r="F24" s="375" t="s">
        <v>21</v>
      </c>
      <c r="G24" s="375" t="s">
        <v>21</v>
      </c>
      <c r="H24" s="375" t="s">
        <v>21</v>
      </c>
      <c r="I24" s="375" t="s">
        <v>21</v>
      </c>
      <c r="J24" s="375" t="s">
        <v>21</v>
      </c>
      <c r="K24" s="376">
        <f ca="1">MAX(K16+G23-M16-I23,0)</f>
        <v>0</v>
      </c>
      <c r="L24" s="377">
        <f ca="1">MAX(L16+H23-N16-J23,0)</f>
        <v>0</v>
      </c>
      <c r="M24" s="376">
        <f ca="1">MAX(M16+I23-K16-G23,0)</f>
        <v>0</v>
      </c>
      <c r="N24" s="377">
        <f ca="1">MAX(N16+J23-L16-H23,0)</f>
        <v>0</v>
      </c>
    </row>
    <row r="25" spans="1:14" s="18" customFormat="1">
      <c r="E25" s="337"/>
      <c r="F25" s="337"/>
    </row>
    <row r="26" spans="1:14" s="18" customFormat="1">
      <c r="A26" s="235" t="s">
        <v>247</v>
      </c>
      <c r="E26" s="337"/>
      <c r="F26" s="337"/>
    </row>
    <row r="27" spans="1:14" s="18" customFormat="1">
      <c r="A27" s="235" t="str">
        <f>"- Ngày mở sổ: "&amp; TEXT(VLOOKUP($H$9,'341'!$B$5:$P$36,2,0),"dd/MM/yy")</f>
        <v>- Ngày mở sổ: 05/07/16</v>
      </c>
      <c r="E27" s="337"/>
      <c r="F27" s="337"/>
    </row>
    <row r="28" spans="1:14" s="18" customFormat="1">
      <c r="E28" s="337"/>
      <c r="F28" s="337"/>
      <c r="L28" s="337" t="s">
        <v>248</v>
      </c>
    </row>
    <row r="29" spans="1:14" s="18" customFormat="1">
      <c r="C29" s="337" t="s">
        <v>11</v>
      </c>
      <c r="E29" s="337"/>
      <c r="F29" s="337"/>
      <c r="L29" s="337" t="s">
        <v>12</v>
      </c>
    </row>
    <row r="30" spans="1:14" s="18" customFormat="1">
      <c r="C30" s="337" t="s">
        <v>13</v>
      </c>
      <c r="E30" s="337"/>
      <c r="F30" s="337"/>
      <c r="L30" s="337"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25" customWidth="1"/>
    <col min="2" max="2" width="7" style="425" customWidth="1"/>
    <col min="3" max="3" width="9.140625" style="425"/>
    <col min="4" max="4" width="25" style="425" customWidth="1"/>
    <col min="5" max="5" width="6.5703125" style="425" customWidth="1"/>
    <col min="6" max="10" width="10" style="425" customWidth="1"/>
    <col min="11" max="11" width="8.7109375" style="425" customWidth="1"/>
    <col min="12" max="12" width="15" style="425" customWidth="1"/>
    <col min="13" max="13" width="10" style="425" customWidth="1"/>
    <col min="14" max="14" width="9.42578125" style="425" customWidth="1"/>
    <col min="15" max="16384" width="9.140625" style="425"/>
  </cols>
  <sheetData>
    <row r="2" spans="1:14">
      <c r="A2" s="424" t="s">
        <v>180</v>
      </c>
      <c r="C2" s="426"/>
      <c r="F2" s="427"/>
      <c r="G2" s="427"/>
      <c r="H2" s="427"/>
      <c r="I2" s="427"/>
      <c r="J2" s="427"/>
      <c r="K2" s="427" t="s">
        <v>302</v>
      </c>
      <c r="L2" s="427"/>
      <c r="M2" s="427"/>
      <c r="N2" s="427"/>
    </row>
    <row r="3" spans="1:14">
      <c r="A3" s="424" t="s">
        <v>182</v>
      </c>
      <c r="C3" s="426"/>
      <c r="F3" s="428"/>
      <c r="G3" s="428"/>
      <c r="H3" s="428"/>
      <c r="I3" s="428"/>
      <c r="J3" s="428"/>
      <c r="K3" s="428" t="s">
        <v>235</v>
      </c>
      <c r="L3" s="428"/>
      <c r="M3" s="428"/>
      <c r="N3" s="428"/>
    </row>
    <row r="4" spans="1:14">
      <c r="F4" s="428"/>
      <c r="G4" s="428"/>
      <c r="H4" s="428"/>
      <c r="I4" s="428"/>
      <c r="J4" s="428"/>
      <c r="K4" s="428" t="s">
        <v>236</v>
      </c>
      <c r="L4" s="428"/>
      <c r="M4" s="428"/>
      <c r="N4" s="428"/>
    </row>
    <row r="5" spans="1:14" s="429" customFormat="1" ht="23.25" customHeight="1">
      <c r="A5" s="1378" t="s">
        <v>303</v>
      </c>
      <c r="B5" s="1378"/>
      <c r="C5" s="1378"/>
      <c r="D5" s="1378"/>
      <c r="E5" s="1378"/>
      <c r="F5" s="1378"/>
      <c r="G5" s="1378"/>
      <c r="H5" s="1378"/>
      <c r="I5" s="1378"/>
      <c r="J5" s="1378"/>
      <c r="K5" s="1378"/>
      <c r="L5" s="1378"/>
      <c r="M5" s="1378"/>
      <c r="N5" s="1378"/>
    </row>
    <row r="6" spans="1:14">
      <c r="A6" s="1379" t="s">
        <v>254</v>
      </c>
      <c r="B6" s="1379" t="s">
        <v>304</v>
      </c>
      <c r="C6" s="1379"/>
      <c r="D6" s="1379"/>
      <c r="E6" s="1379"/>
      <c r="F6" s="1379"/>
      <c r="G6" s="1379"/>
      <c r="H6" s="1379"/>
      <c r="I6" s="1379"/>
      <c r="J6" s="1379"/>
      <c r="K6" s="1379"/>
      <c r="L6" s="1379"/>
      <c r="M6" s="1379"/>
      <c r="N6" s="1379"/>
    </row>
    <row r="7" spans="1:14">
      <c r="C7" s="1380"/>
      <c r="D7" s="1380"/>
      <c r="E7" s="1380"/>
      <c r="F7" s="1380"/>
      <c r="G7" s="1380"/>
      <c r="H7" s="1380"/>
      <c r="I7" s="1380"/>
      <c r="J7" s="1380"/>
      <c r="K7" s="1380"/>
      <c r="L7" s="1380"/>
      <c r="M7" s="1380"/>
      <c r="N7" s="1380"/>
    </row>
    <row r="8" spans="1:14" ht="15.75" customHeight="1">
      <c r="A8" s="1372" t="s">
        <v>22</v>
      </c>
      <c r="B8" s="1381" t="s">
        <v>1</v>
      </c>
      <c r="C8" s="1382"/>
      <c r="D8" s="1372" t="s">
        <v>0</v>
      </c>
      <c r="E8" s="1372" t="s">
        <v>16</v>
      </c>
      <c r="F8" s="1371" t="s">
        <v>23</v>
      </c>
      <c r="G8" s="1371"/>
      <c r="H8" s="1371"/>
      <c r="I8" s="1371"/>
      <c r="J8" s="1371"/>
      <c r="K8" s="1371"/>
      <c r="L8" s="1371" t="s">
        <v>33</v>
      </c>
      <c r="M8" s="1371"/>
      <c r="N8" s="1371"/>
    </row>
    <row r="9" spans="1:14" ht="15.75" customHeight="1">
      <c r="A9" s="1372"/>
      <c r="B9" s="1383"/>
      <c r="C9" s="1384"/>
      <c r="D9" s="1372"/>
      <c r="E9" s="1372"/>
      <c r="F9" s="1371" t="s">
        <v>305</v>
      </c>
      <c r="G9" s="1371"/>
      <c r="H9" s="1371"/>
      <c r="I9" s="1371" t="s">
        <v>306</v>
      </c>
      <c r="J9" s="1371"/>
      <c r="K9" s="1371"/>
      <c r="L9" s="1372" t="s">
        <v>307</v>
      </c>
      <c r="M9" s="1372" t="s">
        <v>308</v>
      </c>
      <c r="N9" s="1372" t="s">
        <v>309</v>
      </c>
    </row>
    <row r="10" spans="1:14" ht="15.75" customHeight="1">
      <c r="A10" s="1372"/>
      <c r="B10" s="1374" t="s">
        <v>17</v>
      </c>
      <c r="C10" s="1374" t="s">
        <v>34</v>
      </c>
      <c r="D10" s="1372"/>
      <c r="E10" s="1372"/>
      <c r="F10" s="1376" t="s">
        <v>307</v>
      </c>
      <c r="G10" s="1376" t="s">
        <v>308</v>
      </c>
      <c r="H10" s="1376" t="s">
        <v>309</v>
      </c>
      <c r="I10" s="1376" t="s">
        <v>307</v>
      </c>
      <c r="J10" s="1376" t="s">
        <v>308</v>
      </c>
      <c r="K10" s="1376" t="s">
        <v>309</v>
      </c>
      <c r="L10" s="1373"/>
      <c r="M10" s="1373"/>
      <c r="N10" s="1373"/>
    </row>
    <row r="11" spans="1:14">
      <c r="A11" s="1372"/>
      <c r="B11" s="1375"/>
      <c r="C11" s="1375"/>
      <c r="D11" s="1372"/>
      <c r="E11" s="1372"/>
      <c r="F11" s="1377"/>
      <c r="G11" s="1377"/>
      <c r="H11" s="1377"/>
      <c r="I11" s="1377"/>
      <c r="J11" s="1377"/>
      <c r="K11" s="1377"/>
      <c r="L11" s="1373"/>
      <c r="M11" s="1373"/>
      <c r="N11" s="1373"/>
    </row>
    <row r="12" spans="1:14" s="428" customFormat="1">
      <c r="A12" s="430" t="s">
        <v>2</v>
      </c>
      <c r="B12" s="431" t="s">
        <v>3</v>
      </c>
      <c r="C12" s="430" t="s">
        <v>4</v>
      </c>
      <c r="D12" s="430" t="s">
        <v>5</v>
      </c>
      <c r="E12" s="430" t="s">
        <v>6</v>
      </c>
      <c r="F12" s="430">
        <v>1</v>
      </c>
      <c r="G12" s="430"/>
      <c r="H12" s="430"/>
      <c r="I12" s="430"/>
      <c r="J12" s="430"/>
      <c r="K12" s="430"/>
      <c r="L12" s="430"/>
      <c r="M12" s="430"/>
      <c r="N12" s="430"/>
    </row>
    <row r="13" spans="1:14">
      <c r="A13" s="432"/>
      <c r="B13" s="432"/>
      <c r="C13" s="432"/>
      <c r="D13" s="433" t="s">
        <v>7</v>
      </c>
      <c r="E13" s="432"/>
      <c r="F13" s="432"/>
      <c r="G13" s="432"/>
      <c r="H13" s="432"/>
      <c r="I13" s="432"/>
      <c r="J13" s="432"/>
      <c r="K13" s="432"/>
      <c r="L13" s="434">
        <f>CDPS!$D$58</f>
        <v>10000000000</v>
      </c>
      <c r="M13" s="432"/>
      <c r="N13" s="432"/>
    </row>
    <row r="14" spans="1:14">
      <c r="A14" s="435"/>
      <c r="B14" s="435"/>
      <c r="C14" s="435"/>
      <c r="D14" s="436" t="s">
        <v>310</v>
      </c>
      <c r="E14" s="435"/>
      <c r="F14" s="435"/>
      <c r="G14" s="435"/>
      <c r="H14" s="435"/>
      <c r="I14" s="435"/>
      <c r="J14" s="435"/>
      <c r="K14" s="435"/>
      <c r="L14" s="435"/>
      <c r="M14" s="435"/>
      <c r="N14" s="435"/>
    </row>
    <row r="15" spans="1:14">
      <c r="A15" s="435"/>
      <c r="B15" s="435"/>
      <c r="C15" s="435"/>
      <c r="D15" s="435"/>
      <c r="E15" s="435"/>
      <c r="F15" s="435"/>
      <c r="G15" s="435"/>
      <c r="H15" s="435"/>
      <c r="I15" s="435"/>
      <c r="J15" s="435"/>
      <c r="K15" s="435"/>
      <c r="L15" s="435"/>
      <c r="M15" s="435"/>
      <c r="N15" s="435"/>
    </row>
    <row r="16" spans="1:14">
      <c r="A16" s="435"/>
      <c r="B16" s="435"/>
      <c r="C16" s="435"/>
      <c r="D16" s="437"/>
      <c r="E16" s="437"/>
      <c r="F16" s="437"/>
      <c r="G16" s="437"/>
      <c r="H16" s="437"/>
      <c r="I16" s="437"/>
      <c r="J16" s="437"/>
      <c r="K16" s="437"/>
      <c r="L16" s="437"/>
      <c r="M16" s="437"/>
      <c r="N16" s="437"/>
    </row>
    <row r="17" spans="1:14">
      <c r="A17" s="435"/>
      <c r="B17" s="435"/>
      <c r="C17" s="435"/>
      <c r="D17" s="438" t="s">
        <v>158</v>
      </c>
      <c r="E17" s="829" t="s">
        <v>21</v>
      </c>
      <c r="F17" s="439"/>
      <c r="G17" s="439"/>
      <c r="H17" s="439"/>
      <c r="I17" s="439"/>
      <c r="J17" s="439"/>
      <c r="K17" s="439"/>
      <c r="L17" s="439"/>
      <c r="M17" s="439"/>
      <c r="N17" s="439"/>
    </row>
    <row r="18" spans="1:14">
      <c r="A18" s="440"/>
      <c r="B18" s="440"/>
      <c r="C18" s="440"/>
      <c r="D18" s="441" t="s">
        <v>10</v>
      </c>
      <c r="E18" s="830" t="s">
        <v>21</v>
      </c>
      <c r="F18" s="440"/>
      <c r="G18" s="440"/>
      <c r="H18" s="440"/>
      <c r="I18" s="440"/>
      <c r="J18" s="440"/>
      <c r="K18" s="440"/>
      <c r="L18" s="442">
        <f>L13+L17</f>
        <v>10000000000</v>
      </c>
      <c r="M18" s="440"/>
      <c r="N18" s="440"/>
    </row>
    <row r="20" spans="1:14">
      <c r="C20" s="443" t="s">
        <v>311</v>
      </c>
    </row>
    <row r="21" spans="1:14">
      <c r="C21" s="443" t="s">
        <v>312</v>
      </c>
    </row>
    <row r="22" spans="1:14">
      <c r="B22" s="444"/>
      <c r="C22" s="444"/>
      <c r="D22" s="444"/>
      <c r="E22" s="1370" t="s">
        <v>313</v>
      </c>
      <c r="F22" s="1370"/>
      <c r="G22" s="1370"/>
      <c r="H22" s="1370"/>
      <c r="I22" s="1370"/>
      <c r="J22" s="1370"/>
      <c r="K22" s="1370"/>
      <c r="L22" s="1370"/>
      <c r="M22" s="1370"/>
      <c r="N22" s="1370"/>
    </row>
    <row r="23" spans="1:14">
      <c r="A23" s="1370" t="s">
        <v>11</v>
      </c>
      <c r="B23" s="1370"/>
      <c r="C23" s="1370"/>
      <c r="D23" s="1370"/>
      <c r="E23" s="1370" t="s">
        <v>12</v>
      </c>
      <c r="F23" s="1370"/>
      <c r="G23" s="1370"/>
      <c r="H23" s="1370"/>
      <c r="I23" s="1370"/>
      <c r="J23" s="1370"/>
      <c r="K23" s="1370"/>
      <c r="L23" s="1370"/>
      <c r="M23" s="1370"/>
      <c r="N23" s="1370"/>
    </row>
    <row r="24" spans="1:14">
      <c r="A24" s="1370" t="s">
        <v>13</v>
      </c>
      <c r="B24" s="1370"/>
      <c r="C24" s="1370"/>
      <c r="D24" s="1370"/>
      <c r="E24" s="1370" t="s">
        <v>13</v>
      </c>
      <c r="F24" s="1370"/>
      <c r="G24" s="1370"/>
      <c r="H24" s="1370"/>
      <c r="I24" s="1370"/>
      <c r="J24" s="1370"/>
      <c r="K24" s="1370"/>
      <c r="L24" s="1370"/>
      <c r="M24" s="1370"/>
      <c r="N24" s="1370"/>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B16" sqref="B16"/>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98" customFormat="1" ht="5.25" customHeight="1"/>
    <row r="2" spans="1:16" s="498" customFormat="1" ht="12.75" customHeight="1">
      <c r="A2" s="92" t="s">
        <v>180</v>
      </c>
      <c r="G2" s="107" t="str">
        <f>+IF(LEFT($D$7,1)="N","Mẫu số 01 - VT","Mẫu số 02 - VT")</f>
        <v>Mẫu số 02 - VT</v>
      </c>
    </row>
    <row r="3" spans="1:16" s="498" customFormat="1" ht="12.75" customHeight="1">
      <c r="A3" s="103" t="s">
        <v>316</v>
      </c>
      <c r="G3" s="104" t="s">
        <v>317</v>
      </c>
      <c r="N3" s="107" t="s">
        <v>126</v>
      </c>
      <c r="O3" s="499"/>
    </row>
    <row r="4" spans="1:16" s="498" customFormat="1" ht="11.25" customHeight="1">
      <c r="G4" s="104" t="s">
        <v>236</v>
      </c>
      <c r="J4" s="500" t="s">
        <v>460</v>
      </c>
      <c r="M4" s="501"/>
      <c r="N4" s="107" t="s">
        <v>127</v>
      </c>
      <c r="O4" s="499"/>
    </row>
    <row r="5" spans="1:16" s="498" customFormat="1" ht="18" customHeight="1">
      <c r="D5" s="502" t="str">
        <f>+IF(LEFT($L$5,1)="N","PHIẾU NHẬP KHO","PHIẾU XUẤT KHO")</f>
        <v>PHIẾU NHẬP KHO</v>
      </c>
      <c r="J5" s="503">
        <v>1</v>
      </c>
      <c r="K5" s="504"/>
      <c r="L5" s="505" t="s">
        <v>1218</v>
      </c>
      <c r="M5" s="506"/>
      <c r="N5" s="507">
        <v>1</v>
      </c>
      <c r="O5" s="499"/>
      <c r="P5" s="499"/>
    </row>
    <row r="6" spans="1:16" s="508" customFormat="1" ht="12" customHeight="1">
      <c r="D6" s="509" t="str">
        <f ca="1">"Ngày  " &amp;DAY(IF(ROWS($1:1)&gt;COUNT(Dong10),"",OFFSET(TH!C$1,SMALL(Dong10,ROWS($1:1)),)))&amp;"  tháng  " &amp; MONTH(IF(ROWS($1:1)&gt;COUNT(Dong10),"",OFFSET(TH!C$1,SMALL(Dong10,ROWS($1:1)),)))&amp;"  năm  "&amp;YEAR(IF(ROWS($1:1)&gt;COUNT(Dong10),"",OFFSET(TH!C$1,SMALL(Dong10,ROWS($1:1)),)))</f>
        <v>Ngày  7  tháng  1  năm  2017</v>
      </c>
      <c r="E6" s="510"/>
      <c r="M6" s="511"/>
      <c r="O6" s="512"/>
    </row>
    <row r="7" spans="1:16" s="508" customFormat="1" ht="12" customHeight="1">
      <c r="C7" s="513" t="str">
        <f xml:space="preserve"> "Số:"</f>
        <v>Số:</v>
      </c>
      <c r="D7" s="514" t="str">
        <f xml:space="preserve"> RIGHT($L$5,2)&amp;"/"&amp;LEFT($L$5,1)&amp;IF($N$5&gt;=10,$N$5,"0"&amp;$N$5)</f>
        <v>VL/N01</v>
      </c>
      <c r="G7" s="508" t="str">
        <f ca="1">"Nợ:  "&amp;IF(ROWS($1:1)&gt;COUNT(Dong10),"",OFFSET(TH!N$1,SMALL(Dong10,ROWS($1:1)),))</f>
        <v>Nợ:  1522</v>
      </c>
      <c r="M7" s="511"/>
      <c r="O7" s="512"/>
    </row>
    <row r="8" spans="1:16" s="508" customFormat="1" ht="12" customHeight="1">
      <c r="D8" s="104"/>
      <c r="G8" s="508" t="str">
        <f ca="1">"Có:  "&amp;IF(ROWS($1:1)&gt;COUNT(Dong10),"",OFFSET(TH!O$1,SMALL(Dong10,ROWS($1:1)),))</f>
        <v>Có:  331</v>
      </c>
      <c r="M8" s="511"/>
      <c r="O8" s="515"/>
    </row>
    <row r="9" spans="1:16" s="508" customFormat="1" ht="12" customHeight="1">
      <c r="A9" s="508" t="str">
        <f ca="1">+IF(MID($D$7,4,1)="N","Họ và tên người giao :   ","Họ và tên người nhận hàng :   ")&amp;IF(ROWS($1:1)&gt;COUNT(Dong10),"",OFFSET(TH!H$1,SMALL(Dong10,ROWS($1:1)),)) &amp;IF(MID($D$7,4,1)="N","","                                         Địa chỉ (bộ phận) :     Sản Xuất ")</f>
        <v>Họ và tên người giao :   Cty TNHH SX TM Nghị Hòa</v>
      </c>
      <c r="M9" s="511"/>
    </row>
    <row r="10" spans="1:16" s="508" customFormat="1" ht="12" customHeight="1">
      <c r="A10" s="508" t="str">
        <f>+IF(LEFT($D$7,1)="N","Theo……………………………………....…………..số………….…………….……ngày……...tháng…......năm……....","Lý do xuất :                                 Xuất dùng ")</f>
        <v xml:space="preserve">Lý do xuất :                                 Xuất dùng </v>
      </c>
    </row>
    <row r="11" spans="1:16" s="508" customFormat="1" ht="12" customHeight="1">
      <c r="A11" s="508" t="str">
        <f>+IF(LEFT($D$7,1)="N","của………………………………………………………………………………………………………………………………....","Xuất tại kho (ngăn lô) :            Công ty TNHH Hải Sản An Lạc                      Địa điểm :  Đức Hòa, Long An.")</f>
        <v>Xuất tại kho (ngăn lô) :            Công ty TNHH Hải Sản An Lạc                      Địa điểm :  Đức Hòa, Long An.</v>
      </c>
    </row>
    <row r="12" spans="1:16" s="508" customFormat="1" ht="12" customHeight="1">
      <c r="A12" s="508" t="str">
        <f>+IF(LEFT("x",1)="N","Nhập tại kho:       Công ty TNHH Hải Sản An Lạc                      Địa điểm:  Đức Hòa, Long An."," ")</f>
        <v/>
      </c>
    </row>
    <row r="13" spans="1:16" s="508" customFormat="1" ht="2.25" customHeight="1"/>
    <row r="14" spans="1:16" s="508" customFormat="1" ht="11.25" customHeight="1">
      <c r="A14" s="1385" t="s">
        <v>37</v>
      </c>
      <c r="B14" s="1385" t="s">
        <v>461</v>
      </c>
      <c r="C14" s="1385" t="s">
        <v>462</v>
      </c>
      <c r="D14" s="1385" t="s">
        <v>324</v>
      </c>
      <c r="E14" s="1387" t="s">
        <v>463</v>
      </c>
      <c r="F14" s="1387"/>
      <c r="G14" s="1385" t="s">
        <v>464</v>
      </c>
      <c r="H14" s="1385" t="s">
        <v>465</v>
      </c>
    </row>
    <row r="15" spans="1:16" s="508" customFormat="1" ht="19.5" customHeight="1">
      <c r="A15" s="1386"/>
      <c r="B15" s="1386"/>
      <c r="C15" s="1386"/>
      <c r="D15" s="1386"/>
      <c r="E15" s="516" t="s">
        <v>466</v>
      </c>
      <c r="F15" s="516" t="str">
        <f>IF(LEFT($D$7,1)="N","Thực nhập","Thực xuất")</f>
        <v>Thực xuất</v>
      </c>
      <c r="G15" s="1386"/>
      <c r="H15" s="1386"/>
    </row>
    <row r="16" spans="1:16" s="518" customFormat="1" ht="8.25" customHeight="1">
      <c r="A16" s="517" t="s">
        <v>2</v>
      </c>
      <c r="B16" s="517" t="s">
        <v>3</v>
      </c>
      <c r="C16" s="517" t="s">
        <v>4</v>
      </c>
      <c r="D16" s="517" t="s">
        <v>5</v>
      </c>
      <c r="E16" s="517">
        <v>1</v>
      </c>
      <c r="F16" s="517">
        <v>2</v>
      </c>
      <c r="G16" s="517">
        <v>3</v>
      </c>
      <c r="H16" s="517">
        <v>4</v>
      </c>
    </row>
    <row r="17" spans="1:8" s="508" customFormat="1" ht="12" customHeight="1">
      <c r="A17" s="519">
        <f ca="1">IF(B17="","",ROW()-16)</f>
        <v>1</v>
      </c>
      <c r="B17" s="520" t="str">
        <f ca="1">IF(ROWS($1:1)&gt;COUNT(Dong10),"",OFFSET(TH!F$1,SMALL(Dong10,ROWS($1:1)),))</f>
        <v>Thùng carton 46.5x34.5x26.5</v>
      </c>
      <c r="C17" s="521"/>
      <c r="D17" s="522" t="str">
        <f ca="1">IF(ISNA(VLOOKUP(B17,NXT!$C$12:$D$113,2,0)),"",VLOOKUP(B17,NXT!$C$12:$D$113,2,0))</f>
        <v>cái</v>
      </c>
      <c r="E17" s="523"/>
      <c r="F17" s="524">
        <f ca="1">IF(ROWS($1:1)&gt;COUNT(Dong10),"",OFFSET(TH!I$1,SMALL(Dong10,ROWS($1:1)),))</f>
        <v>1311</v>
      </c>
      <c r="G17" s="525">
        <f ca="1">IF(ROWS($1:1)&gt;COUNT(Dong10),"",OFFSET(TH!J$1,SMALL(Dong10,ROWS($1:1)),))</f>
        <v>18200</v>
      </c>
      <c r="H17" s="523">
        <f t="shared" ref="H17:H23" ca="1" si="0">IF(F17&lt;&gt;"",ROUND(F17*G17,0),"")</f>
        <v>23860200</v>
      </c>
    </row>
    <row r="18" spans="1:8" s="508" customFormat="1" ht="12" customHeight="1">
      <c r="A18" s="519">
        <f t="shared" ref="A18:A23" ca="1" si="1">IF(B18="","",A17+1)</f>
        <v>2</v>
      </c>
      <c r="B18" s="520" t="str">
        <f ca="1">IF(ROWS($1:2)&gt;COUNT(Dong10),"",OFFSET(TH!F$1,SMALL(Dong10,ROWS($1:2)),))</f>
        <v>Thùng carton 54.5x37.5x32.5</v>
      </c>
      <c r="C18" s="521"/>
      <c r="D18" s="522" t="str">
        <f ca="1">IF(ISNA(VLOOKUP(B18,NXT!$C$12:$D$113,2,0)),"",VLOOKUP(B18,NXT!$C$12:$D$113,2,0))</f>
        <v>cái</v>
      </c>
      <c r="E18" s="523"/>
      <c r="F18" s="524">
        <f ca="1">IF(ROWS($1:2)&gt;COUNT(Dong10),"",OFFSET(TH!I$1,SMALL(Dong10,ROWS($1:2)),))</f>
        <v>424</v>
      </c>
      <c r="G18" s="525">
        <f ca="1">IF(ROWS($1:2)&gt;COUNT(Dong10),"",OFFSET(TH!J$1,SMALL(Dong10,ROWS($1:2)),))</f>
        <v>18000</v>
      </c>
      <c r="H18" s="523">
        <f t="shared" ca="1" si="0"/>
        <v>7632000</v>
      </c>
    </row>
    <row r="19" spans="1:8" s="508" customFormat="1" ht="12" customHeight="1">
      <c r="A19" s="519">
        <f t="shared" ca="1" si="1"/>
        <v>3</v>
      </c>
      <c r="B19" s="520" t="str">
        <f ca="1">IF(ROWS($1:3)&gt;COUNT(Dong10),"",OFFSET(TH!F$1,SMALL(Dong10,ROWS($1:3)),))</f>
        <v>Thùng carton 48x35.5x22</v>
      </c>
      <c r="C19" s="521"/>
      <c r="D19" s="522" t="str">
        <f ca="1">IF(ISNA(VLOOKUP(B19,NXT!$C$12:$D$113,2,0)),"",VLOOKUP(B19,NXT!$C$12:$D$113,2,0))</f>
        <v>cái</v>
      </c>
      <c r="E19" s="523"/>
      <c r="F19" s="524">
        <f ca="1">IF(ROWS($1:3)&gt;COUNT(Dong10),"",OFFSET(TH!I$1,SMALL(Dong10,ROWS($1:3)),))</f>
        <v>140</v>
      </c>
      <c r="G19" s="525">
        <f ca="1">IF(ROWS($1:3)&gt;COUNT(Dong10),"",OFFSET(TH!J$1,SMALL(Dong10,ROWS($1:3)),))</f>
        <v>6000</v>
      </c>
      <c r="H19" s="523">
        <f t="shared" ca="1" si="0"/>
        <v>840000</v>
      </c>
    </row>
    <row r="20" spans="1:8" s="508" customFormat="1" ht="12" customHeight="1">
      <c r="A20" s="519">
        <f t="shared" ca="1" si="1"/>
        <v>4</v>
      </c>
      <c r="B20" s="520" t="str">
        <f ca="1">IF(ROWS($1:4)&gt;COUNT(Dong10),"",OFFSET(TH!F$1,SMALL(Dong10,ROWS($1:4)),))</f>
        <v>Thùng carton 54x41x2</v>
      </c>
      <c r="C20" s="521"/>
      <c r="D20" s="522" t="str">
        <f ca="1">IF(ISNA(VLOOKUP(B20,NXT!$C$12:$D$113,2,0)),"",VLOOKUP(B20,NXT!$C$12:$D$113,2,0))</f>
        <v>cái</v>
      </c>
      <c r="E20" s="523"/>
      <c r="F20" s="524">
        <f ca="1">IF(ROWS($1:4)&gt;COUNT(Dong10),"",OFFSET(TH!I$1,SMALL(Dong10,ROWS($1:4)),))</f>
        <v>450</v>
      </c>
      <c r="G20" s="525">
        <f ca="1">IF(ROWS($1:4)&gt;COUNT(Dong10),"",OFFSET(TH!J$1,SMALL(Dong10,ROWS($1:4)),))</f>
        <v>2400</v>
      </c>
      <c r="H20" s="523">
        <f t="shared" ca="1" si="0"/>
        <v>1080000</v>
      </c>
    </row>
    <row r="21" spans="1:8" s="508" customFormat="1" ht="12" customHeight="1">
      <c r="A21" s="519">
        <f t="shared" ca="1" si="1"/>
        <v>5</v>
      </c>
      <c r="B21" s="520" t="str">
        <f ca="1">IF(ROWS($1:5)&gt;COUNT(Dong10),"",OFFSET(TH!F$1,SMALL(Dong10,ROWS($1:5)),))</f>
        <v>VAT Thùng carton</v>
      </c>
      <c r="C21" s="521"/>
      <c r="D21" s="522" t="str">
        <f ca="1">IF(ISNA(VLOOKUP(B21,NXT!$C$12:$D$113,2,0)),"",VLOOKUP(B21,NXT!$C$12:$D$113,2,0))</f>
        <v/>
      </c>
      <c r="E21" s="523"/>
      <c r="F21" s="524">
        <f ca="1">IF(ROWS($1:5)&gt;COUNT(Dong10),"",OFFSET(TH!I$1,SMALL(Dong10,ROWS($1:5)),))</f>
        <v>0</v>
      </c>
      <c r="G21" s="525">
        <f ca="1">IF(ROWS($1:5)&gt;COUNT(Dong10),"",OFFSET(TH!J$1,SMALL(Dong10,ROWS($1:5)),))</f>
        <v>0</v>
      </c>
      <c r="H21" s="523">
        <f t="shared" ca="1" si="0"/>
        <v>0</v>
      </c>
    </row>
    <row r="22" spans="1:8" s="508" customFormat="1" ht="12" customHeight="1">
      <c r="A22" s="519" t="str">
        <f t="shared" ca="1" si="1"/>
        <v/>
      </c>
      <c r="B22" s="520" t="str">
        <f ca="1">IF(ROWS($1:6)&gt;COUNT(Dong10),"",OFFSET(TH!F$1,SMALL(Dong10,ROWS($1:6)),))</f>
        <v/>
      </c>
      <c r="C22" s="521"/>
      <c r="D22" s="522" t="str">
        <f ca="1">IF(ISNA(VLOOKUP(B22,NXT!$C$12:$D$113,2,0)),"",VLOOKUP(B22,NXT!$C$12:$D$113,2,0))</f>
        <v/>
      </c>
      <c r="E22" s="523"/>
      <c r="F22" s="524" t="str">
        <f ca="1">IF(ROWS($1:6)&gt;COUNT(Dong10),"",OFFSET(TH!I$1,SMALL(Dong10,ROWS($1:6)),))</f>
        <v/>
      </c>
      <c r="G22" s="525" t="str">
        <f ca="1">IF(ROWS($1:6)&gt;COUNT(Dong10),"",OFFSET(TH!J$1,SMALL(Dong10,ROWS($1:6)),))</f>
        <v/>
      </c>
      <c r="H22" s="523" t="str">
        <f t="shared" ca="1" si="0"/>
        <v/>
      </c>
    </row>
    <row r="23" spans="1:8" s="508" customFormat="1" ht="12" customHeight="1">
      <c r="A23" s="526" t="str">
        <f t="shared" ca="1" si="1"/>
        <v/>
      </c>
      <c r="B23" s="520" t="str">
        <f ca="1">IF(ROWS($1:7)&gt;COUNT(Dong10),"",OFFSET(TH!F$1,SMALL(Dong10,ROWS($1:7)),))</f>
        <v/>
      </c>
      <c r="C23" s="521"/>
      <c r="D23" s="522" t="str">
        <f ca="1">IF(ISNA(VLOOKUP(B23,NXT!$C$12:$D$113,2,0)),"",VLOOKUP(B23,NXT!$C$12:$D$113,2,0))</f>
        <v/>
      </c>
      <c r="E23" s="523"/>
      <c r="F23" s="524" t="str">
        <f ca="1">IF(ROWS($1:7)&gt;COUNT(Dong10),"",OFFSET(TH!I$1,SMALL(Dong10,ROWS($1:7)),))</f>
        <v/>
      </c>
      <c r="G23" s="525" t="str">
        <f ca="1">IF(ROWS($1:7)&gt;COUNT(Dong10),"",OFFSET(TH!J$1,SMALL(Dong10,ROWS($1:7)),))</f>
        <v/>
      </c>
      <c r="H23" s="527" t="str">
        <f t="shared" ca="1" si="0"/>
        <v/>
      </c>
    </row>
    <row r="24" spans="1:8" s="508" customFormat="1" ht="12" customHeight="1">
      <c r="A24" s="1387" t="s">
        <v>467</v>
      </c>
      <c r="B24" s="1387"/>
      <c r="C24" s="528"/>
      <c r="D24" s="528"/>
      <c r="E24" s="529"/>
      <c r="F24" s="529"/>
      <c r="G24" s="529"/>
      <c r="H24" s="529">
        <f ca="1">SUM(H17:H23)</f>
        <v>33412200</v>
      </c>
    </row>
    <row r="25" spans="1:8" s="508" customFormat="1" ht="3" customHeight="1">
      <c r="A25" s="530"/>
      <c r="B25" s="530"/>
      <c r="C25" s="511"/>
      <c r="D25" s="511"/>
      <c r="E25" s="531"/>
      <c r="F25" s="531"/>
      <c r="G25" s="531"/>
      <c r="H25" s="531"/>
    </row>
    <row r="26" spans="1:8" s="508" customFormat="1" ht="14.25" customHeight="1">
      <c r="A26" s="508" t="e">
        <f ca="1">"Tổng số tiền (viết bằng chữ):  "&amp; [2]!VND(H24, TRUE)</f>
        <v>#NAME?</v>
      </c>
    </row>
    <row r="27" spans="1:8" s="508" customFormat="1" ht="14.25" customHeight="1">
      <c r="A27" s="508" t="str">
        <f>"Số chứng từ gốc kèm theo :  "</f>
        <v xml:space="preserve">Số chứng từ gốc kèm theo :  </v>
      </c>
    </row>
    <row r="28" spans="1:8" s="508" customFormat="1" ht="14.25" customHeight="1">
      <c r="F28" s="115" t="str">
        <f ca="1">+IF(LEFT($D$7,1)="N","                                                          "&amp;D6,"                                                                                           "&amp;D6)</f>
        <v xml:space="preserve">                                                                                           Ngày  7  tháng  1  năm  2017</v>
      </c>
    </row>
    <row r="29" spans="1:8" s="533" customFormat="1" ht="14.25" customHeight="1">
      <c r="A29" s="532" t="s">
        <v>468</v>
      </c>
      <c r="C29" s="534"/>
      <c r="E29" s="534"/>
      <c r="F29" s="534" t="str">
        <f>+IF(LEFT($D$7,1)="N","                                                       Kế toán trưởng","                                          Kế toán trưởng                           Giám đốc")</f>
        <v xml:space="preserve">                                          Kế toán trưởng                           Giám đốc</v>
      </c>
    </row>
    <row r="30" spans="1:8" s="508" customFormat="1" ht="12.75" customHeight="1">
      <c r="A30" s="514" t="s">
        <v>469</v>
      </c>
      <c r="C30" s="115"/>
      <c r="E30" s="115"/>
      <c r="F30" s="115" t="str">
        <f>+IF(LEFT($D$7,1)="N","                                                     (Ký, họ tên)","                (Ký, họ tên)                ")</f>
        <v xml:space="preserve">                (Ký, họ tên)                </v>
      </c>
      <c r="H30" s="514"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84" customWidth="1"/>
    <col min="2" max="2" width="9.140625" style="584"/>
    <col min="3" max="3" width="9.140625" style="648" customWidth="1"/>
    <col min="4" max="4" width="10.85546875" style="648" customWidth="1"/>
    <col min="5" max="5" width="39.42578125" style="649" customWidth="1"/>
    <col min="6" max="6" width="10.85546875" style="650" customWidth="1"/>
    <col min="7" max="7" width="9" style="651" customWidth="1"/>
    <col min="8" max="8" width="9.5703125" style="651" customWidth="1"/>
    <col min="9" max="9" width="10" style="651" customWidth="1"/>
    <col min="10" max="10" width="8" style="584" customWidth="1"/>
    <col min="11" max="11" width="2.42578125" style="584" customWidth="1"/>
    <col min="12" max="12" width="6.5703125" style="584" customWidth="1"/>
    <col min="13" max="16384" width="9.140625" style="584"/>
  </cols>
  <sheetData>
    <row r="1" spans="1:12" ht="15" customHeight="1">
      <c r="A1" s="579" t="s">
        <v>180</v>
      </c>
      <c r="B1" s="580"/>
      <c r="C1" s="580"/>
      <c r="D1" s="580"/>
      <c r="E1" s="581"/>
      <c r="F1" s="580"/>
      <c r="G1" s="582"/>
      <c r="H1" s="583" t="s">
        <v>486</v>
      </c>
      <c r="I1" s="584"/>
      <c r="J1" s="585"/>
      <c r="K1" s="585"/>
      <c r="L1" s="586"/>
    </row>
    <row r="2" spans="1:12" ht="15" customHeight="1">
      <c r="A2" s="587" t="s">
        <v>316</v>
      </c>
      <c r="B2" s="588"/>
      <c r="C2" s="588"/>
      <c r="D2" s="588"/>
      <c r="E2" s="589"/>
      <c r="F2" s="590"/>
      <c r="G2" s="591"/>
      <c r="H2" s="592" t="s">
        <v>317</v>
      </c>
      <c r="I2" s="584"/>
      <c r="J2" s="585"/>
      <c r="K2" s="585"/>
    </row>
    <row r="3" spans="1:12" ht="15">
      <c r="A3" s="588"/>
      <c r="B3" s="588"/>
      <c r="C3" s="588"/>
      <c r="D3" s="588"/>
      <c r="E3" s="589"/>
      <c r="F3" s="590"/>
      <c r="G3" s="591"/>
      <c r="H3" s="592" t="s">
        <v>236</v>
      </c>
      <c r="I3" s="584"/>
      <c r="J3" s="585"/>
      <c r="K3" s="585"/>
    </row>
    <row r="4" spans="1:12" ht="18.75" customHeight="1">
      <c r="A4" s="593"/>
      <c r="B4" s="593"/>
      <c r="C4" s="593"/>
      <c r="D4" s="593"/>
      <c r="E4" s="594" t="s">
        <v>487</v>
      </c>
      <c r="F4" s="593"/>
      <c r="G4" s="593"/>
      <c r="H4" s="593"/>
      <c r="I4" s="593"/>
      <c r="J4" s="585"/>
      <c r="K4" s="585"/>
    </row>
    <row r="5" spans="1:12" ht="15">
      <c r="A5" s="595"/>
      <c r="B5" s="595"/>
      <c r="C5" s="595"/>
      <c r="D5" s="595"/>
      <c r="E5" s="596" t="str">
        <f ca="1">IF(ISERROR("Ngày lập thẻ: ngày "&amp;DAY(B14)&amp;"/"&amp;MONTH(B14)&amp;"/"&amp;YEAR(B14)),"Ngày lập thẻ: ngày 01/ 01/2016 ","Ngày lập thẻ: ngày "&amp;DAY(B14)&amp;"/"&amp;MONTH(B14)&amp;"/"&amp;YEAR(B14))</f>
        <v>Ngày lập thẻ: ngày 0/1/1900</v>
      </c>
      <c r="F5" s="595"/>
      <c r="G5" s="595"/>
      <c r="H5" s="595"/>
      <c r="I5" s="595"/>
      <c r="J5" s="585"/>
      <c r="K5" s="585"/>
    </row>
    <row r="6" spans="1:12" ht="15">
      <c r="A6" s="595"/>
      <c r="B6" s="595"/>
      <c r="C6" s="595"/>
      <c r="D6" s="595"/>
      <c r="E6" s="596" t="s">
        <v>488</v>
      </c>
      <c r="F6" s="595"/>
      <c r="G6" s="595"/>
      <c r="H6" s="595"/>
      <c r="I6" s="595"/>
      <c r="J6" s="585"/>
      <c r="K6" s="585"/>
    </row>
    <row r="7" spans="1:12" ht="15">
      <c r="A7" s="576" t="s">
        <v>489</v>
      </c>
      <c r="B7" s="576"/>
      <c r="C7" s="597"/>
      <c r="D7" s="597"/>
      <c r="E7" s="598" t="s">
        <v>346</v>
      </c>
      <c r="F7" s="590"/>
      <c r="G7" s="599"/>
      <c r="H7" s="599"/>
      <c r="I7" s="599"/>
      <c r="J7" s="585"/>
      <c r="K7" s="585"/>
    </row>
    <row r="8" spans="1:12" ht="15">
      <c r="A8" s="576" t="s">
        <v>490</v>
      </c>
      <c r="B8" s="576"/>
      <c r="C8" s="585" t="str">
        <f>VLOOKUP($E$7,NXT!$C$12:$L$114,2,0)</f>
        <v>kg</v>
      </c>
      <c r="D8" s="576"/>
      <c r="E8" s="598"/>
      <c r="F8" s="590"/>
      <c r="G8" s="599"/>
      <c r="H8" s="599"/>
      <c r="I8" s="599"/>
      <c r="J8" s="585"/>
      <c r="K8" s="585"/>
    </row>
    <row r="9" spans="1:12" ht="15">
      <c r="A9" s="1388" t="s">
        <v>491</v>
      </c>
      <c r="B9" s="1389"/>
      <c r="C9" s="1389"/>
      <c r="D9" s="1389"/>
      <c r="E9" s="598"/>
      <c r="F9" s="590"/>
      <c r="G9" s="599"/>
      <c r="H9" s="599"/>
      <c r="I9" s="599"/>
      <c r="J9" s="600"/>
      <c r="K9" s="600"/>
    </row>
    <row r="10" spans="1:12" ht="19.5" customHeight="1">
      <c r="A10" s="1390" t="s">
        <v>492</v>
      </c>
      <c r="B10" s="1391" t="s">
        <v>493</v>
      </c>
      <c r="C10" s="1393" t="s">
        <v>17</v>
      </c>
      <c r="D10" s="1394"/>
      <c r="E10" s="1395" t="s">
        <v>0</v>
      </c>
      <c r="F10" s="1404" t="s">
        <v>494</v>
      </c>
      <c r="G10" s="1398" t="s">
        <v>463</v>
      </c>
      <c r="H10" s="1398"/>
      <c r="I10" s="1394"/>
      <c r="J10" s="1399" t="s">
        <v>495</v>
      </c>
      <c r="K10" s="601"/>
      <c r="L10" s="602" t="s">
        <v>480</v>
      </c>
    </row>
    <row r="11" spans="1:12" ht="19.5" customHeight="1">
      <c r="A11" s="1390"/>
      <c r="B11" s="1392"/>
      <c r="C11" s="603" t="s">
        <v>477</v>
      </c>
      <c r="D11" s="603" t="s">
        <v>478</v>
      </c>
      <c r="E11" s="1396"/>
      <c r="F11" s="1405"/>
      <c r="G11" s="604" t="s">
        <v>477</v>
      </c>
      <c r="H11" s="604" t="s">
        <v>478</v>
      </c>
      <c r="I11" s="604" t="s">
        <v>479</v>
      </c>
      <c r="J11" s="1400"/>
      <c r="K11" s="601"/>
    </row>
    <row r="12" spans="1:12" ht="15">
      <c r="A12" s="605" t="s">
        <v>2</v>
      </c>
      <c r="B12" s="606" t="s">
        <v>3</v>
      </c>
      <c r="C12" s="607" t="s">
        <v>4</v>
      </c>
      <c r="D12" s="607" t="s">
        <v>5</v>
      </c>
      <c r="E12" s="608" t="s">
        <v>6</v>
      </c>
      <c r="F12" s="606" t="s">
        <v>155</v>
      </c>
      <c r="G12" s="609">
        <v>1</v>
      </c>
      <c r="H12" s="609">
        <v>2</v>
      </c>
      <c r="I12" s="609">
        <v>3</v>
      </c>
      <c r="J12" s="607" t="s">
        <v>156</v>
      </c>
      <c r="K12" s="610"/>
    </row>
    <row r="13" spans="1:12" ht="16.5" customHeight="1">
      <c r="A13" s="611"/>
      <c r="B13" s="612"/>
      <c r="C13" s="613"/>
      <c r="D13" s="613"/>
      <c r="E13" s="614" t="s">
        <v>331</v>
      </c>
      <c r="F13" s="612"/>
      <c r="G13" s="615"/>
      <c r="H13" s="615"/>
      <c r="I13" s="616">
        <f>VLOOKUP($E$7,NXT!$C$12:$L$114,3,0)</f>
        <v>2100</v>
      </c>
      <c r="J13" s="611"/>
      <c r="K13" s="617"/>
    </row>
    <row r="14" spans="1:12" ht="16.5" customHeight="1">
      <c r="A14" s="618">
        <f ca="1">IF(B14&lt;&gt;"",ROW()-(ROW()-1),"")</f>
        <v>1</v>
      </c>
      <c r="B14" s="619">
        <f ca="1">IF(ROWS($1:1)&gt;COUNT(Dong12),"",OFFSET(TH!E$1,SMALL(Dong12,ROWS($1:1)),))</f>
        <v>0</v>
      </c>
      <c r="C14" s="716" t="str">
        <f ca="1">IF(ROWS($1:1)&gt;COUNT(Dong12),"",IF(MID(OFFSET(TH!D$1,SMALL(Dong12,ROWS($1:1)),),4,1)="N",OFFSET(TH!D$1,SMALL(Dong12,ROWS($1:1)),),""))</f>
        <v/>
      </c>
      <c r="D14" s="619" t="str">
        <f ca="1">IF(ROWS($1:1)&gt;COUNT(Dong12),"",IF(MID(OFFSET(TH!D$1,SMALL(Dong12,ROWS($1:1)),),4,1)="X",OFFSET(TH!D$1,SMALL(Dong12,ROWS($1:1)),),""))</f>
        <v/>
      </c>
      <c r="E14" s="620" t="str">
        <f ca="1">IF(ROWS($1:1)&gt;COUNT(Dong12),"",OFFSET(TH!F$1,SMALL(Dong12,ROWS($1:1)),)&amp;" - "&amp;OFFSET(TH!H$1,SMALL(Dong12,ROWS($1:1)),))</f>
        <v xml:space="preserve">Đường - </v>
      </c>
      <c r="F14" s="619">
        <f ca="1">B14</f>
        <v>0</v>
      </c>
      <c r="G14" s="621">
        <f ca="1">IF(ROWS($1:1)&gt;COUNT(Dong12),0,IF(MID(OFFSET(TH!D$1,SMALL(Dong12,ROWS($1:1)),),4,1)="N",OFFSET(TH!I$1,SMALL(Dong12,ROWS($1:1)),),0))</f>
        <v>0</v>
      </c>
      <c r="H14" s="621">
        <f ca="1">IF(ROWS($1:1)&gt;COUNT(Dong12),0,IF(MID(OFFSET(TH!D$1,SMALL(Dong12,ROWS($1:1)),),4,1)="X",OFFSET(TH!I$1,SMALL(Dong12,ROWS($1:1)),),0))</f>
        <v>0</v>
      </c>
      <c r="I14" s="622">
        <f ca="1">IF(E14&lt;&gt;"",I13+G14-H14,0)</f>
        <v>2100</v>
      </c>
      <c r="J14" s="623"/>
      <c r="K14" s="624"/>
    </row>
    <row r="15" spans="1:12" ht="16.5" customHeight="1">
      <c r="A15" s="625" t="str">
        <f ca="1">IF(B15&lt;&gt;"",A14+1,"")</f>
        <v/>
      </c>
      <c r="B15" s="619" t="str">
        <f ca="1">IF(ROWS($1:2)&gt;COUNT(Dong12),"",OFFSET(TH!E$1,SMALL(Dong12,ROWS($1:2)),))</f>
        <v/>
      </c>
      <c r="C15" s="716" t="str">
        <f ca="1">IF(ROWS($1:2)&gt;COUNT(Dong12),"",IF(MID(OFFSET(TH!D$1,SMALL(Dong12,ROWS($1:2)),),4,1)="N",OFFSET(TH!D$1,SMALL(Dong12,ROWS($1:2)),),""))</f>
        <v/>
      </c>
      <c r="D15" s="619" t="str">
        <f ca="1">IF(ROWS($1:2)&gt;COUNT(Dong12),"",IF(MID(OFFSET(TH!D$1,SMALL(Dong12,ROWS($1:2)),),4,1)="X",OFFSET(TH!D$1,SMALL(Dong12,ROWS($1:2)),),""))</f>
        <v/>
      </c>
      <c r="E15" s="620" t="str">
        <f ca="1">IF(ROWS($1:2)&gt;COUNT(Dong12),"",OFFSET(TH!F$1,SMALL(Dong12,ROWS($1:2)),)&amp;" - "&amp;OFFSET(TH!H$1,SMALL(Dong12,ROWS($1:2)),))</f>
        <v/>
      </c>
      <c r="F15" s="619" t="str">
        <f t="shared" ref="F15:F30" ca="1" si="0">B15</f>
        <v/>
      </c>
      <c r="G15" s="621">
        <f ca="1">IF(ROWS($1:2)&gt;COUNT(Dong12),0,IF(MID(OFFSET(TH!D$1,SMALL(Dong12,ROWS($1:2)),),4,1)="N",OFFSET(TH!I$1,SMALL(Dong12,ROWS($1:2)),),0))</f>
        <v>0</v>
      </c>
      <c r="H15" s="621">
        <f ca="1">IF(ROWS($1:2)&gt;COUNT(Dong12),0,IF(MID(OFFSET(TH!D$1,SMALL(Dong12,ROWS($1:2)),),4,1)="X",OFFSET(TH!I$1,SMALL(Dong12,ROWS($1:2)),),0))</f>
        <v>0</v>
      </c>
      <c r="I15" s="622">
        <f t="shared" ref="I15:I30" ca="1" si="1">IF(E15&lt;&gt;"",I14+G15-H15,0)</f>
        <v>0</v>
      </c>
      <c r="J15" s="623"/>
      <c r="K15" s="624"/>
    </row>
    <row r="16" spans="1:12" ht="16.5" customHeight="1">
      <c r="A16" s="625" t="str">
        <f t="shared" ref="A16:A30" ca="1" si="2">IF(B16&lt;&gt;"",A15+1,"")</f>
        <v/>
      </c>
      <c r="B16" s="619" t="str">
        <f ca="1">IF(ROWS($1:3)&gt;COUNT(Dong12),"",OFFSET(TH!E$1,SMALL(Dong12,ROWS($1:3)),))</f>
        <v/>
      </c>
      <c r="C16" s="716" t="str">
        <f ca="1">IF(ROWS($1:3)&gt;COUNT(Dong12),"",IF(MID(OFFSET(TH!D$1,SMALL(Dong12,ROWS($1:3)),),4,1)="N",OFFSET(TH!D$1,SMALL(Dong12,ROWS($1:3)),),""))</f>
        <v/>
      </c>
      <c r="D16" s="619" t="str">
        <f ca="1">IF(ROWS($1:3)&gt;COUNT(Dong12),"",IF(MID(OFFSET(TH!D$1,SMALL(Dong12,ROWS($1:3)),),4,1)="X",OFFSET(TH!D$1,SMALL(Dong12,ROWS($1:3)),),""))</f>
        <v/>
      </c>
      <c r="E16" s="620" t="str">
        <f ca="1">IF(ROWS($1:3)&gt;COUNT(Dong12),"",OFFSET(TH!F$1,SMALL(Dong12,ROWS($1:3)),)&amp;" - "&amp;OFFSET(TH!H$1,SMALL(Dong12,ROWS($1:3)),))</f>
        <v/>
      </c>
      <c r="F16" s="619" t="str">
        <f t="shared" ca="1" si="0"/>
        <v/>
      </c>
      <c r="G16" s="621">
        <f ca="1">IF(ROWS($1:3)&gt;COUNT(Dong12),0,IF(MID(OFFSET(TH!D$1,SMALL(Dong12,ROWS($1:3)),),4,1)="N",OFFSET(TH!I$1,SMALL(Dong12,ROWS($1:3)),),0))</f>
        <v>0</v>
      </c>
      <c r="H16" s="621">
        <f ca="1">IF(ROWS($1:3)&gt;COUNT(Dong12),0,IF(MID(OFFSET(TH!D$1,SMALL(Dong12,ROWS($1:3)),),4,1)="X",OFFSET(TH!I$1,SMALL(Dong12,ROWS($1:3)),),0))</f>
        <v>0</v>
      </c>
      <c r="I16" s="622">
        <f t="shared" ca="1" si="1"/>
        <v>0</v>
      </c>
      <c r="J16" s="623"/>
      <c r="K16" s="624"/>
    </row>
    <row r="17" spans="1:11" ht="16.5" customHeight="1">
      <c r="A17" s="625" t="str">
        <f t="shared" ca="1" si="2"/>
        <v/>
      </c>
      <c r="B17" s="619" t="str">
        <f ca="1">IF(ROWS($1:4)&gt;COUNT(Dong12),"",OFFSET(TH!E$1,SMALL(Dong12,ROWS($1:4)),))</f>
        <v/>
      </c>
      <c r="C17" s="716" t="str">
        <f ca="1">IF(ROWS($1:4)&gt;COUNT(Dong12),"",IF(MID(OFFSET(TH!D$1,SMALL(Dong12,ROWS($1:4)),),4,1)="N",OFFSET(TH!D$1,SMALL(Dong12,ROWS($1:4)),),""))</f>
        <v/>
      </c>
      <c r="D17" s="619" t="str">
        <f ca="1">IF(ROWS($1:4)&gt;COUNT(Dong12),"",IF(MID(OFFSET(TH!D$1,SMALL(Dong12,ROWS($1:4)),),4,1)="X",OFFSET(TH!D$1,SMALL(Dong12,ROWS($1:4)),),""))</f>
        <v/>
      </c>
      <c r="E17" s="620" t="str">
        <f ca="1">IF(ROWS($1:4)&gt;COUNT(Dong12),"",OFFSET(TH!F$1,SMALL(Dong12,ROWS($1:4)),)&amp;" - "&amp;OFFSET(TH!H$1,SMALL(Dong12,ROWS($1:4)),))</f>
        <v/>
      </c>
      <c r="F17" s="619" t="str">
        <f t="shared" ca="1" si="0"/>
        <v/>
      </c>
      <c r="G17" s="621">
        <f ca="1">IF(ROWS($1:4)&gt;COUNT(Dong12),0,IF(MID(OFFSET(TH!D$1,SMALL(Dong12,ROWS($1:4)),),4,1)="N",OFFSET(TH!I$1,SMALL(Dong12,ROWS($1:4)),),0))</f>
        <v>0</v>
      </c>
      <c r="H17" s="621">
        <f ca="1">IF(ROWS($1:4)&gt;COUNT(Dong12),0,IF(MID(OFFSET(TH!D$1,SMALL(Dong12,ROWS($1:4)),),4,1)="X",OFFSET(TH!I$1,SMALL(Dong12,ROWS($1:4)),),0))</f>
        <v>0</v>
      </c>
      <c r="I17" s="622">
        <f t="shared" ca="1" si="1"/>
        <v>0</v>
      </c>
      <c r="J17" s="623"/>
      <c r="K17" s="624"/>
    </row>
    <row r="18" spans="1:11" ht="16.5" customHeight="1">
      <c r="A18" s="625" t="str">
        <f t="shared" ca="1" si="2"/>
        <v/>
      </c>
      <c r="B18" s="619" t="str">
        <f ca="1">IF(ROWS($1:5)&gt;COUNT(Dong12),"",OFFSET(TH!E$1,SMALL(Dong12,ROWS($1:5)),))</f>
        <v/>
      </c>
      <c r="C18" s="716" t="str">
        <f ca="1">IF(ROWS($1:5)&gt;COUNT(Dong12),"",IF(MID(OFFSET(TH!D$1,SMALL(Dong12,ROWS($1:5)),),4,1)="N",OFFSET(TH!D$1,SMALL(Dong12,ROWS($1:5)),),""))</f>
        <v/>
      </c>
      <c r="D18" s="619" t="str">
        <f ca="1">IF(ROWS($1:5)&gt;COUNT(Dong12),"",IF(MID(OFFSET(TH!D$1,SMALL(Dong12,ROWS($1:5)),),4,1)="X",OFFSET(TH!D$1,SMALL(Dong12,ROWS($1:5)),),""))</f>
        <v/>
      </c>
      <c r="E18" s="620" t="str">
        <f ca="1">IF(ROWS($1:5)&gt;COUNT(Dong12),"",OFFSET(TH!F$1,SMALL(Dong12,ROWS($1:5)),)&amp;" - "&amp;OFFSET(TH!H$1,SMALL(Dong12,ROWS($1:5)),))</f>
        <v/>
      </c>
      <c r="F18" s="619" t="str">
        <f t="shared" ca="1" si="0"/>
        <v/>
      </c>
      <c r="G18" s="621">
        <f ca="1">IF(ROWS($1:5)&gt;COUNT(Dong12),0,IF(MID(OFFSET(TH!D$1,SMALL(Dong12,ROWS($1:5)),),4,1)="N",OFFSET(TH!I$1,SMALL(Dong12,ROWS($1:5)),),0))</f>
        <v>0</v>
      </c>
      <c r="H18" s="621">
        <f ca="1">IF(ROWS($1:5)&gt;COUNT(Dong12),0,IF(MID(OFFSET(TH!D$1,SMALL(Dong12,ROWS($1:5)),),4,1)="X",OFFSET(TH!I$1,SMALL(Dong12,ROWS($1:5)),),0))</f>
        <v>0</v>
      </c>
      <c r="I18" s="622">
        <f t="shared" ca="1" si="1"/>
        <v>0</v>
      </c>
      <c r="J18" s="623"/>
      <c r="K18" s="624"/>
    </row>
    <row r="19" spans="1:11" ht="16.5" customHeight="1">
      <c r="A19" s="625" t="str">
        <f t="shared" ca="1" si="2"/>
        <v/>
      </c>
      <c r="B19" s="619" t="str">
        <f ca="1">IF(ROWS($1:6)&gt;COUNT(Dong12),"",OFFSET(TH!E$1,SMALL(Dong12,ROWS($1:6)),))</f>
        <v/>
      </c>
      <c r="C19" s="716" t="str">
        <f ca="1">IF(ROWS($1:6)&gt;COUNT(Dong12),"",IF(MID(OFFSET(TH!D$1,SMALL(Dong12,ROWS($1:6)),),4,1)="N",OFFSET(TH!D$1,SMALL(Dong12,ROWS($1:6)),),""))</f>
        <v/>
      </c>
      <c r="D19" s="619" t="str">
        <f ca="1">IF(ROWS($1:6)&gt;COUNT(Dong12),"",IF(MID(OFFSET(TH!D$1,SMALL(Dong12,ROWS($1:6)),),4,1)="X",OFFSET(TH!D$1,SMALL(Dong12,ROWS($1:6)),),""))</f>
        <v/>
      </c>
      <c r="E19" s="620" t="str">
        <f ca="1">IF(ROWS($1:6)&gt;COUNT(Dong12),"",OFFSET(TH!F$1,SMALL(Dong12,ROWS($1:6)),)&amp;" - "&amp;OFFSET(TH!H$1,SMALL(Dong12,ROWS($1:6)),))</f>
        <v/>
      </c>
      <c r="F19" s="619" t="str">
        <f t="shared" ca="1" si="0"/>
        <v/>
      </c>
      <c r="G19" s="621">
        <f ca="1">IF(ROWS($1:6)&gt;COUNT(Dong12),0,IF(MID(OFFSET(TH!D$1,SMALL(Dong12,ROWS($1:6)),),4,1)="N",OFFSET(TH!I$1,SMALL(Dong12,ROWS($1:6)),),0))</f>
        <v>0</v>
      </c>
      <c r="H19" s="621">
        <f ca="1">IF(ROWS($1:6)&gt;COUNT(Dong12),0,IF(MID(OFFSET(TH!D$1,SMALL(Dong12,ROWS($1:6)),),4,1)="X",OFFSET(TH!I$1,SMALL(Dong12,ROWS($1:6)),),0))</f>
        <v>0</v>
      </c>
      <c r="I19" s="622">
        <f t="shared" ca="1" si="1"/>
        <v>0</v>
      </c>
      <c r="J19" s="623"/>
      <c r="K19" s="624"/>
    </row>
    <row r="20" spans="1:11" ht="16.5" customHeight="1">
      <c r="A20" s="625" t="str">
        <f t="shared" ca="1" si="2"/>
        <v/>
      </c>
      <c r="B20" s="619" t="str">
        <f ca="1">IF(ROWS($1:7)&gt;COUNT(Dong12),"",OFFSET(TH!E$1,SMALL(Dong12,ROWS($1:7)),))</f>
        <v/>
      </c>
      <c r="C20" s="716" t="str">
        <f ca="1">IF(ROWS($1:7)&gt;COUNT(Dong12),"",IF(MID(OFFSET(TH!D$1,SMALL(Dong12,ROWS($1:7)),),4,1)="N",OFFSET(TH!D$1,SMALL(Dong12,ROWS($1:7)),),""))</f>
        <v/>
      </c>
      <c r="D20" s="619" t="str">
        <f ca="1">IF(ROWS($1:7)&gt;COUNT(Dong12),"",IF(MID(OFFSET(TH!D$1,SMALL(Dong12,ROWS($1:7)),),4,1)="X",OFFSET(TH!D$1,SMALL(Dong12,ROWS($1:7)),),""))</f>
        <v/>
      </c>
      <c r="E20" s="620" t="str">
        <f ca="1">IF(ROWS($1:7)&gt;COUNT(Dong12),"",OFFSET(TH!F$1,SMALL(Dong12,ROWS($1:7)),)&amp;" - "&amp;OFFSET(TH!H$1,SMALL(Dong12,ROWS($1:7)),))</f>
        <v/>
      </c>
      <c r="F20" s="619" t="str">
        <f t="shared" ca="1" si="0"/>
        <v/>
      </c>
      <c r="G20" s="621">
        <f ca="1">IF(ROWS($1:7)&gt;COUNT(Dong12),0,IF(MID(OFFSET(TH!D$1,SMALL(Dong12,ROWS($1:7)),),4,1)="N",OFFSET(TH!I$1,SMALL(Dong12,ROWS($1:7)),),0))</f>
        <v>0</v>
      </c>
      <c r="H20" s="621">
        <f ca="1">IF(ROWS($1:7)&gt;COUNT(Dong12),0,IF(MID(OFFSET(TH!D$1,SMALL(Dong12,ROWS($1:7)),),4,1)="X",OFFSET(TH!I$1,SMALL(Dong12,ROWS($1:7)),),0))</f>
        <v>0</v>
      </c>
      <c r="I20" s="622">
        <f t="shared" ca="1" si="1"/>
        <v>0</v>
      </c>
      <c r="J20" s="623"/>
      <c r="K20" s="624"/>
    </row>
    <row r="21" spans="1:11" ht="16.5" customHeight="1">
      <c r="A21" s="625" t="str">
        <f t="shared" ca="1" si="2"/>
        <v/>
      </c>
      <c r="B21" s="619" t="str">
        <f ca="1">IF(ROWS($1:8)&gt;COUNT(Dong12),"",OFFSET(TH!E$1,SMALL(Dong12,ROWS($1:8)),))</f>
        <v/>
      </c>
      <c r="C21" s="716" t="str">
        <f ca="1">IF(ROWS($1:8)&gt;COUNT(Dong12),"",IF(MID(OFFSET(TH!D$1,SMALL(Dong12,ROWS($1:8)),),4,1)="N",OFFSET(TH!D$1,SMALL(Dong12,ROWS($1:8)),),""))</f>
        <v/>
      </c>
      <c r="D21" s="619" t="str">
        <f ca="1">IF(ROWS($1:8)&gt;COUNT(Dong12),"",IF(MID(OFFSET(TH!D$1,SMALL(Dong12,ROWS($1:8)),),4,1)="X",OFFSET(TH!D$1,SMALL(Dong12,ROWS($1:8)),),""))</f>
        <v/>
      </c>
      <c r="E21" s="620" t="str">
        <f ca="1">IF(ROWS($1:8)&gt;COUNT(Dong12),"",OFFSET(TH!F$1,SMALL(Dong12,ROWS($1:8)),)&amp;" - "&amp;OFFSET(TH!H$1,SMALL(Dong12,ROWS($1:8)),))</f>
        <v/>
      </c>
      <c r="F21" s="619" t="str">
        <f t="shared" ca="1" si="0"/>
        <v/>
      </c>
      <c r="G21" s="621">
        <f ca="1">IF(ROWS($1:8)&gt;COUNT(Dong12),0,IF(MID(OFFSET(TH!D$1,SMALL(Dong12,ROWS($1:8)),),4,1)="N",OFFSET(TH!I$1,SMALL(Dong12,ROWS($1:8)),),0))</f>
        <v>0</v>
      </c>
      <c r="H21" s="621">
        <f ca="1">IF(ROWS($1:8)&gt;COUNT(Dong12),0,IF(MID(OFFSET(TH!D$1,SMALL(Dong12,ROWS($1:8)),),4,1)="X",OFFSET(TH!I$1,SMALL(Dong12,ROWS($1:8)),),0))</f>
        <v>0</v>
      </c>
      <c r="I21" s="622">
        <f t="shared" ca="1" si="1"/>
        <v>0</v>
      </c>
      <c r="J21" s="623"/>
      <c r="K21" s="624"/>
    </row>
    <row r="22" spans="1:11" ht="16.5" customHeight="1">
      <c r="A22" s="625" t="str">
        <f t="shared" ca="1" si="2"/>
        <v/>
      </c>
      <c r="B22" s="619" t="str">
        <f ca="1">IF(ROWS($1:9)&gt;COUNT(Dong12),"",OFFSET(TH!E$1,SMALL(Dong12,ROWS($1:9)),))</f>
        <v/>
      </c>
      <c r="C22" s="716" t="str">
        <f ca="1">IF(ROWS($1:9)&gt;COUNT(Dong12),"",IF(MID(OFFSET(TH!D$1,SMALL(Dong12,ROWS($1:9)),),4,1)="N",OFFSET(TH!D$1,SMALL(Dong12,ROWS($1:9)),),""))</f>
        <v/>
      </c>
      <c r="D22" s="619" t="str">
        <f ca="1">IF(ROWS($1:9)&gt;COUNT(Dong12),"",IF(MID(OFFSET(TH!D$1,SMALL(Dong12,ROWS($1:9)),),4,1)="X",OFFSET(TH!D$1,SMALL(Dong12,ROWS($1:9)),),""))</f>
        <v/>
      </c>
      <c r="E22" s="620" t="str">
        <f ca="1">IF(ROWS($1:9)&gt;COUNT(Dong12),"",OFFSET(TH!F$1,SMALL(Dong12,ROWS($1:9)),)&amp;" - "&amp;OFFSET(TH!H$1,SMALL(Dong12,ROWS($1:9)),))</f>
        <v/>
      </c>
      <c r="F22" s="619" t="str">
        <f t="shared" ca="1" si="0"/>
        <v/>
      </c>
      <c r="G22" s="621">
        <f ca="1">IF(ROWS($1:9)&gt;COUNT(Dong12),0,IF(MID(OFFSET(TH!D$1,SMALL(Dong12,ROWS($1:9)),),4,1)="N",OFFSET(TH!I$1,SMALL(Dong12,ROWS($1:9)),),0))</f>
        <v>0</v>
      </c>
      <c r="H22" s="621">
        <f ca="1">IF(ROWS($1:9)&gt;COUNT(Dong12),0,IF(MID(OFFSET(TH!D$1,SMALL(Dong12,ROWS($1:9)),),4,1)="X",OFFSET(TH!I$1,SMALL(Dong12,ROWS($1:9)),),0))</f>
        <v>0</v>
      </c>
      <c r="I22" s="622">
        <f t="shared" ca="1" si="1"/>
        <v>0</v>
      </c>
      <c r="J22" s="623"/>
      <c r="K22" s="624"/>
    </row>
    <row r="23" spans="1:11" ht="16.5" customHeight="1">
      <c r="A23" s="625" t="str">
        <f t="shared" ca="1" si="2"/>
        <v/>
      </c>
      <c r="B23" s="619" t="str">
        <f ca="1">IF(ROWS($1:10)&gt;COUNT(Dong12),"",OFFSET(TH!E$1,SMALL(Dong12,ROWS($1:10)),))</f>
        <v/>
      </c>
      <c r="C23" s="716" t="str">
        <f ca="1">IF(ROWS($1:10)&gt;COUNT(Dong12),"",IF(MID(OFFSET(TH!D$1,SMALL(Dong12,ROWS($1:10)),),4,1)="N",OFFSET(TH!D$1,SMALL(Dong12,ROWS($1:10)),),""))</f>
        <v/>
      </c>
      <c r="D23" s="619" t="str">
        <f ca="1">IF(ROWS($1:10)&gt;COUNT(Dong12),"",IF(MID(OFFSET(TH!D$1,SMALL(Dong12,ROWS($1:10)),),4,1)="X",OFFSET(TH!D$1,SMALL(Dong12,ROWS($1:10)),),""))</f>
        <v/>
      </c>
      <c r="E23" s="620" t="str">
        <f ca="1">IF(ROWS($1:10)&gt;COUNT(Dong12),"",OFFSET(TH!F$1,SMALL(Dong12,ROWS($1:10)),)&amp;" - "&amp;OFFSET(TH!H$1,SMALL(Dong12,ROWS($1:10)),))</f>
        <v/>
      </c>
      <c r="F23" s="619" t="str">
        <f t="shared" ca="1" si="0"/>
        <v/>
      </c>
      <c r="G23" s="621">
        <f ca="1">IF(ROWS($1:10)&gt;COUNT(Dong12),0,IF(MID(OFFSET(TH!D$1,SMALL(Dong12,ROWS($1:10)),),4,1)="N",OFFSET(TH!I$1,SMALL(Dong12,ROWS($1:10)),),0))</f>
        <v>0</v>
      </c>
      <c r="H23" s="621">
        <f ca="1">IF(ROWS($1:10)&gt;COUNT(Dong12),0,IF(MID(OFFSET(TH!D$1,SMALL(Dong12,ROWS($1:10)),),4,1)="X",OFFSET(TH!I$1,SMALL(Dong12,ROWS($1:10)),),0))</f>
        <v>0</v>
      </c>
      <c r="I23" s="622">
        <f t="shared" ca="1" si="1"/>
        <v>0</v>
      </c>
      <c r="J23" s="623"/>
      <c r="K23" s="624"/>
    </row>
    <row r="24" spans="1:11" ht="16.5" customHeight="1">
      <c r="A24" s="625" t="str">
        <f t="shared" ca="1" si="2"/>
        <v/>
      </c>
      <c r="B24" s="619" t="str">
        <f ca="1">IF(ROWS($1:11)&gt;COUNT(Dong12),"",OFFSET(TH!E$1,SMALL(Dong12,ROWS($1:11)),))</f>
        <v/>
      </c>
      <c r="C24" s="716" t="str">
        <f ca="1">IF(ROWS($1:11)&gt;COUNT(Dong12),"",IF(MID(OFFSET(TH!D$1,SMALL(Dong12,ROWS($1:11)),),4,1)="N",OFFSET(TH!D$1,SMALL(Dong12,ROWS($1:11)),),""))</f>
        <v/>
      </c>
      <c r="D24" s="619" t="str">
        <f ca="1">IF(ROWS($1:11)&gt;COUNT(Dong12),"",IF(MID(OFFSET(TH!D$1,SMALL(Dong12,ROWS($1:11)),),4,1)="X",OFFSET(TH!D$1,SMALL(Dong12,ROWS($1:11)),),""))</f>
        <v/>
      </c>
      <c r="E24" s="620" t="str">
        <f ca="1">IF(ROWS($1:11)&gt;COUNT(Dong12),"",OFFSET(TH!F$1,SMALL(Dong12,ROWS($1:11)),)&amp;" - "&amp;OFFSET(TH!H$1,SMALL(Dong12,ROWS($1:11)),))</f>
        <v/>
      </c>
      <c r="F24" s="619" t="str">
        <f t="shared" ca="1" si="0"/>
        <v/>
      </c>
      <c r="G24" s="621">
        <f ca="1">IF(ROWS($1:11)&gt;COUNT(Dong12),0,IF(MID(OFFSET(TH!D$1,SMALL(Dong12,ROWS($1:11)),),4,1)="N",OFFSET(TH!I$1,SMALL(Dong12,ROWS($1:11)),),0))</f>
        <v>0</v>
      </c>
      <c r="H24" s="621">
        <f ca="1">IF(ROWS($1:11)&gt;COUNT(Dong12),0,IF(MID(OFFSET(TH!D$1,SMALL(Dong12,ROWS($1:11)),),4,1)="X",OFFSET(TH!I$1,SMALL(Dong12,ROWS($1:11)),),0))</f>
        <v>0</v>
      </c>
      <c r="I24" s="622">
        <f t="shared" ca="1" si="1"/>
        <v>0</v>
      </c>
      <c r="J24" s="623"/>
      <c r="K24" s="624"/>
    </row>
    <row r="25" spans="1:11" ht="16.5" customHeight="1">
      <c r="A25" s="625" t="str">
        <f t="shared" ca="1" si="2"/>
        <v/>
      </c>
      <c r="B25" s="619" t="str">
        <f ca="1">IF(ROWS($1:12)&gt;COUNT(Dong12),"",OFFSET(TH!E$1,SMALL(Dong12,ROWS($1:12)),))</f>
        <v/>
      </c>
      <c r="C25" s="716" t="str">
        <f ca="1">IF(ROWS($1:12)&gt;COUNT(Dong12),"",IF(MID(OFFSET(TH!D$1,SMALL(Dong12,ROWS($1:12)),),4,1)="N",OFFSET(TH!D$1,SMALL(Dong12,ROWS($1:12)),),""))</f>
        <v/>
      </c>
      <c r="D25" s="619" t="str">
        <f ca="1">IF(ROWS($1:12)&gt;COUNT(Dong12),"",IF(MID(OFFSET(TH!D$1,SMALL(Dong12,ROWS($1:12)),),4,1)="X",OFFSET(TH!D$1,SMALL(Dong12,ROWS($1:12)),),""))</f>
        <v/>
      </c>
      <c r="E25" s="620" t="str">
        <f ca="1">IF(ROWS($1:12)&gt;COUNT(Dong12),"",OFFSET(TH!F$1,SMALL(Dong12,ROWS($1:12)),)&amp;" - "&amp;OFFSET(TH!H$1,SMALL(Dong12,ROWS($1:12)),))</f>
        <v/>
      </c>
      <c r="F25" s="619" t="str">
        <f t="shared" ca="1" si="0"/>
        <v/>
      </c>
      <c r="G25" s="621">
        <f ca="1">IF(ROWS($1:12)&gt;COUNT(Dong12),0,IF(MID(OFFSET(TH!D$1,SMALL(Dong12,ROWS($1:12)),),4,1)="N",OFFSET(TH!I$1,SMALL(Dong12,ROWS($1:12)),),0))</f>
        <v>0</v>
      </c>
      <c r="H25" s="621">
        <f ca="1">IF(ROWS($1:12)&gt;COUNT(Dong12),0,IF(MID(OFFSET(TH!D$1,SMALL(Dong12,ROWS($1:12)),),4,1)="X",OFFSET(TH!I$1,SMALL(Dong12,ROWS($1:12)),),0))</f>
        <v>0</v>
      </c>
      <c r="I25" s="622">
        <f t="shared" ca="1" si="1"/>
        <v>0</v>
      </c>
      <c r="J25" s="623"/>
      <c r="K25" s="624"/>
    </row>
    <row r="26" spans="1:11" ht="16.5" customHeight="1">
      <c r="A26" s="625" t="str">
        <f t="shared" ca="1" si="2"/>
        <v/>
      </c>
      <c r="B26" s="619" t="str">
        <f ca="1">IF(ROWS($1:13)&gt;COUNT(Dong12),"",OFFSET(TH!E$1,SMALL(Dong12,ROWS($1:13)),))</f>
        <v/>
      </c>
      <c r="C26" s="716" t="str">
        <f ca="1">IF(ROWS($1:13)&gt;COUNT(Dong12),"",IF(MID(OFFSET(TH!D$1,SMALL(Dong12,ROWS($1:13)),),4,1)="N",OFFSET(TH!D$1,SMALL(Dong12,ROWS($1:13)),),""))</f>
        <v/>
      </c>
      <c r="D26" s="619" t="str">
        <f ca="1">IF(ROWS($1:13)&gt;COUNT(Dong12),"",IF(MID(OFFSET(TH!D$1,SMALL(Dong12,ROWS($1:13)),),4,1)="X",OFFSET(TH!D$1,SMALL(Dong12,ROWS($1:13)),),""))</f>
        <v/>
      </c>
      <c r="E26" s="620" t="str">
        <f ca="1">IF(ROWS($1:13)&gt;COUNT(Dong12),"",OFFSET(TH!F$1,SMALL(Dong12,ROWS($1:13)),)&amp;" - "&amp;OFFSET(TH!H$1,SMALL(Dong12,ROWS($1:13)),))</f>
        <v/>
      </c>
      <c r="F26" s="619" t="str">
        <f t="shared" ca="1" si="0"/>
        <v/>
      </c>
      <c r="G26" s="621">
        <f ca="1">IF(ROWS($1:13)&gt;COUNT(Dong12),0,IF(MID(OFFSET(TH!D$1,SMALL(Dong12,ROWS($1:13)),),4,1)="N",OFFSET(TH!I$1,SMALL(Dong12,ROWS($1:13)),),0))</f>
        <v>0</v>
      </c>
      <c r="H26" s="621">
        <f ca="1">IF(ROWS($1:13)&gt;COUNT(Dong12),0,IF(MID(OFFSET(TH!D$1,SMALL(Dong12,ROWS($1:13)),),4,1)="X",OFFSET(TH!I$1,SMALL(Dong12,ROWS($1:13)),),0))</f>
        <v>0</v>
      </c>
      <c r="I26" s="622">
        <f t="shared" ca="1" si="1"/>
        <v>0</v>
      </c>
      <c r="J26" s="623"/>
      <c r="K26" s="624"/>
    </row>
    <row r="27" spans="1:11" ht="16.5" customHeight="1">
      <c r="A27" s="625" t="str">
        <f t="shared" ca="1" si="2"/>
        <v/>
      </c>
      <c r="B27" s="619" t="str">
        <f ca="1">IF(ROWS($1:14)&gt;COUNT(Dong12),"",OFFSET(TH!E$1,SMALL(Dong12,ROWS($1:14)),))</f>
        <v/>
      </c>
      <c r="C27" s="716" t="str">
        <f ca="1">IF(ROWS($1:14)&gt;COUNT(Dong12),"",IF(MID(OFFSET(TH!D$1,SMALL(Dong12,ROWS($1:14)),),4,1)="N",OFFSET(TH!D$1,SMALL(Dong12,ROWS($1:14)),),""))</f>
        <v/>
      </c>
      <c r="D27" s="619" t="str">
        <f ca="1">IF(ROWS($1:14)&gt;COUNT(Dong12),"",IF(MID(OFFSET(TH!D$1,SMALL(Dong12,ROWS($1:14)),),4,1)="X",OFFSET(TH!D$1,SMALL(Dong12,ROWS($1:14)),),""))</f>
        <v/>
      </c>
      <c r="E27" s="620" t="str">
        <f ca="1">IF(ROWS($1:14)&gt;COUNT(Dong12),"",OFFSET(TH!F$1,SMALL(Dong12,ROWS($1:14)),)&amp;" - "&amp;OFFSET(TH!H$1,SMALL(Dong12,ROWS($1:14)),))</f>
        <v/>
      </c>
      <c r="F27" s="619" t="str">
        <f t="shared" ca="1" si="0"/>
        <v/>
      </c>
      <c r="G27" s="621">
        <f ca="1">IF(ROWS($1:14)&gt;COUNT(Dong12),0,IF(MID(OFFSET(TH!D$1,SMALL(Dong12,ROWS($1:14)),),4,1)="N",OFFSET(TH!I$1,SMALL(Dong12,ROWS($1:14)),),0))</f>
        <v>0</v>
      </c>
      <c r="H27" s="621">
        <f ca="1">IF(ROWS($1:14)&gt;COUNT(Dong12),0,IF(MID(OFFSET(TH!D$1,SMALL(Dong12,ROWS($1:14)),),4,1)="X",OFFSET(TH!I$1,SMALL(Dong12,ROWS($1:14)),),0))</f>
        <v>0</v>
      </c>
      <c r="I27" s="622">
        <f t="shared" ca="1" si="1"/>
        <v>0</v>
      </c>
      <c r="J27" s="623"/>
      <c r="K27" s="624"/>
    </row>
    <row r="28" spans="1:11" ht="16.5" customHeight="1">
      <c r="A28" s="625" t="str">
        <f t="shared" ca="1" si="2"/>
        <v/>
      </c>
      <c r="B28" s="619" t="str">
        <f ca="1">IF(ROWS($1:15)&gt;COUNT(Dong12),"",OFFSET(TH!E$1,SMALL(Dong12,ROWS($1:15)),))</f>
        <v/>
      </c>
      <c r="C28" s="716" t="str">
        <f ca="1">IF(ROWS($1:15)&gt;COUNT(Dong12),"",IF(MID(OFFSET(TH!D$1,SMALL(Dong12,ROWS($1:15)),),4,1)="N",OFFSET(TH!D$1,SMALL(Dong12,ROWS($1:15)),),""))</f>
        <v/>
      </c>
      <c r="D28" s="619" t="str">
        <f ca="1">IF(ROWS($1:15)&gt;COUNT(Dong12),"",IF(MID(OFFSET(TH!D$1,SMALL(Dong12,ROWS($1:15)),),4,1)="X",OFFSET(TH!D$1,SMALL(Dong12,ROWS($1:15)),),""))</f>
        <v/>
      </c>
      <c r="E28" s="620" t="str">
        <f ca="1">IF(ROWS($1:15)&gt;COUNT(Dong12),"",OFFSET(TH!F$1,SMALL(Dong12,ROWS($1:15)),)&amp;" - "&amp;OFFSET(TH!H$1,SMALL(Dong12,ROWS($1:15)),))</f>
        <v/>
      </c>
      <c r="F28" s="619" t="str">
        <f t="shared" ca="1" si="0"/>
        <v/>
      </c>
      <c r="G28" s="621">
        <f ca="1">IF(ROWS($1:15)&gt;COUNT(Dong12),0,IF(MID(OFFSET(TH!D$1,SMALL(Dong12,ROWS($1:15)),),4,1)="N",OFFSET(TH!I$1,SMALL(Dong12,ROWS($1:15)),),0))</f>
        <v>0</v>
      </c>
      <c r="H28" s="621">
        <f ca="1">IF(ROWS($1:15)&gt;COUNT(Dong12),0,IF(MID(OFFSET(TH!D$1,SMALL(Dong12,ROWS($1:15)),),4,1)="X",OFFSET(TH!I$1,SMALL(Dong12,ROWS($1:15)),),0))</f>
        <v>0</v>
      </c>
      <c r="I28" s="622">
        <f t="shared" ca="1" si="1"/>
        <v>0</v>
      </c>
      <c r="J28" s="623"/>
      <c r="K28" s="624"/>
    </row>
    <row r="29" spans="1:11" ht="16.5" customHeight="1">
      <c r="A29" s="625" t="str">
        <f t="shared" ca="1" si="2"/>
        <v/>
      </c>
      <c r="B29" s="619" t="str">
        <f ca="1">IF(ROWS($1:16)&gt;COUNT(Dong12),"",OFFSET(TH!E$1,SMALL(Dong12,ROWS($1:16)),))</f>
        <v/>
      </c>
      <c r="C29" s="716" t="str">
        <f ca="1">IF(ROWS($1:16)&gt;COUNT(Dong12),"",IF(MID(OFFSET(TH!D$1,SMALL(Dong12,ROWS($1:16)),),4,1)="N",OFFSET(TH!D$1,SMALL(Dong12,ROWS($1:16)),),""))</f>
        <v/>
      </c>
      <c r="D29" s="619" t="str">
        <f ca="1">IF(ROWS($1:16)&gt;COUNT(Dong12),"",IF(MID(OFFSET(TH!D$1,SMALL(Dong12,ROWS($1:16)),),4,1)="X",OFFSET(TH!D$1,SMALL(Dong12,ROWS($1:16)),),""))</f>
        <v/>
      </c>
      <c r="E29" s="620" t="str">
        <f ca="1">IF(ROWS($1:16)&gt;COUNT(Dong12),"",OFFSET(TH!F$1,SMALL(Dong12,ROWS($1:16)),)&amp;" - "&amp;OFFSET(TH!H$1,SMALL(Dong12,ROWS($1:16)),))</f>
        <v/>
      </c>
      <c r="F29" s="619" t="str">
        <f t="shared" ca="1" si="0"/>
        <v/>
      </c>
      <c r="G29" s="621">
        <f ca="1">IF(ROWS($1:16)&gt;COUNT(Dong12),0,IF(MID(OFFSET(TH!D$1,SMALL(Dong12,ROWS($1:16)),),4,1)="N",OFFSET(TH!I$1,SMALL(Dong12,ROWS($1:16)),),0))</f>
        <v>0</v>
      </c>
      <c r="H29" s="621">
        <f ca="1">IF(ROWS($1:16)&gt;COUNT(Dong12),0,IF(MID(OFFSET(TH!D$1,SMALL(Dong12,ROWS($1:16)),),4,1)="X",OFFSET(TH!I$1,SMALL(Dong12,ROWS($1:16)),),0))</f>
        <v>0</v>
      </c>
      <c r="I29" s="622">
        <f t="shared" ca="1" si="1"/>
        <v>0</v>
      </c>
      <c r="J29" s="623"/>
      <c r="K29" s="624"/>
    </row>
    <row r="30" spans="1:11" ht="16.5" customHeight="1">
      <c r="A30" s="625" t="str">
        <f t="shared" ca="1" si="2"/>
        <v/>
      </c>
      <c r="B30" s="619" t="str">
        <f ca="1">IF(ROWS($1:17)&gt;COUNT(Dong12),"",OFFSET(TH!E$1,SMALL(Dong12,ROWS($1:17)),))</f>
        <v/>
      </c>
      <c r="C30" s="716" t="str">
        <f ca="1">IF(ROWS($1:17)&gt;COUNT(Dong12),"",IF(MID(OFFSET(TH!D$1,SMALL(Dong12,ROWS($1:17)),),4,1)="N",OFFSET(TH!D$1,SMALL(Dong12,ROWS($1:17)),),""))</f>
        <v/>
      </c>
      <c r="D30" s="619" t="str">
        <f ca="1">IF(ROWS($1:17)&gt;COUNT(Dong12),"",IF(MID(OFFSET(TH!D$1,SMALL(Dong12,ROWS($1:17)),),4,1)="X",OFFSET(TH!D$1,SMALL(Dong12,ROWS($1:17)),),""))</f>
        <v/>
      </c>
      <c r="E30" s="620" t="str">
        <f ca="1">IF(ROWS($1:17)&gt;COUNT(Dong12),"",OFFSET(TH!F$1,SMALL(Dong12,ROWS($1:17)),)&amp;" - "&amp;OFFSET(TH!H$1,SMALL(Dong12,ROWS($1:17)),))</f>
        <v/>
      </c>
      <c r="F30" s="619" t="str">
        <f t="shared" ca="1" si="0"/>
        <v/>
      </c>
      <c r="G30" s="621">
        <f ca="1">IF(ROWS($1:17)&gt;COUNT(Dong12),0,IF(MID(OFFSET(TH!D$1,SMALL(Dong12,ROWS($1:17)),),4,1)="N",OFFSET(TH!I$1,SMALL(Dong12,ROWS($1:17)),),0))</f>
        <v>0</v>
      </c>
      <c r="H30" s="621">
        <f ca="1">IF(ROWS($1:17)&gt;COUNT(Dong12),0,IF(MID(OFFSET(TH!D$1,SMALL(Dong12,ROWS($1:17)),),4,1)="X",OFFSET(TH!I$1,SMALL(Dong12,ROWS($1:17)),),0))</f>
        <v>0</v>
      </c>
      <c r="I30" s="622">
        <f t="shared" ca="1" si="1"/>
        <v>0</v>
      </c>
      <c r="J30" s="623"/>
      <c r="K30" s="624"/>
    </row>
    <row r="31" spans="1:11" ht="16.5" customHeight="1">
      <c r="A31" s="626" t="str">
        <f>IF(D31&lt;&gt;"",A21+1,"")</f>
        <v/>
      </c>
      <c r="B31" s="627"/>
      <c r="C31" s="628"/>
      <c r="D31" s="628"/>
      <c r="E31" s="629"/>
      <c r="F31" s="627"/>
      <c r="G31" s="630"/>
      <c r="H31" s="630"/>
      <c r="I31" s="630"/>
      <c r="J31" s="631"/>
      <c r="K31" s="624"/>
    </row>
    <row r="32" spans="1:11" ht="16.5" customHeight="1">
      <c r="A32" s="613"/>
      <c r="B32" s="632"/>
      <c r="C32" s="613"/>
      <c r="D32" s="613"/>
      <c r="E32" s="614" t="s">
        <v>496</v>
      </c>
      <c r="F32" s="633" t="s">
        <v>21</v>
      </c>
      <c r="G32" s="634">
        <f ca="1">SUM(G14:G31)</f>
        <v>0</v>
      </c>
      <c r="H32" s="634">
        <f ca="1">SUM(H14:H31)</f>
        <v>0</v>
      </c>
      <c r="I32" s="634">
        <f ca="1">I13+G32-H32</f>
        <v>2100</v>
      </c>
      <c r="J32" s="613" t="s">
        <v>21</v>
      </c>
      <c r="K32" s="635"/>
    </row>
    <row r="33" spans="1:11" ht="12.75" customHeight="1">
      <c r="A33" s="636"/>
      <c r="B33" s="590"/>
      <c r="C33" s="636"/>
      <c r="D33" s="636"/>
      <c r="E33" s="598"/>
      <c r="F33" s="590"/>
      <c r="G33" s="599"/>
      <c r="H33" s="599"/>
      <c r="I33" s="599"/>
      <c r="J33" s="585"/>
      <c r="K33" s="585"/>
    </row>
    <row r="34" spans="1:11" ht="15">
      <c r="A34" s="637" t="s">
        <v>497</v>
      </c>
      <c r="B34" s="637"/>
      <c r="C34" s="638"/>
      <c r="D34" s="638"/>
      <c r="E34" s="598"/>
      <c r="F34" s="590"/>
      <c r="G34" s="599"/>
      <c r="H34" s="599"/>
      <c r="I34" s="599"/>
      <c r="J34" s="585"/>
      <c r="K34" s="585"/>
    </row>
    <row r="35" spans="1:11" ht="15">
      <c r="A35" s="1401" t="str">
        <f ca="1">IF(ISERROR(" - Ngày mở sổ: ngày "&amp;DAY(B14)&amp;" tháng "&amp;MONTH(B14)&amp;" năm "&amp;YEAR(B14))," - Ngày mở sổ: ngày 01 tháng  01 năm 2016 "," - Ngày mở sổ: ngày "&amp;DAY(B14)&amp;" tháng "&amp;MONTH(B14)&amp;" năm "&amp;YEAR(B14))</f>
        <v xml:space="preserve"> - Ngày mở sổ: ngày 0 tháng 1 năm 1900</v>
      </c>
      <c r="B35" s="1402"/>
      <c r="C35" s="1402"/>
      <c r="D35" s="1402"/>
      <c r="E35" s="1402"/>
      <c r="F35" s="590"/>
      <c r="G35" s="599"/>
      <c r="H35" s="599"/>
      <c r="I35" s="599"/>
      <c r="J35" s="585"/>
      <c r="K35" s="585"/>
    </row>
    <row r="36" spans="1:11" ht="15">
      <c r="A36" s="639"/>
      <c r="B36" s="640"/>
      <c r="C36" s="641"/>
      <c r="D36" s="636"/>
      <c r="E36" s="598"/>
      <c r="F36" s="590"/>
      <c r="H36" s="496"/>
      <c r="I36" s="910" t="s">
        <v>452</v>
      </c>
      <c r="J36" s="496"/>
      <c r="K36" s="497"/>
    </row>
    <row r="37" spans="1:11" ht="15" customHeight="1">
      <c r="A37" s="639"/>
      <c r="C37" s="642" t="s">
        <v>498</v>
      </c>
      <c r="D37" s="636"/>
      <c r="E37" s="1403" t="s">
        <v>12</v>
      </c>
      <c r="F37" s="1403"/>
      <c r="G37" s="599"/>
      <c r="I37" s="947" t="s">
        <v>131</v>
      </c>
      <c r="J37" s="588"/>
      <c r="K37" s="639"/>
    </row>
    <row r="38" spans="1:11" ht="15" customHeight="1">
      <c r="A38" s="643"/>
      <c r="C38" s="644" t="s">
        <v>13</v>
      </c>
      <c r="D38" s="645"/>
      <c r="E38" s="1397" t="s">
        <v>13</v>
      </c>
      <c r="F38" s="1397"/>
      <c r="G38" s="599"/>
      <c r="I38" s="948" t="s">
        <v>161</v>
      </c>
      <c r="J38" s="946"/>
      <c r="K38" s="643"/>
    </row>
    <row r="39" spans="1:11" ht="15">
      <c r="A39" s="643"/>
      <c r="C39" s="644"/>
      <c r="D39" s="636"/>
      <c r="E39" s="646"/>
      <c r="F39" s="647"/>
      <c r="G39" s="599"/>
      <c r="H39" s="643"/>
      <c r="I39" s="643"/>
      <c r="J39" s="643"/>
      <c r="K39" s="643"/>
    </row>
    <row r="40" spans="1:11" ht="15">
      <c r="A40" s="643"/>
      <c r="B40" s="644"/>
      <c r="C40" s="643"/>
      <c r="D40" s="636"/>
      <c r="E40" s="646"/>
      <c r="F40" s="647"/>
      <c r="G40" s="599"/>
      <c r="H40" s="643"/>
      <c r="I40" s="643"/>
      <c r="J40" s="643"/>
      <c r="K40" s="643"/>
    </row>
    <row r="41" spans="1:11" ht="15">
      <c r="A41" s="643"/>
      <c r="B41" s="644"/>
      <c r="C41" s="643"/>
      <c r="D41" s="636"/>
      <c r="E41" s="646"/>
      <c r="F41" s="647"/>
      <c r="G41" s="599"/>
      <c r="H41" s="643"/>
      <c r="I41" s="643"/>
      <c r="J41" s="643"/>
      <c r="K41" s="643"/>
    </row>
    <row r="46" spans="1:11" ht="15">
      <c r="C46" s="949" t="s">
        <v>779</v>
      </c>
      <c r="H46" s="945"/>
      <c r="I46" s="944" t="s">
        <v>125</v>
      </c>
      <c r="J46" s="945"/>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07"/>
  <sheetViews>
    <sheetView workbookViewId="0">
      <pane xSplit="3" ySplit="1" topLeftCell="I2" activePane="bottomRight" state="frozen"/>
      <selection activeCell="C33" sqref="C33"/>
      <selection pane="topRight" activeCell="C33" sqref="C33"/>
      <selection pane="bottomLeft" activeCell="C33" sqref="C33"/>
      <selection pane="bottomRight" activeCell="L21" sqref="L21"/>
    </sheetView>
  </sheetViews>
  <sheetFormatPr defaultColWidth="10.28515625" defaultRowHeight="12.75"/>
  <cols>
    <col min="1" max="1" width="4.7109375" customWidth="1"/>
    <col min="2" max="2" width="27.7109375" customWidth="1"/>
    <col min="3" max="3" width="6.7109375" customWidth="1"/>
    <col min="4" max="4" width="10" bestFit="1" customWidth="1"/>
    <col min="5" max="5" width="9.42578125" customWidth="1"/>
    <col min="6" max="6" width="9.140625" customWidth="1"/>
    <col min="7" max="7" width="14.28515625" customWidth="1"/>
    <col min="8" max="11" width="13.7109375" customWidth="1"/>
    <col min="12" max="12" width="11.85546875" customWidth="1"/>
    <col min="13" max="13" width="13.7109375" customWidth="1"/>
    <col min="14" max="14" width="19.140625" bestFit="1" customWidth="1"/>
    <col min="15" max="15" width="9.7109375" customWidth="1"/>
    <col min="16" max="16" width="7.710937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2" bestFit="1" customWidth="1"/>
  </cols>
  <sheetData>
    <row r="1" spans="1:25" s="1113" customFormat="1">
      <c r="B1" s="1113">
        <v>1</v>
      </c>
      <c r="C1" s="1113">
        <v>2</v>
      </c>
      <c r="D1" s="1113">
        <v>3</v>
      </c>
      <c r="E1" s="1113">
        <v>4</v>
      </c>
      <c r="F1" s="1113">
        <v>5</v>
      </c>
      <c r="G1" s="1113">
        <v>6</v>
      </c>
      <c r="H1" s="1113">
        <v>8</v>
      </c>
      <c r="I1" s="1113">
        <v>7</v>
      </c>
      <c r="J1" s="1113">
        <v>9</v>
      </c>
      <c r="K1" s="1113">
        <v>10</v>
      </c>
      <c r="L1" s="1113">
        <v>11</v>
      </c>
      <c r="M1" s="1113">
        <v>12</v>
      </c>
      <c r="N1" s="1113">
        <v>13</v>
      </c>
      <c r="O1" s="1113">
        <v>14</v>
      </c>
      <c r="P1" s="1113">
        <v>15</v>
      </c>
      <c r="Q1" s="1114"/>
      <c r="S1" s="1115"/>
      <c r="T1" s="467"/>
      <c r="U1" s="467"/>
    </row>
    <row r="2" spans="1:25" s="1113" customFormat="1" ht="18" customHeight="1">
      <c r="A2" s="1116" t="s">
        <v>524</v>
      </c>
      <c r="B2" s="1116"/>
      <c r="C2" s="1117"/>
      <c r="D2" s="1118"/>
      <c r="E2" s="1118"/>
      <c r="F2" s="1118"/>
      <c r="G2" s="467"/>
      <c r="H2" s="467"/>
      <c r="I2" s="467"/>
      <c r="J2" s="467"/>
      <c r="K2" s="467"/>
      <c r="L2" s="467"/>
      <c r="M2" s="467"/>
      <c r="N2" s="467"/>
      <c r="O2" s="969"/>
      <c r="P2" s="467"/>
      <c r="Q2" s="1119"/>
      <c r="R2" s="467"/>
      <c r="S2" s="1120"/>
      <c r="T2" s="467"/>
      <c r="U2" s="467"/>
    </row>
    <row r="3" spans="1:25" s="1113" customFormat="1" ht="18.75" customHeight="1">
      <c r="A3" s="1121" t="s">
        <v>525</v>
      </c>
      <c r="B3" s="1121"/>
      <c r="C3" s="1121"/>
      <c r="D3" s="1121"/>
      <c r="E3" s="1121"/>
      <c r="F3" s="1121"/>
      <c r="G3" s="1121"/>
      <c r="H3" s="1121"/>
      <c r="I3" s="1121"/>
      <c r="J3" s="1121"/>
      <c r="K3" s="1121"/>
      <c r="L3" s="1121"/>
      <c r="M3" s="1121"/>
      <c r="N3" s="1121"/>
      <c r="O3" s="1121"/>
      <c r="P3" s="1121"/>
      <c r="Q3" s="1119"/>
      <c r="R3" s="467"/>
      <c r="S3" s="1120"/>
      <c r="T3" s="467"/>
      <c r="U3" s="467"/>
    </row>
    <row r="4" spans="1:25" s="1113" customFormat="1" ht="12.75" customHeight="1">
      <c r="A4" s="1122"/>
      <c r="B4" s="1122"/>
      <c r="C4" s="1123"/>
      <c r="D4" s="1122"/>
      <c r="E4" s="1122"/>
      <c r="F4" s="1122"/>
      <c r="G4" s="1122"/>
      <c r="H4" s="1122"/>
      <c r="I4" s="1122"/>
      <c r="J4" s="1122"/>
      <c r="K4" s="1122"/>
      <c r="L4" s="1122"/>
      <c r="M4" s="1122"/>
      <c r="N4" s="1122"/>
      <c r="O4" s="1124"/>
      <c r="P4" s="1122"/>
      <c r="Q4" s="1119"/>
      <c r="R4" s="1125"/>
      <c r="S4" s="1406"/>
      <c r="T4" s="1406"/>
      <c r="U4" s="1126"/>
      <c r="V4" s="1406"/>
      <c r="W4" s="1406"/>
      <c r="X4" s="1125"/>
      <c r="Y4" s="1125"/>
    </row>
    <row r="5" spans="1:25" s="695" customFormat="1" ht="30.75" customHeight="1">
      <c r="A5" s="689" t="s">
        <v>37</v>
      </c>
      <c r="B5" s="689" t="s">
        <v>526</v>
      </c>
      <c r="C5" s="690" t="s">
        <v>527</v>
      </c>
      <c r="D5" s="691" t="s">
        <v>528</v>
      </c>
      <c r="E5" s="691" t="s">
        <v>529</v>
      </c>
      <c r="F5" s="691" t="s">
        <v>530</v>
      </c>
      <c r="G5" s="691" t="s">
        <v>531</v>
      </c>
      <c r="H5" s="691" t="s">
        <v>532</v>
      </c>
      <c r="I5" s="691" t="s">
        <v>533</v>
      </c>
      <c r="J5" s="691" t="s">
        <v>534</v>
      </c>
      <c r="K5" s="692" t="s">
        <v>535</v>
      </c>
      <c r="L5" s="691" t="s">
        <v>536</v>
      </c>
      <c r="M5" s="692" t="s">
        <v>537</v>
      </c>
      <c r="N5" s="691" t="s">
        <v>538</v>
      </c>
      <c r="O5" s="693" t="s">
        <v>529</v>
      </c>
      <c r="P5" s="691" t="s">
        <v>539</v>
      </c>
      <c r="Q5" s="694"/>
      <c r="R5" s="689" t="s">
        <v>526</v>
      </c>
      <c r="S5" s="691" t="s">
        <v>493</v>
      </c>
      <c r="T5" s="691" t="s">
        <v>335</v>
      </c>
      <c r="U5" s="691" t="s">
        <v>530</v>
      </c>
      <c r="V5" s="691" t="s">
        <v>540</v>
      </c>
      <c r="W5" s="689" t="s">
        <v>540</v>
      </c>
    </row>
    <row r="6" spans="1:25" s="1113" customFormat="1">
      <c r="A6" s="1127">
        <f>IF(B6&lt;&gt;"",ROW()-(ROW()-1),"")</f>
        <v>1</v>
      </c>
      <c r="B6" s="474" t="s">
        <v>459</v>
      </c>
      <c r="C6" s="1128"/>
      <c r="D6" s="1129">
        <f>ROUND(C6*O6,0)</f>
        <v>0</v>
      </c>
      <c r="E6" s="1129">
        <v>84994</v>
      </c>
      <c r="F6" s="1129"/>
      <c r="G6" s="25">
        <v>4920916000</v>
      </c>
      <c r="H6" s="1129"/>
      <c r="I6" s="1129"/>
      <c r="J6" s="1129"/>
      <c r="K6" s="1129">
        <f t="shared" ref="K6:K16" si="0">IF($D$18&lt;&gt;0,K$18/$D$18*$D6,0)</f>
        <v>0</v>
      </c>
      <c r="L6" s="1129">
        <f>SUM(V37:V41)</f>
        <v>62934100</v>
      </c>
      <c r="M6" s="1129"/>
      <c r="N6" s="25">
        <f>G6+I6+H6+J6+L6+K6+M6</f>
        <v>4983850100</v>
      </c>
      <c r="O6" s="1217">
        <v>84994</v>
      </c>
      <c r="P6" s="1129">
        <f>IF(O6&lt;&gt;"",N6/O6,"")</f>
        <v>58637.669717862438</v>
      </c>
      <c r="Q6" s="986"/>
      <c r="R6" s="696" t="s">
        <v>337</v>
      </c>
      <c r="S6" s="1219"/>
      <c r="T6" s="227">
        <v>50</v>
      </c>
      <c r="U6" s="1220">
        <v>32200</v>
      </c>
      <c r="V6" s="1221">
        <f>ROUND(T6*U6,0)</f>
        <v>1610000</v>
      </c>
      <c r="W6" s="1131"/>
    </row>
    <row r="7" spans="1:25" s="1113" customFormat="1">
      <c r="A7" s="1127">
        <f>A6+1</f>
        <v>2</v>
      </c>
      <c r="B7" s="474" t="s">
        <v>459</v>
      </c>
      <c r="C7" s="1218">
        <v>3.2</v>
      </c>
      <c r="D7" s="1129">
        <f>ROUND(C7*O7,0)</f>
        <v>84448</v>
      </c>
      <c r="E7" s="1129"/>
      <c r="F7" s="1217">
        <v>17000</v>
      </c>
      <c r="G7" s="25">
        <f>(D7+E7)*F7</f>
        <v>1435616000</v>
      </c>
      <c r="H7" s="1129"/>
      <c r="I7" s="1129"/>
      <c r="J7" s="1129"/>
      <c r="K7" s="1129">
        <f t="shared" si="0"/>
        <v>0</v>
      </c>
      <c r="L7" s="1129">
        <f>V36</f>
        <v>15225000</v>
      </c>
      <c r="M7" s="1129">
        <v>263900000</v>
      </c>
      <c r="N7" s="25">
        <f>G7+I7+H7+J7+L7+K7+M7</f>
        <v>1714741000</v>
      </c>
      <c r="O7" s="697">
        <v>26390</v>
      </c>
      <c r="P7" s="1129">
        <f>IF(O7&lt;&gt;"",N7/O7,"")</f>
        <v>64976.923076923078</v>
      </c>
      <c r="Q7" s="986"/>
      <c r="R7" s="698" t="s">
        <v>343</v>
      </c>
      <c r="S7" s="1219"/>
      <c r="T7" s="227">
        <v>100</v>
      </c>
      <c r="U7" s="1222">
        <v>49027</v>
      </c>
      <c r="V7" s="1221">
        <f t="shared" ref="V7:V12" si="1">ROUND(T7*U7,0)</f>
        <v>4902700</v>
      </c>
      <c r="W7" s="1132"/>
    </row>
    <row r="8" spans="1:25" s="1113" customFormat="1">
      <c r="A8" s="1127">
        <f>A7+1</f>
        <v>3</v>
      </c>
      <c r="B8" s="474" t="s">
        <v>446</v>
      </c>
      <c r="C8" s="1218">
        <v>8</v>
      </c>
      <c r="D8" s="1129">
        <f>ROUND(C8*O8,0)</f>
        <v>76800</v>
      </c>
      <c r="E8" s="1129"/>
      <c r="F8" s="1217">
        <v>18000</v>
      </c>
      <c r="G8" s="25">
        <f>(D8+E8)*F8</f>
        <v>1382400000</v>
      </c>
      <c r="H8" s="1129">
        <f>IF($D$18&lt;&gt;0,H$18/($D$18+$E$18)*($D8+$E8),0)</f>
        <v>17903297.153511498</v>
      </c>
      <c r="I8" s="1129">
        <f>IF($D$18&lt;&gt;0,I$18/$D$18*$D8,0)</f>
        <v>8031781.2305779988</v>
      </c>
      <c r="J8" s="1129">
        <f>IF($D$18&lt;&gt;0,J$18/$D$18*$D8,0)</f>
        <v>21119004.082038533</v>
      </c>
      <c r="K8" s="1129">
        <f t="shared" si="0"/>
        <v>0</v>
      </c>
      <c r="L8" s="1129">
        <f>V27+V28</f>
        <v>82582800</v>
      </c>
      <c r="M8" s="1129"/>
      <c r="N8" s="25">
        <f>G8+I8+H8+J8+L8+K8+M8</f>
        <v>1512036882.4661281</v>
      </c>
      <c r="O8" s="697">
        <v>9600</v>
      </c>
      <c r="P8" s="1129">
        <f>IF(O8&lt;&gt;"",N8/O8,"")</f>
        <v>157503.84192355501</v>
      </c>
      <c r="Q8" s="986"/>
      <c r="R8" s="698" t="s">
        <v>346</v>
      </c>
      <c r="S8" s="1219"/>
      <c r="T8" s="227">
        <v>150</v>
      </c>
      <c r="U8" s="1222">
        <v>15238</v>
      </c>
      <c r="V8" s="1221">
        <f t="shared" si="1"/>
        <v>2285700</v>
      </c>
      <c r="W8" s="1132"/>
    </row>
    <row r="9" spans="1:25" s="1113" customFormat="1">
      <c r="A9" s="1127">
        <f t="shared" ref="A9:A16" si="2">IF(B9&lt;&gt;"",A8+1,"")</f>
        <v>4</v>
      </c>
      <c r="B9" s="1216" t="s">
        <v>810</v>
      </c>
      <c r="C9" s="1218">
        <v>8.5</v>
      </c>
      <c r="D9" s="1129">
        <f t="shared" ref="D9:D15" si="3">ROUND(C9*O9,0)</f>
        <v>19040</v>
      </c>
      <c r="E9" s="1129"/>
      <c r="F9" s="1217">
        <v>18000</v>
      </c>
      <c r="G9" s="25">
        <f t="shared" ref="G9:G15" si="4">(D9+E9)*F9</f>
        <v>342720000</v>
      </c>
      <c r="H9" s="1129">
        <f t="shared" ref="H9:H16" si="5">IF($D$18&lt;&gt;0,H$18/($D$18+$E$18)*($D9+$E9),0)</f>
        <v>4438525.7526413919</v>
      </c>
      <c r="I9" s="1129">
        <f t="shared" ref="I9:I16" si="6">IF($D$18&lt;&gt;0,I$18/$D$18*$D9,0)</f>
        <v>1991212.4300807957</v>
      </c>
      <c r="J9" s="1129">
        <f t="shared" ref="J9:J16" si="7">IF($D$18&lt;&gt;0,J$18/$D$18*$D9,0)</f>
        <v>5235753.0953387199</v>
      </c>
      <c r="K9" s="1129">
        <f t="shared" si="0"/>
        <v>0</v>
      </c>
      <c r="L9" s="1129">
        <f>V25+V26</f>
        <v>5712000</v>
      </c>
      <c r="M9" s="1129"/>
      <c r="N9" s="25">
        <f t="shared" ref="N9:N15" si="8">G9+I9+H9+J9+L9+K9+M9</f>
        <v>360097491.27806085</v>
      </c>
      <c r="O9" s="697">
        <v>2240</v>
      </c>
      <c r="P9" s="1129">
        <f t="shared" ref="P9:P15" si="9">IF(O9&lt;&gt;"",N9/O9,"")</f>
        <v>160757.80860627716</v>
      </c>
      <c r="Q9" s="986"/>
      <c r="R9" s="698" t="s">
        <v>920</v>
      </c>
      <c r="S9" s="1219"/>
      <c r="T9" s="227">
        <v>370</v>
      </c>
      <c r="U9" s="1222">
        <v>53000</v>
      </c>
      <c r="V9" s="1221">
        <f t="shared" si="1"/>
        <v>19610000</v>
      </c>
      <c r="W9" s="1132"/>
    </row>
    <row r="10" spans="1:25" s="1113" customFormat="1">
      <c r="A10" s="1127">
        <f t="shared" si="2"/>
        <v>5</v>
      </c>
      <c r="B10" s="1216" t="s">
        <v>1251</v>
      </c>
      <c r="C10" s="1218">
        <v>5</v>
      </c>
      <c r="D10" s="1129">
        <f t="shared" si="3"/>
        <v>12350</v>
      </c>
      <c r="E10" s="1129"/>
      <c r="F10" s="1217">
        <v>35000</v>
      </c>
      <c r="G10" s="25">
        <f t="shared" si="4"/>
        <v>432250000</v>
      </c>
      <c r="H10" s="1129">
        <f t="shared" si="5"/>
        <v>2878980.7271597264</v>
      </c>
      <c r="I10" s="1129">
        <f t="shared" si="6"/>
        <v>1291568.9869484152</v>
      </c>
      <c r="J10" s="1129">
        <f t="shared" si="7"/>
        <v>3396089.8491298947</v>
      </c>
      <c r="K10" s="1129">
        <f t="shared" si="0"/>
        <v>0</v>
      </c>
      <c r="L10" s="1129">
        <f>V31</f>
        <v>2575000</v>
      </c>
      <c r="M10" s="1129"/>
      <c r="N10" s="25">
        <f t="shared" si="8"/>
        <v>442391639.56323808</v>
      </c>
      <c r="O10" s="697">
        <v>2470</v>
      </c>
      <c r="P10" s="1129">
        <f t="shared" si="9"/>
        <v>179105.92694867938</v>
      </c>
      <c r="Q10" s="986"/>
      <c r="R10" s="698" t="s">
        <v>351</v>
      </c>
      <c r="S10" s="1219"/>
      <c r="T10" s="227">
        <v>500</v>
      </c>
      <c r="U10" s="1222">
        <v>3000</v>
      </c>
      <c r="V10" s="1221">
        <f t="shared" si="1"/>
        <v>1500000</v>
      </c>
      <c r="W10" s="1132"/>
    </row>
    <row r="11" spans="1:25" s="1113" customFormat="1">
      <c r="A11" s="1127">
        <f t="shared" si="2"/>
        <v>6</v>
      </c>
      <c r="B11" s="1216" t="s">
        <v>445</v>
      </c>
      <c r="C11" s="1218">
        <v>11</v>
      </c>
      <c r="D11" s="1129">
        <f t="shared" si="3"/>
        <v>132000</v>
      </c>
      <c r="E11" s="1129"/>
      <c r="F11" s="1217">
        <v>16000</v>
      </c>
      <c r="G11" s="25">
        <f t="shared" si="4"/>
        <v>2112000000</v>
      </c>
      <c r="H11" s="1129">
        <f t="shared" si="5"/>
        <v>30771291.982597888</v>
      </c>
      <c r="I11" s="1129">
        <f t="shared" si="6"/>
        <v>13804623.990055935</v>
      </c>
      <c r="J11" s="1129">
        <f t="shared" si="7"/>
        <v>36298288.266003728</v>
      </c>
      <c r="K11" s="1129">
        <f t="shared" si="0"/>
        <v>0</v>
      </c>
      <c r="L11" s="1129">
        <f>V30</f>
        <v>12360000</v>
      </c>
      <c r="M11" s="1129"/>
      <c r="N11" s="25">
        <f t="shared" si="8"/>
        <v>2205234204.2386575</v>
      </c>
      <c r="O11" s="697">
        <v>12000</v>
      </c>
      <c r="P11" s="1129">
        <f t="shared" si="9"/>
        <v>183769.51701988812</v>
      </c>
      <c r="Q11" s="986"/>
      <c r="R11" s="698" t="s">
        <v>1254</v>
      </c>
      <c r="S11" s="1219"/>
      <c r="T11" s="227">
        <v>200</v>
      </c>
      <c r="U11" s="1222">
        <v>14728</v>
      </c>
      <c r="V11" s="1221">
        <f t="shared" si="1"/>
        <v>2945600</v>
      </c>
      <c r="W11" s="1132"/>
    </row>
    <row r="12" spans="1:25" s="1113" customFormat="1">
      <c r="A12" s="1127">
        <f t="shared" si="2"/>
        <v>7</v>
      </c>
      <c r="B12" s="1216" t="s">
        <v>899</v>
      </c>
      <c r="C12" s="1218">
        <v>8</v>
      </c>
      <c r="D12" s="1129">
        <f t="shared" si="3"/>
        <v>80000</v>
      </c>
      <c r="E12" s="1129"/>
      <c r="F12" s="1217">
        <v>19000</v>
      </c>
      <c r="G12" s="25">
        <f t="shared" si="4"/>
        <v>1520000000</v>
      </c>
      <c r="H12" s="1129">
        <f t="shared" si="5"/>
        <v>18649267.868241142</v>
      </c>
      <c r="I12" s="1129">
        <f t="shared" si="6"/>
        <v>8366438.7818520823</v>
      </c>
      <c r="J12" s="1129">
        <f t="shared" si="7"/>
        <v>21998962.585456807</v>
      </c>
      <c r="K12" s="1129">
        <f t="shared" si="0"/>
        <v>0</v>
      </c>
      <c r="L12" s="1129">
        <f>V29</f>
        <v>14040000</v>
      </c>
      <c r="M12" s="1129"/>
      <c r="N12" s="25">
        <f t="shared" si="8"/>
        <v>1583054669.2355499</v>
      </c>
      <c r="O12" s="697">
        <v>10000</v>
      </c>
      <c r="P12" s="1129">
        <f t="shared" si="9"/>
        <v>158305.46692355498</v>
      </c>
      <c r="Q12" s="986"/>
      <c r="R12" s="698" t="s">
        <v>356</v>
      </c>
      <c r="S12" s="1219"/>
      <c r="T12" s="227">
        <v>100</v>
      </c>
      <c r="U12" s="1222">
        <v>8000</v>
      </c>
      <c r="V12" s="1221">
        <f t="shared" si="1"/>
        <v>800000</v>
      </c>
      <c r="W12" s="1132"/>
    </row>
    <row r="13" spans="1:25" s="1113" customFormat="1">
      <c r="A13" s="1127">
        <f t="shared" si="2"/>
        <v>8</v>
      </c>
      <c r="B13" s="1216" t="s">
        <v>910</v>
      </c>
      <c r="C13" s="1218">
        <v>5</v>
      </c>
      <c r="D13" s="1129">
        <f t="shared" si="3"/>
        <v>650</v>
      </c>
      <c r="E13" s="1129"/>
      <c r="F13" s="1217">
        <v>24500</v>
      </c>
      <c r="G13" s="25">
        <f t="shared" si="4"/>
        <v>15925000</v>
      </c>
      <c r="H13" s="1129">
        <f t="shared" si="5"/>
        <v>151525.30142945927</v>
      </c>
      <c r="I13" s="1129">
        <f t="shared" si="6"/>
        <v>67977.315102548164</v>
      </c>
      <c r="J13" s="1129">
        <f t="shared" si="7"/>
        <v>178741.57100683654</v>
      </c>
      <c r="K13" s="1129">
        <f t="shared" si="0"/>
        <v>0</v>
      </c>
      <c r="L13" s="1129">
        <f>V32</f>
        <v>133900</v>
      </c>
      <c r="M13" s="1129"/>
      <c r="N13" s="25">
        <f t="shared" si="8"/>
        <v>16457144.187538844</v>
      </c>
      <c r="O13" s="697">
        <v>130</v>
      </c>
      <c r="P13" s="1129">
        <f t="shared" si="9"/>
        <v>126593.41682722187</v>
      </c>
      <c r="Q13" s="986"/>
      <c r="R13" s="698"/>
      <c r="S13" s="701"/>
      <c r="T13" s="85"/>
      <c r="U13" s="923"/>
      <c r="V13" s="25">
        <f t="shared" ref="V13:V15" si="10">ROUND(T13*U13,0)</f>
        <v>0</v>
      </c>
      <c r="W13" s="1132"/>
    </row>
    <row r="14" spans="1:25" s="1113" customFormat="1">
      <c r="A14" s="1127">
        <f t="shared" si="2"/>
        <v>9</v>
      </c>
      <c r="B14" s="1216" t="s">
        <v>1252</v>
      </c>
      <c r="C14" s="1128">
        <v>6</v>
      </c>
      <c r="D14" s="1129">
        <f t="shared" si="3"/>
        <v>300</v>
      </c>
      <c r="E14" s="1129"/>
      <c r="F14" s="1129">
        <v>34000</v>
      </c>
      <c r="G14" s="25">
        <f t="shared" si="4"/>
        <v>10200000</v>
      </c>
      <c r="H14" s="1129">
        <f t="shared" si="5"/>
        <v>69934.75450590429</v>
      </c>
      <c r="I14" s="1129">
        <f t="shared" si="6"/>
        <v>31374.145431945308</v>
      </c>
      <c r="J14" s="1129">
        <f t="shared" si="7"/>
        <v>82496.109695463019</v>
      </c>
      <c r="K14" s="1129">
        <f t="shared" si="0"/>
        <v>0</v>
      </c>
      <c r="L14" s="1129">
        <f>V33</f>
        <v>51500</v>
      </c>
      <c r="M14" s="1129"/>
      <c r="N14" s="25">
        <f t="shared" si="8"/>
        <v>10435305.009633312</v>
      </c>
      <c r="O14" s="697">
        <v>50</v>
      </c>
      <c r="P14" s="1129">
        <f t="shared" si="9"/>
        <v>208706.10019266623</v>
      </c>
      <c r="Q14" s="986"/>
      <c r="R14" s="698"/>
      <c r="S14" s="701"/>
      <c r="T14" s="85"/>
      <c r="U14" s="923"/>
      <c r="V14" s="25">
        <f t="shared" si="10"/>
        <v>0</v>
      </c>
      <c r="W14" s="1132"/>
    </row>
    <row r="15" spans="1:25" s="1113" customFormat="1">
      <c r="A15" s="1127">
        <f t="shared" si="2"/>
        <v>10</v>
      </c>
      <c r="B15" s="1216" t="s">
        <v>909</v>
      </c>
      <c r="C15" s="1128">
        <v>6</v>
      </c>
      <c r="D15" s="1129">
        <f t="shared" si="3"/>
        <v>60</v>
      </c>
      <c r="E15" s="1129"/>
      <c r="F15" s="1129">
        <v>31000</v>
      </c>
      <c r="G15" s="25">
        <f t="shared" si="4"/>
        <v>1860000</v>
      </c>
      <c r="H15" s="1129">
        <f t="shared" si="5"/>
        <v>13986.950901180857</v>
      </c>
      <c r="I15" s="1129">
        <f t="shared" si="6"/>
        <v>6274.8290863890616</v>
      </c>
      <c r="J15" s="1129">
        <f t="shared" si="7"/>
        <v>16499.221939092604</v>
      </c>
      <c r="K15" s="1129">
        <f t="shared" si="0"/>
        <v>0</v>
      </c>
      <c r="L15" s="1129">
        <f>V34</f>
        <v>10300</v>
      </c>
      <c r="M15" s="1129"/>
      <c r="N15" s="25">
        <f t="shared" si="8"/>
        <v>1907061.0019266626</v>
      </c>
      <c r="O15" s="697">
        <v>10</v>
      </c>
      <c r="P15" s="1129">
        <f t="shared" si="9"/>
        <v>190706.10019266626</v>
      </c>
      <c r="Q15" s="986"/>
      <c r="R15" s="698"/>
      <c r="S15" s="701"/>
      <c r="T15" s="85"/>
      <c r="U15" s="923"/>
      <c r="V15" s="25">
        <f t="shared" si="10"/>
        <v>0</v>
      </c>
      <c r="W15" s="1132"/>
    </row>
    <row r="16" spans="1:25" s="1113" customFormat="1">
      <c r="A16" s="1127">
        <f t="shared" si="2"/>
        <v>11</v>
      </c>
      <c r="B16" s="1216" t="s">
        <v>1253</v>
      </c>
      <c r="C16" s="1128">
        <v>5</v>
      </c>
      <c r="D16" s="1129">
        <f>ROUND(C16*O16,0)</f>
        <v>600</v>
      </c>
      <c r="E16" s="1129"/>
      <c r="F16" s="1129">
        <v>24500</v>
      </c>
      <c r="G16" s="25">
        <f>(D16+E16)*F16</f>
        <v>14700000</v>
      </c>
      <c r="H16" s="1129">
        <f t="shared" si="5"/>
        <v>139869.50901180858</v>
      </c>
      <c r="I16" s="1129">
        <f t="shared" si="6"/>
        <v>62748.290863890616</v>
      </c>
      <c r="J16" s="1129">
        <f t="shared" si="7"/>
        <v>164992.21939092604</v>
      </c>
      <c r="K16" s="1129">
        <f t="shared" si="0"/>
        <v>0</v>
      </c>
      <c r="L16" s="1129">
        <f>V35</f>
        <v>123600</v>
      </c>
      <c r="M16" s="1129"/>
      <c r="N16" s="25">
        <f>G16+I16+H16+J16+L16+K16+M16</f>
        <v>15191210.019266626</v>
      </c>
      <c r="O16" s="697">
        <v>120</v>
      </c>
      <c r="P16" s="1129">
        <f>IF(O16&lt;&gt;"",N16/O16,"")</f>
        <v>126593.41682722188</v>
      </c>
      <c r="Q16" s="986"/>
      <c r="R16" s="698"/>
      <c r="S16" s="701"/>
      <c r="T16" s="85"/>
      <c r="U16" s="923"/>
      <c r="V16" s="25">
        <f t="shared" ref="V16:V21" si="11">ROUND(T16*U16,0)</f>
        <v>0</v>
      </c>
      <c r="W16" s="1132"/>
    </row>
    <row r="17" spans="1:23" s="1141" customFormat="1">
      <c r="A17" s="1127" t="str">
        <f>IF(B17&lt;&gt;"",#REF!+1,"")</f>
        <v/>
      </c>
      <c r="B17" s="1134"/>
      <c r="C17" s="1135"/>
      <c r="D17" s="1129"/>
      <c r="E17" s="1136"/>
      <c r="F17" s="1137"/>
      <c r="G17" s="1138"/>
      <c r="H17" s="1129"/>
      <c r="I17" s="1137"/>
      <c r="J17" s="8"/>
      <c r="K17" s="1137"/>
      <c r="L17" s="1139"/>
      <c r="M17" s="1137"/>
      <c r="N17" s="25"/>
      <c r="O17" s="1140"/>
      <c r="P17" s="1129" t="str">
        <f>IF(B17&lt;&gt;"",N17/O17,"")</f>
        <v/>
      </c>
      <c r="Q17" s="985"/>
      <c r="R17" s="698"/>
      <c r="S17" s="701"/>
      <c r="T17" s="85"/>
      <c r="U17" s="923"/>
      <c r="V17" s="25">
        <f t="shared" si="11"/>
        <v>0</v>
      </c>
      <c r="W17" s="1132"/>
    </row>
    <row r="18" spans="1:23" s="1116" customFormat="1">
      <c r="A18" s="1142"/>
      <c r="B18" s="1143" t="s">
        <v>541</v>
      </c>
      <c r="C18" s="1144"/>
      <c r="D18" s="883">
        <f>SUM(D8:D16)</f>
        <v>321800</v>
      </c>
      <c r="E18" s="883"/>
      <c r="F18" s="883"/>
      <c r="G18" s="883">
        <f>SUM(G7:G16)</f>
        <v>7267671000</v>
      </c>
      <c r="H18" s="883">
        <v>75016680</v>
      </c>
      <c r="I18" s="883">
        <f>V24</f>
        <v>33654000</v>
      </c>
      <c r="J18" s="883">
        <v>88490827</v>
      </c>
      <c r="K18" s="883"/>
      <c r="L18" s="883">
        <f>SUM(L6:L16)</f>
        <v>195748200</v>
      </c>
      <c r="M18" s="883">
        <f>ROUND(SUM(M6:M17),0)</f>
        <v>263900000</v>
      </c>
      <c r="N18" s="883">
        <f>ROUND(SUM(N6:N17),0)</f>
        <v>12845396707</v>
      </c>
      <c r="O18" s="883">
        <f>ROUND(SUM(O6:O17),0)</f>
        <v>148004</v>
      </c>
      <c r="P18" s="883"/>
      <c r="Q18" s="1119"/>
      <c r="R18" s="698"/>
      <c r="S18" s="701"/>
      <c r="T18" s="85"/>
      <c r="U18" s="923"/>
      <c r="V18" s="25">
        <f t="shared" si="11"/>
        <v>0</v>
      </c>
      <c r="W18" s="1132"/>
    </row>
    <row r="19" spans="1:23" s="1116" customFormat="1">
      <c r="A19" s="1145"/>
      <c r="B19" s="1146"/>
      <c r="C19" s="1147"/>
      <c r="D19" s="1121"/>
      <c r="E19" s="1121"/>
      <c r="F19" s="1121"/>
      <c r="G19" s="1121"/>
      <c r="H19" s="1121"/>
      <c r="I19" s="1121"/>
      <c r="J19" s="1121"/>
      <c r="K19" s="1121"/>
      <c r="L19" s="1121"/>
      <c r="M19" s="1121"/>
      <c r="N19" s="1121"/>
      <c r="O19" s="1121"/>
      <c r="P19" s="1121"/>
      <c r="Q19" s="1119"/>
      <c r="R19" s="698"/>
      <c r="S19" s="701"/>
      <c r="T19" s="85"/>
      <c r="U19" s="923"/>
      <c r="V19" s="25">
        <f t="shared" si="11"/>
        <v>0</v>
      </c>
      <c r="W19" s="1132"/>
    </row>
    <row r="20" spans="1:23" s="1116" customFormat="1">
      <c r="A20" s="1145"/>
      <c r="B20" s="1146"/>
      <c r="C20" s="1147"/>
      <c r="D20" s="1121"/>
      <c r="E20" s="1121"/>
      <c r="F20" s="1121"/>
      <c r="G20" s="1148"/>
      <c r="H20" s="1121"/>
      <c r="I20" s="1121"/>
      <c r="J20" s="1121"/>
      <c r="K20" s="1121"/>
      <c r="L20" s="1121"/>
      <c r="M20" s="1121"/>
      <c r="N20" s="1121"/>
      <c r="O20" s="1121"/>
      <c r="P20" s="1121"/>
      <c r="Q20" s="1119"/>
      <c r="R20" s="698"/>
      <c r="S20" s="701"/>
      <c r="T20" s="85"/>
      <c r="U20" s="923"/>
      <c r="V20" s="25">
        <f t="shared" si="11"/>
        <v>0</v>
      </c>
      <c r="W20" s="1132"/>
    </row>
    <row r="21" spans="1:23" s="1116" customFormat="1">
      <c r="A21" s="1145"/>
      <c r="B21" s="1146"/>
      <c r="C21" s="1147"/>
      <c r="D21" s="1121"/>
      <c r="E21" s="1121"/>
      <c r="F21" s="1121"/>
      <c r="G21" s="1148"/>
      <c r="H21" s="1121"/>
      <c r="I21" s="1121"/>
      <c r="J21" s="1121"/>
      <c r="K21" s="1121"/>
      <c r="L21" s="1121"/>
      <c r="M21" s="1121"/>
      <c r="N21" s="1121"/>
      <c r="O21" s="1121"/>
      <c r="P21" s="1121"/>
      <c r="Q21" s="1119"/>
      <c r="R21" s="698"/>
      <c r="S21" s="701"/>
      <c r="T21" s="1149"/>
      <c r="U21" s="1149"/>
      <c r="V21" s="25">
        <f t="shared" si="11"/>
        <v>0</v>
      </c>
      <c r="W21" s="1132"/>
    </row>
    <row r="22" spans="1:23" s="1116" customFormat="1">
      <c r="A22" s="1145"/>
      <c r="B22" s="1146"/>
      <c r="C22" s="1147"/>
      <c r="D22" s="1121"/>
      <c r="E22" s="1121"/>
      <c r="F22" s="1121"/>
      <c r="G22" s="1148"/>
      <c r="H22" s="1121"/>
      <c r="I22" s="1121"/>
      <c r="J22" s="1121"/>
      <c r="K22" s="1121"/>
      <c r="L22" s="1121"/>
      <c r="M22" s="1121"/>
      <c r="N22" s="1121"/>
      <c r="O22" s="1121"/>
      <c r="P22" s="1121"/>
      <c r="Q22" s="1113"/>
      <c r="R22" s="1150"/>
      <c r="S22" s="701"/>
      <c r="T22" s="922"/>
      <c r="U22" s="922"/>
      <c r="V22" s="922"/>
      <c r="W22" s="1132"/>
    </row>
    <row r="23" spans="1:23" s="1116" customFormat="1">
      <c r="A23" s="1145"/>
      <c r="B23" s="1146"/>
      <c r="C23" s="1147"/>
      <c r="D23" s="1121"/>
      <c r="E23" s="1121"/>
      <c r="F23" s="1121"/>
      <c r="G23" s="1148"/>
      <c r="H23" s="1121"/>
      <c r="I23" s="1121"/>
      <c r="J23" s="1121"/>
      <c r="K23" s="1121"/>
      <c r="L23" s="1121"/>
      <c r="M23" s="1121"/>
      <c r="N23" s="1121"/>
      <c r="O23" s="1121"/>
      <c r="P23" s="1121"/>
      <c r="Q23" s="1113"/>
      <c r="R23" s="1150"/>
      <c r="S23" s="701"/>
      <c r="T23" s="922"/>
      <c r="U23" s="922"/>
      <c r="V23" s="922"/>
      <c r="W23" s="1132"/>
    </row>
    <row r="24" spans="1:23" s="1116" customFormat="1">
      <c r="A24" s="1145"/>
      <c r="B24" s="1146"/>
      <c r="C24" s="1147"/>
      <c r="D24" s="1121"/>
      <c r="E24" s="1121"/>
      <c r="F24" s="1121"/>
      <c r="G24" s="1121"/>
      <c r="H24" s="1121"/>
      <c r="I24" s="1121"/>
      <c r="J24" s="1121"/>
      <c r="K24" s="1121"/>
      <c r="L24" s="1121"/>
      <c r="M24" s="1121"/>
      <c r="N24" s="1121"/>
      <c r="O24" s="1121"/>
      <c r="P24" s="1121"/>
      <c r="Q24" s="1113"/>
      <c r="R24" s="1407"/>
      <c r="S24" s="1407"/>
      <c r="T24" s="1407"/>
      <c r="U24" s="27"/>
      <c r="V24" s="76">
        <f>SUM(V6:V23)</f>
        <v>33654000</v>
      </c>
      <c r="W24" s="76">
        <f>SUM(W6:W23)</f>
        <v>0</v>
      </c>
    </row>
    <row r="25" spans="1:23" s="1113" customFormat="1">
      <c r="G25" s="1125"/>
      <c r="H25" s="1125"/>
      <c r="I25" s="1151"/>
      <c r="N25" s="1152"/>
      <c r="O25" s="1121"/>
      <c r="Q25" s="1114"/>
      <c r="R25" s="1223" t="s">
        <v>950</v>
      </c>
      <c r="S25" s="1219"/>
      <c r="T25" s="227">
        <v>280</v>
      </c>
      <c r="U25" s="227">
        <v>2400</v>
      </c>
      <c r="V25" s="1221">
        <f t="shared" ref="V25:V36" si="12">ROUND(T25*U25,0)</f>
        <v>672000</v>
      </c>
      <c r="W25" s="8"/>
    </row>
    <row r="26" spans="1:23" s="1113" customFormat="1">
      <c r="G26" s="1125"/>
      <c r="H26" s="1125"/>
      <c r="I26" s="1151"/>
      <c r="N26" s="1152"/>
      <c r="O26" s="1121"/>
      <c r="Q26" s="1114"/>
      <c r="R26" s="1223" t="s">
        <v>391</v>
      </c>
      <c r="S26" s="1219"/>
      <c r="T26" s="227">
        <v>280</v>
      </c>
      <c r="U26" s="1222">
        <v>18000</v>
      </c>
      <c r="V26" s="1221">
        <f t="shared" si="12"/>
        <v>5040000</v>
      </c>
      <c r="W26" s="8"/>
    </row>
    <row r="27" spans="1:23" s="1113" customFormat="1">
      <c r="G27" s="1125"/>
      <c r="H27" s="1125"/>
      <c r="I27" s="1151"/>
      <c r="N27" s="1152"/>
      <c r="O27" s="1121"/>
      <c r="Q27" s="1114"/>
      <c r="R27" s="1223" t="s">
        <v>616</v>
      </c>
      <c r="S27" s="1219"/>
      <c r="T27" s="1222">
        <v>4700</v>
      </c>
      <c r="U27" s="1222">
        <v>14000</v>
      </c>
      <c r="V27" s="1221">
        <f t="shared" si="12"/>
        <v>65800000</v>
      </c>
      <c r="W27" s="8"/>
    </row>
    <row r="28" spans="1:23" s="1113" customFormat="1">
      <c r="G28" s="1125"/>
      <c r="H28" s="1125"/>
      <c r="I28" s="1151"/>
      <c r="N28" s="1152"/>
      <c r="O28" s="1121"/>
      <c r="Q28" s="1114"/>
      <c r="R28" s="1223" t="s">
        <v>397</v>
      </c>
      <c r="S28" s="1219"/>
      <c r="T28" s="1222">
        <v>1200</v>
      </c>
      <c r="U28" s="1222"/>
      <c r="V28" s="1221">
        <f>(13500*1076)+(124*18200)</f>
        <v>16782800</v>
      </c>
      <c r="W28" s="8"/>
    </row>
    <row r="29" spans="1:23" s="1113" customFormat="1">
      <c r="G29" s="1125"/>
      <c r="H29" s="1125"/>
      <c r="I29" s="1151"/>
      <c r="N29" s="1152"/>
      <c r="O29" s="1121"/>
      <c r="Q29" s="1114"/>
      <c r="R29" s="698" t="s">
        <v>884</v>
      </c>
      <c r="S29" s="1219"/>
      <c r="T29" s="1222">
        <v>1040</v>
      </c>
      <c r="U29" s="1222">
        <v>13500</v>
      </c>
      <c r="V29" s="1221">
        <f t="shared" si="12"/>
        <v>14040000</v>
      </c>
      <c r="W29" s="8"/>
    </row>
    <row r="30" spans="1:23" s="1113" customFormat="1">
      <c r="G30" s="1125"/>
      <c r="H30" s="1125"/>
      <c r="I30" s="1151"/>
      <c r="N30" s="1152"/>
      <c r="O30" s="1121"/>
      <c r="Q30" s="1114"/>
      <c r="R30" s="1223" t="s">
        <v>883</v>
      </c>
      <c r="S30" s="1219"/>
      <c r="T30" s="1222">
        <v>1200</v>
      </c>
      <c r="U30" s="1222">
        <v>10300</v>
      </c>
      <c r="V30" s="1221">
        <f t="shared" si="12"/>
        <v>12360000</v>
      </c>
      <c r="W30" s="8"/>
    </row>
    <row r="31" spans="1:23" s="1113" customFormat="1">
      <c r="G31" s="1125"/>
      <c r="H31" s="1125"/>
      <c r="I31" s="1151"/>
      <c r="N31" s="1152"/>
      <c r="O31" s="1121"/>
      <c r="Q31" s="1114"/>
      <c r="R31" s="1223" t="s">
        <v>883</v>
      </c>
      <c r="S31" s="1219"/>
      <c r="T31" s="1222">
        <v>250</v>
      </c>
      <c r="U31" s="1222">
        <v>10300</v>
      </c>
      <c r="V31" s="1221">
        <f t="shared" si="12"/>
        <v>2575000</v>
      </c>
      <c r="W31" s="8"/>
    </row>
    <row r="32" spans="1:23" s="1113" customFormat="1">
      <c r="G32" s="1125"/>
      <c r="H32" s="1125"/>
      <c r="I32" s="1151"/>
      <c r="N32" s="1152"/>
      <c r="O32" s="1121"/>
      <c r="Q32" s="1114"/>
      <c r="R32" s="1223" t="s">
        <v>883</v>
      </c>
      <c r="S32" s="1219"/>
      <c r="T32" s="1222">
        <v>13</v>
      </c>
      <c r="U32" s="1222">
        <v>10300</v>
      </c>
      <c r="V32" s="1221">
        <f t="shared" si="12"/>
        <v>133900</v>
      </c>
      <c r="W32" s="8"/>
    </row>
    <row r="33" spans="1:24" s="1113" customFormat="1">
      <c r="G33" s="1125"/>
      <c r="H33" s="1125"/>
      <c r="I33" s="1151"/>
      <c r="N33" s="1152"/>
      <c r="O33" s="1121"/>
      <c r="Q33" s="1114"/>
      <c r="R33" s="1223" t="s">
        <v>883</v>
      </c>
      <c r="S33" s="1219"/>
      <c r="T33" s="1222">
        <v>5</v>
      </c>
      <c r="U33" s="1222">
        <v>10300</v>
      </c>
      <c r="V33" s="1221">
        <f t="shared" si="12"/>
        <v>51500</v>
      </c>
      <c r="W33" s="8"/>
    </row>
    <row r="34" spans="1:24" s="1113" customFormat="1">
      <c r="G34" s="1125"/>
      <c r="H34" s="1125"/>
      <c r="I34" s="1151"/>
      <c r="N34" s="1152"/>
      <c r="O34" s="1121"/>
      <c r="Q34" s="1114"/>
      <c r="R34" s="1223" t="s">
        <v>883</v>
      </c>
      <c r="S34" s="1219"/>
      <c r="T34" s="1222">
        <v>1</v>
      </c>
      <c r="U34" s="1222">
        <v>10300</v>
      </c>
      <c r="V34" s="1221">
        <f t="shared" si="12"/>
        <v>10300</v>
      </c>
      <c r="W34" s="8"/>
    </row>
    <row r="35" spans="1:24" s="1113" customFormat="1">
      <c r="G35" s="1125"/>
      <c r="H35" s="1125"/>
      <c r="I35" s="1151"/>
      <c r="N35" s="1152"/>
      <c r="O35" s="1121"/>
      <c r="Q35" s="1114"/>
      <c r="R35" s="1223" t="s">
        <v>883</v>
      </c>
      <c r="S35" s="1219"/>
      <c r="T35" s="1222">
        <v>12</v>
      </c>
      <c r="U35" s="1222">
        <v>10300</v>
      </c>
      <c r="V35" s="1221">
        <f t="shared" si="12"/>
        <v>123600</v>
      </c>
      <c r="W35" s="8"/>
    </row>
    <row r="36" spans="1:24" s="1113" customFormat="1">
      <c r="G36" s="1125"/>
      <c r="H36" s="1125"/>
      <c r="I36" s="1151"/>
      <c r="N36" s="1152"/>
      <c r="O36" s="1121"/>
      <c r="Q36" s="1114"/>
      <c r="R36" s="1223" t="s">
        <v>903</v>
      </c>
      <c r="S36" s="1219"/>
      <c r="T36" s="1222">
        <v>2030</v>
      </c>
      <c r="U36" s="1222">
        <v>7500</v>
      </c>
      <c r="V36" s="1221">
        <f t="shared" si="12"/>
        <v>15225000</v>
      </c>
      <c r="W36" s="8"/>
    </row>
    <row r="37" spans="1:24" s="1113" customFormat="1">
      <c r="G37" s="1125"/>
      <c r="H37" s="1125"/>
      <c r="I37" s="1151"/>
      <c r="N37" s="1152"/>
      <c r="O37" s="1121"/>
      <c r="Q37" s="1114"/>
      <c r="R37" s="972" t="s">
        <v>836</v>
      </c>
      <c r="S37" s="701"/>
      <c r="T37" s="1069">
        <v>3427</v>
      </c>
      <c r="U37" s="1070"/>
      <c r="V37" s="1072">
        <v>35246100</v>
      </c>
      <c r="W37" s="8"/>
    </row>
    <row r="38" spans="1:24" s="1113" customFormat="1">
      <c r="G38" s="1125"/>
      <c r="H38" s="1125"/>
      <c r="I38" s="1151"/>
      <c r="N38" s="1152"/>
      <c r="O38" s="1121"/>
      <c r="Q38" s="1114"/>
      <c r="R38" s="972" t="s">
        <v>903</v>
      </c>
      <c r="S38" s="701"/>
      <c r="T38" s="1069">
        <v>1835</v>
      </c>
      <c r="U38" s="1069">
        <v>7500</v>
      </c>
      <c r="V38" s="25">
        <f t="shared" ref="V38:V39" si="13">ROUND(T38*U38,0)</f>
        <v>13762500</v>
      </c>
      <c r="W38" s="8"/>
    </row>
    <row r="39" spans="1:24" s="1113" customFormat="1">
      <c r="G39" s="1125"/>
      <c r="H39" s="1125"/>
      <c r="I39" s="1151"/>
      <c r="N39" s="1152"/>
      <c r="O39" s="1121"/>
      <c r="Q39" s="1114"/>
      <c r="R39" s="972" t="s">
        <v>804</v>
      </c>
      <c r="S39" s="701"/>
      <c r="T39" s="1069">
        <v>303</v>
      </c>
      <c r="U39" s="1069">
        <v>13000</v>
      </c>
      <c r="V39" s="25">
        <f t="shared" si="13"/>
        <v>3939000</v>
      </c>
      <c r="W39" s="8"/>
    </row>
    <row r="40" spans="1:24" s="1113" customFormat="1">
      <c r="G40" s="1125"/>
      <c r="H40" s="1125"/>
      <c r="I40" s="1151"/>
      <c r="N40" s="1152"/>
      <c r="O40" s="1121"/>
      <c r="Q40" s="1114"/>
      <c r="R40" s="972" t="s">
        <v>937</v>
      </c>
      <c r="S40" s="701"/>
      <c r="T40" s="1069">
        <v>760</v>
      </c>
      <c r="U40" s="1069"/>
      <c r="V40" s="25">
        <v>7772000</v>
      </c>
      <c r="W40" s="8"/>
    </row>
    <row r="41" spans="1:24" s="1113" customFormat="1">
      <c r="G41" s="1125"/>
      <c r="H41" s="1125"/>
      <c r="I41" s="1151"/>
      <c r="N41" s="1152"/>
      <c r="O41" s="1121"/>
      <c r="Q41" s="1114"/>
      <c r="R41" s="310" t="s">
        <v>883</v>
      </c>
      <c r="S41" s="701"/>
      <c r="T41" s="405">
        <v>215</v>
      </c>
      <c r="U41" s="405">
        <v>10300</v>
      </c>
      <c r="V41" s="25">
        <f t="shared" ref="V41:V44" si="14">ROUND(T41*U41,0)</f>
        <v>2214500</v>
      </c>
      <c r="W41" s="8"/>
    </row>
    <row r="42" spans="1:24" s="1113" customFormat="1">
      <c r="G42" s="1125"/>
      <c r="H42" s="1125"/>
      <c r="I42" s="1151"/>
      <c r="N42" s="1152"/>
      <c r="O42" s="1121"/>
      <c r="Q42" s="1114"/>
      <c r="R42" s="1149"/>
      <c r="S42" s="701"/>
      <c r="T42" s="923"/>
      <c r="U42" s="923"/>
      <c r="V42" s="25">
        <f t="shared" si="14"/>
        <v>0</v>
      </c>
      <c r="W42" s="8"/>
    </row>
    <row r="43" spans="1:24" s="1113" customFormat="1">
      <c r="G43" s="1125"/>
      <c r="H43" s="1125"/>
      <c r="I43" s="1151"/>
      <c r="N43" s="1152"/>
      <c r="O43" s="1121"/>
      <c r="Q43" s="1114"/>
      <c r="R43" s="698"/>
      <c r="S43" s="701"/>
      <c r="T43" s="923"/>
      <c r="U43" s="923"/>
      <c r="V43" s="25">
        <f t="shared" si="14"/>
        <v>0</v>
      </c>
      <c r="W43" s="8"/>
    </row>
    <row r="44" spans="1:24" s="1113" customFormat="1">
      <c r="G44" s="1125"/>
      <c r="H44" s="1125"/>
      <c r="I44" s="1151"/>
      <c r="N44" s="1152"/>
      <c r="O44" s="1121"/>
      <c r="Q44" s="1114"/>
      <c r="R44" s="1149"/>
      <c r="S44" s="701"/>
      <c r="T44" s="923"/>
      <c r="U44" s="923"/>
      <c r="V44" s="25">
        <f t="shared" si="14"/>
        <v>0</v>
      </c>
      <c r="W44" s="8"/>
    </row>
    <row r="45" spans="1:24" s="1113" customFormat="1" ht="18" customHeight="1">
      <c r="A45" s="1116" t="s">
        <v>524</v>
      </c>
      <c r="B45" s="1116"/>
      <c r="C45" s="1117"/>
      <c r="D45" s="1118"/>
      <c r="E45" s="1118"/>
      <c r="F45" s="1118"/>
      <c r="G45" s="467"/>
      <c r="H45" s="467"/>
      <c r="I45" s="467"/>
      <c r="J45" s="467"/>
      <c r="K45" s="467"/>
      <c r="L45" s="467"/>
      <c r="M45" s="467"/>
      <c r="N45" s="467"/>
      <c r="O45" s="969"/>
      <c r="P45" s="467"/>
      <c r="Q45" s="1119"/>
      <c r="R45" s="1153"/>
      <c r="S45" s="1154"/>
      <c r="T45" s="1155"/>
      <c r="U45" s="1155"/>
      <c r="V45" s="1155">
        <f>SUM(V25:V44)</f>
        <v>195748200</v>
      </c>
      <c r="W45" s="1156"/>
      <c r="X45" s="1125"/>
    </row>
    <row r="46" spans="1:24" s="1113" customFormat="1" ht="18.75" customHeight="1">
      <c r="A46" s="1121" t="s">
        <v>542</v>
      </c>
      <c r="B46" s="1121"/>
      <c r="C46" s="1121"/>
      <c r="D46" s="1121"/>
      <c r="E46" s="1121"/>
      <c r="F46" s="1121"/>
      <c r="G46" s="1121"/>
      <c r="H46" s="1121"/>
      <c r="I46" s="1121"/>
      <c r="J46" s="1121"/>
      <c r="K46" s="1121"/>
      <c r="L46" s="1121"/>
      <c r="M46" s="1121"/>
      <c r="N46" s="1121"/>
      <c r="O46" s="1121"/>
      <c r="P46" s="1121"/>
      <c r="Q46" s="1119"/>
      <c r="R46" s="699"/>
      <c r="S46" s="1157"/>
      <c r="T46" s="1126"/>
      <c r="U46" s="1126"/>
      <c r="V46" s="1158"/>
    </row>
    <row r="47" spans="1:24" s="1113" customFormat="1" ht="12.75" customHeight="1">
      <c r="A47" s="1122"/>
      <c r="B47" s="1122"/>
      <c r="C47" s="1123"/>
      <c r="D47" s="1122"/>
      <c r="E47" s="1122"/>
      <c r="F47" s="1122"/>
      <c r="G47" s="1122"/>
      <c r="H47" s="1122"/>
      <c r="I47" s="1122"/>
      <c r="J47" s="1122"/>
      <c r="K47" s="1122"/>
      <c r="L47" s="1122"/>
      <c r="M47" s="1122"/>
      <c r="N47" s="1122"/>
      <c r="O47" s="1124"/>
      <c r="P47" s="1122"/>
      <c r="Q47" s="1119"/>
      <c r="R47" s="467"/>
      <c r="S47" s="1120"/>
      <c r="T47" s="467"/>
      <c r="U47" s="467"/>
    </row>
    <row r="48" spans="1:24" s="695" customFormat="1" ht="30.75" customHeight="1">
      <c r="A48" s="689" t="s">
        <v>37</v>
      </c>
      <c r="B48" s="689" t="s">
        <v>526</v>
      </c>
      <c r="C48" s="690" t="s">
        <v>527</v>
      </c>
      <c r="D48" s="691" t="s">
        <v>528</v>
      </c>
      <c r="E48" s="691" t="s">
        <v>529</v>
      </c>
      <c r="F48" s="691" t="s">
        <v>530</v>
      </c>
      <c r="G48" s="691" t="s">
        <v>531</v>
      </c>
      <c r="H48" s="691" t="s">
        <v>532</v>
      </c>
      <c r="I48" s="691" t="s">
        <v>533</v>
      </c>
      <c r="J48" s="691" t="s">
        <v>534</v>
      </c>
      <c r="K48" s="692" t="s">
        <v>535</v>
      </c>
      <c r="L48" s="691" t="s">
        <v>536</v>
      </c>
      <c r="M48" s="692" t="s">
        <v>537</v>
      </c>
      <c r="N48" s="691" t="s">
        <v>538</v>
      </c>
      <c r="O48" s="693" t="s">
        <v>529</v>
      </c>
      <c r="P48" s="691" t="s">
        <v>539</v>
      </c>
      <c r="Q48" s="694"/>
      <c r="R48" s="689" t="s">
        <v>526</v>
      </c>
      <c r="S48" s="691" t="s">
        <v>493</v>
      </c>
      <c r="T48" s="691" t="s">
        <v>335</v>
      </c>
      <c r="U48" s="691" t="s">
        <v>530</v>
      </c>
      <c r="V48" s="691" t="s">
        <v>540</v>
      </c>
      <c r="W48" s="689" t="s">
        <v>540</v>
      </c>
    </row>
    <row r="49" spans="1:23" s="1113" customFormat="1">
      <c r="A49" s="1127">
        <f>IF(B49&lt;&gt;"",ROW()-(ROW()-1),"")</f>
        <v>1</v>
      </c>
      <c r="B49" s="1133" t="s">
        <v>914</v>
      </c>
      <c r="C49" s="1128">
        <v>5</v>
      </c>
      <c r="D49" s="1129">
        <f>ROUND(C49*O49,0)</f>
        <v>50</v>
      </c>
      <c r="E49" s="1129"/>
      <c r="F49" s="1129">
        <v>25000</v>
      </c>
      <c r="G49" s="25">
        <f>(D49+E49)*F49</f>
        <v>1250000</v>
      </c>
      <c r="H49" s="1129">
        <f>IF($D$52&lt;&gt;0,H$52/($D$52+$E$52/5)*($D49+$E49/5),0)</f>
        <v>0</v>
      </c>
      <c r="I49" s="1129">
        <f t="shared" ref="I49:K50" si="15">IF($D$52&lt;&gt;0,I$52/$D$52*$D49,0)</f>
        <v>0</v>
      </c>
      <c r="J49" s="1129">
        <f t="shared" si="15"/>
        <v>0</v>
      </c>
      <c r="K49" s="1129">
        <f t="shared" si="15"/>
        <v>0</v>
      </c>
      <c r="L49" s="1129">
        <f>V59</f>
        <v>10300</v>
      </c>
      <c r="M49" s="1129"/>
      <c r="N49" s="25">
        <f>SUM(G49:L49)</f>
        <v>1260300</v>
      </c>
      <c r="O49" s="1129">
        <v>10</v>
      </c>
      <c r="P49" s="1129">
        <f>IF(O49&lt;&gt;"",N49/O49,"")</f>
        <v>126030</v>
      </c>
      <c r="Q49" s="985"/>
      <c r="R49" s="696"/>
      <c r="S49" s="701"/>
      <c r="T49" s="85"/>
      <c r="U49" s="1130"/>
      <c r="V49" s="25">
        <f t="shared" ref="V49:V56" si="16">ROUND(T49*U49,0)</f>
        <v>0</v>
      </c>
      <c r="W49" s="1131"/>
    </row>
    <row r="50" spans="1:23" s="1113" customFormat="1">
      <c r="A50" s="1127">
        <f>IF(B50&lt;&gt;"",A49+1,"")</f>
        <v>2</v>
      </c>
      <c r="B50" s="1133" t="s">
        <v>892</v>
      </c>
      <c r="C50" s="1128">
        <v>5</v>
      </c>
      <c r="D50" s="1129">
        <f>ROUND(C50*O50,0)</f>
        <v>66875</v>
      </c>
      <c r="E50" s="1129"/>
      <c r="F50" s="1129">
        <v>25000</v>
      </c>
      <c r="G50" s="25">
        <f>(D50+E50)*F50</f>
        <v>1671875000</v>
      </c>
      <c r="H50" s="1129">
        <f>IF($D$52&lt;&gt;0,H$52/($D$52+$E$52/5)*($D50+$E50/5),0)</f>
        <v>0</v>
      </c>
      <c r="I50" s="1129">
        <f t="shared" si="15"/>
        <v>0</v>
      </c>
      <c r="J50" s="1129">
        <f t="shared" si="15"/>
        <v>0</v>
      </c>
      <c r="K50" s="1129">
        <f t="shared" si="15"/>
        <v>0</v>
      </c>
      <c r="L50" s="1129">
        <f>V60</f>
        <v>8514000</v>
      </c>
      <c r="M50" s="1129"/>
      <c r="N50" s="25">
        <f>SUM(G50:L50)</f>
        <v>1680389000</v>
      </c>
      <c r="O50" s="407">
        <v>13375</v>
      </c>
      <c r="P50" s="1129">
        <f>IF(O50&lt;&gt;"",N50/O50,"")</f>
        <v>125636.56074766355</v>
      </c>
      <c r="Q50" s="985"/>
      <c r="R50" s="698"/>
      <c r="S50" s="701"/>
      <c r="T50" s="85"/>
      <c r="U50" s="85"/>
      <c r="V50" s="25">
        <f t="shared" si="16"/>
        <v>0</v>
      </c>
      <c r="W50" s="1132"/>
    </row>
    <row r="51" spans="1:23" s="1141" customFormat="1">
      <c r="A51" s="1127" t="str">
        <f>IF(B51&lt;&gt;"",#REF!+1,"")</f>
        <v/>
      </c>
      <c r="B51" s="1159"/>
      <c r="C51" s="1160"/>
      <c r="D51" s="1161"/>
      <c r="E51" s="1161"/>
      <c r="F51" s="1161"/>
      <c r="G51" s="1162"/>
      <c r="H51" s="1163"/>
      <c r="I51" s="1161"/>
      <c r="J51" s="490"/>
      <c r="K51" s="1161"/>
      <c r="L51" s="787"/>
      <c r="M51" s="1161"/>
      <c r="N51" s="1163"/>
      <c r="O51" s="1164"/>
      <c r="P51" s="1161"/>
      <c r="Q51" s="985"/>
      <c r="R51" s="698"/>
      <c r="S51" s="701"/>
      <c r="T51" s="85"/>
      <c r="U51" s="923"/>
      <c r="V51" s="25">
        <f t="shared" si="16"/>
        <v>0</v>
      </c>
      <c r="W51" s="1132"/>
    </row>
    <row r="52" spans="1:23" s="1116" customFormat="1">
      <c r="A52" s="1142"/>
      <c r="B52" s="1143" t="s">
        <v>541</v>
      </c>
      <c r="C52" s="1144"/>
      <c r="D52" s="883">
        <f>SUM(D49:D51)</f>
        <v>66925</v>
      </c>
      <c r="E52" s="883">
        <f>SUM(E49:E51)</f>
        <v>0</v>
      </c>
      <c r="F52" s="883"/>
      <c r="G52" s="883">
        <f>SUM(G49:G51)</f>
        <v>1673125000</v>
      </c>
      <c r="H52" s="883"/>
      <c r="I52" s="883"/>
      <c r="J52" s="883"/>
      <c r="K52" s="883"/>
      <c r="L52" s="883"/>
      <c r="M52" s="883">
        <f>ROUND(SUM(M49:M51),0)</f>
        <v>0</v>
      </c>
      <c r="N52" s="883">
        <f>ROUND(SUM(N49:N51),0)</f>
        <v>1681649300</v>
      </c>
      <c r="O52" s="883">
        <f>ROUND(SUM(O49:O51),0)</f>
        <v>13385</v>
      </c>
      <c r="P52" s="883"/>
      <c r="Q52" s="1119"/>
      <c r="R52" s="698"/>
      <c r="S52" s="701"/>
      <c r="T52" s="85"/>
      <c r="U52" s="923"/>
      <c r="V52" s="25">
        <f t="shared" si="16"/>
        <v>0</v>
      </c>
      <c r="W52" s="1132"/>
    </row>
    <row r="53" spans="1:23" s="1116" customFormat="1">
      <c r="A53" s="1145"/>
      <c r="B53" s="1146"/>
      <c r="C53" s="1147"/>
      <c r="D53" s="1121"/>
      <c r="E53" s="1121"/>
      <c r="F53" s="1121"/>
      <c r="G53" s="1121"/>
      <c r="H53" s="1121"/>
      <c r="I53" s="1121"/>
      <c r="J53" s="1121"/>
      <c r="K53" s="1121"/>
      <c r="L53" s="1121"/>
      <c r="M53" s="1121"/>
      <c r="N53" s="1121"/>
      <c r="O53" s="1121"/>
      <c r="P53" s="1121"/>
      <c r="Q53" s="1119"/>
      <c r="R53" s="698"/>
      <c r="S53" s="701"/>
      <c r="T53" s="85"/>
      <c r="U53" s="85"/>
      <c r="V53" s="25">
        <f t="shared" si="16"/>
        <v>0</v>
      </c>
      <c r="W53" s="1165"/>
    </row>
    <row r="54" spans="1:23" s="1116" customFormat="1">
      <c r="A54" s="1145"/>
      <c r="B54" s="1146"/>
      <c r="C54" s="1147"/>
      <c r="D54" s="1121"/>
      <c r="E54" s="1121"/>
      <c r="F54" s="1121"/>
      <c r="G54" s="1121"/>
      <c r="H54" s="1121"/>
      <c r="I54" s="1121"/>
      <c r="J54" s="1121"/>
      <c r="K54" s="1121"/>
      <c r="L54" s="1121"/>
      <c r="M54" s="1121"/>
      <c r="N54" s="1121"/>
      <c r="O54" s="1121"/>
      <c r="P54" s="1121"/>
      <c r="Q54" s="1119"/>
      <c r="R54" s="698"/>
      <c r="S54" s="701"/>
      <c r="T54" s="85"/>
      <c r="U54" s="85"/>
      <c r="V54" s="25">
        <f t="shared" si="16"/>
        <v>0</v>
      </c>
      <c r="W54" s="1165"/>
    </row>
    <row r="55" spans="1:23" s="1116" customFormat="1">
      <c r="A55" s="1145"/>
      <c r="B55" s="1146"/>
      <c r="C55" s="1147"/>
      <c r="D55" s="1121"/>
      <c r="E55" s="1121"/>
      <c r="F55" s="1121"/>
      <c r="G55" s="1121"/>
      <c r="H55" s="1121"/>
      <c r="I55" s="1121"/>
      <c r="J55" s="1121"/>
      <c r="K55" s="1121"/>
      <c r="L55" s="1121"/>
      <c r="M55" s="1121"/>
      <c r="N55" s="1121"/>
      <c r="O55" s="1121"/>
      <c r="P55" s="1121"/>
      <c r="Q55" s="1119"/>
      <c r="R55" s="698"/>
      <c r="S55" s="701"/>
      <c r="T55" s="85"/>
      <c r="U55" s="85"/>
      <c r="V55" s="25">
        <f t="shared" si="16"/>
        <v>0</v>
      </c>
      <c r="W55" s="1165"/>
    </row>
    <row r="56" spans="1:23" s="1116" customFormat="1">
      <c r="A56" s="1145"/>
      <c r="B56" s="1146"/>
      <c r="C56" s="1147"/>
      <c r="D56" s="1121"/>
      <c r="E56" s="1121"/>
      <c r="F56" s="1121"/>
      <c r="G56" s="1121"/>
      <c r="H56" s="1121"/>
      <c r="I56" s="1121"/>
      <c r="J56" s="1121"/>
      <c r="K56" s="1121"/>
      <c r="L56" s="1121"/>
      <c r="M56" s="1121"/>
      <c r="N56" s="1121"/>
      <c r="O56" s="1121"/>
      <c r="P56" s="1121"/>
      <c r="Q56" s="1119"/>
      <c r="R56" s="698"/>
      <c r="S56" s="701"/>
      <c r="T56" s="85"/>
      <c r="U56" s="1149"/>
      <c r="V56" s="25">
        <f t="shared" si="16"/>
        <v>0</v>
      </c>
      <c r="W56" s="1165"/>
    </row>
    <row r="57" spans="1:23" s="1113" customFormat="1">
      <c r="Q57" s="1114"/>
      <c r="R57" s="1150"/>
      <c r="S57" s="701"/>
      <c r="T57" s="922"/>
      <c r="U57" s="85"/>
      <c r="V57" s="922"/>
      <c r="W57" s="1165"/>
    </row>
    <row r="58" spans="1:23" s="1113" customFormat="1">
      <c r="Q58" s="1114"/>
      <c r="R58" s="1166"/>
      <c r="S58" s="1167"/>
      <c r="T58" s="1168"/>
      <c r="U58" s="27"/>
      <c r="V58" s="76">
        <f>SUM(V49:V57)</f>
        <v>0</v>
      </c>
      <c r="W58" s="76">
        <f>SUM(W49:W57)</f>
        <v>0</v>
      </c>
    </row>
    <row r="59" spans="1:23" s="1113" customFormat="1">
      <c r="Q59" s="1114"/>
      <c r="R59" s="1223" t="s">
        <v>883</v>
      </c>
      <c r="S59" s="1219"/>
      <c r="T59" s="1222">
        <v>1</v>
      </c>
      <c r="U59" s="1222">
        <v>10300</v>
      </c>
      <c r="V59" s="25">
        <f>ROUND(T59*U59,0)</f>
        <v>10300</v>
      </c>
      <c r="W59" s="1131"/>
    </row>
    <row r="60" spans="1:23" s="1113" customFormat="1">
      <c r="Q60" s="1114"/>
      <c r="R60" s="1169" t="s">
        <v>384</v>
      </c>
      <c r="S60" s="701"/>
      <c r="T60" s="85">
        <v>1419</v>
      </c>
      <c r="U60" s="85">
        <v>6000</v>
      </c>
      <c r="V60" s="25">
        <f t="shared" ref="V60:V62" si="17">ROUND(T60*U60,0)</f>
        <v>8514000</v>
      </c>
      <c r="W60" s="1131"/>
    </row>
    <row r="61" spans="1:23" s="1113" customFormat="1">
      <c r="Q61" s="1114"/>
      <c r="R61" s="1169"/>
      <c r="S61" s="701"/>
      <c r="T61" s="85"/>
      <c r="U61" s="85"/>
      <c r="V61" s="25">
        <f t="shared" si="17"/>
        <v>0</v>
      </c>
      <c r="W61" s="1131"/>
    </row>
    <row r="62" spans="1:23" s="1113" customFormat="1">
      <c r="Q62" s="1114"/>
      <c r="R62" s="1169"/>
      <c r="S62" s="701"/>
      <c r="T62" s="85"/>
      <c r="U62" s="85"/>
      <c r="V62" s="25">
        <f t="shared" si="17"/>
        <v>0</v>
      </c>
      <c r="W62" s="1131"/>
    </row>
    <row r="63" spans="1:23" s="1113" customFormat="1">
      <c r="Q63" s="1114"/>
      <c r="R63" s="1169"/>
      <c r="S63" s="701"/>
      <c r="T63" s="85"/>
      <c r="U63" s="85"/>
      <c r="V63" s="25">
        <f>ROUND(T63*U63,0)</f>
        <v>0</v>
      </c>
      <c r="W63" s="1131"/>
    </row>
    <row r="64" spans="1:23" s="1113" customFormat="1">
      <c r="Q64" s="1114"/>
      <c r="R64" s="1169"/>
      <c r="S64" s="701"/>
      <c r="T64" s="85"/>
      <c r="U64" s="85"/>
      <c r="V64" s="25">
        <f>SUM(V59)</f>
        <v>10300</v>
      </c>
      <c r="W64" s="1131"/>
    </row>
    <row r="65" spans="1:23" s="1113" customFormat="1" ht="18" customHeight="1">
      <c r="A65" s="1116" t="s">
        <v>524</v>
      </c>
      <c r="B65" s="1116"/>
      <c r="C65" s="1117"/>
      <c r="D65" s="1118"/>
      <c r="E65" s="1118"/>
      <c r="F65" s="1118"/>
      <c r="G65" s="467"/>
      <c r="H65" s="467"/>
      <c r="I65" s="467"/>
      <c r="J65" s="467"/>
      <c r="K65" s="467"/>
      <c r="L65" s="467"/>
      <c r="M65" s="467"/>
      <c r="N65" s="467"/>
      <c r="O65" s="969"/>
      <c r="P65" s="467"/>
      <c r="Q65" s="1119"/>
      <c r="R65" s="1119"/>
      <c r="S65" s="1170"/>
      <c r="T65" s="1126"/>
      <c r="U65" s="1126"/>
      <c r="V65" s="1126"/>
      <c r="W65" s="1109"/>
    </row>
    <row r="66" spans="1:23" s="1113" customFormat="1" ht="18.75" customHeight="1">
      <c r="A66" s="1121" t="s">
        <v>543</v>
      </c>
      <c r="B66" s="1121"/>
      <c r="C66" s="1121"/>
      <c r="D66" s="1121"/>
      <c r="E66" s="1121"/>
      <c r="F66" s="1121"/>
      <c r="G66" s="1121"/>
      <c r="H66" s="1121"/>
      <c r="I66" s="1121"/>
      <c r="J66" s="1121"/>
      <c r="K66" s="1121"/>
      <c r="L66" s="1121"/>
      <c r="M66" s="1121"/>
      <c r="N66" s="1121"/>
      <c r="O66" s="1121"/>
      <c r="P66" s="1121"/>
      <c r="Q66" s="1119"/>
      <c r="R66" s="699"/>
      <c r="S66" s="1157"/>
      <c r="T66" s="1126"/>
      <c r="U66" s="1126"/>
      <c r="V66" s="1158"/>
      <c r="W66" s="1109"/>
    </row>
    <row r="67" spans="1:23" s="1113" customFormat="1" ht="12.75" customHeight="1">
      <c r="A67" s="1122"/>
      <c r="B67" s="1122"/>
      <c r="C67" s="1123"/>
      <c r="D67" s="1122"/>
      <c r="E67" s="1122"/>
      <c r="F67" s="1122"/>
      <c r="G67" s="1122"/>
      <c r="H67" s="1122"/>
      <c r="I67" s="1122"/>
      <c r="J67" s="1122"/>
      <c r="K67" s="1122"/>
      <c r="L67" s="1122"/>
      <c r="M67" s="1122"/>
      <c r="N67" s="1122"/>
      <c r="O67" s="1124"/>
      <c r="P67" s="1122"/>
      <c r="Q67" s="1119"/>
      <c r="R67" s="699"/>
      <c r="S67" s="1157"/>
      <c r="T67" s="1126"/>
      <c r="U67" s="1126"/>
      <c r="V67" s="1158"/>
      <c r="W67" s="1125"/>
    </row>
    <row r="68" spans="1:23" s="695" customFormat="1" ht="30.75" customHeight="1">
      <c r="A68" s="689" t="s">
        <v>37</v>
      </c>
      <c r="B68" s="689" t="s">
        <v>526</v>
      </c>
      <c r="C68" s="690" t="s">
        <v>527</v>
      </c>
      <c r="D68" s="691" t="s">
        <v>528</v>
      </c>
      <c r="E68" s="691" t="s">
        <v>529</v>
      </c>
      <c r="F68" s="691" t="s">
        <v>530</v>
      </c>
      <c r="G68" s="691" t="s">
        <v>531</v>
      </c>
      <c r="H68" s="691" t="s">
        <v>532</v>
      </c>
      <c r="I68" s="691" t="s">
        <v>533</v>
      </c>
      <c r="J68" s="691" t="s">
        <v>534</v>
      </c>
      <c r="K68" s="692" t="s">
        <v>535</v>
      </c>
      <c r="L68" s="691" t="s">
        <v>536</v>
      </c>
      <c r="M68" s="692" t="s">
        <v>537</v>
      </c>
      <c r="N68" s="691" t="s">
        <v>538</v>
      </c>
      <c r="O68" s="693" t="s">
        <v>529</v>
      </c>
      <c r="P68" s="691" t="s">
        <v>539</v>
      </c>
      <c r="Q68" s="694"/>
      <c r="R68" s="689" t="s">
        <v>526</v>
      </c>
      <c r="S68" s="691" t="s">
        <v>493</v>
      </c>
      <c r="T68" s="691" t="s">
        <v>335</v>
      </c>
      <c r="U68" s="691" t="s">
        <v>530</v>
      </c>
      <c r="V68" s="691" t="s">
        <v>540</v>
      </c>
      <c r="W68" s="689" t="s">
        <v>540</v>
      </c>
    </row>
    <row r="69" spans="1:23" s="1113" customFormat="1">
      <c r="A69" s="1127">
        <f>IF(B69&lt;&gt;"",ROW()-(ROW()-1),"")</f>
        <v>1</v>
      </c>
      <c r="B69" s="1133" t="s">
        <v>1258</v>
      </c>
      <c r="C69" s="1128"/>
      <c r="D69" s="1129">
        <f>ROUND(C69*O69,0)</f>
        <v>0</v>
      </c>
      <c r="E69" s="1129"/>
      <c r="F69" s="1129">
        <f>P49</f>
        <v>126030</v>
      </c>
      <c r="G69" s="25">
        <f t="shared" ref="G69:G71" si="18">(D69+E69)*F69</f>
        <v>0</v>
      </c>
      <c r="H69" s="1129">
        <f>IF($D$74&lt;&gt;0,H$74/($D$74+$E$74/5)*($D69+$E69/5),0)</f>
        <v>0</v>
      </c>
      <c r="I69" s="1129">
        <f t="shared" ref="I69:K72" si="19">IF($D$74&lt;&gt;0,I$74/$D$74*$D69,0)</f>
        <v>0</v>
      </c>
      <c r="J69" s="1129">
        <f t="shared" si="19"/>
        <v>0</v>
      </c>
      <c r="K69" s="1129">
        <f t="shared" si="19"/>
        <v>0</v>
      </c>
      <c r="L69" s="1129">
        <f>V79</f>
        <v>6552000</v>
      </c>
      <c r="M69" s="1129"/>
      <c r="N69" s="25">
        <f>SUM(G69:L69)</f>
        <v>6552000</v>
      </c>
      <c r="O69" s="407">
        <v>2880</v>
      </c>
      <c r="P69" s="1129">
        <f>IF(O69&lt;&gt;"",N69/O69,"")</f>
        <v>2275</v>
      </c>
      <c r="Q69" s="985"/>
      <c r="R69" s="696"/>
      <c r="S69" s="701"/>
      <c r="T69" s="85"/>
      <c r="U69" s="1130"/>
      <c r="V69" s="25">
        <f t="shared" ref="V69:V76" si="20">ROUND(T69*U69,0)</f>
        <v>0</v>
      </c>
      <c r="W69" s="1132"/>
    </row>
    <row r="70" spans="1:23" s="1113" customFormat="1">
      <c r="A70" s="1127" t="str">
        <f>IF(B70&lt;&gt;"",A69+1,"")</f>
        <v/>
      </c>
      <c r="B70" s="1171"/>
      <c r="C70" s="1128"/>
      <c r="D70" s="1129">
        <f>ROUND(C70*O70,0)</f>
        <v>0</v>
      </c>
      <c r="E70" s="1129"/>
      <c r="F70" s="1129"/>
      <c r="G70" s="25">
        <f t="shared" si="18"/>
        <v>0</v>
      </c>
      <c r="H70" s="1129">
        <f>IF($D$74&lt;&gt;0,H$74/($D$74+$E$74/5)*($D70+$E70/5),0)</f>
        <v>0</v>
      </c>
      <c r="I70" s="1129">
        <f t="shared" si="19"/>
        <v>0</v>
      </c>
      <c r="J70" s="1129">
        <f t="shared" si="19"/>
        <v>0</v>
      </c>
      <c r="K70" s="1129">
        <f t="shared" si="19"/>
        <v>0</v>
      </c>
      <c r="L70" s="1129">
        <f>SUM($V$79:$V$80)/SUM($O$69:$O$70)*O70</f>
        <v>0</v>
      </c>
      <c r="M70" s="1129"/>
      <c r="N70" s="25">
        <f t="shared" ref="N70:N71" si="21">SUM(G70:L70)</f>
        <v>0</v>
      </c>
      <c r="O70" s="407"/>
      <c r="P70" s="1129" t="str">
        <f>IF(O70&lt;&gt;"",N70/O70,"")</f>
        <v/>
      </c>
      <c r="Q70" s="985"/>
      <c r="R70" s="698"/>
      <c r="S70" s="701"/>
      <c r="T70" s="85"/>
      <c r="U70" s="85"/>
      <c r="V70" s="25">
        <f t="shared" si="20"/>
        <v>0</v>
      </c>
      <c r="W70" s="1132"/>
    </row>
    <row r="71" spans="1:23" s="1113" customFormat="1">
      <c r="A71" s="1127" t="str">
        <f t="shared" ref="A71:A72" si="22">IF(B71&lt;&gt;"",A70+1,"")</f>
        <v/>
      </c>
      <c r="B71" s="1171"/>
      <c r="C71" s="1128"/>
      <c r="D71" s="1129">
        <f>ROUND(C71*O71,0)</f>
        <v>0</v>
      </c>
      <c r="E71" s="1129"/>
      <c r="F71" s="1129"/>
      <c r="G71" s="25">
        <f t="shared" si="18"/>
        <v>0</v>
      </c>
      <c r="H71" s="1129">
        <f>IF($D$74&lt;&gt;0,H$74/($D$74+$E$74/5)*($D71+$E71/5),0)</f>
        <v>0</v>
      </c>
      <c r="I71" s="1129">
        <f t="shared" si="19"/>
        <v>0</v>
      </c>
      <c r="J71" s="1129">
        <f t="shared" si="19"/>
        <v>0</v>
      </c>
      <c r="K71" s="1129">
        <f t="shared" si="19"/>
        <v>0</v>
      </c>
      <c r="L71" s="1129">
        <f>V81</f>
        <v>0</v>
      </c>
      <c r="M71" s="1129"/>
      <c r="N71" s="25">
        <f t="shared" si="21"/>
        <v>0</v>
      </c>
      <c r="O71" s="407"/>
      <c r="P71" s="1129" t="str">
        <f>IF(O71&lt;&gt;"",N71/O71,"")</f>
        <v/>
      </c>
      <c r="Q71" s="985"/>
      <c r="R71" s="698"/>
      <c r="S71" s="701"/>
      <c r="T71" s="1149"/>
      <c r="U71" s="923"/>
      <c r="V71" s="25">
        <f t="shared" si="20"/>
        <v>0</v>
      </c>
      <c r="W71" s="1132"/>
    </row>
    <row r="72" spans="1:23" s="1113" customFormat="1">
      <c r="A72" s="1127" t="str">
        <f t="shared" si="22"/>
        <v/>
      </c>
      <c r="B72" s="1133"/>
      <c r="C72" s="1128"/>
      <c r="D72" s="1129">
        <f>ROUND(C72*O72,0)</f>
        <v>0</v>
      </c>
      <c r="E72" s="1129"/>
      <c r="F72" s="1129"/>
      <c r="G72" s="25">
        <f>(D72+E72)*F72</f>
        <v>0</v>
      </c>
      <c r="H72" s="1129">
        <f>IF($D$74&lt;&gt;0,H$74/($D$74+$E$74/5)*($D72+$E72/5),0)</f>
        <v>0</v>
      </c>
      <c r="I72" s="1129">
        <f t="shared" si="19"/>
        <v>0</v>
      </c>
      <c r="J72" s="1129">
        <f t="shared" si="19"/>
        <v>0</v>
      </c>
      <c r="K72" s="1129">
        <f t="shared" si="19"/>
        <v>0</v>
      </c>
      <c r="L72" s="1129">
        <f>V82</f>
        <v>0</v>
      </c>
      <c r="M72" s="1129"/>
      <c r="N72" s="25">
        <f t="shared" ref="N72" si="23">SUM(G72:L72)</f>
        <v>0</v>
      </c>
      <c r="O72" s="407"/>
      <c r="P72" s="1129" t="str">
        <f>IF(O72&lt;&gt;"",N72/O72,"")</f>
        <v/>
      </c>
      <c r="Q72" s="985"/>
      <c r="R72" s="698"/>
      <c r="S72" s="701"/>
      <c r="T72" s="1149"/>
      <c r="U72" s="923"/>
      <c r="V72" s="25">
        <f t="shared" si="20"/>
        <v>0</v>
      </c>
      <c r="W72" s="1132"/>
    </row>
    <row r="73" spans="1:23" s="1141" customFormat="1">
      <c r="A73" s="1127" t="str">
        <f>IF(B73&lt;&gt;"",#REF!+1,"")</f>
        <v/>
      </c>
      <c r="B73" s="1171"/>
      <c r="C73" s="1128"/>
      <c r="D73" s="1129"/>
      <c r="E73" s="1129"/>
      <c r="F73" s="1129"/>
      <c r="G73" s="25"/>
      <c r="H73" s="1129"/>
      <c r="I73" s="1129"/>
      <c r="J73" s="1129"/>
      <c r="K73" s="1129"/>
      <c r="L73" s="1129"/>
      <c r="M73" s="1129"/>
      <c r="N73" s="25"/>
      <c r="O73" s="407"/>
      <c r="P73" s="1129"/>
      <c r="Q73" s="985"/>
      <c r="R73" s="698"/>
      <c r="S73" s="701"/>
      <c r="T73" s="1149"/>
      <c r="U73" s="85"/>
      <c r="V73" s="25">
        <f t="shared" si="20"/>
        <v>0</v>
      </c>
      <c r="W73" s="1132"/>
    </row>
    <row r="74" spans="1:23" s="1116" customFormat="1">
      <c r="A74" s="1142"/>
      <c r="B74" s="1143" t="s">
        <v>541</v>
      </c>
      <c r="C74" s="1144"/>
      <c r="D74" s="883">
        <f>SUM(D69:D73)</f>
        <v>0</v>
      </c>
      <c r="E74" s="883">
        <f>SUM(E69:E73)</f>
        <v>0</v>
      </c>
      <c r="F74" s="883"/>
      <c r="G74" s="883">
        <f>SUM(G69:G73)</f>
        <v>0</v>
      </c>
      <c r="H74" s="883"/>
      <c r="I74" s="883"/>
      <c r="J74" s="883"/>
      <c r="K74" s="883"/>
      <c r="L74" s="883">
        <f>ROUND(SUM(L69:L73),0)</f>
        <v>6552000</v>
      </c>
      <c r="M74" s="883">
        <f>ROUND(SUM(M69:M73),0)</f>
        <v>0</v>
      </c>
      <c r="N74" s="883">
        <f>ROUND(SUM(N69:N73),0)</f>
        <v>6552000</v>
      </c>
      <c r="O74" s="883">
        <f>ROUND(SUM(O69:O73),0)</f>
        <v>2880</v>
      </c>
      <c r="P74" s="883"/>
      <c r="Q74" s="1119"/>
      <c r="R74" s="698"/>
      <c r="S74" s="701"/>
      <c r="T74" s="1149"/>
      <c r="U74" s="85"/>
      <c r="V74" s="25">
        <f t="shared" si="20"/>
        <v>0</v>
      </c>
      <c r="W74" s="1132"/>
    </row>
    <row r="75" spans="1:23" s="1116" customFormat="1">
      <c r="A75" s="1145"/>
      <c r="B75" s="1146"/>
      <c r="C75" s="1147"/>
      <c r="D75" s="1121"/>
      <c r="E75" s="1121"/>
      <c r="F75" s="1121"/>
      <c r="G75" s="1121"/>
      <c r="H75" s="1121"/>
      <c r="I75" s="1121"/>
      <c r="J75" s="1121"/>
      <c r="K75" s="1121"/>
      <c r="L75" s="1121"/>
      <c r="M75" s="1121"/>
      <c r="N75" s="1121"/>
      <c r="O75" s="1121"/>
      <c r="P75" s="1121"/>
      <c r="Q75" s="1119"/>
      <c r="R75" s="698"/>
      <c r="S75" s="701"/>
      <c r="T75" s="1149"/>
      <c r="U75" s="85"/>
      <c r="V75" s="25">
        <f t="shared" si="20"/>
        <v>0</v>
      </c>
      <c r="W75" s="1132"/>
    </row>
    <row r="76" spans="1:23" s="1116" customFormat="1">
      <c r="A76" s="1145"/>
      <c r="B76" s="1146"/>
      <c r="C76" s="1147"/>
      <c r="D76" s="1121"/>
      <c r="E76" s="1121"/>
      <c r="F76" s="1121"/>
      <c r="G76" s="1121"/>
      <c r="H76" s="1121"/>
      <c r="I76" s="1121"/>
      <c r="J76" s="1121"/>
      <c r="K76" s="1121"/>
      <c r="L76" s="1121"/>
      <c r="M76" s="1121"/>
      <c r="N76" s="1121"/>
      <c r="O76" s="1121"/>
      <c r="P76" s="1121"/>
      <c r="Q76" s="1119"/>
      <c r="R76" s="698"/>
      <c r="S76" s="701"/>
      <c r="T76" s="1149"/>
      <c r="U76" s="1149"/>
      <c r="V76" s="25">
        <f t="shared" si="20"/>
        <v>0</v>
      </c>
      <c r="W76" s="1132"/>
    </row>
    <row r="77" spans="1:23" s="1116" customFormat="1">
      <c r="A77" s="1145"/>
      <c r="B77" s="1146"/>
      <c r="C77" s="1147"/>
      <c r="D77" s="1121"/>
      <c r="E77" s="1121"/>
      <c r="F77" s="1121"/>
      <c r="G77" s="1121"/>
      <c r="H77" s="1121"/>
      <c r="I77" s="1121"/>
      <c r="J77" s="1121"/>
      <c r="K77" s="1121"/>
      <c r="L77" s="1121"/>
      <c r="M77" s="1121"/>
      <c r="N77" s="1121"/>
      <c r="O77" s="1121"/>
      <c r="P77" s="1121"/>
      <c r="Q77" s="1119"/>
      <c r="R77" s="1172"/>
      <c r="S77" s="701"/>
      <c r="T77" s="1173"/>
      <c r="U77" s="1173"/>
      <c r="V77" s="1173"/>
      <c r="W77" s="1174"/>
    </row>
    <row r="78" spans="1:23" s="1116" customFormat="1">
      <c r="A78" s="1145"/>
      <c r="B78" s="1146"/>
      <c r="C78" s="1147"/>
      <c r="D78" s="1121"/>
      <c r="E78" s="1121"/>
      <c r="F78" s="1121"/>
      <c r="G78" s="1121"/>
      <c r="H78" s="1121"/>
      <c r="I78" s="1121"/>
      <c r="J78" s="1121"/>
      <c r="K78" s="1121"/>
      <c r="L78" s="1121"/>
      <c r="M78" s="1121"/>
      <c r="N78" s="1121"/>
      <c r="O78" s="1121"/>
      <c r="P78" s="1121"/>
      <c r="Q78" s="1119"/>
      <c r="R78" s="1166"/>
      <c r="S78" s="1167"/>
      <c r="T78" s="1168"/>
      <c r="U78" s="27"/>
      <c r="V78" s="76">
        <f>SUM(V69:V77)</f>
        <v>0</v>
      </c>
      <c r="W78" s="76">
        <f>SUM(W69:W74)</f>
        <v>0</v>
      </c>
    </row>
    <row r="79" spans="1:23" s="1116" customFormat="1">
      <c r="A79" s="1145"/>
      <c r="B79" s="1146"/>
      <c r="C79" s="1147"/>
      <c r="D79" s="1121"/>
      <c r="E79" s="1121"/>
      <c r="F79" s="1121"/>
      <c r="G79" s="1121"/>
      <c r="H79" s="1121"/>
      <c r="I79" s="1121"/>
      <c r="J79" s="1121"/>
      <c r="K79" s="1121"/>
      <c r="L79" s="1121"/>
      <c r="M79" s="1121"/>
      <c r="N79" s="1121"/>
      <c r="O79" s="1121"/>
      <c r="P79" s="1121"/>
      <c r="Q79" s="1119"/>
      <c r="R79" s="1169" t="s">
        <v>397</v>
      </c>
      <c r="S79" s="701"/>
      <c r="T79" s="85">
        <v>360</v>
      </c>
      <c r="U79" s="85">
        <v>18200</v>
      </c>
      <c r="V79" s="25">
        <f t="shared" ref="V79:V83" si="24">ROUND(T79*U79,0)</f>
        <v>6552000</v>
      </c>
      <c r="W79" s="25"/>
    </row>
    <row r="80" spans="1:23" s="1116" customFormat="1">
      <c r="A80" s="1145"/>
      <c r="B80" s="1146"/>
      <c r="C80" s="1147"/>
      <c r="D80" s="1121"/>
      <c r="E80" s="1121"/>
      <c r="F80" s="1121"/>
      <c r="G80" s="1148"/>
      <c r="H80" s="1121"/>
      <c r="I80" s="1121"/>
      <c r="J80" s="1121"/>
      <c r="K80" s="1121"/>
      <c r="L80" s="1121"/>
      <c r="M80" s="1121"/>
      <c r="N80" s="700"/>
      <c r="O80" s="1121"/>
      <c r="P80" s="1121"/>
      <c r="Q80" s="1119"/>
      <c r="R80" s="1169"/>
      <c r="S80" s="701"/>
      <c r="T80" s="923"/>
      <c r="U80" s="923"/>
      <c r="V80" s="25">
        <f t="shared" si="24"/>
        <v>0</v>
      </c>
      <c r="W80" s="8"/>
    </row>
    <row r="81" spans="1:23" s="1116" customFormat="1">
      <c r="A81" s="1145"/>
      <c r="B81" s="1146"/>
      <c r="C81" s="1147"/>
      <c r="D81" s="1121"/>
      <c r="E81" s="1121"/>
      <c r="F81" s="1121"/>
      <c r="G81" s="1148"/>
      <c r="H81" s="1121"/>
      <c r="I81" s="1121"/>
      <c r="J81" s="1121"/>
      <c r="K81" s="1121"/>
      <c r="L81" s="1121"/>
      <c r="M81" s="1121"/>
      <c r="N81" s="700"/>
      <c r="O81" s="1121"/>
      <c r="P81" s="1121"/>
      <c r="Q81" s="1119"/>
      <c r="R81" s="1169"/>
      <c r="S81" s="701"/>
      <c r="T81" s="85"/>
      <c r="U81" s="85"/>
      <c r="V81" s="25">
        <f t="shared" si="24"/>
        <v>0</v>
      </c>
      <c r="W81" s="8"/>
    </row>
    <row r="82" spans="1:23" s="1116" customFormat="1">
      <c r="A82" s="1145"/>
      <c r="B82" s="1146"/>
      <c r="C82" s="1147"/>
      <c r="D82" s="1121"/>
      <c r="E82" s="1121"/>
      <c r="F82" s="1121"/>
      <c r="G82" s="1121"/>
      <c r="H82" s="1121"/>
      <c r="I82" s="1121"/>
      <c r="J82" s="1121"/>
      <c r="K82" s="1121"/>
      <c r="L82" s="1121"/>
      <c r="M82" s="1121"/>
      <c r="N82" s="1121"/>
      <c r="O82" s="1121"/>
      <c r="P82" s="1121"/>
      <c r="Q82" s="1119"/>
      <c r="R82" s="1169"/>
      <c r="S82" s="701"/>
      <c r="T82" s="923"/>
      <c r="U82" s="923"/>
      <c r="V82" s="25">
        <f t="shared" si="24"/>
        <v>0</v>
      </c>
      <c r="W82" s="8"/>
    </row>
    <row r="83" spans="1:23" s="1113" customFormat="1">
      <c r="Q83" s="1114"/>
      <c r="R83" s="1169"/>
      <c r="S83" s="701"/>
      <c r="T83" s="923"/>
      <c r="U83" s="923"/>
      <c r="V83" s="25">
        <f t="shared" si="24"/>
        <v>0</v>
      </c>
      <c r="W83" s="8"/>
    </row>
    <row r="84" spans="1:23" s="1113" customFormat="1">
      <c r="Q84" s="1114"/>
      <c r="R84" s="1169"/>
      <c r="S84" s="701"/>
      <c r="T84" s="85"/>
      <c r="U84" s="85"/>
      <c r="V84" s="25">
        <f>SUM(V79:V81)</f>
        <v>6552000</v>
      </c>
      <c r="W84" s="8"/>
    </row>
    <row r="85" spans="1:23" s="1113" customFormat="1" ht="18" customHeight="1">
      <c r="A85" s="1116" t="s">
        <v>524</v>
      </c>
      <c r="B85" s="1116"/>
      <c r="C85" s="1117"/>
      <c r="D85" s="1118"/>
      <c r="E85" s="1118"/>
      <c r="F85" s="1118"/>
      <c r="G85" s="467"/>
      <c r="H85" s="467"/>
      <c r="I85" s="467"/>
      <c r="J85" s="467"/>
      <c r="K85" s="467"/>
      <c r="L85" s="467"/>
      <c r="M85" s="467"/>
      <c r="N85" s="467"/>
      <c r="O85" s="969"/>
      <c r="P85" s="467"/>
      <c r="Q85" s="1119"/>
      <c r="R85" s="467"/>
      <c r="S85" s="1120"/>
      <c r="T85" s="467"/>
      <c r="U85" s="467"/>
    </row>
    <row r="86" spans="1:23" s="1113" customFormat="1" ht="18.75" customHeight="1">
      <c r="A86" s="1121" t="s">
        <v>544</v>
      </c>
      <c r="B86" s="1121"/>
      <c r="C86" s="1121"/>
      <c r="D86" s="1121"/>
      <c r="E86" s="1121"/>
      <c r="F86" s="1121"/>
      <c r="G86" s="1121"/>
      <c r="H86" s="1121"/>
      <c r="I86" s="1121"/>
      <c r="J86" s="1121"/>
      <c r="K86" s="1121"/>
      <c r="L86" s="1121"/>
      <c r="M86" s="1121"/>
      <c r="N86" s="1121"/>
      <c r="O86" s="1121"/>
      <c r="P86" s="1121"/>
      <c r="Q86" s="1119"/>
      <c r="R86" s="467"/>
      <c r="S86" s="1120"/>
      <c r="T86" s="467"/>
      <c r="U86" s="467"/>
    </row>
    <row r="87" spans="1:23" s="1113" customFormat="1" ht="12.75" customHeight="1">
      <c r="A87" s="1122"/>
      <c r="B87" s="1122"/>
      <c r="C87" s="1123"/>
      <c r="D87" s="1122"/>
      <c r="E87" s="1122"/>
      <c r="F87" s="1122"/>
      <c r="G87" s="1122"/>
      <c r="H87" s="1122"/>
      <c r="I87" s="1122"/>
      <c r="J87" s="1122"/>
      <c r="K87" s="1122"/>
      <c r="L87" s="1122"/>
      <c r="M87" s="1122"/>
      <c r="N87" s="1122"/>
      <c r="O87" s="1124"/>
      <c r="P87" s="1122"/>
      <c r="Q87" s="1119"/>
      <c r="R87" s="467"/>
      <c r="S87" s="1120"/>
      <c r="T87" s="467"/>
      <c r="U87" s="467"/>
    </row>
    <row r="88" spans="1:23" s="695" customFormat="1" ht="30.75" customHeight="1">
      <c r="A88" s="689" t="s">
        <v>37</v>
      </c>
      <c r="B88" s="689" t="s">
        <v>526</v>
      </c>
      <c r="C88" s="690" t="s">
        <v>527</v>
      </c>
      <c r="D88" s="691" t="s">
        <v>528</v>
      </c>
      <c r="E88" s="691" t="s">
        <v>529</v>
      </c>
      <c r="F88" s="691" t="s">
        <v>530</v>
      </c>
      <c r="G88" s="691" t="s">
        <v>531</v>
      </c>
      <c r="H88" s="691" t="s">
        <v>532</v>
      </c>
      <c r="I88" s="691" t="s">
        <v>533</v>
      </c>
      <c r="J88" s="691" t="s">
        <v>534</v>
      </c>
      <c r="K88" s="692" t="s">
        <v>535</v>
      </c>
      <c r="L88" s="691" t="s">
        <v>536</v>
      </c>
      <c r="M88" s="692" t="s">
        <v>537</v>
      </c>
      <c r="N88" s="691" t="s">
        <v>538</v>
      </c>
      <c r="O88" s="693" t="s">
        <v>529</v>
      </c>
      <c r="P88" s="691" t="s">
        <v>539</v>
      </c>
      <c r="Q88" s="694"/>
      <c r="R88" s="689" t="s">
        <v>526</v>
      </c>
      <c r="S88" s="691" t="s">
        <v>493</v>
      </c>
      <c r="T88" s="691" t="s">
        <v>335</v>
      </c>
      <c r="U88" s="691" t="s">
        <v>530</v>
      </c>
      <c r="V88" s="691" t="s">
        <v>540</v>
      </c>
      <c r="W88" s="689" t="s">
        <v>540</v>
      </c>
    </row>
    <row r="89" spans="1:23" s="1113" customFormat="1">
      <c r="A89" s="1175" t="str">
        <f>IF(B89&lt;&gt;"",ROW()-(ROW()-1),"")</f>
        <v/>
      </c>
      <c r="B89" s="1171"/>
      <c r="C89" s="1128"/>
      <c r="D89" s="1129">
        <f>ROUND(C89*O89,0)</f>
        <v>0</v>
      </c>
      <c r="E89" s="1129">
        <f>O71</f>
        <v>0</v>
      </c>
      <c r="F89" s="1129" t="str">
        <f>P71</f>
        <v/>
      </c>
      <c r="G89" s="25" t="e">
        <f>(D89+E89)*F89</f>
        <v>#VALUE!</v>
      </c>
      <c r="H89" s="1129">
        <f>IF($D$93&lt;&gt;0,H$93/($D$93+$E$93/5)*($D89+$E89/5),0)</f>
        <v>0</v>
      </c>
      <c r="I89" s="1129">
        <f t="shared" ref="I89:K90" si="25">IF($D$93&lt;&gt;0,I$93/$D$93*$D89,0)</f>
        <v>0</v>
      </c>
      <c r="J89" s="1129">
        <f t="shared" si="25"/>
        <v>0</v>
      </c>
      <c r="K89" s="1129">
        <f t="shared" si="25"/>
        <v>0</v>
      </c>
      <c r="L89" s="1129" t="e">
        <f>($V$98+$V$99)/$O$93*O89</f>
        <v>#DIV/0!</v>
      </c>
      <c r="M89" s="1129"/>
      <c r="N89" s="25" t="e">
        <f>ROUND(SUM(G89:L89),0)</f>
        <v>#VALUE!</v>
      </c>
      <c r="O89" s="407"/>
      <c r="P89" s="1129" t="str">
        <f>IF(O89&lt;&gt;"",N89/O89,"")</f>
        <v/>
      </c>
      <c r="Q89" s="985"/>
      <c r="R89" s="696"/>
      <c r="S89" s="1176"/>
      <c r="T89" s="85"/>
      <c r="U89" s="1130"/>
      <c r="V89" s="25">
        <f t="shared" ref="V89:V95" si="26">ROUND(T89*U89,0)</f>
        <v>0</v>
      </c>
      <c r="W89" s="25"/>
    </row>
    <row r="90" spans="1:23" s="1113" customFormat="1">
      <c r="A90" s="1177" t="str">
        <f>IF(B90&lt;&gt;"",A89+1,"")</f>
        <v/>
      </c>
      <c r="B90" s="1171"/>
      <c r="C90" s="1128"/>
      <c r="D90" s="1129">
        <f>ROUND(C90*O90,0)</f>
        <v>0</v>
      </c>
      <c r="E90" s="1129"/>
      <c r="F90" s="1129"/>
      <c r="G90" s="25">
        <f>(D90+E90)*F90</f>
        <v>0</v>
      </c>
      <c r="H90" s="1129">
        <f>IF($D$93&lt;&gt;0,H$93/($D$93+$E$93/5)*($D90+$E90/5),0)</f>
        <v>0</v>
      </c>
      <c r="I90" s="1129">
        <f t="shared" si="25"/>
        <v>0</v>
      </c>
      <c r="J90" s="1129">
        <f t="shared" si="25"/>
        <v>0</v>
      </c>
      <c r="K90" s="1129">
        <f t="shared" si="25"/>
        <v>0</v>
      </c>
      <c r="L90" s="1129" t="e">
        <f>($V$98+$V$99)/$O$93*O90</f>
        <v>#DIV/0!</v>
      </c>
      <c r="M90" s="1129"/>
      <c r="N90" s="25" t="e">
        <f>ROUND(SUM(G90:L90),0)</f>
        <v>#DIV/0!</v>
      </c>
      <c r="O90" s="407"/>
      <c r="P90" s="1129" t="str">
        <f>IF(O90&lt;&gt;"",N90/O90,"")</f>
        <v/>
      </c>
      <c r="Q90" s="985"/>
      <c r="R90" s="698"/>
      <c r="S90" s="1176"/>
      <c r="T90" s="85"/>
      <c r="U90" s="923"/>
      <c r="V90" s="25">
        <f t="shared" si="26"/>
        <v>0</v>
      </c>
      <c r="W90" s="8"/>
    </row>
    <row r="91" spans="1:23" s="1113" customFormat="1">
      <c r="A91" s="1177" t="str">
        <f>IF(B91&lt;&gt;"",A90+1,"")</f>
        <v/>
      </c>
      <c r="B91" s="1133"/>
      <c r="C91" s="1128"/>
      <c r="D91" s="1129">
        <f>ROUND(C91*O91,0)</f>
        <v>0</v>
      </c>
      <c r="E91" s="1129"/>
      <c r="F91" s="1129"/>
      <c r="G91" s="25">
        <f>(D91+E91)*F91</f>
        <v>0</v>
      </c>
      <c r="H91" s="1129">
        <f>IF($D$93&lt;&gt;0,H$93/($D$93+$E$93/5)*($D91+$E91/5),0)</f>
        <v>0</v>
      </c>
      <c r="I91" s="1129">
        <f t="shared" ref="I91:K92" si="27">IF($D$93&lt;&gt;0,I$93/$D$93*$D91,0)</f>
        <v>0</v>
      </c>
      <c r="J91" s="1129">
        <f t="shared" si="27"/>
        <v>0</v>
      </c>
      <c r="K91" s="1129">
        <f t="shared" si="27"/>
        <v>0</v>
      </c>
      <c r="L91" s="1129" t="e">
        <f>($V$98+$V$99)/$O$93*O91</f>
        <v>#DIV/0!</v>
      </c>
      <c r="M91" s="1129"/>
      <c r="N91" s="25" t="e">
        <f>ROUND(SUM(G91:L91),0)</f>
        <v>#DIV/0!</v>
      </c>
      <c r="O91" s="407"/>
      <c r="P91" s="1129" t="str">
        <f>IF(O91&lt;&gt;"",N91/O91,"")</f>
        <v/>
      </c>
      <c r="Q91" s="985"/>
      <c r="R91" s="698"/>
      <c r="S91" s="1176"/>
      <c r="T91" s="85"/>
      <c r="U91" s="923"/>
      <c r="V91" s="25">
        <f t="shared" si="26"/>
        <v>0</v>
      </c>
      <c r="W91" s="8"/>
    </row>
    <row r="92" spans="1:23" s="1113" customFormat="1">
      <c r="A92" s="1177" t="str">
        <f>IF(B92&lt;&gt;"",A91+1,"")</f>
        <v/>
      </c>
      <c r="B92" s="1171"/>
      <c r="C92" s="1128"/>
      <c r="D92" s="1129">
        <f>ROUND(C92*O92,0)</f>
        <v>0</v>
      </c>
      <c r="E92" s="1129"/>
      <c r="F92" s="1129"/>
      <c r="G92" s="25">
        <f>(D92+E92)*F92</f>
        <v>0</v>
      </c>
      <c r="H92" s="1129">
        <f>IF($D$93&lt;&gt;0,H$93/($D$93+$E$93/5)*($D92+$E92/5),0)</f>
        <v>0</v>
      </c>
      <c r="I92" s="1129">
        <f t="shared" si="27"/>
        <v>0</v>
      </c>
      <c r="J92" s="1129">
        <f t="shared" si="27"/>
        <v>0</v>
      </c>
      <c r="K92" s="1129">
        <f t="shared" si="27"/>
        <v>0</v>
      </c>
      <c r="L92" s="1129" t="e">
        <f>($V$98+$V$99)/$O$93*O92</f>
        <v>#DIV/0!</v>
      </c>
      <c r="M92" s="1129"/>
      <c r="N92" s="25" t="e">
        <f>ROUND(SUM(G92:L92),0)</f>
        <v>#DIV/0!</v>
      </c>
      <c r="O92" s="407"/>
      <c r="P92" s="1129" t="str">
        <f>IF(O92&lt;&gt;"",N92/O92,"")</f>
        <v/>
      </c>
      <c r="Q92" s="985"/>
      <c r="R92" s="698"/>
      <c r="S92" s="1176"/>
      <c r="T92" s="85"/>
      <c r="U92" s="923"/>
      <c r="V92" s="25">
        <f t="shared" si="26"/>
        <v>0</v>
      </c>
      <c r="W92" s="8"/>
    </row>
    <row r="93" spans="1:23" s="1141" customFormat="1">
      <c r="A93" s="1142"/>
      <c r="B93" s="1143" t="s">
        <v>541</v>
      </c>
      <c r="C93" s="1144"/>
      <c r="D93" s="883">
        <f>SUM(D89:D90)</f>
        <v>0</v>
      </c>
      <c r="E93" s="883">
        <f>SUM(E89:E90)</f>
        <v>0</v>
      </c>
      <c r="F93" s="883"/>
      <c r="G93" s="883" t="e">
        <f>SUM(G89:G90)</f>
        <v>#VALUE!</v>
      </c>
      <c r="H93" s="883"/>
      <c r="I93" s="883"/>
      <c r="J93" s="883"/>
      <c r="K93" s="883"/>
      <c r="L93" s="883" t="e">
        <f>ROUND(SUM(L89:L92),0)</f>
        <v>#DIV/0!</v>
      </c>
      <c r="M93" s="883">
        <f>ROUND(SUM(M89:M92),0)</f>
        <v>0</v>
      </c>
      <c r="N93" s="883" t="e">
        <f>ROUND(SUM(N89:N92),0)</f>
        <v>#VALUE!</v>
      </c>
      <c r="O93" s="883">
        <f>ROUND(SUM(O89:O92),0)</f>
        <v>0</v>
      </c>
      <c r="P93" s="883"/>
      <c r="Q93" s="985"/>
      <c r="R93" s="698"/>
      <c r="S93" s="1176"/>
      <c r="T93" s="1149"/>
      <c r="U93" s="923"/>
      <c r="V93" s="25">
        <f t="shared" si="26"/>
        <v>0</v>
      </c>
      <c r="W93" s="8"/>
    </row>
    <row r="94" spans="1:23" s="1113" customFormat="1">
      <c r="Q94" s="985"/>
      <c r="R94" s="698"/>
      <c r="S94" s="1176"/>
      <c r="T94" s="85"/>
      <c r="U94" s="923"/>
      <c r="V94" s="25">
        <f t="shared" si="26"/>
        <v>0</v>
      </c>
      <c r="W94" s="8"/>
    </row>
    <row r="95" spans="1:23" s="1113" customFormat="1">
      <c r="N95" s="1178"/>
      <c r="Q95" s="985"/>
      <c r="R95" s="698"/>
      <c r="S95" s="1176"/>
      <c r="T95" s="85"/>
      <c r="U95" s="923"/>
      <c r="V95" s="25">
        <f t="shared" si="26"/>
        <v>0</v>
      </c>
      <c r="W95" s="8"/>
    </row>
    <row r="96" spans="1:23" s="1113" customFormat="1">
      <c r="N96" s="467"/>
      <c r="Q96" s="985"/>
      <c r="R96" s="25"/>
      <c r="S96" s="701"/>
      <c r="T96" s="85"/>
      <c r="U96" s="85"/>
      <c r="V96" s="8"/>
      <c r="W96" s="8"/>
    </row>
    <row r="97" spans="1:23" s="1113" customFormat="1">
      <c r="N97" s="467"/>
      <c r="Q97" s="1114"/>
      <c r="R97" s="1166"/>
      <c r="S97" s="1167"/>
      <c r="T97" s="1168"/>
      <c r="U97" s="1179"/>
      <c r="V97" s="76">
        <f>SUM(V89:V96)</f>
        <v>0</v>
      </c>
      <c r="W97" s="76">
        <f>SUM(W89:W96)</f>
        <v>0</v>
      </c>
    </row>
    <row r="98" spans="1:23" s="1113" customFormat="1">
      <c r="N98" s="467"/>
      <c r="Q98" s="1114"/>
      <c r="R98" s="1149"/>
      <c r="S98" s="1176"/>
      <c r="T98" s="85"/>
      <c r="U98" s="85"/>
      <c r="V98" s="25">
        <f>ROUND(T98*U98,0)</f>
        <v>0</v>
      </c>
      <c r="W98" s="25"/>
    </row>
    <row r="99" spans="1:23" s="1113" customFormat="1">
      <c r="N99" s="467"/>
      <c r="Q99" s="1114"/>
      <c r="R99" s="1149"/>
      <c r="S99" s="1176"/>
      <c r="T99" s="85"/>
      <c r="U99" s="85"/>
      <c r="V99" s="25">
        <f>ROUND(T99*U99,0)</f>
        <v>0</v>
      </c>
      <c r="W99" s="8"/>
    </row>
    <row r="100" spans="1:23" s="1113" customFormat="1">
      <c r="Q100" s="1114"/>
      <c r="R100" s="1149"/>
      <c r="S100" s="701"/>
      <c r="T100" s="923"/>
      <c r="U100" s="923"/>
      <c r="V100" s="25">
        <f>ROUND(T100*U100,0)</f>
        <v>0</v>
      </c>
      <c r="W100" s="8"/>
    </row>
    <row r="101" spans="1:23" s="1113" customFormat="1">
      <c r="Q101" s="1114"/>
      <c r="R101" s="1149"/>
      <c r="S101" s="701"/>
      <c r="T101" s="923"/>
      <c r="U101" s="923"/>
      <c r="V101" s="25">
        <f>SUM(V98:V99)</f>
        <v>0</v>
      </c>
      <c r="W101" s="8"/>
    </row>
    <row r="102" spans="1:23" s="1113" customFormat="1" ht="18" customHeight="1">
      <c r="A102" s="1116" t="s">
        <v>524</v>
      </c>
      <c r="B102" s="1116"/>
      <c r="C102" s="1117"/>
      <c r="D102" s="1118"/>
      <c r="E102" s="1118"/>
      <c r="F102" s="1118"/>
      <c r="G102" s="467"/>
      <c r="H102" s="467"/>
      <c r="I102" s="467"/>
      <c r="J102" s="467"/>
      <c r="K102" s="467"/>
      <c r="L102" s="467"/>
      <c r="M102" s="467"/>
      <c r="N102" s="467"/>
      <c r="O102" s="969"/>
      <c r="P102" s="467"/>
      <c r="Q102" s="1119"/>
      <c r="R102" s="467"/>
      <c r="S102" s="1120"/>
      <c r="T102" s="467"/>
      <c r="U102" s="467"/>
    </row>
    <row r="103" spans="1:23" s="1113" customFormat="1" ht="18.75" customHeight="1">
      <c r="A103" s="1121" t="s">
        <v>545</v>
      </c>
      <c r="B103" s="1121"/>
      <c r="C103" s="1121"/>
      <c r="D103" s="1121"/>
      <c r="E103" s="1121"/>
      <c r="F103" s="1121"/>
      <c r="G103" s="1121"/>
      <c r="H103" s="1121"/>
      <c r="I103" s="1121"/>
      <c r="J103" s="1121"/>
      <c r="K103" s="1121"/>
      <c r="L103" s="1121"/>
      <c r="M103" s="1121"/>
      <c r="N103" s="1121"/>
      <c r="O103" s="1121"/>
      <c r="P103" s="1121"/>
      <c r="Q103" s="1119"/>
      <c r="R103" s="467"/>
      <c r="S103" s="1120"/>
      <c r="T103" s="467"/>
      <c r="U103" s="467"/>
    </row>
    <row r="104" spans="1:23" s="1113" customFormat="1" ht="12.75" customHeight="1">
      <c r="A104" s="1122"/>
      <c r="B104" s="1122"/>
      <c r="C104" s="1123"/>
      <c r="D104" s="1122"/>
      <c r="E104" s="1122"/>
      <c r="F104" s="1122"/>
      <c r="G104" s="1122"/>
      <c r="H104" s="1122"/>
      <c r="I104" s="1122"/>
      <c r="J104" s="1122"/>
      <c r="K104" s="1122"/>
      <c r="L104" s="1122"/>
      <c r="M104" s="1122"/>
      <c r="N104" s="1122"/>
      <c r="O104" s="1124"/>
      <c r="P104" s="1122"/>
      <c r="Q104" s="1119"/>
      <c r="R104" s="467"/>
      <c r="S104" s="1120"/>
      <c r="T104" s="467"/>
      <c r="U104" s="467"/>
    </row>
    <row r="105" spans="1:23" s="695" customFormat="1" ht="30.75" customHeight="1">
      <c r="A105" s="689" t="s">
        <v>37</v>
      </c>
      <c r="B105" s="689" t="s">
        <v>526</v>
      </c>
      <c r="C105" s="690" t="s">
        <v>527</v>
      </c>
      <c r="D105" s="691" t="s">
        <v>528</v>
      </c>
      <c r="E105" s="691" t="s">
        <v>529</v>
      </c>
      <c r="F105" s="691" t="s">
        <v>530</v>
      </c>
      <c r="G105" s="691" t="s">
        <v>531</v>
      </c>
      <c r="H105" s="691" t="s">
        <v>532</v>
      </c>
      <c r="I105" s="691" t="s">
        <v>533</v>
      </c>
      <c r="J105" s="691" t="s">
        <v>534</v>
      </c>
      <c r="K105" s="692" t="s">
        <v>535</v>
      </c>
      <c r="L105" s="691" t="s">
        <v>536</v>
      </c>
      <c r="M105" s="692" t="s">
        <v>537</v>
      </c>
      <c r="N105" s="691" t="s">
        <v>538</v>
      </c>
      <c r="O105" s="693" t="s">
        <v>529</v>
      </c>
      <c r="P105" s="691" t="s">
        <v>539</v>
      </c>
      <c r="Q105" s="694"/>
      <c r="R105" s="689" t="s">
        <v>526</v>
      </c>
      <c r="S105" s="691" t="s">
        <v>493</v>
      </c>
      <c r="T105" s="691" t="s">
        <v>335</v>
      </c>
      <c r="U105" s="691" t="s">
        <v>530</v>
      </c>
      <c r="V105" s="691" t="s">
        <v>540</v>
      </c>
      <c r="W105" s="689" t="s">
        <v>540</v>
      </c>
    </row>
    <row r="106" spans="1:23" s="1113" customFormat="1">
      <c r="A106" s="1127" t="str">
        <f>IF(B106&lt;&gt;"",ROW()-(ROW()-1),"")</f>
        <v/>
      </c>
      <c r="B106" s="474"/>
      <c r="C106" s="1128"/>
      <c r="D106" s="1129">
        <f t="shared" ref="D106:D111" si="28">ROUND(C106*O106,0)</f>
        <v>0</v>
      </c>
      <c r="E106" s="1129"/>
      <c r="F106" s="1129"/>
      <c r="G106" s="25">
        <f t="shared" ref="G106:G111" si="29">(D106+E106)*F106</f>
        <v>0</v>
      </c>
      <c r="H106" s="1129">
        <f t="shared" ref="H106:H111" si="30">IF($D$113&lt;&gt;0,H$113/($D$113+$E$113/5)*($D106+$E106/5),0)</f>
        <v>0</v>
      </c>
      <c r="I106" s="1129">
        <f t="shared" ref="I106:K111" si="31">IF($D$113&lt;&gt;0,I$113/$D$113*$D106,0)</f>
        <v>0</v>
      </c>
      <c r="J106" s="1129">
        <f t="shared" si="31"/>
        <v>0</v>
      </c>
      <c r="K106" s="1129">
        <f t="shared" si="31"/>
        <v>0</v>
      </c>
      <c r="L106" s="25"/>
      <c r="M106" s="1129"/>
      <c r="N106" s="25">
        <f t="shared" ref="N106:N111" si="32">ROUND(SUM(G106:L106),0)</f>
        <v>0</v>
      </c>
      <c r="O106" s="1129"/>
      <c r="P106" s="1129">
        <f t="shared" ref="P106:P111" si="33">IF(N106&lt;&gt;0,N106/O106,0)</f>
        <v>0</v>
      </c>
      <c r="Q106" s="985"/>
      <c r="R106" s="469"/>
      <c r="S106" s="1176"/>
      <c r="T106" s="85"/>
      <c r="U106" s="1130"/>
      <c r="V106" s="25">
        <f t="shared" ref="V106:V113" si="34">ROUND(T106*U106,0)</f>
        <v>0</v>
      </c>
      <c r="W106" s="8"/>
    </row>
    <row r="107" spans="1:23" s="1113" customFormat="1">
      <c r="A107" s="1127" t="str">
        <f>IF(B107&lt;&gt;"",A106+1,"")</f>
        <v/>
      </c>
      <c r="B107" s="469"/>
      <c r="C107" s="1128"/>
      <c r="D107" s="1129">
        <f t="shared" si="28"/>
        <v>0</v>
      </c>
      <c r="E107" s="1129"/>
      <c r="F107" s="1129"/>
      <c r="G107" s="25">
        <f t="shared" si="29"/>
        <v>0</v>
      </c>
      <c r="H107" s="1129">
        <f t="shared" si="30"/>
        <v>0</v>
      </c>
      <c r="I107" s="1129">
        <f t="shared" si="31"/>
        <v>0</v>
      </c>
      <c r="J107" s="1129">
        <f t="shared" si="31"/>
        <v>0</v>
      </c>
      <c r="K107" s="1129">
        <f t="shared" si="31"/>
        <v>0</v>
      </c>
      <c r="L107" s="1129"/>
      <c r="M107" s="1129"/>
      <c r="N107" s="25">
        <f t="shared" si="32"/>
        <v>0</v>
      </c>
      <c r="O107" s="407"/>
      <c r="P107" s="1129">
        <f t="shared" si="33"/>
        <v>0</v>
      </c>
      <c r="Q107" s="985"/>
      <c r="R107" s="474"/>
      <c r="S107" s="1176"/>
      <c r="T107" s="85"/>
      <c r="U107" s="923"/>
      <c r="V107" s="25">
        <f t="shared" si="34"/>
        <v>0</v>
      </c>
      <c r="W107" s="8"/>
    </row>
    <row r="108" spans="1:23" s="1113" customFormat="1">
      <c r="A108" s="1127" t="str">
        <f>IF(B108&lt;&gt;"",A107+1,"")</f>
        <v/>
      </c>
      <c r="B108" s="469"/>
      <c r="C108" s="1128"/>
      <c r="D108" s="1129">
        <f t="shared" si="28"/>
        <v>0</v>
      </c>
      <c r="E108" s="1129"/>
      <c r="F108" s="1129"/>
      <c r="G108" s="25">
        <f t="shared" si="29"/>
        <v>0</v>
      </c>
      <c r="H108" s="1129">
        <f t="shared" si="30"/>
        <v>0</v>
      </c>
      <c r="I108" s="1129">
        <f t="shared" si="31"/>
        <v>0</v>
      </c>
      <c r="J108" s="1129">
        <f t="shared" si="31"/>
        <v>0</v>
      </c>
      <c r="K108" s="1129">
        <f t="shared" si="31"/>
        <v>0</v>
      </c>
      <c r="L108" s="1129"/>
      <c r="M108" s="1129"/>
      <c r="N108" s="25">
        <f t="shared" si="32"/>
        <v>0</v>
      </c>
      <c r="O108" s="407"/>
      <c r="P108" s="1129">
        <f t="shared" si="33"/>
        <v>0</v>
      </c>
      <c r="Q108" s="985"/>
      <c r="R108" s="474"/>
      <c r="S108" s="1176"/>
      <c r="T108" s="85"/>
      <c r="U108" s="923"/>
      <c r="V108" s="25">
        <f t="shared" si="34"/>
        <v>0</v>
      </c>
      <c r="W108" s="8"/>
    </row>
    <row r="109" spans="1:23" s="1113" customFormat="1">
      <c r="A109" s="1127" t="str">
        <f>IF(B109&lt;&gt;"",A108+1,"")</f>
        <v/>
      </c>
      <c r="B109" s="469"/>
      <c r="C109" s="1128"/>
      <c r="D109" s="1129">
        <f t="shared" si="28"/>
        <v>0</v>
      </c>
      <c r="E109" s="1129"/>
      <c r="F109" s="1129"/>
      <c r="G109" s="25">
        <f t="shared" si="29"/>
        <v>0</v>
      </c>
      <c r="H109" s="1129">
        <f t="shared" si="30"/>
        <v>0</v>
      </c>
      <c r="I109" s="1129">
        <f t="shared" si="31"/>
        <v>0</v>
      </c>
      <c r="J109" s="1129">
        <f t="shared" si="31"/>
        <v>0</v>
      </c>
      <c r="K109" s="1129">
        <f t="shared" si="31"/>
        <v>0</v>
      </c>
      <c r="L109" s="1129"/>
      <c r="M109" s="1129"/>
      <c r="N109" s="25">
        <f t="shared" si="32"/>
        <v>0</v>
      </c>
      <c r="O109" s="407"/>
      <c r="P109" s="1129">
        <f t="shared" si="33"/>
        <v>0</v>
      </c>
      <c r="Q109" s="985"/>
      <c r="R109" s="474"/>
      <c r="S109" s="1176"/>
      <c r="T109" s="85"/>
      <c r="U109" s="923"/>
      <c r="V109" s="25">
        <f t="shared" si="34"/>
        <v>0</v>
      </c>
      <c r="W109" s="8"/>
    </row>
    <row r="110" spans="1:23" s="1113" customFormat="1">
      <c r="A110" s="1127" t="str">
        <f>IF(B110&lt;&gt;"",A109+1,"")</f>
        <v/>
      </c>
      <c r="B110" s="469"/>
      <c r="C110" s="1128"/>
      <c r="D110" s="1129">
        <f t="shared" si="28"/>
        <v>0</v>
      </c>
      <c r="E110" s="1129"/>
      <c r="F110" s="1129"/>
      <c r="G110" s="25">
        <f t="shared" si="29"/>
        <v>0</v>
      </c>
      <c r="H110" s="1129">
        <f t="shared" si="30"/>
        <v>0</v>
      </c>
      <c r="I110" s="1129">
        <f t="shared" si="31"/>
        <v>0</v>
      </c>
      <c r="J110" s="1129">
        <f t="shared" si="31"/>
        <v>0</v>
      </c>
      <c r="K110" s="1129">
        <f t="shared" si="31"/>
        <v>0</v>
      </c>
      <c r="L110" s="1129"/>
      <c r="M110" s="1129"/>
      <c r="N110" s="25">
        <f t="shared" si="32"/>
        <v>0</v>
      </c>
      <c r="O110" s="407"/>
      <c r="P110" s="1129">
        <f t="shared" si="33"/>
        <v>0</v>
      </c>
      <c r="Q110" s="985"/>
      <c r="R110" s="474"/>
      <c r="S110" s="1176"/>
      <c r="T110" s="85"/>
      <c r="U110" s="923"/>
      <c r="V110" s="25">
        <f t="shared" si="34"/>
        <v>0</v>
      </c>
      <c r="W110" s="8"/>
    </row>
    <row r="111" spans="1:23" s="1113" customFormat="1">
      <c r="A111" s="1127" t="str">
        <f>IF(B111&lt;&gt;"",A110+1,"")</f>
        <v/>
      </c>
      <c r="B111" s="469"/>
      <c r="C111" s="1128"/>
      <c r="D111" s="1129">
        <f t="shared" si="28"/>
        <v>0</v>
      </c>
      <c r="E111" s="1129"/>
      <c r="F111" s="1129"/>
      <c r="G111" s="25">
        <f t="shared" si="29"/>
        <v>0</v>
      </c>
      <c r="H111" s="1129">
        <f t="shared" si="30"/>
        <v>0</v>
      </c>
      <c r="I111" s="1129">
        <f t="shared" si="31"/>
        <v>0</v>
      </c>
      <c r="J111" s="1129">
        <f t="shared" si="31"/>
        <v>0</v>
      </c>
      <c r="K111" s="1129">
        <f t="shared" si="31"/>
        <v>0</v>
      </c>
      <c r="L111" s="1129"/>
      <c r="M111" s="1129"/>
      <c r="N111" s="25">
        <f t="shared" si="32"/>
        <v>0</v>
      </c>
      <c r="O111" s="407"/>
      <c r="P111" s="1129">
        <f t="shared" si="33"/>
        <v>0</v>
      </c>
      <c r="Q111" s="985"/>
      <c r="R111" s="477"/>
      <c r="S111" s="1176"/>
      <c r="T111" s="85"/>
      <c r="U111" s="923"/>
      <c r="V111" s="25">
        <f t="shared" si="34"/>
        <v>0</v>
      </c>
      <c r="W111" s="8"/>
    </row>
    <row r="112" spans="1:23" s="1141" customFormat="1">
      <c r="A112" s="1127" t="str">
        <f>IF(B112&lt;&gt;"",#REF!+1,"")</f>
        <v/>
      </c>
      <c r="B112" s="1134"/>
      <c r="C112" s="1135"/>
      <c r="D112" s="1137"/>
      <c r="E112" s="1137"/>
      <c r="F112" s="1137"/>
      <c r="G112" s="1138"/>
      <c r="H112" s="1139"/>
      <c r="I112" s="1137"/>
      <c r="J112" s="8"/>
      <c r="K112" s="1137"/>
      <c r="L112" s="1139"/>
      <c r="M112" s="1137"/>
      <c r="N112" s="1163"/>
      <c r="O112" s="1140"/>
      <c r="P112" s="1137"/>
      <c r="Q112" s="985"/>
      <c r="R112" s="477"/>
      <c r="S112" s="1176"/>
      <c r="T112" s="1149"/>
      <c r="U112" s="923"/>
      <c r="V112" s="25">
        <f t="shared" si="34"/>
        <v>0</v>
      </c>
      <c r="W112" s="8"/>
    </row>
    <row r="113" spans="1:23" s="1116" customFormat="1">
      <c r="A113" s="1142"/>
      <c r="B113" s="1143" t="s">
        <v>541</v>
      </c>
      <c r="C113" s="1144"/>
      <c r="D113" s="883">
        <f>SUM(D106:D112)</f>
        <v>0</v>
      </c>
      <c r="E113" s="883">
        <f>SUM(E106:E112)</f>
        <v>0</v>
      </c>
      <c r="F113" s="883"/>
      <c r="G113" s="883">
        <f>SUM(G106:G112)</f>
        <v>0</v>
      </c>
      <c r="H113" s="883"/>
      <c r="I113" s="883"/>
      <c r="J113" s="883"/>
      <c r="K113" s="883"/>
      <c r="L113" s="883"/>
      <c r="M113" s="883"/>
      <c r="N113" s="883">
        <f>ROUND(SUM(N106:N112),0)</f>
        <v>0</v>
      </c>
      <c r="O113" s="883">
        <f>ROUND(SUM(O106:O112),0)</f>
        <v>0</v>
      </c>
      <c r="P113" s="883"/>
      <c r="Q113" s="985"/>
      <c r="R113" s="477"/>
      <c r="S113" s="1176"/>
      <c r="T113" s="1149"/>
      <c r="U113" s="923"/>
      <c r="V113" s="25">
        <f t="shared" si="34"/>
        <v>0</v>
      </c>
      <c r="W113" s="8"/>
    </row>
    <row r="114" spans="1:23" s="1113" customFormat="1">
      <c r="Q114" s="985"/>
      <c r="R114" s="25"/>
      <c r="S114" s="701"/>
      <c r="T114" s="85"/>
      <c r="U114" s="85"/>
      <c r="V114" s="8"/>
      <c r="W114" s="8"/>
    </row>
    <row r="115" spans="1:23" s="1113" customFormat="1">
      <c r="M115" s="1180"/>
      <c r="N115" s="1178"/>
      <c r="Q115" s="985"/>
      <c r="R115" s="1166"/>
      <c r="S115" s="1167"/>
      <c r="T115" s="1168"/>
      <c r="U115" s="1179"/>
      <c r="V115" s="883">
        <f>SUM(V106:V114)</f>
        <v>0</v>
      </c>
      <c r="W115" s="76">
        <f>SUM(W106:W114)</f>
        <v>0</v>
      </c>
    </row>
    <row r="116" spans="1:23" s="1113" customFormat="1">
      <c r="M116" s="1180"/>
      <c r="N116" s="467"/>
      <c r="Q116" s="1114"/>
      <c r="R116" s="1149"/>
      <c r="S116" s="1176"/>
      <c r="T116" s="85"/>
      <c r="U116" s="85"/>
      <c r="V116" s="25">
        <f t="shared" ref="V116:V124" si="35">ROUND(T116*U116,0)</f>
        <v>0</v>
      </c>
      <c r="W116" s="25"/>
    </row>
    <row r="117" spans="1:23" s="1113" customFormat="1">
      <c r="M117" s="1180"/>
      <c r="N117" s="467"/>
      <c r="Q117" s="1114"/>
      <c r="R117" s="1149"/>
      <c r="S117" s="1176"/>
      <c r="T117" s="85"/>
      <c r="U117" s="85"/>
      <c r="V117" s="25">
        <f t="shared" si="35"/>
        <v>0</v>
      </c>
      <c r="W117" s="8"/>
    </row>
    <row r="118" spans="1:23" s="1113" customFormat="1">
      <c r="M118" s="1180"/>
      <c r="N118" s="467"/>
      <c r="Q118" s="1114"/>
      <c r="R118" s="698"/>
      <c r="S118" s="1176"/>
      <c r="T118" s="923"/>
      <c r="U118" s="923"/>
      <c r="V118" s="25">
        <f t="shared" si="35"/>
        <v>0</v>
      </c>
      <c r="W118" s="8"/>
    </row>
    <row r="119" spans="1:23" s="1113" customFormat="1">
      <c r="M119" s="1180"/>
      <c r="N119" s="467"/>
      <c r="Q119" s="1114"/>
      <c r="R119" s="311"/>
      <c r="S119" s="1176"/>
      <c r="T119" s="923"/>
      <c r="U119" s="923"/>
      <c r="V119" s="25">
        <f t="shared" si="35"/>
        <v>0</v>
      </c>
      <c r="W119" s="8"/>
    </row>
    <row r="120" spans="1:23" s="1113" customFormat="1">
      <c r="Q120" s="1114"/>
      <c r="R120" s="311"/>
      <c r="S120" s="1176"/>
      <c r="T120" s="923"/>
      <c r="U120" s="923"/>
      <c r="V120" s="25">
        <f t="shared" si="35"/>
        <v>0</v>
      </c>
      <c r="W120" s="8"/>
    </row>
    <row r="121" spans="1:23" s="1113" customFormat="1">
      <c r="Q121" s="1114"/>
      <c r="R121" s="481"/>
      <c r="S121" s="1176"/>
      <c r="T121" s="923"/>
      <c r="U121" s="923"/>
      <c r="V121" s="25">
        <f t="shared" si="35"/>
        <v>0</v>
      </c>
      <c r="W121" s="8"/>
    </row>
    <row r="122" spans="1:23" s="1113" customFormat="1">
      <c r="Q122" s="1114"/>
      <c r="R122" s="1169"/>
      <c r="S122" s="1176"/>
      <c r="T122" s="923"/>
      <c r="U122" s="923"/>
      <c r="V122" s="25">
        <f t="shared" si="35"/>
        <v>0</v>
      </c>
      <c r="W122" s="8"/>
    </row>
    <row r="123" spans="1:23" s="1113" customFormat="1">
      <c r="Q123" s="1114"/>
      <c r="R123" s="1169"/>
      <c r="S123" s="1176"/>
      <c r="T123" s="923"/>
      <c r="U123" s="923"/>
      <c r="V123" s="25">
        <f t="shared" si="35"/>
        <v>0</v>
      </c>
      <c r="W123" s="8"/>
    </row>
    <row r="124" spans="1:23" s="1113" customFormat="1">
      <c r="Q124" s="1114"/>
      <c r="R124" s="1169"/>
      <c r="S124" s="1176"/>
      <c r="T124" s="923"/>
      <c r="U124" s="923"/>
      <c r="V124" s="25">
        <f t="shared" si="35"/>
        <v>0</v>
      </c>
      <c r="W124" s="8"/>
    </row>
    <row r="125" spans="1:23" s="1113" customFormat="1">
      <c r="Q125" s="1114"/>
      <c r="R125" s="1169"/>
      <c r="S125" s="1176"/>
      <c r="T125" s="923"/>
      <c r="U125" s="923"/>
      <c r="V125" s="25">
        <f>SUM(V116:V122)</f>
        <v>0</v>
      </c>
      <c r="W125" s="8"/>
    </row>
    <row r="126" spans="1:23" s="1113" customFormat="1" ht="18" customHeight="1">
      <c r="A126" s="1116" t="s">
        <v>524</v>
      </c>
      <c r="B126" s="1116"/>
      <c r="C126" s="1117"/>
      <c r="D126" s="1118"/>
      <c r="E126" s="1118"/>
      <c r="F126" s="1118"/>
      <c r="G126" s="467"/>
      <c r="H126" s="467"/>
      <c r="I126" s="467"/>
      <c r="J126" s="467"/>
      <c r="K126" s="467"/>
      <c r="L126" s="467"/>
      <c r="M126" s="467"/>
      <c r="N126" s="467"/>
      <c r="O126" s="969"/>
      <c r="P126" s="467"/>
      <c r="Q126" s="1119"/>
      <c r="R126" s="467"/>
      <c r="S126" s="1120"/>
      <c r="T126" s="467"/>
      <c r="U126" s="467"/>
    </row>
    <row r="127" spans="1:23" s="1113" customFormat="1" ht="18.75" customHeight="1">
      <c r="A127" s="1121" t="s">
        <v>546</v>
      </c>
      <c r="B127" s="1121"/>
      <c r="C127" s="1121"/>
      <c r="D127" s="1121"/>
      <c r="E127" s="1121"/>
      <c r="F127" s="1121"/>
      <c r="G127" s="1121"/>
      <c r="H127" s="1121"/>
      <c r="I127" s="1121"/>
      <c r="J127" s="1121"/>
      <c r="K127" s="1121"/>
      <c r="L127" s="1121"/>
      <c r="M127" s="1121"/>
      <c r="N127" s="1121"/>
      <c r="O127" s="1121"/>
      <c r="P127" s="1121"/>
      <c r="Q127" s="1119"/>
      <c r="R127" s="467"/>
      <c r="S127" s="1120"/>
      <c r="T127" s="467"/>
      <c r="U127" s="467"/>
    </row>
    <row r="128" spans="1:23" s="1113" customFormat="1" ht="12.75" customHeight="1">
      <c r="A128" s="1122"/>
      <c r="B128" s="1122"/>
      <c r="C128" s="1123"/>
      <c r="D128" s="1122"/>
      <c r="E128" s="1122"/>
      <c r="F128" s="1122"/>
      <c r="G128" s="1122"/>
      <c r="H128" s="1122"/>
      <c r="I128" s="1122"/>
      <c r="J128" s="1122"/>
      <c r="K128" s="1122"/>
      <c r="L128" s="1122"/>
      <c r="M128" s="1122"/>
      <c r="N128" s="1122"/>
      <c r="O128" s="1124"/>
      <c r="P128" s="1122"/>
      <c r="Q128" s="1119"/>
      <c r="R128" s="467"/>
      <c r="S128" s="1120"/>
      <c r="T128" s="467"/>
      <c r="U128" s="467"/>
    </row>
    <row r="129" spans="1:23" s="695" customFormat="1" ht="30.75" customHeight="1">
      <c r="A129" s="689" t="s">
        <v>37</v>
      </c>
      <c r="B129" s="689" t="s">
        <v>526</v>
      </c>
      <c r="C129" s="690" t="s">
        <v>527</v>
      </c>
      <c r="D129" s="691" t="s">
        <v>528</v>
      </c>
      <c r="E129" s="691" t="s">
        <v>529</v>
      </c>
      <c r="F129" s="691" t="s">
        <v>530</v>
      </c>
      <c r="G129" s="691" t="s">
        <v>531</v>
      </c>
      <c r="H129" s="691" t="s">
        <v>532</v>
      </c>
      <c r="I129" s="691" t="s">
        <v>533</v>
      </c>
      <c r="J129" s="691" t="s">
        <v>534</v>
      </c>
      <c r="K129" s="692" t="s">
        <v>535</v>
      </c>
      <c r="L129" s="691" t="s">
        <v>536</v>
      </c>
      <c r="M129" s="692" t="s">
        <v>537</v>
      </c>
      <c r="N129" s="691" t="s">
        <v>538</v>
      </c>
      <c r="O129" s="693" t="s">
        <v>529</v>
      </c>
      <c r="P129" s="691" t="s">
        <v>539</v>
      </c>
      <c r="Q129" s="694"/>
      <c r="R129" s="689" t="s">
        <v>526</v>
      </c>
      <c r="S129" s="691" t="s">
        <v>493</v>
      </c>
      <c r="T129" s="691" t="s">
        <v>335</v>
      </c>
      <c r="U129" s="691" t="s">
        <v>530</v>
      </c>
      <c r="V129" s="691" t="s">
        <v>540</v>
      </c>
      <c r="W129" s="689" t="s">
        <v>540</v>
      </c>
    </row>
    <row r="130" spans="1:23" s="1113" customFormat="1">
      <c r="A130" s="1127" t="str">
        <f>IF(B130&lt;&gt;"",ROW()-(ROW()-1),"")</f>
        <v/>
      </c>
      <c r="B130" s="1181"/>
      <c r="C130" s="1128"/>
      <c r="D130" s="1129">
        <f>ROUND(C130*O130,0)</f>
        <v>0</v>
      </c>
      <c r="E130" s="1129"/>
      <c r="F130" s="1129"/>
      <c r="G130" s="25">
        <f>D130*F130</f>
        <v>0</v>
      </c>
      <c r="H130" s="1129">
        <f>IF($D$146&lt;&gt;0,H$146/($D$146+$E$146/5)*($D130+$E130/5),0)</f>
        <v>0</v>
      </c>
      <c r="I130" s="1129">
        <f t="shared" ref="I130:K131" si="36">IF($D$146&lt;&gt;0,I$146/$D$146*$D130,0)</f>
        <v>0</v>
      </c>
      <c r="J130" s="1129">
        <f t="shared" si="36"/>
        <v>0</v>
      </c>
      <c r="K130" s="1129">
        <f t="shared" si="36"/>
        <v>0</v>
      </c>
      <c r="L130" s="25"/>
      <c r="M130" s="1129"/>
      <c r="N130" s="25">
        <f>ROUND(SUM(G130:M130),0)</f>
        <v>0</v>
      </c>
      <c r="O130" s="1129"/>
      <c r="P130" s="1129">
        <f>IF(N130&lt;&gt;0,N130/O130,0)</f>
        <v>0</v>
      </c>
      <c r="Q130" s="985"/>
      <c r="R130" s="469"/>
      <c r="S130" s="1176"/>
      <c r="T130" s="85"/>
      <c r="U130" s="1130"/>
      <c r="V130" s="25">
        <f t="shared" ref="V130:V139" si="37">ROUND(T130*U130,0)</f>
        <v>0</v>
      </c>
      <c r="W130" s="25"/>
    </row>
    <row r="131" spans="1:23" s="1113" customFormat="1">
      <c r="A131" s="1127" t="str">
        <f>IF(B131&lt;&gt;"",A130+1,"")</f>
        <v/>
      </c>
      <c r="B131" s="1133"/>
      <c r="C131" s="1128"/>
      <c r="D131" s="1129">
        <f>ROUND(C131*O131,0)</f>
        <v>0</v>
      </c>
      <c r="E131" s="1129"/>
      <c r="F131" s="1129"/>
      <c r="G131" s="25">
        <f>D131*F131</f>
        <v>0</v>
      </c>
      <c r="H131" s="1129">
        <f>IF($D$146&lt;&gt;0,H$146/($D$146+$E$146/5)*($D131+$E131/5),0)</f>
        <v>0</v>
      </c>
      <c r="I131" s="1129">
        <f t="shared" si="36"/>
        <v>0</v>
      </c>
      <c r="J131" s="1129">
        <f t="shared" si="36"/>
        <v>0</v>
      </c>
      <c r="K131" s="1129">
        <f t="shared" si="36"/>
        <v>0</v>
      </c>
      <c r="L131" s="25"/>
      <c r="M131" s="1129"/>
      <c r="N131" s="25">
        <f t="shared" ref="N131:N144" si="38">ROUND(SUM(G131:M131),0)</f>
        <v>0</v>
      </c>
      <c r="O131" s="407"/>
      <c r="P131" s="1129">
        <f>IF(N131&lt;&gt;0,N131/O131,0)</f>
        <v>0</v>
      </c>
      <c r="Q131" s="985"/>
      <c r="R131" s="474"/>
      <c r="S131" s="1176"/>
      <c r="T131" s="85"/>
      <c r="U131" s="923"/>
      <c r="V131" s="25">
        <f t="shared" si="37"/>
        <v>0</v>
      </c>
      <c r="W131" s="8"/>
    </row>
    <row r="132" spans="1:23" s="1113" customFormat="1">
      <c r="A132" s="1127" t="str">
        <f t="shared" ref="A132:A144" si="39">IF(B132&lt;&gt;"",A131+1,"")</f>
        <v/>
      </c>
      <c r="B132" s="469"/>
      <c r="C132" s="1128"/>
      <c r="D132" s="1129">
        <f t="shared" ref="D132:D144" si="40">ROUND(C132*O132,0)</f>
        <v>0</v>
      </c>
      <c r="E132" s="1129"/>
      <c r="F132" s="1129"/>
      <c r="G132" s="25">
        <f t="shared" ref="G132:G144" si="41">D132*F132</f>
        <v>0</v>
      </c>
      <c r="H132" s="1129">
        <f t="shared" ref="H132:H144" si="42">IF($D$146&lt;&gt;0,H$146/($D$146+$E$146/5)*($D132+$E132/5),0)</f>
        <v>0</v>
      </c>
      <c r="I132" s="1129">
        <f t="shared" ref="I132:K144" si="43">IF($D$146&lt;&gt;0,I$146/$D$146*$D132,0)</f>
        <v>0</v>
      </c>
      <c r="J132" s="1129">
        <f t="shared" si="43"/>
        <v>0</v>
      </c>
      <c r="K132" s="1129">
        <f t="shared" si="43"/>
        <v>0</v>
      </c>
      <c r="L132" s="1129"/>
      <c r="M132" s="1129"/>
      <c r="N132" s="25">
        <f t="shared" si="38"/>
        <v>0</v>
      </c>
      <c r="O132" s="407"/>
      <c r="P132" s="1129">
        <f t="shared" ref="P132:P144" si="44">IF(N132&lt;&gt;0,N132/O132,0)</f>
        <v>0</v>
      </c>
      <c r="Q132" s="985"/>
      <c r="R132" s="474"/>
      <c r="S132" s="1176"/>
      <c r="T132" s="85"/>
      <c r="U132" s="923"/>
      <c r="V132" s="25">
        <f t="shared" si="37"/>
        <v>0</v>
      </c>
      <c r="W132" s="8"/>
    </row>
    <row r="133" spans="1:23" s="1113" customFormat="1">
      <c r="A133" s="1127" t="str">
        <f t="shared" si="39"/>
        <v/>
      </c>
      <c r="B133" s="1133"/>
      <c r="C133" s="1128"/>
      <c r="D133" s="1129">
        <f t="shared" si="40"/>
        <v>0</v>
      </c>
      <c r="E133" s="1129"/>
      <c r="F133" s="1129"/>
      <c r="G133" s="25">
        <f t="shared" si="41"/>
        <v>0</v>
      </c>
      <c r="H133" s="1129">
        <f t="shared" si="42"/>
        <v>0</v>
      </c>
      <c r="I133" s="1129">
        <f t="shared" si="43"/>
        <v>0</v>
      </c>
      <c r="J133" s="1129">
        <f t="shared" si="43"/>
        <v>0</v>
      </c>
      <c r="K133" s="1129">
        <f t="shared" si="43"/>
        <v>0</v>
      </c>
      <c r="L133" s="1129"/>
      <c r="M133" s="1129"/>
      <c r="N133" s="25">
        <f t="shared" si="38"/>
        <v>0</v>
      </c>
      <c r="O133" s="407"/>
      <c r="P133" s="1129">
        <f t="shared" si="44"/>
        <v>0</v>
      </c>
      <c r="Q133" s="985"/>
      <c r="R133" s="474"/>
      <c r="S133" s="1176"/>
      <c r="T133" s="85"/>
      <c r="U133" s="923"/>
      <c r="V133" s="25">
        <f t="shared" si="37"/>
        <v>0</v>
      </c>
      <c r="W133" s="8"/>
    </row>
    <row r="134" spans="1:23" s="1113" customFormat="1">
      <c r="A134" s="1127" t="str">
        <f t="shared" si="39"/>
        <v/>
      </c>
      <c r="B134" s="1133"/>
      <c r="C134" s="1128"/>
      <c r="D134" s="1129">
        <f t="shared" si="40"/>
        <v>0</v>
      </c>
      <c r="E134" s="1129"/>
      <c r="F134" s="1129"/>
      <c r="G134" s="25">
        <f t="shared" si="41"/>
        <v>0</v>
      </c>
      <c r="H134" s="1129">
        <f t="shared" si="42"/>
        <v>0</v>
      </c>
      <c r="I134" s="1129">
        <f t="shared" si="43"/>
        <v>0</v>
      </c>
      <c r="J134" s="1129">
        <f t="shared" si="43"/>
        <v>0</v>
      </c>
      <c r="K134" s="1129">
        <f t="shared" si="43"/>
        <v>0</v>
      </c>
      <c r="L134" s="1129"/>
      <c r="M134" s="1129"/>
      <c r="N134" s="25">
        <f t="shared" si="38"/>
        <v>0</v>
      </c>
      <c r="O134" s="407"/>
      <c r="P134" s="1129">
        <f t="shared" si="44"/>
        <v>0</v>
      </c>
      <c r="Q134" s="985"/>
      <c r="R134" s="477"/>
      <c r="S134" s="1176"/>
      <c r="T134" s="85"/>
      <c r="U134" s="923"/>
      <c r="V134" s="25">
        <f t="shared" si="37"/>
        <v>0</v>
      </c>
      <c r="W134" s="8"/>
    </row>
    <row r="135" spans="1:23" s="1113" customFormat="1">
      <c r="A135" s="1127" t="str">
        <f t="shared" si="39"/>
        <v/>
      </c>
      <c r="B135" s="1133"/>
      <c r="C135" s="1128"/>
      <c r="D135" s="1129">
        <f t="shared" si="40"/>
        <v>0</v>
      </c>
      <c r="E135" s="1129"/>
      <c r="F135" s="1129"/>
      <c r="G135" s="25">
        <f t="shared" si="41"/>
        <v>0</v>
      </c>
      <c r="H135" s="1129">
        <f t="shared" si="42"/>
        <v>0</v>
      </c>
      <c r="I135" s="1129">
        <f t="shared" si="43"/>
        <v>0</v>
      </c>
      <c r="J135" s="1129">
        <f t="shared" si="43"/>
        <v>0</v>
      </c>
      <c r="K135" s="1129">
        <f t="shared" si="43"/>
        <v>0</v>
      </c>
      <c r="L135" s="1129"/>
      <c r="M135" s="1129"/>
      <c r="N135" s="25">
        <f t="shared" si="38"/>
        <v>0</v>
      </c>
      <c r="O135" s="407"/>
      <c r="P135" s="1129">
        <f t="shared" si="44"/>
        <v>0</v>
      </c>
      <c r="Q135" s="985"/>
      <c r="R135" s="477"/>
      <c r="S135" s="1176"/>
      <c r="T135" s="85"/>
      <c r="U135" s="923"/>
      <c r="V135" s="25">
        <f t="shared" si="37"/>
        <v>0</v>
      </c>
      <c r="W135" s="8"/>
    </row>
    <row r="136" spans="1:23" s="1113" customFormat="1">
      <c r="A136" s="1127" t="str">
        <f t="shared" si="39"/>
        <v/>
      </c>
      <c r="B136" s="1133"/>
      <c r="C136" s="1128"/>
      <c r="D136" s="1129">
        <f t="shared" si="40"/>
        <v>0</v>
      </c>
      <c r="E136" s="1129"/>
      <c r="F136" s="1129"/>
      <c r="G136" s="25">
        <f t="shared" si="41"/>
        <v>0</v>
      </c>
      <c r="H136" s="1129">
        <f t="shared" si="42"/>
        <v>0</v>
      </c>
      <c r="I136" s="1129">
        <f t="shared" si="43"/>
        <v>0</v>
      </c>
      <c r="J136" s="1129">
        <f t="shared" si="43"/>
        <v>0</v>
      </c>
      <c r="K136" s="1129">
        <f t="shared" si="43"/>
        <v>0</v>
      </c>
      <c r="L136" s="1129"/>
      <c r="M136" s="1129"/>
      <c r="N136" s="25">
        <f t="shared" si="38"/>
        <v>0</v>
      </c>
      <c r="O136" s="407"/>
      <c r="P136" s="1129">
        <f t="shared" si="44"/>
        <v>0</v>
      </c>
      <c r="Q136" s="985"/>
      <c r="R136" s="477"/>
      <c r="S136" s="1176"/>
      <c r="T136" s="85"/>
      <c r="U136" s="923"/>
      <c r="V136" s="25">
        <f t="shared" si="37"/>
        <v>0</v>
      </c>
      <c r="W136" s="8"/>
    </row>
    <row r="137" spans="1:23" s="1113" customFormat="1">
      <c r="A137" s="1127" t="str">
        <f t="shared" si="39"/>
        <v/>
      </c>
      <c r="B137" s="1133"/>
      <c r="C137" s="1128"/>
      <c r="D137" s="1129">
        <f t="shared" si="40"/>
        <v>0</v>
      </c>
      <c r="E137" s="1129"/>
      <c r="F137" s="1129"/>
      <c r="G137" s="25">
        <f t="shared" si="41"/>
        <v>0</v>
      </c>
      <c r="H137" s="1129">
        <f t="shared" si="42"/>
        <v>0</v>
      </c>
      <c r="I137" s="1129">
        <f t="shared" si="43"/>
        <v>0</v>
      </c>
      <c r="J137" s="1129">
        <f t="shared" si="43"/>
        <v>0</v>
      </c>
      <c r="K137" s="1129">
        <f t="shared" si="43"/>
        <v>0</v>
      </c>
      <c r="L137" s="1129"/>
      <c r="M137" s="1129"/>
      <c r="N137" s="25">
        <f t="shared" si="38"/>
        <v>0</v>
      </c>
      <c r="O137" s="407"/>
      <c r="P137" s="1129">
        <f t="shared" si="44"/>
        <v>0</v>
      </c>
      <c r="Q137" s="985"/>
      <c r="R137" s="477"/>
      <c r="S137" s="1176"/>
      <c r="T137" s="85"/>
      <c r="U137" s="923"/>
      <c r="V137" s="25">
        <f t="shared" si="37"/>
        <v>0</v>
      </c>
      <c r="W137" s="8"/>
    </row>
    <row r="138" spans="1:23" s="1113" customFormat="1">
      <c r="A138" s="1127" t="str">
        <f t="shared" si="39"/>
        <v/>
      </c>
      <c r="B138" s="1133"/>
      <c r="C138" s="1128"/>
      <c r="D138" s="1129">
        <f>ROUND(C138*O138,0)</f>
        <v>0</v>
      </c>
      <c r="E138" s="1129"/>
      <c r="F138" s="1129"/>
      <c r="G138" s="25">
        <f t="shared" si="41"/>
        <v>0</v>
      </c>
      <c r="H138" s="1129">
        <f t="shared" si="42"/>
        <v>0</v>
      </c>
      <c r="I138" s="1129">
        <f t="shared" si="43"/>
        <v>0</v>
      </c>
      <c r="J138" s="1129">
        <f t="shared" si="43"/>
        <v>0</v>
      </c>
      <c r="K138" s="1129">
        <f t="shared" si="43"/>
        <v>0</v>
      </c>
      <c r="L138" s="1129"/>
      <c r="M138" s="1129"/>
      <c r="N138" s="25">
        <f t="shared" si="38"/>
        <v>0</v>
      </c>
      <c r="O138" s="407"/>
      <c r="P138" s="1129">
        <f t="shared" si="44"/>
        <v>0</v>
      </c>
      <c r="Q138" s="985"/>
      <c r="R138" s="698"/>
      <c r="S138" s="1176"/>
      <c r="T138" s="85"/>
      <c r="U138" s="923"/>
      <c r="V138" s="25">
        <f t="shared" si="37"/>
        <v>0</v>
      </c>
      <c r="W138" s="8"/>
    </row>
    <row r="139" spans="1:23" s="1113" customFormat="1">
      <c r="A139" s="1127" t="str">
        <f t="shared" si="39"/>
        <v/>
      </c>
      <c r="B139" s="1133"/>
      <c r="C139" s="1128"/>
      <c r="D139" s="1129">
        <f t="shared" si="40"/>
        <v>0</v>
      </c>
      <c r="E139" s="1129"/>
      <c r="F139" s="1129"/>
      <c r="G139" s="25">
        <f t="shared" si="41"/>
        <v>0</v>
      </c>
      <c r="H139" s="1129">
        <f t="shared" si="42"/>
        <v>0</v>
      </c>
      <c r="I139" s="1129">
        <f t="shared" si="43"/>
        <v>0</v>
      </c>
      <c r="J139" s="1129">
        <f t="shared" si="43"/>
        <v>0</v>
      </c>
      <c r="K139" s="1129">
        <f t="shared" si="43"/>
        <v>0</v>
      </c>
      <c r="L139" s="1129"/>
      <c r="M139" s="1129"/>
      <c r="N139" s="25">
        <f t="shared" si="38"/>
        <v>0</v>
      </c>
      <c r="O139" s="407"/>
      <c r="P139" s="1129">
        <f t="shared" si="44"/>
        <v>0</v>
      </c>
      <c r="Q139" s="985"/>
      <c r="R139" s="474"/>
      <c r="S139" s="1176"/>
      <c r="T139" s="85"/>
      <c r="U139" s="923"/>
      <c r="V139" s="25">
        <f t="shared" si="37"/>
        <v>0</v>
      </c>
      <c r="W139" s="8"/>
    </row>
    <row r="140" spans="1:23" s="1113" customFormat="1">
      <c r="A140" s="1127" t="str">
        <f t="shared" si="39"/>
        <v/>
      </c>
      <c r="B140" s="1133"/>
      <c r="C140" s="1128"/>
      <c r="D140" s="1129">
        <f t="shared" si="40"/>
        <v>0</v>
      </c>
      <c r="E140" s="1129"/>
      <c r="F140" s="1129"/>
      <c r="G140" s="25">
        <f t="shared" si="41"/>
        <v>0</v>
      </c>
      <c r="H140" s="1129">
        <f t="shared" si="42"/>
        <v>0</v>
      </c>
      <c r="I140" s="1129">
        <f t="shared" si="43"/>
        <v>0</v>
      </c>
      <c r="J140" s="1129">
        <f t="shared" si="43"/>
        <v>0</v>
      </c>
      <c r="K140" s="1129">
        <f t="shared" si="43"/>
        <v>0</v>
      </c>
      <c r="L140" s="1129"/>
      <c r="M140" s="1129"/>
      <c r="N140" s="25">
        <f t="shared" si="38"/>
        <v>0</v>
      </c>
      <c r="O140" s="407"/>
      <c r="P140" s="1129">
        <f t="shared" si="44"/>
        <v>0</v>
      </c>
      <c r="Q140" s="985"/>
      <c r="R140" s="474"/>
      <c r="S140" s="701"/>
      <c r="T140" s="85"/>
      <c r="U140" s="85"/>
      <c r="V140" s="25"/>
      <c r="W140" s="8"/>
    </row>
    <row r="141" spans="1:23" s="1113" customFormat="1">
      <c r="A141" s="1127" t="str">
        <f t="shared" si="39"/>
        <v/>
      </c>
      <c r="B141" s="1133"/>
      <c r="C141" s="1128"/>
      <c r="D141" s="1129">
        <f t="shared" si="40"/>
        <v>0</v>
      </c>
      <c r="E141" s="1129"/>
      <c r="F141" s="1129"/>
      <c r="G141" s="25">
        <f t="shared" si="41"/>
        <v>0</v>
      </c>
      <c r="H141" s="1129">
        <f t="shared" si="42"/>
        <v>0</v>
      </c>
      <c r="I141" s="1129">
        <f t="shared" si="43"/>
        <v>0</v>
      </c>
      <c r="J141" s="1129">
        <f t="shared" si="43"/>
        <v>0</v>
      </c>
      <c r="K141" s="1129">
        <f t="shared" si="43"/>
        <v>0</v>
      </c>
      <c r="L141" s="1129"/>
      <c r="M141" s="1129"/>
      <c r="N141" s="25">
        <f t="shared" si="38"/>
        <v>0</v>
      </c>
      <c r="O141" s="407"/>
      <c r="P141" s="1129">
        <f t="shared" si="44"/>
        <v>0</v>
      </c>
      <c r="Q141" s="985"/>
      <c r="R141" s="1166"/>
      <c r="S141" s="1167"/>
      <c r="T141" s="1168"/>
      <c r="U141" s="1179"/>
      <c r="V141" s="883">
        <f>SUM(V130:V140)</f>
        <v>0</v>
      </c>
      <c r="W141" s="76">
        <f>SUM(W130:W140)</f>
        <v>0</v>
      </c>
    </row>
    <row r="142" spans="1:23" s="1113" customFormat="1">
      <c r="A142" s="1127" t="str">
        <f t="shared" si="39"/>
        <v/>
      </c>
      <c r="B142" s="1133"/>
      <c r="C142" s="1128"/>
      <c r="D142" s="1129">
        <f t="shared" si="40"/>
        <v>0</v>
      </c>
      <c r="E142" s="1129"/>
      <c r="F142" s="1129"/>
      <c r="G142" s="25">
        <f t="shared" si="41"/>
        <v>0</v>
      </c>
      <c r="H142" s="1129">
        <f t="shared" si="42"/>
        <v>0</v>
      </c>
      <c r="I142" s="1129">
        <f t="shared" si="43"/>
        <v>0</v>
      </c>
      <c r="J142" s="1129">
        <f t="shared" si="43"/>
        <v>0</v>
      </c>
      <c r="K142" s="1129">
        <f t="shared" si="43"/>
        <v>0</v>
      </c>
      <c r="L142" s="1129"/>
      <c r="M142" s="1129"/>
      <c r="N142" s="25">
        <f t="shared" si="38"/>
        <v>0</v>
      </c>
      <c r="O142" s="407"/>
      <c r="P142" s="1129">
        <f t="shared" si="44"/>
        <v>0</v>
      </c>
      <c r="Q142" s="985"/>
      <c r="R142" s="1169"/>
      <c r="S142" s="701"/>
      <c r="T142" s="85"/>
      <c r="U142" s="85"/>
      <c r="V142" s="25">
        <f t="shared" ref="V142:V153" si="45">ROUND(T142*U142,0)</f>
        <v>0</v>
      </c>
      <c r="W142" s="25"/>
    </row>
    <row r="143" spans="1:23" s="1113" customFormat="1">
      <c r="A143" s="1127" t="str">
        <f t="shared" si="39"/>
        <v/>
      </c>
      <c r="B143" s="1133"/>
      <c r="C143" s="1128"/>
      <c r="D143" s="1129">
        <f t="shared" si="40"/>
        <v>0</v>
      </c>
      <c r="E143" s="1129"/>
      <c r="F143" s="1129"/>
      <c r="G143" s="25">
        <f t="shared" si="41"/>
        <v>0</v>
      </c>
      <c r="H143" s="1129">
        <f t="shared" si="42"/>
        <v>0</v>
      </c>
      <c r="I143" s="1129">
        <f t="shared" si="43"/>
        <v>0</v>
      </c>
      <c r="J143" s="1129">
        <f t="shared" si="43"/>
        <v>0</v>
      </c>
      <c r="K143" s="1129">
        <f t="shared" si="43"/>
        <v>0</v>
      </c>
      <c r="L143" s="1129"/>
      <c r="M143" s="1129"/>
      <c r="N143" s="25">
        <f t="shared" si="38"/>
        <v>0</v>
      </c>
      <c r="O143" s="407"/>
      <c r="P143" s="1129">
        <f t="shared" si="44"/>
        <v>0</v>
      </c>
      <c r="Q143" s="985"/>
      <c r="R143" s="698"/>
      <c r="S143" s="701"/>
      <c r="T143" s="923"/>
      <c r="U143" s="923"/>
      <c r="V143" s="25">
        <f t="shared" si="45"/>
        <v>0</v>
      </c>
      <c r="W143" s="8"/>
    </row>
    <row r="144" spans="1:23" s="1113" customFormat="1">
      <c r="A144" s="1127" t="str">
        <f t="shared" si="39"/>
        <v/>
      </c>
      <c r="B144" s="1133"/>
      <c r="C144" s="1128"/>
      <c r="D144" s="1129">
        <f t="shared" si="40"/>
        <v>0</v>
      </c>
      <c r="E144" s="1129"/>
      <c r="F144" s="1129"/>
      <c r="G144" s="25">
        <f t="shared" si="41"/>
        <v>0</v>
      </c>
      <c r="H144" s="1129">
        <f t="shared" si="42"/>
        <v>0</v>
      </c>
      <c r="I144" s="1129">
        <f t="shared" si="43"/>
        <v>0</v>
      </c>
      <c r="J144" s="1129">
        <f t="shared" si="43"/>
        <v>0</v>
      </c>
      <c r="K144" s="1129">
        <f t="shared" si="43"/>
        <v>0</v>
      </c>
      <c r="L144" s="1129"/>
      <c r="M144" s="1129"/>
      <c r="N144" s="25">
        <f t="shared" si="38"/>
        <v>0</v>
      </c>
      <c r="O144" s="407"/>
      <c r="P144" s="1129">
        <f t="shared" si="44"/>
        <v>0</v>
      </c>
      <c r="Q144" s="985"/>
      <c r="R144" s="698"/>
      <c r="S144" s="1176"/>
      <c r="T144" s="923"/>
      <c r="U144" s="923"/>
      <c r="V144" s="25">
        <f t="shared" si="45"/>
        <v>0</v>
      </c>
      <c r="W144" s="8"/>
    </row>
    <row r="145" spans="1:23" s="1113" customFormat="1">
      <c r="A145" s="1127" t="str">
        <f>IF(B145&lt;&gt;"",#REF!+1,"")</f>
        <v/>
      </c>
      <c r="B145" s="1134"/>
      <c r="C145" s="1135"/>
      <c r="D145" s="1137"/>
      <c r="E145" s="1137"/>
      <c r="F145" s="1137"/>
      <c r="G145" s="1138"/>
      <c r="H145" s="1139"/>
      <c r="I145" s="1137"/>
      <c r="J145" s="8"/>
      <c r="K145" s="1137"/>
      <c r="L145" s="1139"/>
      <c r="M145" s="1137"/>
      <c r="N145" s="25"/>
      <c r="O145" s="1140"/>
      <c r="P145" s="1137"/>
      <c r="Q145" s="985"/>
      <c r="R145" s="698"/>
      <c r="S145" s="1176"/>
      <c r="T145" s="923"/>
      <c r="U145" s="923"/>
      <c r="V145" s="25">
        <f t="shared" si="45"/>
        <v>0</v>
      </c>
      <c r="W145" s="8"/>
    </row>
    <row r="146" spans="1:23" s="1113" customFormat="1">
      <c r="A146" s="1142"/>
      <c r="B146" s="1143" t="s">
        <v>541</v>
      </c>
      <c r="C146" s="1144"/>
      <c r="D146" s="883">
        <f>SUM(D130:D145)</f>
        <v>0</v>
      </c>
      <c r="E146" s="883">
        <f>SUM(E130:E145)</f>
        <v>0</v>
      </c>
      <c r="F146" s="883"/>
      <c r="G146" s="883">
        <f>SUM(G130:G144)</f>
        <v>0</v>
      </c>
      <c r="H146" s="883"/>
      <c r="I146" s="883"/>
      <c r="J146" s="883"/>
      <c r="K146" s="883"/>
      <c r="L146" s="883"/>
      <c r="M146" s="883"/>
      <c r="N146" s="883">
        <f>ROUND(SUM(N130:N145),0)</f>
        <v>0</v>
      </c>
      <c r="O146" s="883">
        <f>ROUND(SUM(O130:O145),0)</f>
        <v>0</v>
      </c>
      <c r="P146" s="883"/>
      <c r="Q146" s="985"/>
      <c r="R146" s="481"/>
      <c r="S146" s="1176"/>
      <c r="T146" s="85"/>
      <c r="U146" s="85"/>
      <c r="V146" s="25">
        <f t="shared" si="45"/>
        <v>0</v>
      </c>
      <c r="W146" s="8"/>
    </row>
    <row r="147" spans="1:23" s="1113" customFormat="1">
      <c r="A147" s="1145"/>
      <c r="B147" s="1146"/>
      <c r="C147" s="1147"/>
      <c r="D147" s="1121"/>
      <c r="E147" s="1121"/>
      <c r="F147" s="1121"/>
      <c r="G147" s="1121"/>
      <c r="H147" s="1121"/>
      <c r="I147" s="1121"/>
      <c r="J147" s="1121"/>
      <c r="K147" s="1121"/>
      <c r="L147" s="1121"/>
      <c r="M147" s="1121"/>
      <c r="N147" s="1121"/>
      <c r="O147" s="1121"/>
      <c r="P147" s="1121"/>
      <c r="Q147" s="985"/>
      <c r="R147" s="79"/>
      <c r="S147" s="1176"/>
      <c r="T147" s="85"/>
      <c r="U147" s="85"/>
      <c r="V147" s="25">
        <f>ROUND(T147*U147,0)</f>
        <v>0</v>
      </c>
      <c r="W147" s="8"/>
    </row>
    <row r="148" spans="1:23" s="1113" customFormat="1">
      <c r="A148" s="1145"/>
      <c r="B148" s="1146"/>
      <c r="C148" s="1147"/>
      <c r="D148" s="1121"/>
      <c r="E148" s="1121"/>
      <c r="F148" s="1121"/>
      <c r="G148" s="1121"/>
      <c r="H148" s="1121"/>
      <c r="I148" s="1121"/>
      <c r="J148" s="1121"/>
      <c r="K148" s="1121"/>
      <c r="L148" s="1121"/>
      <c r="M148" s="1121"/>
      <c r="N148" s="1121"/>
      <c r="O148" s="1121"/>
      <c r="P148" s="1121"/>
      <c r="Q148" s="985"/>
      <c r="R148" s="79"/>
      <c r="S148" s="1176"/>
      <c r="T148" s="85"/>
      <c r="U148" s="85"/>
      <c r="V148" s="25">
        <f>ROUND(T148*U148,0)</f>
        <v>0</v>
      </c>
      <c r="W148" s="8"/>
    </row>
    <row r="149" spans="1:23" s="1113" customFormat="1">
      <c r="G149" s="1152"/>
      <c r="Q149" s="985"/>
      <c r="R149" s="481"/>
      <c r="S149" s="701"/>
      <c r="T149" s="923"/>
      <c r="U149" s="923"/>
      <c r="V149" s="25">
        <f t="shared" si="45"/>
        <v>0</v>
      </c>
      <c r="W149" s="8"/>
    </row>
    <row r="150" spans="1:23" s="1113" customFormat="1">
      <c r="Q150" s="1114"/>
      <c r="R150" s="1149"/>
      <c r="S150" s="701"/>
      <c r="T150" s="923"/>
      <c r="U150" s="923"/>
      <c r="V150" s="25">
        <f t="shared" si="45"/>
        <v>0</v>
      </c>
      <c r="W150" s="8"/>
    </row>
    <row r="151" spans="1:23" s="1113" customFormat="1">
      <c r="Q151" s="1114"/>
      <c r="R151" s="805"/>
      <c r="S151" s="701"/>
      <c r="T151" s="923"/>
      <c r="U151" s="923"/>
      <c r="V151" s="25">
        <f t="shared" si="45"/>
        <v>0</v>
      </c>
      <c r="W151" s="8"/>
    </row>
    <row r="152" spans="1:23" s="1113" customFormat="1">
      <c r="Q152" s="1114"/>
      <c r="R152" s="805"/>
      <c r="S152" s="701"/>
      <c r="T152" s="923"/>
      <c r="U152" s="923"/>
      <c r="V152" s="25">
        <f t="shared" si="45"/>
        <v>0</v>
      </c>
      <c r="W152" s="8"/>
    </row>
    <row r="153" spans="1:23" s="1113" customFormat="1" ht="12.75" customHeight="1">
      <c r="A153" s="1126"/>
      <c r="B153" s="1126"/>
      <c r="C153" s="1182"/>
      <c r="D153" s="1126"/>
      <c r="E153" s="1126"/>
      <c r="F153" s="1126"/>
      <c r="G153" s="1183"/>
      <c r="H153" s="1126"/>
      <c r="I153" s="1126"/>
      <c r="J153" s="1126"/>
      <c r="K153" s="1126"/>
      <c r="L153" s="1126"/>
      <c r="M153" s="1126"/>
      <c r="N153" s="1126"/>
      <c r="O153" s="1157"/>
      <c r="P153" s="1126"/>
      <c r="Q153" s="1119"/>
      <c r="R153" s="805"/>
      <c r="S153" s="701"/>
      <c r="T153" s="923"/>
      <c r="U153" s="923"/>
      <c r="V153" s="25">
        <f t="shared" si="45"/>
        <v>0</v>
      </c>
      <c r="W153" s="8"/>
    </row>
    <row r="154" spans="1:23" s="1113" customFormat="1" ht="12.75" customHeight="1">
      <c r="A154" s="1126"/>
      <c r="B154" s="1126"/>
      <c r="C154" s="1182"/>
      <c r="D154" s="1126"/>
      <c r="E154" s="1126"/>
      <c r="F154" s="1126"/>
      <c r="G154" s="1126"/>
      <c r="H154" s="1126"/>
      <c r="I154" s="1126"/>
      <c r="J154" s="1126"/>
      <c r="K154" s="1126"/>
      <c r="L154" s="1126"/>
      <c r="M154" s="1126"/>
      <c r="N154" s="1126"/>
      <c r="O154" s="1157"/>
      <c r="P154" s="1126"/>
      <c r="Q154" s="1119"/>
      <c r="R154" s="467"/>
      <c r="S154" s="1120"/>
      <c r="T154" s="467"/>
      <c r="U154" s="467"/>
    </row>
    <row r="155" spans="1:23" s="1113" customFormat="1" ht="18" customHeight="1">
      <c r="A155" s="1116" t="s">
        <v>524</v>
      </c>
      <c r="B155" s="1116"/>
      <c r="C155" s="1184"/>
      <c r="D155" s="1118"/>
      <c r="E155" s="1118"/>
      <c r="F155" s="1118"/>
      <c r="G155" s="467"/>
      <c r="H155" s="467"/>
      <c r="I155" s="467"/>
      <c r="J155" s="467"/>
      <c r="K155" s="467"/>
      <c r="L155" s="467"/>
      <c r="M155" s="467"/>
      <c r="N155" s="467"/>
      <c r="O155" s="969"/>
      <c r="P155" s="467"/>
      <c r="Q155" s="1119"/>
      <c r="R155" s="467"/>
      <c r="S155" s="1120"/>
      <c r="T155" s="467"/>
      <c r="U155" s="467"/>
      <c r="V155" s="1152">
        <f>SUM(V142:V153)</f>
        <v>0</v>
      </c>
    </row>
    <row r="156" spans="1:23" s="1113" customFormat="1" ht="18.75" customHeight="1">
      <c r="A156" s="1121" t="s">
        <v>547</v>
      </c>
      <c r="B156" s="1121"/>
      <c r="C156" s="1121"/>
      <c r="D156" s="1121"/>
      <c r="E156" s="1121"/>
      <c r="F156" s="1121"/>
      <c r="G156" s="1121"/>
      <c r="H156" s="1121"/>
      <c r="I156" s="1121"/>
      <c r="J156" s="1121"/>
      <c r="K156" s="1121"/>
      <c r="L156" s="1121"/>
      <c r="M156" s="1121"/>
      <c r="N156" s="1121"/>
      <c r="O156" s="1121"/>
      <c r="P156" s="1121"/>
      <c r="Q156" s="1119"/>
      <c r="R156" s="467"/>
      <c r="S156" s="1120"/>
      <c r="T156" s="467"/>
      <c r="U156" s="467"/>
    </row>
    <row r="157" spans="1:23" s="1113" customFormat="1" ht="12.75" customHeight="1">
      <c r="A157" s="1122"/>
      <c r="B157" s="1122"/>
      <c r="C157" s="1123"/>
      <c r="D157" s="1122"/>
      <c r="E157" s="1122"/>
      <c r="F157" s="1122"/>
      <c r="G157" s="1122"/>
      <c r="H157" s="1122"/>
      <c r="I157" s="1122"/>
      <c r="J157" s="1122"/>
      <c r="K157" s="1122"/>
      <c r="L157" s="1122"/>
      <c r="M157" s="1122"/>
      <c r="N157" s="1122"/>
      <c r="O157" s="1124"/>
      <c r="P157" s="1122"/>
      <c r="Q157" s="1119"/>
      <c r="R157" s="467"/>
      <c r="S157" s="1120"/>
      <c r="T157" s="467"/>
      <c r="U157" s="467"/>
    </row>
    <row r="158" spans="1:23" s="695" customFormat="1" ht="30.75" customHeight="1">
      <c r="A158" s="689" t="s">
        <v>37</v>
      </c>
      <c r="B158" s="689" t="s">
        <v>526</v>
      </c>
      <c r="C158" s="690" t="s">
        <v>527</v>
      </c>
      <c r="D158" s="691" t="s">
        <v>528</v>
      </c>
      <c r="E158" s="691" t="s">
        <v>529</v>
      </c>
      <c r="F158" s="691" t="s">
        <v>530</v>
      </c>
      <c r="G158" s="691" t="s">
        <v>531</v>
      </c>
      <c r="H158" s="691" t="s">
        <v>532</v>
      </c>
      <c r="I158" s="691" t="s">
        <v>533</v>
      </c>
      <c r="J158" s="691" t="s">
        <v>534</v>
      </c>
      <c r="K158" s="692" t="s">
        <v>535</v>
      </c>
      <c r="L158" s="691" t="s">
        <v>536</v>
      </c>
      <c r="M158" s="692" t="s">
        <v>537</v>
      </c>
      <c r="N158" s="691" t="s">
        <v>538</v>
      </c>
      <c r="O158" s="693" t="s">
        <v>529</v>
      </c>
      <c r="P158" s="691" t="s">
        <v>539</v>
      </c>
      <c r="Q158" s="694"/>
      <c r="R158" s="689" t="s">
        <v>526</v>
      </c>
      <c r="S158" s="691" t="s">
        <v>493</v>
      </c>
      <c r="T158" s="691" t="s">
        <v>335</v>
      </c>
      <c r="U158" s="691" t="s">
        <v>530</v>
      </c>
      <c r="V158" s="691" t="s">
        <v>540</v>
      </c>
      <c r="W158" s="689" t="s">
        <v>540</v>
      </c>
    </row>
    <row r="159" spans="1:23" s="1113" customFormat="1">
      <c r="A159" s="1127" t="str">
        <f>IF(B159&lt;&gt;"",ROW()-(ROW()-1),"")</f>
        <v/>
      </c>
      <c r="B159" s="1133"/>
      <c r="C159" s="1128"/>
      <c r="D159" s="1129">
        <f t="shared" ref="D159:D167" si="46">ROUND(C159*O159,0)</f>
        <v>0</v>
      </c>
      <c r="E159" s="1129"/>
      <c r="F159" s="1129"/>
      <c r="G159" s="25">
        <f>D159*F159</f>
        <v>0</v>
      </c>
      <c r="H159" s="1129">
        <f t="shared" ref="H159:H167" si="47">IF($D$168&lt;&gt;0,H$168/($D$168+$E$168/5)*($D159+$E159/5),0)</f>
        <v>0</v>
      </c>
      <c r="I159" s="1129">
        <f t="shared" ref="I159:K161" si="48">IF($D$168&lt;&gt;0,I$168/$D$168*$D159,0)</f>
        <v>0</v>
      </c>
      <c r="J159" s="1129">
        <f t="shared" si="48"/>
        <v>0</v>
      </c>
      <c r="K159" s="1129">
        <f t="shared" si="48"/>
        <v>0</v>
      </c>
      <c r="L159" s="25"/>
      <c r="M159" s="1129"/>
      <c r="N159" s="25">
        <f t="shared" ref="N159:N167" si="49">ROUND(SUM(G159:M159),0)</f>
        <v>0</v>
      </c>
      <c r="O159" s="1129"/>
      <c r="P159" s="1129">
        <f t="shared" ref="P159:P167" si="50">IF(N159&lt;&gt;0,N159/O159,0)</f>
        <v>0</v>
      </c>
      <c r="Q159" s="985"/>
      <c r="R159" s="469"/>
      <c r="S159" s="1176"/>
      <c r="T159" s="85"/>
      <c r="U159" s="1130"/>
      <c r="V159" s="25">
        <f t="shared" ref="V159:V166" si="51">ROUND(T159*U159,0)</f>
        <v>0</v>
      </c>
      <c r="W159" s="25"/>
    </row>
    <row r="160" spans="1:23" s="1113" customFormat="1">
      <c r="A160" s="1127" t="str">
        <f t="shared" ref="A160:A166" si="52">IF(B160&lt;&gt;"",A159+1,"")</f>
        <v/>
      </c>
      <c r="B160" s="474"/>
      <c r="C160" s="1128"/>
      <c r="D160" s="1129">
        <f t="shared" si="46"/>
        <v>0</v>
      </c>
      <c r="E160" s="1129"/>
      <c r="F160" s="1129"/>
      <c r="G160" s="25">
        <f>D160*F160</f>
        <v>0</v>
      </c>
      <c r="H160" s="1129">
        <f t="shared" si="47"/>
        <v>0</v>
      </c>
      <c r="I160" s="1129">
        <f t="shared" si="48"/>
        <v>0</v>
      </c>
      <c r="J160" s="1129">
        <f t="shared" si="48"/>
        <v>0</v>
      </c>
      <c r="K160" s="1129">
        <f t="shared" si="48"/>
        <v>0</v>
      </c>
      <c r="L160" s="1129"/>
      <c r="M160" s="1129"/>
      <c r="N160" s="25">
        <f t="shared" si="49"/>
        <v>0</v>
      </c>
      <c r="O160" s="407"/>
      <c r="P160" s="1129">
        <f t="shared" si="50"/>
        <v>0</v>
      </c>
      <c r="Q160" s="985"/>
      <c r="R160" s="474"/>
      <c r="S160" s="1176"/>
      <c r="T160" s="85"/>
      <c r="U160" s="923"/>
      <c r="V160" s="25">
        <f t="shared" si="51"/>
        <v>0</v>
      </c>
      <c r="W160" s="8"/>
    </row>
    <row r="161" spans="1:23" s="1113" customFormat="1">
      <c r="A161" s="1127" t="str">
        <f t="shared" si="52"/>
        <v/>
      </c>
      <c r="B161" s="1133"/>
      <c r="C161" s="1128"/>
      <c r="D161" s="1129">
        <f t="shared" si="46"/>
        <v>0</v>
      </c>
      <c r="E161" s="1129"/>
      <c r="F161" s="1129"/>
      <c r="G161" s="25">
        <f>D161*F161</f>
        <v>0</v>
      </c>
      <c r="H161" s="1129">
        <f t="shared" si="47"/>
        <v>0</v>
      </c>
      <c r="I161" s="1129">
        <f t="shared" si="48"/>
        <v>0</v>
      </c>
      <c r="J161" s="1129">
        <f t="shared" si="48"/>
        <v>0</v>
      </c>
      <c r="K161" s="1129">
        <f t="shared" si="48"/>
        <v>0</v>
      </c>
      <c r="L161" s="1129"/>
      <c r="M161" s="1129"/>
      <c r="N161" s="25">
        <f t="shared" si="49"/>
        <v>0</v>
      </c>
      <c r="O161" s="407"/>
      <c r="P161" s="1129">
        <f t="shared" si="50"/>
        <v>0</v>
      </c>
      <c r="Q161" s="985"/>
      <c r="R161" s="474"/>
      <c r="S161" s="1176"/>
      <c r="T161" s="85"/>
      <c r="U161" s="923"/>
      <c r="V161" s="25">
        <f t="shared" si="51"/>
        <v>0</v>
      </c>
      <c r="W161" s="8"/>
    </row>
    <row r="162" spans="1:23" s="1113" customFormat="1">
      <c r="A162" s="1127" t="str">
        <f t="shared" si="52"/>
        <v/>
      </c>
      <c r="B162" s="469"/>
      <c r="C162" s="1128"/>
      <c r="D162" s="1129">
        <f t="shared" si="46"/>
        <v>0</v>
      </c>
      <c r="E162" s="1129"/>
      <c r="F162" s="1129"/>
      <c r="G162" s="25">
        <f>(D162+E162)*F162</f>
        <v>0</v>
      </c>
      <c r="H162" s="1129">
        <f t="shared" si="47"/>
        <v>0</v>
      </c>
      <c r="I162" s="1129">
        <f t="shared" ref="I162:K166" si="53">IF($D$168&lt;&gt;0,I$168/$D$168*$D162,0)</f>
        <v>0</v>
      </c>
      <c r="J162" s="1129">
        <f t="shared" si="53"/>
        <v>0</v>
      </c>
      <c r="K162" s="1129">
        <f t="shared" si="53"/>
        <v>0</v>
      </c>
      <c r="L162" s="25"/>
      <c r="M162" s="1129"/>
      <c r="N162" s="25">
        <f t="shared" si="49"/>
        <v>0</v>
      </c>
      <c r="O162" s="1129"/>
      <c r="P162" s="1129">
        <f t="shared" si="50"/>
        <v>0</v>
      </c>
      <c r="Q162" s="985"/>
      <c r="R162" s="474"/>
      <c r="S162" s="1176"/>
      <c r="T162" s="1149"/>
      <c r="U162" s="923"/>
      <c r="V162" s="25">
        <f t="shared" si="51"/>
        <v>0</v>
      </c>
      <c r="W162" s="8"/>
    </row>
    <row r="163" spans="1:23" s="1113" customFormat="1">
      <c r="A163" s="1127" t="str">
        <f t="shared" si="52"/>
        <v/>
      </c>
      <c r="B163" s="1181"/>
      <c r="C163" s="1128"/>
      <c r="D163" s="1129">
        <f t="shared" si="46"/>
        <v>0</v>
      </c>
      <c r="E163" s="1129"/>
      <c r="F163" s="1129"/>
      <c r="G163" s="25">
        <f>(D163+E163)*F163</f>
        <v>0</v>
      </c>
      <c r="H163" s="1129">
        <f t="shared" si="47"/>
        <v>0</v>
      </c>
      <c r="I163" s="1129">
        <f t="shared" si="53"/>
        <v>0</v>
      </c>
      <c r="J163" s="1129">
        <f t="shared" si="53"/>
        <v>0</v>
      </c>
      <c r="K163" s="1129">
        <f t="shared" si="53"/>
        <v>0</v>
      </c>
      <c r="L163" s="25"/>
      <c r="M163" s="1129"/>
      <c r="N163" s="25">
        <f t="shared" si="49"/>
        <v>0</v>
      </c>
      <c r="O163" s="1129"/>
      <c r="P163" s="1129">
        <f t="shared" si="50"/>
        <v>0</v>
      </c>
      <c r="Q163" s="985"/>
      <c r="R163" s="477"/>
      <c r="S163" s="1176"/>
      <c r="T163" s="85"/>
      <c r="U163" s="923"/>
      <c r="V163" s="25">
        <f t="shared" si="51"/>
        <v>0</v>
      </c>
      <c r="W163" s="8"/>
    </row>
    <row r="164" spans="1:23" s="1113" customFormat="1">
      <c r="A164" s="1127" t="str">
        <f t="shared" si="52"/>
        <v/>
      </c>
      <c r="B164" s="66"/>
      <c r="C164" s="1128"/>
      <c r="D164" s="1129">
        <f t="shared" si="46"/>
        <v>0</v>
      </c>
      <c r="E164" s="1129"/>
      <c r="F164" s="1129"/>
      <c r="G164" s="25">
        <f>(D164+E164)*F164</f>
        <v>0</v>
      </c>
      <c r="H164" s="1129">
        <f t="shared" si="47"/>
        <v>0</v>
      </c>
      <c r="I164" s="1129">
        <f t="shared" si="53"/>
        <v>0</v>
      </c>
      <c r="J164" s="1129">
        <f t="shared" si="53"/>
        <v>0</v>
      </c>
      <c r="K164" s="1129">
        <f t="shared" si="53"/>
        <v>0</v>
      </c>
      <c r="L164" s="25"/>
      <c r="M164" s="1129"/>
      <c r="N164" s="25">
        <f t="shared" si="49"/>
        <v>0</v>
      </c>
      <c r="O164" s="1129"/>
      <c r="P164" s="1129">
        <f t="shared" si="50"/>
        <v>0</v>
      </c>
      <c r="Q164" s="985"/>
      <c r="R164" s="477"/>
      <c r="S164" s="1176"/>
      <c r="T164" s="85"/>
      <c r="U164" s="923"/>
      <c r="V164" s="25">
        <f t="shared" si="51"/>
        <v>0</v>
      </c>
      <c r="W164" s="8"/>
    </row>
    <row r="165" spans="1:23" s="1116" customFormat="1">
      <c r="A165" s="1127" t="str">
        <f t="shared" si="52"/>
        <v/>
      </c>
      <c r="B165" s="1133"/>
      <c r="C165" s="1128"/>
      <c r="D165" s="1129">
        <f t="shared" si="46"/>
        <v>0</v>
      </c>
      <c r="E165" s="1129"/>
      <c r="F165" s="1129"/>
      <c r="G165" s="25">
        <f>(D165+E165)*F165</f>
        <v>0</v>
      </c>
      <c r="H165" s="1129">
        <f t="shared" si="47"/>
        <v>0</v>
      </c>
      <c r="I165" s="1129">
        <f t="shared" si="53"/>
        <v>0</v>
      </c>
      <c r="J165" s="1129">
        <f t="shared" si="53"/>
        <v>0</v>
      </c>
      <c r="K165" s="1129">
        <f t="shared" si="53"/>
        <v>0</v>
      </c>
      <c r="L165" s="25"/>
      <c r="M165" s="1129"/>
      <c r="N165" s="25">
        <f t="shared" si="49"/>
        <v>0</v>
      </c>
      <c r="O165" s="1129"/>
      <c r="P165" s="1129">
        <f t="shared" si="50"/>
        <v>0</v>
      </c>
      <c r="Q165" s="985"/>
      <c r="R165" s="477"/>
      <c r="S165" s="1176"/>
      <c r="T165" s="1149"/>
      <c r="U165" s="923"/>
      <c r="V165" s="25">
        <f t="shared" si="51"/>
        <v>0</v>
      </c>
      <c r="W165" s="8"/>
    </row>
    <row r="166" spans="1:23" s="1113" customFormat="1">
      <c r="A166" s="1127" t="str">
        <f t="shared" si="52"/>
        <v/>
      </c>
      <c r="B166" s="1133"/>
      <c r="C166" s="1128"/>
      <c r="D166" s="1129">
        <f t="shared" si="46"/>
        <v>0</v>
      </c>
      <c r="E166" s="1129"/>
      <c r="F166" s="1129"/>
      <c r="G166" s="25">
        <f>(D166+E166)*F166</f>
        <v>0</v>
      </c>
      <c r="H166" s="1129">
        <f t="shared" si="47"/>
        <v>0</v>
      </c>
      <c r="I166" s="1129">
        <f t="shared" si="53"/>
        <v>0</v>
      </c>
      <c r="J166" s="1129">
        <f t="shared" si="53"/>
        <v>0</v>
      </c>
      <c r="K166" s="1129">
        <f t="shared" si="53"/>
        <v>0</v>
      </c>
      <c r="L166" s="25"/>
      <c r="M166" s="1129"/>
      <c r="N166" s="25">
        <f t="shared" si="49"/>
        <v>0</v>
      </c>
      <c r="O166" s="1129"/>
      <c r="P166" s="1129">
        <f t="shared" si="50"/>
        <v>0</v>
      </c>
      <c r="Q166" s="985"/>
      <c r="R166" s="477"/>
      <c r="S166" s="1176"/>
      <c r="T166" s="1149"/>
      <c r="U166" s="923"/>
      <c r="V166" s="25">
        <f t="shared" si="51"/>
        <v>0</v>
      </c>
      <c r="W166" s="8"/>
    </row>
    <row r="167" spans="1:23" s="1113" customFormat="1">
      <c r="A167" s="1127" t="str">
        <f>IF(B167&lt;&gt;"",#REF!+1,"")</f>
        <v/>
      </c>
      <c r="B167" s="1133"/>
      <c r="C167" s="1128"/>
      <c r="D167" s="1129">
        <f t="shared" si="46"/>
        <v>0</v>
      </c>
      <c r="E167" s="1129"/>
      <c r="F167" s="1129"/>
      <c r="G167" s="25">
        <f>D167*F167</f>
        <v>0</v>
      </c>
      <c r="H167" s="1129">
        <f t="shared" si="47"/>
        <v>0</v>
      </c>
      <c r="I167" s="1129">
        <f>IF($D$168&lt;&gt;0,I$168/$D$168*$D167,0)</f>
        <v>0</v>
      </c>
      <c r="J167" s="1129">
        <f>IF($D$168&lt;&gt;0,J$168/$D$168*$D167,0)</f>
        <v>0</v>
      </c>
      <c r="K167" s="1129">
        <f>IF($D$168&lt;&gt;0,K$168/$D$168*$D167,0)</f>
        <v>0</v>
      </c>
      <c r="L167" s="1129"/>
      <c r="M167" s="1129"/>
      <c r="N167" s="25">
        <f t="shared" si="49"/>
        <v>0</v>
      </c>
      <c r="O167" s="407"/>
      <c r="P167" s="1129">
        <f t="shared" si="50"/>
        <v>0</v>
      </c>
      <c r="Q167" s="985"/>
      <c r="R167" s="474"/>
      <c r="S167" s="701"/>
      <c r="T167" s="85"/>
      <c r="U167" s="85"/>
      <c r="V167" s="8"/>
      <c r="W167" s="8"/>
    </row>
    <row r="168" spans="1:23" s="1113" customFormat="1">
      <c r="A168" s="1142"/>
      <c r="B168" s="1143" t="s">
        <v>541</v>
      </c>
      <c r="C168" s="1144"/>
      <c r="D168" s="883">
        <f>SUM(D159:D167)</f>
        <v>0</v>
      </c>
      <c r="E168" s="883"/>
      <c r="F168" s="883"/>
      <c r="G168" s="883">
        <f>SUM(G159:G167)</f>
        <v>0</v>
      </c>
      <c r="H168" s="883"/>
      <c r="I168" s="883"/>
      <c r="J168" s="883"/>
      <c r="K168" s="883"/>
      <c r="L168" s="883">
        <f>ROUND(SUM(L159:L167),0)</f>
        <v>0</v>
      </c>
      <c r="M168" s="883">
        <f>ROUND(SUM(M159:M167),0)</f>
        <v>0</v>
      </c>
      <c r="N168" s="883">
        <f>ROUND(SUM(N159:N167),0)</f>
        <v>0</v>
      </c>
      <c r="O168" s="883">
        <f>ROUND(SUM(O159:O167),0)</f>
        <v>0</v>
      </c>
      <c r="P168" s="883"/>
      <c r="Q168" s="1114"/>
      <c r="R168" s="1166"/>
      <c r="S168" s="1167"/>
      <c r="T168" s="1168"/>
      <c r="U168" s="1179"/>
      <c r="V168" s="883">
        <f>SUM(V159:V167)</f>
        <v>0</v>
      </c>
      <c r="W168" s="76">
        <f>SUM(W159:W167)</f>
        <v>0</v>
      </c>
    </row>
    <row r="169" spans="1:23" s="1113" customFormat="1">
      <c r="Q169" s="1114"/>
      <c r="R169" s="1149"/>
      <c r="S169" s="1176"/>
      <c r="T169" s="85"/>
      <c r="U169" s="85"/>
      <c r="V169" s="25">
        <f t="shared" ref="V169:V177" si="54">ROUND(T169*U169,0)</f>
        <v>0</v>
      </c>
      <c r="W169" s="25"/>
    </row>
    <row r="170" spans="1:23" s="1113" customFormat="1">
      <c r="N170" s="1178"/>
      <c r="Q170" s="1114"/>
      <c r="R170" s="1149"/>
      <c r="S170" s="1176"/>
      <c r="T170" s="923"/>
      <c r="U170" s="923"/>
      <c r="V170" s="25">
        <f t="shared" si="54"/>
        <v>0</v>
      </c>
      <c r="W170" s="8"/>
    </row>
    <row r="171" spans="1:23" s="1113" customFormat="1">
      <c r="Q171" s="1114"/>
      <c r="R171" s="698"/>
      <c r="S171" s="1176"/>
      <c r="T171" s="923"/>
      <c r="U171" s="923"/>
      <c r="V171" s="25">
        <f t="shared" si="54"/>
        <v>0</v>
      </c>
      <c r="W171" s="8"/>
    </row>
    <row r="172" spans="1:23" s="1113" customFormat="1">
      <c r="Q172" s="1114"/>
      <c r="R172" s="698"/>
      <c r="S172" s="1176"/>
      <c r="T172" s="923"/>
      <c r="U172" s="923"/>
      <c r="V172" s="25">
        <f t="shared" si="54"/>
        <v>0</v>
      </c>
      <c r="W172" s="8"/>
    </row>
    <row r="173" spans="1:23" s="1113" customFormat="1">
      <c r="Q173" s="1114"/>
      <c r="R173" s="1169"/>
      <c r="S173" s="1176"/>
      <c r="T173" s="85"/>
      <c r="U173" s="85"/>
      <c r="V173" s="25">
        <f t="shared" si="54"/>
        <v>0</v>
      </c>
      <c r="W173" s="8"/>
    </row>
    <row r="174" spans="1:23" s="1113" customFormat="1">
      <c r="Q174" s="1114"/>
      <c r="R174" s="698"/>
      <c r="S174" s="1176"/>
      <c r="T174" s="923"/>
      <c r="U174" s="923"/>
      <c r="V174" s="25">
        <f t="shared" si="54"/>
        <v>0</v>
      </c>
      <c r="W174" s="8"/>
    </row>
    <row r="175" spans="1:23" s="1113" customFormat="1">
      <c r="Q175" s="1114"/>
      <c r="R175" s="311"/>
      <c r="S175" s="1176"/>
      <c r="T175" s="923"/>
      <c r="U175" s="923"/>
      <c r="V175" s="25">
        <f t="shared" si="54"/>
        <v>0</v>
      </c>
      <c r="W175" s="8"/>
    </row>
    <row r="176" spans="1:23" s="1113" customFormat="1">
      <c r="Q176" s="1114"/>
      <c r="R176" s="311"/>
      <c r="S176" s="1176"/>
      <c r="T176" s="923"/>
      <c r="U176" s="923"/>
      <c r="V176" s="25">
        <f t="shared" si="54"/>
        <v>0</v>
      </c>
      <c r="W176" s="8"/>
    </row>
    <row r="177" spans="1:23" s="1113" customFormat="1">
      <c r="Q177" s="1114"/>
      <c r="R177" s="481"/>
      <c r="S177" s="1176"/>
      <c r="T177" s="923"/>
      <c r="U177" s="923"/>
      <c r="V177" s="25">
        <f t="shared" si="54"/>
        <v>0</v>
      </c>
      <c r="W177" s="8"/>
    </row>
    <row r="178" spans="1:23" s="1113" customFormat="1" ht="16.5" customHeight="1">
      <c r="A178" s="1116" t="s">
        <v>524</v>
      </c>
      <c r="B178" s="1116"/>
      <c r="C178" s="1117"/>
      <c r="D178" s="1118"/>
      <c r="E178" s="1118"/>
      <c r="F178" s="1118"/>
      <c r="G178" s="467"/>
      <c r="H178" s="467"/>
      <c r="I178" s="467"/>
      <c r="J178" s="467"/>
      <c r="K178" s="467"/>
      <c r="L178" s="467"/>
      <c r="M178" s="467"/>
      <c r="N178" s="467"/>
      <c r="O178" s="969"/>
      <c r="P178" s="467"/>
      <c r="Q178" s="1114"/>
      <c r="R178" s="467"/>
      <c r="S178" s="1120"/>
      <c r="T178" s="467"/>
      <c r="U178" s="467"/>
    </row>
    <row r="179" spans="1:23" s="1113" customFormat="1" ht="16.5" customHeight="1">
      <c r="A179" s="1121" t="s">
        <v>548</v>
      </c>
      <c r="B179" s="1121"/>
      <c r="C179" s="1121"/>
      <c r="D179" s="1121"/>
      <c r="E179" s="1121"/>
      <c r="F179" s="1121"/>
      <c r="G179" s="1121"/>
      <c r="H179" s="1121"/>
      <c r="I179" s="1121"/>
      <c r="J179" s="1121"/>
      <c r="K179" s="1121"/>
      <c r="L179" s="1121"/>
      <c r="M179" s="1121"/>
      <c r="N179" s="1121"/>
      <c r="O179" s="1121"/>
      <c r="P179" s="1121"/>
      <c r="Q179" s="1119"/>
      <c r="R179" s="467"/>
      <c r="S179" s="1120"/>
      <c r="T179" s="467"/>
      <c r="U179" s="467"/>
    </row>
    <row r="180" spans="1:23" s="1113" customFormat="1" ht="11.25" customHeight="1">
      <c r="A180" s="1122"/>
      <c r="B180" s="1122"/>
      <c r="C180" s="1123"/>
      <c r="D180" s="1122"/>
      <c r="E180" s="1122"/>
      <c r="F180" s="1122"/>
      <c r="G180" s="1122"/>
      <c r="H180" s="1122"/>
      <c r="I180" s="1122"/>
      <c r="J180" s="1122"/>
      <c r="K180" s="1122"/>
      <c r="L180" s="1122"/>
      <c r="M180" s="1122"/>
      <c r="N180" s="1122"/>
      <c r="O180" s="1124"/>
      <c r="P180" s="1122"/>
      <c r="Q180" s="1119"/>
      <c r="R180" s="467"/>
      <c r="S180" s="1120"/>
      <c r="T180" s="467"/>
      <c r="U180" s="467"/>
    </row>
    <row r="181" spans="1:23" s="1113" customFormat="1" ht="28.5" customHeight="1">
      <c r="A181" s="689" t="s">
        <v>37</v>
      </c>
      <c r="B181" s="689" t="s">
        <v>526</v>
      </c>
      <c r="C181" s="690" t="s">
        <v>527</v>
      </c>
      <c r="D181" s="691" t="s">
        <v>528</v>
      </c>
      <c r="E181" s="691" t="s">
        <v>529</v>
      </c>
      <c r="F181" s="691" t="s">
        <v>530</v>
      </c>
      <c r="G181" s="691" t="s">
        <v>531</v>
      </c>
      <c r="H181" s="691" t="s">
        <v>532</v>
      </c>
      <c r="I181" s="691" t="s">
        <v>533</v>
      </c>
      <c r="J181" s="691" t="s">
        <v>534</v>
      </c>
      <c r="K181" s="692" t="s">
        <v>535</v>
      </c>
      <c r="L181" s="691" t="s">
        <v>536</v>
      </c>
      <c r="M181" s="692" t="s">
        <v>537</v>
      </c>
      <c r="N181" s="691" t="s">
        <v>538</v>
      </c>
      <c r="O181" s="693" t="s">
        <v>529</v>
      </c>
      <c r="P181" s="691" t="s">
        <v>539</v>
      </c>
      <c r="Q181" s="1119"/>
      <c r="R181" s="689" t="s">
        <v>526</v>
      </c>
      <c r="S181" s="691" t="s">
        <v>493</v>
      </c>
      <c r="T181" s="691" t="s">
        <v>335</v>
      </c>
      <c r="U181" s="691" t="s">
        <v>530</v>
      </c>
      <c r="V181" s="691" t="s">
        <v>540</v>
      </c>
      <c r="W181" s="689" t="s">
        <v>540</v>
      </c>
    </row>
    <row r="182" spans="1:23" s="695" customFormat="1" ht="12" customHeight="1">
      <c r="A182" s="1127" t="str">
        <f>IF(B182&lt;&gt;"",ROW()-(ROW()-1),"")</f>
        <v/>
      </c>
      <c r="B182" s="1133"/>
      <c r="C182" s="1128"/>
      <c r="D182" s="1129">
        <f t="shared" ref="D182:D187" si="55">ROUND(C182*O182,0)</f>
        <v>0</v>
      </c>
      <c r="E182" s="1129"/>
      <c r="F182" s="1129"/>
      <c r="G182" s="25">
        <f>(D182+E182)*F182</f>
        <v>0</v>
      </c>
      <c r="H182" s="1129">
        <f>IF($D$189&lt;&gt;0,H$189/($D$189+$E$189/5)*($D182+$E182/5),0)</f>
        <v>0</v>
      </c>
      <c r="I182" s="1129">
        <f t="shared" ref="I182:K187" si="56">IF($D$189&lt;&gt;0,I$189/($D$189+$E$189/5)*($D182+$E182/5),0)</f>
        <v>0</v>
      </c>
      <c r="J182" s="1129">
        <f t="shared" si="56"/>
        <v>0</v>
      </c>
      <c r="K182" s="1129">
        <f t="shared" si="56"/>
        <v>0</v>
      </c>
      <c r="L182" s="25"/>
      <c r="M182" s="1129"/>
      <c r="N182" s="25">
        <f>ROUND(SUM(G182:M182),0)</f>
        <v>0</v>
      </c>
      <c r="O182" s="1129"/>
      <c r="P182" s="1129">
        <f t="shared" ref="P182:P187" si="57">IF(N182&lt;&gt;0,N182/O182,0)</f>
        <v>0</v>
      </c>
      <c r="Q182" s="694"/>
      <c r="R182" s="469"/>
      <c r="S182" s="1176"/>
      <c r="T182" s="85"/>
      <c r="U182" s="1130"/>
      <c r="V182" s="25">
        <f t="shared" ref="V182:V189" si="58">ROUND(T182*U182,0)</f>
        <v>0</v>
      </c>
      <c r="W182" s="25"/>
    </row>
    <row r="183" spans="1:23" s="695" customFormat="1" ht="12" customHeight="1">
      <c r="A183" s="1127" t="str">
        <f>IF(B183&lt;&gt;"",A182+1,"")</f>
        <v/>
      </c>
      <c r="B183" s="1133"/>
      <c r="C183" s="1128"/>
      <c r="D183" s="1129">
        <f t="shared" si="55"/>
        <v>0</v>
      </c>
      <c r="E183" s="1129"/>
      <c r="F183" s="1129"/>
      <c r="G183" s="25">
        <f t="shared" ref="G183:G187" si="59">(D183+E183)*F183</f>
        <v>0</v>
      </c>
      <c r="H183" s="1129">
        <f t="shared" ref="H183:H187" si="60">IF($D$189&lt;&gt;0,H$189/($D$189+$E$189/5)*($D183+$E183/5),0)</f>
        <v>0</v>
      </c>
      <c r="I183" s="1129">
        <f t="shared" si="56"/>
        <v>0</v>
      </c>
      <c r="J183" s="1129">
        <f t="shared" si="56"/>
        <v>0</v>
      </c>
      <c r="K183" s="1129">
        <f t="shared" si="56"/>
        <v>0</v>
      </c>
      <c r="L183" s="25"/>
      <c r="M183" s="1129"/>
      <c r="N183" s="25">
        <f t="shared" ref="N183:N187" si="61">ROUND(SUM(G183:M183),0)</f>
        <v>0</v>
      </c>
      <c r="O183" s="1129"/>
      <c r="P183" s="1129">
        <f t="shared" si="57"/>
        <v>0</v>
      </c>
      <c r="Q183" s="694"/>
      <c r="R183" s="474"/>
      <c r="S183" s="1176"/>
      <c r="T183" s="85"/>
      <c r="U183" s="923"/>
      <c r="V183" s="25">
        <f t="shared" si="58"/>
        <v>0</v>
      </c>
      <c r="W183" s="25"/>
    </row>
    <row r="184" spans="1:23" s="695" customFormat="1" ht="12" customHeight="1">
      <c r="A184" s="1127" t="str">
        <f>IF(B184&lt;&gt;"",A183+1,"")</f>
        <v/>
      </c>
      <c r="B184" s="1133"/>
      <c r="C184" s="1128"/>
      <c r="D184" s="1129">
        <f t="shared" si="55"/>
        <v>0</v>
      </c>
      <c r="E184" s="1129"/>
      <c r="F184" s="1129"/>
      <c r="G184" s="25">
        <f t="shared" si="59"/>
        <v>0</v>
      </c>
      <c r="H184" s="1129">
        <f t="shared" si="60"/>
        <v>0</v>
      </c>
      <c r="I184" s="1129">
        <f t="shared" si="56"/>
        <v>0</v>
      </c>
      <c r="J184" s="1129">
        <f t="shared" si="56"/>
        <v>0</v>
      </c>
      <c r="K184" s="1129">
        <f t="shared" si="56"/>
        <v>0</v>
      </c>
      <c r="L184" s="25"/>
      <c r="M184" s="1129"/>
      <c r="N184" s="25">
        <f t="shared" si="61"/>
        <v>0</v>
      </c>
      <c r="O184" s="1129"/>
      <c r="P184" s="1129">
        <f t="shared" si="57"/>
        <v>0</v>
      </c>
      <c r="Q184" s="694"/>
      <c r="R184" s="474"/>
      <c r="S184" s="1176"/>
      <c r="T184" s="85"/>
      <c r="U184" s="923"/>
      <c r="V184" s="25">
        <f t="shared" si="58"/>
        <v>0</v>
      </c>
      <c r="W184" s="25"/>
    </row>
    <row r="185" spans="1:23" s="695" customFormat="1" ht="12" customHeight="1">
      <c r="A185" s="1127" t="str">
        <f>IF(B185&lt;&gt;"",A184+1,"")</f>
        <v/>
      </c>
      <c r="B185" s="1133"/>
      <c r="C185" s="1128"/>
      <c r="D185" s="1129">
        <f t="shared" si="55"/>
        <v>0</v>
      </c>
      <c r="E185" s="1129"/>
      <c r="F185" s="1129"/>
      <c r="G185" s="25">
        <f t="shared" si="59"/>
        <v>0</v>
      </c>
      <c r="H185" s="1129">
        <f t="shared" si="60"/>
        <v>0</v>
      </c>
      <c r="I185" s="1129">
        <f t="shared" si="56"/>
        <v>0</v>
      </c>
      <c r="J185" s="1129">
        <f t="shared" si="56"/>
        <v>0</v>
      </c>
      <c r="K185" s="1129">
        <f t="shared" si="56"/>
        <v>0</v>
      </c>
      <c r="L185" s="25"/>
      <c r="M185" s="1129"/>
      <c r="N185" s="25">
        <f t="shared" si="61"/>
        <v>0</v>
      </c>
      <c r="O185" s="1129"/>
      <c r="P185" s="1129">
        <f t="shared" si="57"/>
        <v>0</v>
      </c>
      <c r="Q185" s="694"/>
      <c r="R185" s="474"/>
      <c r="S185" s="1176"/>
      <c r="T185" s="85"/>
      <c r="U185" s="923"/>
      <c r="V185" s="25">
        <f t="shared" si="58"/>
        <v>0</v>
      </c>
      <c r="W185" s="25"/>
    </row>
    <row r="186" spans="1:23" s="695" customFormat="1" ht="12" customHeight="1">
      <c r="A186" s="1127" t="str">
        <f>IF(B186&lt;&gt;"",A185+1,"")</f>
        <v/>
      </c>
      <c r="B186" s="1133"/>
      <c r="C186" s="1128"/>
      <c r="D186" s="1129">
        <f t="shared" si="55"/>
        <v>0</v>
      </c>
      <c r="E186" s="1129"/>
      <c r="F186" s="1129"/>
      <c r="G186" s="25">
        <f t="shared" si="59"/>
        <v>0</v>
      </c>
      <c r="H186" s="1129">
        <f t="shared" si="60"/>
        <v>0</v>
      </c>
      <c r="I186" s="1129">
        <f t="shared" si="56"/>
        <v>0</v>
      </c>
      <c r="J186" s="1129">
        <f t="shared" si="56"/>
        <v>0</v>
      </c>
      <c r="K186" s="1129">
        <f t="shared" si="56"/>
        <v>0</v>
      </c>
      <c r="L186" s="25"/>
      <c r="M186" s="1129"/>
      <c r="N186" s="25">
        <f t="shared" si="61"/>
        <v>0</v>
      </c>
      <c r="O186" s="1129"/>
      <c r="P186" s="1129">
        <f t="shared" si="57"/>
        <v>0</v>
      </c>
      <c r="Q186" s="694"/>
      <c r="R186" s="477"/>
      <c r="S186" s="1176"/>
      <c r="T186" s="85"/>
      <c r="U186" s="923"/>
      <c r="V186" s="25">
        <f t="shared" si="58"/>
        <v>0</v>
      </c>
      <c r="W186" s="25"/>
    </row>
    <row r="187" spans="1:23" s="695" customFormat="1" ht="12" customHeight="1">
      <c r="A187" s="1127" t="str">
        <f>IF(B187&lt;&gt;"",A186+1,"")</f>
        <v/>
      </c>
      <c r="B187" s="1133"/>
      <c r="C187" s="1128"/>
      <c r="D187" s="1129">
        <f t="shared" si="55"/>
        <v>0</v>
      </c>
      <c r="E187" s="1129"/>
      <c r="F187" s="1129"/>
      <c r="G187" s="25">
        <f t="shared" si="59"/>
        <v>0</v>
      </c>
      <c r="H187" s="1129">
        <f t="shared" si="60"/>
        <v>0</v>
      </c>
      <c r="I187" s="1129">
        <f t="shared" si="56"/>
        <v>0</v>
      </c>
      <c r="J187" s="1129">
        <f t="shared" si="56"/>
        <v>0</v>
      </c>
      <c r="K187" s="1129">
        <f t="shared" si="56"/>
        <v>0</v>
      </c>
      <c r="L187" s="25">
        <f t="shared" ref="L187" si="62">V197</f>
        <v>0</v>
      </c>
      <c r="M187" s="1129"/>
      <c r="N187" s="25">
        <f t="shared" si="61"/>
        <v>0</v>
      </c>
      <c r="O187" s="1129"/>
      <c r="P187" s="1129">
        <f t="shared" si="57"/>
        <v>0</v>
      </c>
      <c r="Q187" s="694"/>
      <c r="R187" s="477"/>
      <c r="S187" s="1176"/>
      <c r="T187" s="85"/>
      <c r="U187" s="923"/>
      <c r="V187" s="25">
        <f t="shared" si="58"/>
        <v>0</v>
      </c>
      <c r="W187" s="25"/>
    </row>
    <row r="188" spans="1:23" s="695" customFormat="1" ht="12" customHeight="1">
      <c r="A188" s="1127" t="str">
        <f>IF(B188&lt;&gt;"",#REF!+1,"")</f>
        <v/>
      </c>
      <c r="B188" s="1134"/>
      <c r="C188" s="1128">
        <f>IF(ISNA(VLOOKUP(B188,NXT!$Q$74:$S$94,2,0)),0,VLOOKUP(B188,NXT!$Q$74:$S$94,2,0))</f>
        <v>0</v>
      </c>
      <c r="D188" s="1137"/>
      <c r="E188" s="1137"/>
      <c r="F188" s="1137"/>
      <c r="G188" s="1138"/>
      <c r="H188" s="1139"/>
      <c r="I188" s="1137"/>
      <c r="J188" s="8"/>
      <c r="K188" s="1137"/>
      <c r="L188" s="1139"/>
      <c r="M188" s="1137"/>
      <c r="N188" s="1163"/>
      <c r="O188" s="1140"/>
      <c r="P188" s="1137"/>
      <c r="Q188" s="694"/>
      <c r="R188" s="477"/>
      <c r="S188" s="1176"/>
      <c r="T188" s="85"/>
      <c r="U188" s="85"/>
      <c r="V188" s="25">
        <f t="shared" si="58"/>
        <v>0</v>
      </c>
      <c r="W188" s="25"/>
    </row>
    <row r="189" spans="1:23" s="1113" customFormat="1" ht="12" customHeight="1">
      <c r="A189" s="1142"/>
      <c r="B189" s="1143" t="s">
        <v>541</v>
      </c>
      <c r="C189" s="1144"/>
      <c r="D189" s="883">
        <f>SUM(D182:D188)</f>
        <v>0</v>
      </c>
      <c r="E189" s="883">
        <f>SUM(E182:E186)</f>
        <v>0</v>
      </c>
      <c r="F189" s="883"/>
      <c r="G189" s="883">
        <f>SUM(G182:G188)</f>
        <v>0</v>
      </c>
      <c r="H189" s="883"/>
      <c r="I189" s="883"/>
      <c r="J189" s="883"/>
      <c r="K189" s="883"/>
      <c r="L189" s="883"/>
      <c r="M189" s="883">
        <f>SUM(M182:M188)</f>
        <v>0</v>
      </c>
      <c r="N189" s="883">
        <f>ROUND(SUM(N182:N188),0)</f>
        <v>0</v>
      </c>
      <c r="O189" s="883">
        <f>ROUND(SUM(O182:O188),0)</f>
        <v>0</v>
      </c>
      <c r="P189" s="883"/>
      <c r="Q189" s="985"/>
      <c r="R189" s="477"/>
      <c r="S189" s="1176"/>
      <c r="T189" s="85"/>
      <c r="U189" s="923"/>
      <c r="V189" s="25">
        <f t="shared" si="58"/>
        <v>0</v>
      </c>
      <c r="W189" s="8"/>
    </row>
    <row r="190" spans="1:23" s="1113" customFormat="1" ht="12" customHeight="1">
      <c r="Q190" s="985"/>
      <c r="R190" s="698"/>
      <c r="S190" s="701"/>
      <c r="T190" s="85"/>
      <c r="U190" s="85"/>
      <c r="V190" s="25"/>
      <c r="W190" s="8"/>
    </row>
    <row r="191" spans="1:23" s="1113" customFormat="1" ht="12" customHeight="1">
      <c r="N191" s="1178"/>
      <c r="Q191" s="985"/>
      <c r="R191" s="1166"/>
      <c r="S191" s="1167"/>
      <c r="T191" s="1168"/>
      <c r="U191" s="1179"/>
      <c r="V191" s="76">
        <f>SUM(V182:V190)</f>
        <v>0</v>
      </c>
      <c r="W191" s="76">
        <f>SUM(W182:W190)</f>
        <v>0</v>
      </c>
    </row>
    <row r="192" spans="1:23" s="1113" customFormat="1" ht="12" customHeight="1">
      <c r="N192" s="1178"/>
      <c r="Q192" s="985"/>
      <c r="R192" s="481"/>
      <c r="S192" s="1176"/>
      <c r="T192" s="923"/>
      <c r="U192" s="923"/>
      <c r="V192" s="25">
        <f t="shared" ref="V192:V198" si="63">ROUND(T192*U192,0)</f>
        <v>0</v>
      </c>
      <c r="W192" s="8"/>
    </row>
    <row r="193" spans="1:23" s="1113" customFormat="1" ht="12" customHeight="1">
      <c r="Q193" s="985"/>
      <c r="R193" s="313"/>
      <c r="S193" s="1176"/>
      <c r="T193" s="403"/>
      <c r="U193" s="403"/>
      <c r="V193" s="25">
        <f t="shared" si="63"/>
        <v>0</v>
      </c>
      <c r="W193" s="25"/>
    </row>
    <row r="194" spans="1:23" s="1113" customFormat="1" ht="12" customHeight="1">
      <c r="Q194" s="985"/>
      <c r="R194" s="698"/>
      <c r="S194" s="1176"/>
      <c r="T194" s="923"/>
      <c r="U194" s="923"/>
      <c r="V194" s="25">
        <f t="shared" si="63"/>
        <v>0</v>
      </c>
      <c r="W194" s="8"/>
    </row>
    <row r="195" spans="1:23" s="1113" customFormat="1" ht="12" customHeight="1">
      <c r="I195" s="1152"/>
      <c r="Q195" s="985"/>
      <c r="R195" s="698"/>
      <c r="S195" s="1176"/>
      <c r="T195" s="923"/>
      <c r="U195" s="923"/>
      <c r="V195" s="25">
        <f t="shared" si="63"/>
        <v>0</v>
      </c>
      <c r="W195" s="8"/>
    </row>
    <row r="196" spans="1:23" s="1113" customFormat="1" ht="12" customHeight="1">
      <c r="G196" s="1152"/>
      <c r="H196" s="1152"/>
      <c r="I196" s="1152"/>
      <c r="J196" s="1152"/>
      <c r="K196" s="1152"/>
      <c r="L196" s="1152"/>
      <c r="M196" s="1152"/>
      <c r="N196" s="1152"/>
      <c r="Q196" s="985"/>
      <c r="R196" s="313"/>
      <c r="S196" s="701"/>
      <c r="T196" s="403"/>
      <c r="U196" s="403"/>
      <c r="V196" s="25">
        <f t="shared" si="63"/>
        <v>0</v>
      </c>
      <c r="W196" s="8"/>
    </row>
    <row r="197" spans="1:23" s="1113" customFormat="1" ht="12" customHeight="1">
      <c r="G197" s="467"/>
      <c r="H197" s="467"/>
      <c r="I197" s="467"/>
      <c r="J197" s="467"/>
      <c r="K197" s="467"/>
      <c r="L197" s="467"/>
      <c r="M197" s="467"/>
      <c r="N197" s="467"/>
      <c r="Q197" s="985"/>
      <c r="R197" s="311"/>
      <c r="S197" s="701"/>
      <c r="T197" s="923"/>
      <c r="U197" s="923"/>
      <c r="V197" s="25">
        <f t="shared" si="63"/>
        <v>0</v>
      </c>
      <c r="W197" s="8"/>
    </row>
    <row r="198" spans="1:23" s="1113" customFormat="1" ht="12" customHeight="1">
      <c r="Q198" s="985"/>
      <c r="R198" s="481"/>
      <c r="S198" s="701"/>
      <c r="T198" s="923"/>
      <c r="U198" s="923"/>
      <c r="V198" s="25">
        <f t="shared" si="63"/>
        <v>0</v>
      </c>
      <c r="W198" s="8"/>
    </row>
    <row r="199" spans="1:23" s="1141" customFormat="1" ht="12" customHeight="1">
      <c r="A199" s="1113"/>
      <c r="B199" s="1113"/>
      <c r="C199" s="1113"/>
      <c r="D199" s="1113"/>
      <c r="E199" s="1113"/>
      <c r="F199" s="1113"/>
      <c r="G199" s="1113"/>
      <c r="H199" s="1113"/>
      <c r="I199" s="1113"/>
      <c r="J199" s="1113"/>
      <c r="K199" s="1113"/>
      <c r="L199" s="1113"/>
      <c r="M199" s="1113"/>
      <c r="N199" s="1113"/>
      <c r="O199" s="1113"/>
      <c r="P199" s="1113"/>
      <c r="Q199" s="985"/>
      <c r="R199" s="1149"/>
      <c r="S199" s="701"/>
      <c r="T199" s="923"/>
      <c r="U199" s="923"/>
      <c r="V199" s="25">
        <f>SUM(V192:V196)</f>
        <v>0</v>
      </c>
      <c r="W199" s="8"/>
    </row>
    <row r="200" spans="1:23" s="1113" customFormat="1">
      <c r="Q200" s="1114"/>
      <c r="R200" s="467"/>
      <c r="S200" s="1120"/>
      <c r="T200" s="467"/>
      <c r="U200" s="467"/>
    </row>
    <row r="201" spans="1:23" s="1113" customFormat="1" ht="20.25" customHeight="1">
      <c r="A201" s="1116" t="s">
        <v>524</v>
      </c>
      <c r="B201" s="1116"/>
      <c r="C201" s="1117"/>
      <c r="D201" s="1118"/>
      <c r="E201" s="1118"/>
      <c r="F201" s="1118"/>
      <c r="G201" s="467"/>
      <c r="H201" s="467"/>
      <c r="I201" s="467"/>
      <c r="J201" s="467"/>
      <c r="K201" s="467"/>
      <c r="L201" s="467"/>
      <c r="M201" s="467"/>
      <c r="N201" s="467"/>
      <c r="O201" s="969"/>
      <c r="P201" s="467"/>
      <c r="Q201" s="1114"/>
      <c r="R201" s="467"/>
      <c r="S201" s="1120"/>
      <c r="T201" s="467"/>
      <c r="U201" s="467"/>
    </row>
    <row r="202" spans="1:23" s="1113" customFormat="1" ht="20.25" customHeight="1">
      <c r="A202" s="1121" t="s">
        <v>549</v>
      </c>
      <c r="B202" s="1121"/>
      <c r="C202" s="1121"/>
      <c r="D202" s="1121"/>
      <c r="E202" s="1121"/>
      <c r="F202" s="1121"/>
      <c r="G202" s="1121"/>
      <c r="H202" s="1121"/>
      <c r="I202" s="1121"/>
      <c r="J202" s="1121"/>
      <c r="K202" s="1121"/>
      <c r="L202" s="1121"/>
      <c r="M202" s="1121"/>
      <c r="N202" s="1121"/>
      <c r="O202" s="1121"/>
      <c r="P202" s="1121"/>
      <c r="Q202" s="1119"/>
      <c r="R202" s="467"/>
      <c r="S202" s="1120"/>
      <c r="T202" s="467"/>
      <c r="U202" s="467"/>
    </row>
    <row r="203" spans="1:23" s="1113" customFormat="1" ht="12" customHeight="1">
      <c r="A203" s="1122"/>
      <c r="B203" s="1122"/>
      <c r="C203" s="1123"/>
      <c r="D203" s="1122"/>
      <c r="E203" s="1122"/>
      <c r="F203" s="1122"/>
      <c r="G203" s="1122"/>
      <c r="H203" s="1122"/>
      <c r="I203" s="1122"/>
      <c r="J203" s="1122"/>
      <c r="K203" s="1122"/>
      <c r="L203" s="1122"/>
      <c r="M203" s="1122"/>
      <c r="N203" s="1122"/>
      <c r="O203" s="1124"/>
      <c r="P203" s="1122"/>
      <c r="Q203" s="1119"/>
      <c r="R203" s="467"/>
      <c r="S203" s="1120"/>
      <c r="T203" s="467"/>
      <c r="U203" s="467"/>
    </row>
    <row r="204" spans="1:23" s="1113" customFormat="1" ht="36.75" customHeight="1">
      <c r="A204" s="689" t="s">
        <v>37</v>
      </c>
      <c r="B204" s="689" t="s">
        <v>526</v>
      </c>
      <c r="C204" s="690" t="s">
        <v>527</v>
      </c>
      <c r="D204" s="691" t="s">
        <v>528</v>
      </c>
      <c r="E204" s="691" t="s">
        <v>529</v>
      </c>
      <c r="F204" s="691" t="s">
        <v>530</v>
      </c>
      <c r="G204" s="691" t="s">
        <v>531</v>
      </c>
      <c r="H204" s="691" t="s">
        <v>532</v>
      </c>
      <c r="I204" s="691" t="s">
        <v>533</v>
      </c>
      <c r="J204" s="691" t="s">
        <v>534</v>
      </c>
      <c r="K204" s="692" t="s">
        <v>535</v>
      </c>
      <c r="L204" s="691" t="s">
        <v>536</v>
      </c>
      <c r="M204" s="692" t="s">
        <v>537</v>
      </c>
      <c r="N204" s="691" t="s">
        <v>538</v>
      </c>
      <c r="O204" s="693" t="s">
        <v>529</v>
      </c>
      <c r="P204" s="691" t="s">
        <v>539</v>
      </c>
      <c r="Q204" s="1119"/>
      <c r="R204" s="689" t="s">
        <v>526</v>
      </c>
      <c r="S204" s="691" t="s">
        <v>493</v>
      </c>
      <c r="T204" s="691" t="s">
        <v>335</v>
      </c>
      <c r="U204" s="691" t="s">
        <v>530</v>
      </c>
      <c r="V204" s="691" t="s">
        <v>540</v>
      </c>
      <c r="W204" s="689" t="s">
        <v>540</v>
      </c>
    </row>
    <row r="205" spans="1:23" s="695" customFormat="1" ht="13.5" customHeight="1">
      <c r="A205" s="1127" t="str">
        <f>IF(B205&lt;&gt;"",ROW()-(ROW()-1),"")</f>
        <v/>
      </c>
      <c r="B205" s="1133"/>
      <c r="C205" s="1128"/>
      <c r="D205" s="1129">
        <f t="shared" ref="D205:D211" si="64">ROUND(C205*O205,0)</f>
        <v>0</v>
      </c>
      <c r="E205" s="1129"/>
      <c r="F205" s="1185"/>
      <c r="G205" s="25">
        <f t="shared" ref="G205:G211" si="65">(D205+E205)*F205</f>
        <v>0</v>
      </c>
      <c r="H205" s="1129">
        <f t="shared" ref="H205:H211" si="66">IF($D$213&lt;&gt;0,H$213/($D$213+$E$213/5)*($D205+$E205/5),0)</f>
        <v>0</v>
      </c>
      <c r="I205" s="1129">
        <f t="shared" ref="I205:K211" si="67">IF($D$213&lt;&gt;0,I$213/$D$213*$D205,0)</f>
        <v>0</v>
      </c>
      <c r="J205" s="1129">
        <f t="shared" si="67"/>
        <v>0</v>
      </c>
      <c r="K205" s="1129">
        <f t="shared" si="67"/>
        <v>0</v>
      </c>
      <c r="L205" s="25"/>
      <c r="M205" s="1129"/>
      <c r="N205" s="25">
        <f t="shared" ref="N205:N211" si="68">ROUND(SUM(G205:L205),0)</f>
        <v>0</v>
      </c>
      <c r="O205" s="1129"/>
      <c r="P205" s="1129">
        <f t="shared" ref="P205:P211" si="69">IF(N205&lt;&gt;0,N205/O205,0)</f>
        <v>0</v>
      </c>
      <c r="Q205" s="694"/>
      <c r="R205" s="696"/>
      <c r="S205" s="1186"/>
      <c r="T205" s="1187"/>
      <c r="U205" s="1187"/>
      <c r="V205" s="25">
        <f t="shared" ref="V205:V217" si="70">ROUND(T205*U205,0)</f>
        <v>0</v>
      </c>
      <c r="W205" s="25"/>
    </row>
    <row r="206" spans="1:23" s="1113" customFormat="1" ht="13.5" customHeight="1">
      <c r="A206" s="1127" t="str">
        <f>IF(B206&lt;&gt;"",A205+1,"")</f>
        <v/>
      </c>
      <c r="B206" s="1133"/>
      <c r="C206" s="1128"/>
      <c r="D206" s="1129">
        <f t="shared" si="64"/>
        <v>0</v>
      </c>
      <c r="E206" s="1129"/>
      <c r="F206" s="1185"/>
      <c r="G206" s="25">
        <f t="shared" si="65"/>
        <v>0</v>
      </c>
      <c r="H206" s="1129">
        <f t="shared" si="66"/>
        <v>0</v>
      </c>
      <c r="I206" s="1129">
        <f t="shared" si="67"/>
        <v>0</v>
      </c>
      <c r="J206" s="1129">
        <f t="shared" si="67"/>
        <v>0</v>
      </c>
      <c r="K206" s="1129">
        <f t="shared" si="67"/>
        <v>0</v>
      </c>
      <c r="L206" s="25"/>
      <c r="M206" s="1129"/>
      <c r="N206" s="25">
        <f>ROUND(SUM(G206:L206),0)</f>
        <v>0</v>
      </c>
      <c r="O206" s="1129"/>
      <c r="P206" s="1129">
        <f t="shared" si="69"/>
        <v>0</v>
      </c>
      <c r="Q206" s="985"/>
      <c r="R206" s="698"/>
      <c r="S206" s="1186"/>
      <c r="T206" s="1187"/>
      <c r="U206" s="1187"/>
      <c r="V206" s="25">
        <f t="shared" si="70"/>
        <v>0</v>
      </c>
      <c r="W206" s="8"/>
    </row>
    <row r="207" spans="1:23" s="1113" customFormat="1" ht="13.5" customHeight="1">
      <c r="A207" s="1127" t="str">
        <f t="shared" ref="A207:A212" si="71">IF(B207&lt;&gt;"",A206+1,"")</f>
        <v/>
      </c>
      <c r="B207" s="66"/>
      <c r="C207" s="1128"/>
      <c r="D207" s="1129">
        <f t="shared" si="64"/>
        <v>0</v>
      </c>
      <c r="E207" s="1129"/>
      <c r="F207" s="1185"/>
      <c r="G207" s="25">
        <f t="shared" si="65"/>
        <v>0</v>
      </c>
      <c r="H207" s="1129">
        <f t="shared" si="66"/>
        <v>0</v>
      </c>
      <c r="I207" s="1129">
        <f t="shared" si="67"/>
        <v>0</v>
      </c>
      <c r="J207" s="1129">
        <f t="shared" si="67"/>
        <v>0</v>
      </c>
      <c r="K207" s="1129">
        <f t="shared" si="67"/>
        <v>0</v>
      </c>
      <c r="L207" s="25"/>
      <c r="M207" s="1129"/>
      <c r="N207" s="25">
        <f t="shared" si="68"/>
        <v>0</v>
      </c>
      <c r="O207" s="407"/>
      <c r="P207" s="1129">
        <f t="shared" si="69"/>
        <v>0</v>
      </c>
      <c r="Q207" s="985"/>
      <c r="R207" s="698"/>
      <c r="S207" s="1186"/>
      <c r="T207" s="1187"/>
      <c r="U207" s="1187"/>
      <c r="V207" s="25">
        <f t="shared" ref="V207:V209" si="72">ROUND(T207*U207,0)</f>
        <v>0</v>
      </c>
      <c r="W207" s="8"/>
    </row>
    <row r="208" spans="1:23" s="1113" customFormat="1">
      <c r="A208" s="1127" t="str">
        <f t="shared" si="71"/>
        <v/>
      </c>
      <c r="B208" s="469"/>
      <c r="C208" s="1128"/>
      <c r="D208" s="1129">
        <f t="shared" si="64"/>
        <v>0</v>
      </c>
      <c r="E208" s="1129"/>
      <c r="F208" s="1185"/>
      <c r="G208" s="25">
        <f t="shared" si="65"/>
        <v>0</v>
      </c>
      <c r="H208" s="1129">
        <f t="shared" si="66"/>
        <v>0</v>
      </c>
      <c r="I208" s="1129">
        <f t="shared" si="67"/>
        <v>0</v>
      </c>
      <c r="J208" s="1129">
        <f t="shared" si="67"/>
        <v>0</v>
      </c>
      <c r="K208" s="1129">
        <f t="shared" si="67"/>
        <v>0</v>
      </c>
      <c r="L208" s="25"/>
      <c r="M208" s="1129"/>
      <c r="N208" s="25">
        <f t="shared" si="68"/>
        <v>0</v>
      </c>
      <c r="O208" s="407"/>
      <c r="P208" s="1129">
        <f t="shared" si="69"/>
        <v>0</v>
      </c>
      <c r="Q208" s="985"/>
      <c r="R208" s="698"/>
      <c r="S208" s="1186"/>
      <c r="T208" s="1187"/>
      <c r="U208" s="1187"/>
      <c r="V208" s="25">
        <f t="shared" si="72"/>
        <v>0</v>
      </c>
      <c r="W208" s="8"/>
    </row>
    <row r="209" spans="1:23" s="1113" customFormat="1">
      <c r="A209" s="1127" t="str">
        <f t="shared" si="71"/>
        <v/>
      </c>
      <c r="B209" s="1181"/>
      <c r="C209" s="1128"/>
      <c r="D209" s="1129">
        <f t="shared" si="64"/>
        <v>0</v>
      </c>
      <c r="E209" s="1129"/>
      <c r="F209" s="1185"/>
      <c r="G209" s="25">
        <f t="shared" si="65"/>
        <v>0</v>
      </c>
      <c r="H209" s="1129">
        <f t="shared" si="66"/>
        <v>0</v>
      </c>
      <c r="I209" s="1129">
        <f t="shared" si="67"/>
        <v>0</v>
      </c>
      <c r="J209" s="1129">
        <f t="shared" si="67"/>
        <v>0</v>
      </c>
      <c r="K209" s="1129">
        <f t="shared" si="67"/>
        <v>0</v>
      </c>
      <c r="L209" s="1129"/>
      <c r="M209" s="1129"/>
      <c r="N209" s="25">
        <f t="shared" si="68"/>
        <v>0</v>
      </c>
      <c r="O209" s="407"/>
      <c r="P209" s="1129">
        <f t="shared" si="69"/>
        <v>0</v>
      </c>
      <c r="Q209" s="985"/>
      <c r="R209" s="991"/>
      <c r="S209" s="1186"/>
      <c r="T209" s="1187"/>
      <c r="U209" s="1187"/>
      <c r="V209" s="25">
        <f t="shared" si="72"/>
        <v>0</v>
      </c>
      <c r="W209" s="8"/>
    </row>
    <row r="210" spans="1:23" s="1113" customFormat="1" ht="13.5" customHeight="1">
      <c r="A210" s="1127" t="str">
        <f t="shared" si="71"/>
        <v/>
      </c>
      <c r="B210" s="1133"/>
      <c r="C210" s="1128"/>
      <c r="D210" s="1129">
        <f t="shared" si="64"/>
        <v>0</v>
      </c>
      <c r="E210" s="1129"/>
      <c r="F210" s="1185"/>
      <c r="G210" s="25">
        <f t="shared" si="65"/>
        <v>0</v>
      </c>
      <c r="H210" s="1129">
        <f t="shared" si="66"/>
        <v>0</v>
      </c>
      <c r="I210" s="1129">
        <f t="shared" si="67"/>
        <v>0</v>
      </c>
      <c r="J210" s="1129">
        <f t="shared" si="67"/>
        <v>0</v>
      </c>
      <c r="K210" s="1129">
        <f t="shared" si="67"/>
        <v>0</v>
      </c>
      <c r="L210" s="25"/>
      <c r="M210" s="1129"/>
      <c r="N210" s="25">
        <f t="shared" si="68"/>
        <v>0</v>
      </c>
      <c r="O210" s="407"/>
      <c r="P210" s="1129">
        <f t="shared" si="69"/>
        <v>0</v>
      </c>
      <c r="Q210" s="985"/>
      <c r="R210" s="991"/>
      <c r="S210" s="1186"/>
      <c r="T210" s="1187"/>
      <c r="U210" s="1187"/>
      <c r="V210" s="25">
        <f t="shared" si="70"/>
        <v>0</v>
      </c>
      <c r="W210" s="8"/>
    </row>
    <row r="211" spans="1:23" s="1113" customFormat="1">
      <c r="A211" s="1127" t="str">
        <f t="shared" si="71"/>
        <v/>
      </c>
      <c r="B211" s="1133"/>
      <c r="C211" s="1188"/>
      <c r="D211" s="1129">
        <f t="shared" si="64"/>
        <v>0</v>
      </c>
      <c r="E211" s="1129"/>
      <c r="F211" s="1189"/>
      <c r="G211" s="25">
        <f t="shared" si="65"/>
        <v>0</v>
      </c>
      <c r="H211" s="1129">
        <f t="shared" si="66"/>
        <v>0</v>
      </c>
      <c r="I211" s="1129">
        <f t="shared" si="67"/>
        <v>0</v>
      </c>
      <c r="J211" s="1129">
        <f t="shared" si="67"/>
        <v>0</v>
      </c>
      <c r="K211" s="1129">
        <f t="shared" si="67"/>
        <v>0</v>
      </c>
      <c r="L211" s="1129"/>
      <c r="M211" s="1129"/>
      <c r="N211" s="25">
        <f t="shared" si="68"/>
        <v>0</v>
      </c>
      <c r="O211" s="1189"/>
      <c r="P211" s="1129">
        <f t="shared" si="69"/>
        <v>0</v>
      </c>
      <c r="Q211" s="985"/>
      <c r="R211" s="991"/>
      <c r="S211" s="1186"/>
      <c r="T211" s="1187"/>
      <c r="U211" s="1187"/>
      <c r="V211" s="25">
        <f t="shared" si="70"/>
        <v>0</v>
      </c>
      <c r="W211" s="8"/>
    </row>
    <row r="212" spans="1:23" s="1113" customFormat="1">
      <c r="A212" s="1127" t="str">
        <f t="shared" si="71"/>
        <v/>
      </c>
      <c r="B212" s="1134"/>
      <c r="C212" s="1135"/>
      <c r="D212" s="1137"/>
      <c r="E212" s="1137"/>
      <c r="F212" s="1137"/>
      <c r="G212" s="1138"/>
      <c r="H212" s="1139"/>
      <c r="I212" s="1137"/>
      <c r="J212" s="8"/>
      <c r="K212" s="1137"/>
      <c r="L212" s="1139"/>
      <c r="M212" s="1137"/>
      <c r="N212" s="1163"/>
      <c r="O212" s="1140"/>
      <c r="P212" s="1137"/>
      <c r="Q212" s="985"/>
      <c r="R212" s="698"/>
      <c r="S212" s="1176"/>
      <c r="T212" s="85"/>
      <c r="U212" s="85"/>
      <c r="V212" s="25">
        <f t="shared" si="70"/>
        <v>0</v>
      </c>
      <c r="W212" s="8"/>
    </row>
    <row r="213" spans="1:23" s="1113" customFormat="1">
      <c r="A213" s="1142"/>
      <c r="B213" s="1143" t="s">
        <v>541</v>
      </c>
      <c r="C213" s="1144"/>
      <c r="D213" s="883">
        <f>SUM(D205:D211)</f>
        <v>0</v>
      </c>
      <c r="E213" s="883">
        <f>SUM(E205:E211)</f>
        <v>0</v>
      </c>
      <c r="F213" s="883"/>
      <c r="G213" s="883">
        <f>SUM(G205:G211)</f>
        <v>0</v>
      </c>
      <c r="H213" s="883"/>
      <c r="I213" s="883"/>
      <c r="J213" s="1190"/>
      <c r="K213" s="883"/>
      <c r="L213" s="883">
        <f>ROUND(SUM(L205:L212),0)</f>
        <v>0</v>
      </c>
      <c r="M213" s="883">
        <f>ROUND(SUM(M205:M212),0)</f>
        <v>0</v>
      </c>
      <c r="N213" s="883">
        <f>ROUND(SUM(N205:N212),0)</f>
        <v>0</v>
      </c>
      <c r="O213" s="883">
        <f>ROUND(SUM(O205:O212),0)</f>
        <v>0</v>
      </c>
      <c r="P213" s="883"/>
      <c r="Q213" s="985"/>
      <c r="R213" s="698"/>
      <c r="S213" s="1176"/>
      <c r="T213" s="85"/>
      <c r="U213" s="85"/>
      <c r="V213" s="25">
        <f t="shared" si="70"/>
        <v>0</v>
      </c>
      <c r="W213" s="8"/>
    </row>
    <row r="214" spans="1:23" s="1113" customFormat="1">
      <c r="Q214" s="985"/>
      <c r="R214" s="698"/>
      <c r="S214" s="1176"/>
      <c r="T214" s="85"/>
      <c r="U214" s="85"/>
      <c r="V214" s="25">
        <f t="shared" si="70"/>
        <v>0</v>
      </c>
      <c r="W214" s="8"/>
    </row>
    <row r="215" spans="1:23" s="1113" customFormat="1">
      <c r="Q215" s="985"/>
      <c r="R215" s="698"/>
      <c r="S215" s="1176"/>
      <c r="T215" s="1149"/>
      <c r="U215" s="923"/>
      <c r="V215" s="25">
        <f t="shared" si="70"/>
        <v>0</v>
      </c>
      <c r="W215" s="8"/>
    </row>
    <row r="216" spans="1:23" s="1113" customFormat="1">
      <c r="Q216" s="985"/>
      <c r="R216" s="702"/>
      <c r="S216" s="1176"/>
      <c r="T216" s="1149"/>
      <c r="U216" s="923"/>
      <c r="V216" s="25">
        <f t="shared" si="70"/>
        <v>0</v>
      </c>
      <c r="W216" s="8"/>
    </row>
    <row r="217" spans="1:23" s="1113" customFormat="1">
      <c r="Q217" s="985"/>
      <c r="R217" s="474"/>
      <c r="S217" s="1176"/>
      <c r="T217" s="85"/>
      <c r="U217" s="85"/>
      <c r="V217" s="25">
        <f t="shared" si="70"/>
        <v>0</v>
      </c>
      <c r="W217" s="8"/>
    </row>
    <row r="218" spans="1:23" s="1141" customFormat="1">
      <c r="A218" s="1113"/>
      <c r="B218" s="1113"/>
      <c r="C218" s="1113"/>
      <c r="D218" s="1113"/>
      <c r="E218" s="1113"/>
      <c r="F218" s="1113"/>
      <c r="G218" s="1113"/>
      <c r="H218" s="1113"/>
      <c r="I218" s="1113"/>
      <c r="J218" s="1113"/>
      <c r="K218" s="1113"/>
      <c r="L218" s="1113"/>
      <c r="M218" s="1113"/>
      <c r="N218" s="1113"/>
      <c r="O218" s="1113"/>
      <c r="P218" s="1113"/>
      <c r="Q218" s="985"/>
      <c r="R218" s="698"/>
      <c r="S218" s="701"/>
      <c r="T218" s="85"/>
      <c r="U218" s="85"/>
      <c r="V218" s="25"/>
      <c r="W218" s="8"/>
    </row>
    <row r="219" spans="1:23" s="1116" customFormat="1">
      <c r="A219" s="1113"/>
      <c r="B219" s="1113"/>
      <c r="C219" s="1113"/>
      <c r="D219" s="1113"/>
      <c r="E219" s="1113"/>
      <c r="F219" s="1113"/>
      <c r="G219" s="1113"/>
      <c r="H219" s="1113"/>
      <c r="I219" s="1113"/>
      <c r="J219" s="1113"/>
      <c r="K219" s="1113"/>
      <c r="L219" s="1113"/>
      <c r="M219" s="1113"/>
      <c r="N219" s="1113"/>
      <c r="O219" s="1113"/>
      <c r="P219" s="1113"/>
      <c r="Q219" s="985"/>
      <c r="R219" s="1166"/>
      <c r="S219" s="1167"/>
      <c r="T219" s="1168"/>
      <c r="U219" s="1179"/>
      <c r="V219" s="76">
        <f>SUM(V205:V218)</f>
        <v>0</v>
      </c>
      <c r="W219" s="76">
        <f>SUM(W205:W218)</f>
        <v>0</v>
      </c>
    </row>
    <row r="220" spans="1:23" s="1113" customFormat="1">
      <c r="Q220" s="1114"/>
      <c r="R220" s="992"/>
      <c r="S220" s="1186"/>
      <c r="T220" s="1187"/>
      <c r="U220" s="1187"/>
      <c r="V220" s="25">
        <f t="shared" ref="V220:V226" si="73">ROUND(T220*U220,0)</f>
        <v>0</v>
      </c>
      <c r="W220" s="25"/>
    </row>
    <row r="221" spans="1:23" s="1113" customFormat="1">
      <c r="Q221" s="1114"/>
      <c r="R221" s="993"/>
      <c r="S221" s="1186"/>
      <c r="T221" s="1187"/>
      <c r="U221" s="1187"/>
      <c r="V221" s="25">
        <f t="shared" si="73"/>
        <v>0</v>
      </c>
      <c r="W221" s="8"/>
    </row>
    <row r="222" spans="1:23" s="1113" customFormat="1">
      <c r="Q222" s="1114"/>
      <c r="R222" s="993"/>
      <c r="S222" s="1186"/>
      <c r="T222" s="1187"/>
      <c r="U222" s="1187"/>
      <c r="V222" s="25">
        <f t="shared" si="73"/>
        <v>0</v>
      </c>
      <c r="W222" s="8"/>
    </row>
    <row r="223" spans="1:23" s="1113" customFormat="1">
      <c r="Q223" s="1114"/>
      <c r="R223" s="993"/>
      <c r="S223" s="1186"/>
      <c r="T223" s="1187"/>
      <c r="U223" s="1187"/>
      <c r="V223" s="25">
        <f t="shared" si="73"/>
        <v>0</v>
      </c>
      <c r="W223" s="8"/>
    </row>
    <row r="224" spans="1:23" s="1113" customFormat="1">
      <c r="Q224" s="1114"/>
      <c r="R224" s="993"/>
      <c r="S224" s="1186"/>
      <c r="T224" s="1187"/>
      <c r="U224" s="1187"/>
      <c r="V224" s="25">
        <f t="shared" si="73"/>
        <v>0</v>
      </c>
      <c r="W224" s="8"/>
    </row>
    <row r="225" spans="1:23" s="1113" customFormat="1">
      <c r="Q225" s="1114"/>
      <c r="R225" s="993"/>
      <c r="S225" s="1186"/>
      <c r="T225" s="1187"/>
      <c r="U225" s="1187"/>
      <c r="V225" s="25">
        <f t="shared" si="73"/>
        <v>0</v>
      </c>
      <c r="W225" s="8"/>
    </row>
    <row r="226" spans="1:23" s="1113" customFormat="1">
      <c r="Q226" s="1114"/>
      <c r="R226" s="993"/>
      <c r="S226" s="1186"/>
      <c r="T226" s="1187"/>
      <c r="U226" s="1187"/>
      <c r="V226" s="25">
        <f t="shared" si="73"/>
        <v>0</v>
      </c>
      <c r="W226" s="8"/>
    </row>
    <row r="227" spans="1:23" s="1113" customFormat="1" ht="20.25" customHeight="1">
      <c r="A227" s="1192"/>
      <c r="B227" s="1192"/>
      <c r="C227" s="1147"/>
      <c r="D227" s="1192"/>
      <c r="E227" s="1192"/>
      <c r="F227" s="1192"/>
      <c r="G227" s="1192"/>
      <c r="H227" s="1192"/>
      <c r="I227" s="1192"/>
      <c r="J227" s="1192"/>
      <c r="K227" s="1192"/>
      <c r="L227" s="1121"/>
      <c r="M227" s="1192"/>
      <c r="N227" s="1192"/>
      <c r="O227" s="1193"/>
      <c r="P227" s="1192"/>
      <c r="Q227" s="1114"/>
      <c r="R227" s="467"/>
      <c r="S227" s="1120"/>
      <c r="T227" s="467"/>
      <c r="U227" s="467"/>
    </row>
    <row r="228" spans="1:23" s="1113" customFormat="1" ht="20.25" customHeight="1">
      <c r="A228" s="1126"/>
      <c r="B228" s="1126"/>
      <c r="C228" s="1182"/>
      <c r="D228" s="1126"/>
      <c r="E228" s="1126"/>
      <c r="F228" s="1126"/>
      <c r="G228" s="1126"/>
      <c r="H228" s="1126"/>
      <c r="I228" s="1126"/>
      <c r="J228" s="1126"/>
      <c r="K228" s="1126"/>
      <c r="L228" s="1126"/>
      <c r="M228" s="1126"/>
      <c r="N228" s="1126"/>
      <c r="O228" s="1157"/>
      <c r="P228" s="1126"/>
      <c r="Q228" s="1119"/>
      <c r="R228" s="467"/>
      <c r="S228" s="1120"/>
      <c r="T228" s="467"/>
      <c r="U228" s="467"/>
    </row>
    <row r="229" spans="1:23" s="1113" customFormat="1" ht="12.75" customHeight="1">
      <c r="A229" s="1116" t="s">
        <v>524</v>
      </c>
      <c r="B229" s="1116"/>
      <c r="C229" s="1117"/>
      <c r="D229" s="1118"/>
      <c r="E229" s="1118"/>
      <c r="F229" s="1118"/>
      <c r="G229" s="467"/>
      <c r="H229" s="467"/>
      <c r="I229" s="467"/>
      <c r="J229" s="467"/>
      <c r="K229" s="467"/>
      <c r="L229" s="467"/>
      <c r="M229" s="467"/>
      <c r="N229" s="467"/>
      <c r="O229" s="969"/>
      <c r="P229" s="467"/>
      <c r="Q229" s="1119"/>
      <c r="R229" s="467"/>
      <c r="S229" s="1120"/>
      <c r="T229" s="467"/>
      <c r="U229" s="467"/>
    </row>
    <row r="230" spans="1:23" s="1113" customFormat="1" ht="12.75" customHeight="1">
      <c r="A230" s="1121" t="s">
        <v>550</v>
      </c>
      <c r="B230" s="1121"/>
      <c r="C230" s="1121"/>
      <c r="D230" s="1121"/>
      <c r="E230" s="1121"/>
      <c r="F230" s="1121"/>
      <c r="G230" s="1121"/>
      <c r="H230" s="1121"/>
      <c r="I230" s="1121"/>
      <c r="J230" s="1121"/>
      <c r="K230" s="1121"/>
      <c r="L230" s="1121"/>
      <c r="M230" s="1121"/>
      <c r="N230" s="1121"/>
      <c r="O230" s="1121"/>
      <c r="P230" s="1121"/>
      <c r="Q230" s="1119"/>
      <c r="R230" s="467"/>
      <c r="S230" s="1120"/>
      <c r="T230" s="467"/>
      <c r="U230" s="467"/>
    </row>
    <row r="231" spans="1:23" s="695" customFormat="1" ht="12.75" customHeight="1">
      <c r="A231" s="1122"/>
      <c r="B231" s="1122"/>
      <c r="C231" s="1123"/>
      <c r="D231" s="1122"/>
      <c r="E231" s="1122"/>
      <c r="F231" s="1122"/>
      <c r="G231" s="1122"/>
      <c r="H231" s="1122"/>
      <c r="I231" s="1122"/>
      <c r="J231" s="1122"/>
      <c r="K231" s="1122"/>
      <c r="L231" s="1122"/>
      <c r="M231" s="1122"/>
      <c r="N231" s="1122"/>
      <c r="O231" s="1124"/>
      <c r="P231" s="1122"/>
      <c r="Q231" s="1119"/>
      <c r="R231" s="467"/>
      <c r="S231" s="1120"/>
      <c r="T231" s="467"/>
      <c r="U231" s="467"/>
      <c r="V231" s="1113"/>
      <c r="W231" s="1113"/>
    </row>
    <row r="232" spans="1:23" s="1113" customFormat="1" ht="38.25" customHeight="1">
      <c r="A232" s="689" t="s">
        <v>37</v>
      </c>
      <c r="B232" s="689" t="s">
        <v>526</v>
      </c>
      <c r="C232" s="690" t="s">
        <v>527</v>
      </c>
      <c r="D232" s="691" t="s">
        <v>528</v>
      </c>
      <c r="E232" s="691" t="s">
        <v>529</v>
      </c>
      <c r="F232" s="691" t="s">
        <v>530</v>
      </c>
      <c r="G232" s="691" t="s">
        <v>531</v>
      </c>
      <c r="H232" s="691" t="s">
        <v>532</v>
      </c>
      <c r="I232" s="691" t="s">
        <v>533</v>
      </c>
      <c r="J232" s="691" t="s">
        <v>534</v>
      </c>
      <c r="K232" s="692" t="s">
        <v>535</v>
      </c>
      <c r="L232" s="691" t="s">
        <v>536</v>
      </c>
      <c r="M232" s="692" t="s">
        <v>537</v>
      </c>
      <c r="N232" s="691" t="s">
        <v>538</v>
      </c>
      <c r="O232" s="693" t="s">
        <v>529</v>
      </c>
      <c r="P232" s="691" t="s">
        <v>539</v>
      </c>
      <c r="Q232" s="1119"/>
      <c r="R232" s="689" t="s">
        <v>526</v>
      </c>
      <c r="S232" s="691" t="s">
        <v>493</v>
      </c>
      <c r="T232" s="691" t="s">
        <v>335</v>
      </c>
      <c r="U232" s="691" t="s">
        <v>530</v>
      </c>
      <c r="V232" s="691" t="s">
        <v>540</v>
      </c>
      <c r="W232" s="689" t="s">
        <v>540</v>
      </c>
    </row>
    <row r="233" spans="1:23" s="1113" customFormat="1" ht="13.5" customHeight="1">
      <c r="A233" s="1127" t="str">
        <f>IF(B233&lt;&gt;"",ROW()-(ROW()-1),"")</f>
        <v/>
      </c>
      <c r="B233" s="1133"/>
      <c r="C233" s="1188"/>
      <c r="D233" s="1129">
        <f t="shared" ref="D233" si="74">ROUND(C233*O233,0)</f>
        <v>0</v>
      </c>
      <c r="E233" s="1129"/>
      <c r="F233" s="1189"/>
      <c r="G233" s="25">
        <f t="shared" ref="G233" si="75">(D233+E233)*F233</f>
        <v>0</v>
      </c>
      <c r="H233" s="1129">
        <f>IF($D$238&lt;&gt;0,H$238/($D$238+$E$238/4)*($D233+$E233/4),0)</f>
        <v>0</v>
      </c>
      <c r="I233" s="1129">
        <f t="shared" ref="I233:K236" si="76">IF($D$238&lt;&gt;0,I$238/$D$238*$D233,0)</f>
        <v>0</v>
      </c>
      <c r="J233" s="1129">
        <f t="shared" si="76"/>
        <v>0</v>
      </c>
      <c r="K233" s="1129">
        <f t="shared" si="76"/>
        <v>0</v>
      </c>
      <c r="L233" s="1194"/>
      <c r="M233" s="1129"/>
      <c r="N233" s="25">
        <f>ROUND(SUM(G233:L233),0)</f>
        <v>0</v>
      </c>
      <c r="O233" s="1195"/>
      <c r="P233" s="1129">
        <f t="shared" ref="P233" si="77">IF(N233&lt;&gt;0,N233/O233,0)</f>
        <v>0</v>
      </c>
      <c r="Q233" s="694"/>
      <c r="R233" s="696"/>
      <c r="S233" s="1186"/>
      <c r="T233" s="1187"/>
      <c r="U233" s="1187"/>
      <c r="V233" s="25">
        <f t="shared" ref="V233:V239" si="78">ROUND(T233*U233,0)</f>
        <v>0</v>
      </c>
      <c r="W233" s="25"/>
    </row>
    <row r="234" spans="1:23" s="1113" customFormat="1" ht="13.5" customHeight="1">
      <c r="A234" s="1127" t="str">
        <f>IF(B234&lt;&gt;"",A233+1,"")</f>
        <v/>
      </c>
      <c r="B234" s="994"/>
      <c r="C234" s="1188"/>
      <c r="D234" s="1129">
        <f t="shared" ref="D234:D236" si="79">ROUND(C234*O234,0)</f>
        <v>0</v>
      </c>
      <c r="E234" s="1129"/>
      <c r="F234" s="1189"/>
      <c r="G234" s="25">
        <f t="shared" ref="G234:G236" si="80">(D234+E234)*F234</f>
        <v>0</v>
      </c>
      <c r="H234" s="1129">
        <f>IF($D$238&lt;&gt;0,H$238/($D$238+$E$238/4)*($D234+$E234/4),0)</f>
        <v>0</v>
      </c>
      <c r="I234" s="1129">
        <f t="shared" si="76"/>
        <v>0</v>
      </c>
      <c r="J234" s="1129">
        <f t="shared" si="76"/>
        <v>0</v>
      </c>
      <c r="K234" s="1129">
        <f t="shared" si="76"/>
        <v>0</v>
      </c>
      <c r="L234" s="1189"/>
      <c r="M234" s="1129"/>
      <c r="N234" s="25">
        <f t="shared" ref="N234:N236" si="81">ROUND(SUM(G234:L234),0)</f>
        <v>0</v>
      </c>
      <c r="O234" s="1195"/>
      <c r="P234" s="1129">
        <f>IF(N234&lt;&gt;0,N234/O234,0)</f>
        <v>0</v>
      </c>
      <c r="Q234" s="985"/>
      <c r="R234" s="698"/>
      <c r="S234" s="1186"/>
      <c r="T234" s="1187"/>
      <c r="U234" s="1187"/>
      <c r="V234" s="25">
        <v>37533726</v>
      </c>
      <c r="W234" s="8"/>
    </row>
    <row r="235" spans="1:23" s="1113" customFormat="1" ht="13.5" customHeight="1">
      <c r="A235" s="1127" t="str">
        <f t="shared" ref="A235:A236" si="82">IF(B235&lt;&gt;"",A234+1,"")</f>
        <v/>
      </c>
      <c r="B235" s="1133"/>
      <c r="C235" s="1128"/>
      <c r="D235" s="1129">
        <f t="shared" si="79"/>
        <v>0</v>
      </c>
      <c r="E235" s="1129"/>
      <c r="F235" s="1189"/>
      <c r="G235" s="25">
        <f>(D235+E235)*F235</f>
        <v>0</v>
      </c>
      <c r="H235" s="1129">
        <f>IF($D$238&lt;&gt;0,H$238/($D$238+$E$238/4)*($D235+$E235/4),0)</f>
        <v>0</v>
      </c>
      <c r="I235" s="1129">
        <f t="shared" si="76"/>
        <v>0</v>
      </c>
      <c r="J235" s="1129">
        <f t="shared" si="76"/>
        <v>0</v>
      </c>
      <c r="K235" s="1129">
        <f t="shared" si="76"/>
        <v>0</v>
      </c>
      <c r="L235" s="1194"/>
      <c r="M235" s="1129"/>
      <c r="N235" s="25">
        <f t="shared" si="81"/>
        <v>0</v>
      </c>
      <c r="O235" s="1195"/>
      <c r="P235" s="1129">
        <f t="shared" ref="P235:P236" si="83">IF(N235&lt;&gt;0,N235/O235,0)</f>
        <v>0</v>
      </c>
      <c r="Q235" s="985"/>
      <c r="R235" s="698"/>
      <c r="S235" s="1186"/>
      <c r="T235" s="1187"/>
      <c r="U235" s="1187"/>
      <c r="V235" s="25">
        <f>ROUND(T235*U235,0)</f>
        <v>0</v>
      </c>
      <c r="W235" s="8"/>
    </row>
    <row r="236" spans="1:23" s="1113" customFormat="1">
      <c r="A236" s="1127" t="str">
        <f t="shared" si="82"/>
        <v/>
      </c>
      <c r="B236" s="1133"/>
      <c r="C236" s="1128">
        <f>IF(ISNA(VLOOKUP(B236,NXT!$Q$74:$S$94,2,0)),0,VLOOKUP(B236,NXT!$Q$74:$S$94,2,0))</f>
        <v>0</v>
      </c>
      <c r="D236" s="1129">
        <f t="shared" si="79"/>
        <v>0</v>
      </c>
      <c r="E236" s="1129"/>
      <c r="F236" s="1129"/>
      <c r="G236" s="25">
        <f t="shared" si="80"/>
        <v>0</v>
      </c>
      <c r="H236" s="1129">
        <f>IF($D$238&lt;&gt;0,H$238/($D$238+$E$238/4)*($D236+$E236/4),0)</f>
        <v>0</v>
      </c>
      <c r="I236" s="1129">
        <f t="shared" si="76"/>
        <v>0</v>
      </c>
      <c r="J236" s="1129">
        <f t="shared" si="76"/>
        <v>0</v>
      </c>
      <c r="K236" s="1129">
        <f t="shared" si="76"/>
        <v>0</v>
      </c>
      <c r="L236" s="1129"/>
      <c r="M236" s="1129"/>
      <c r="N236" s="25">
        <f t="shared" si="81"/>
        <v>0</v>
      </c>
      <c r="O236" s="407"/>
      <c r="P236" s="1129">
        <f t="shared" si="83"/>
        <v>0</v>
      </c>
      <c r="Q236" s="985"/>
      <c r="R236" s="698"/>
      <c r="S236" s="1186"/>
      <c r="T236" s="1187"/>
      <c r="U236" s="1187"/>
      <c r="V236" s="25">
        <f>ROUND(T236*U236,0)</f>
        <v>0</v>
      </c>
      <c r="W236" s="8"/>
    </row>
    <row r="237" spans="1:23" s="1113" customFormat="1" ht="13.5" customHeight="1">
      <c r="A237" s="1127" t="str">
        <f>IF(B237&lt;&gt;"",#REF!+1,"")</f>
        <v/>
      </c>
      <c r="B237" s="1134"/>
      <c r="C237" s="1135"/>
      <c r="D237" s="1137"/>
      <c r="E237" s="1137"/>
      <c r="F237" s="1137"/>
      <c r="G237" s="1138"/>
      <c r="H237" s="1139"/>
      <c r="I237" s="1137"/>
      <c r="J237" s="8"/>
      <c r="K237" s="1137"/>
      <c r="L237" s="1139"/>
      <c r="M237" s="1137"/>
      <c r="N237" s="1163"/>
      <c r="O237" s="1140"/>
      <c r="P237" s="1137"/>
      <c r="Q237" s="985"/>
      <c r="R237" s="991"/>
      <c r="S237" s="1186"/>
      <c r="T237" s="1187"/>
      <c r="U237" s="1187"/>
      <c r="V237" s="25">
        <f>ROUND(T237*U237,0)</f>
        <v>0</v>
      </c>
      <c r="W237" s="8"/>
    </row>
    <row r="238" spans="1:23" s="1113" customFormat="1" ht="13.5" customHeight="1">
      <c r="A238" s="1142"/>
      <c r="B238" s="1143" t="s">
        <v>541</v>
      </c>
      <c r="C238" s="1144"/>
      <c r="D238" s="883">
        <f>SUM(D233:D237)</f>
        <v>0</v>
      </c>
      <c r="E238" s="883">
        <f>SUM(E233:E237)</f>
        <v>0</v>
      </c>
      <c r="F238" s="883"/>
      <c r="G238" s="883">
        <f>SUM(G233:G237)</f>
        <v>0</v>
      </c>
      <c r="H238" s="883"/>
      <c r="I238" s="883"/>
      <c r="J238" s="1196"/>
      <c r="K238" s="883"/>
      <c r="L238" s="883">
        <f>ROUND(SUM(L233:L237),0)</f>
        <v>0</v>
      </c>
      <c r="M238" s="883">
        <f>ROUND(SUM(M233:M237),0)</f>
        <v>0</v>
      </c>
      <c r="N238" s="883">
        <f>ROUND(SUM(N233:N237),0)</f>
        <v>0</v>
      </c>
      <c r="O238" s="883">
        <f>ROUND(SUM(O233:O237),0)</f>
        <v>0</v>
      </c>
      <c r="P238" s="883"/>
      <c r="Q238" s="985"/>
      <c r="R238" s="991"/>
      <c r="S238" s="1186"/>
      <c r="T238" s="1187"/>
      <c r="U238" s="1191"/>
      <c r="V238" s="25">
        <f>ROUND(T238*U238,0)</f>
        <v>0</v>
      </c>
      <c r="W238" s="8"/>
    </row>
    <row r="239" spans="1:23" s="1113" customFormat="1" ht="13.5" customHeight="1">
      <c r="Q239" s="985"/>
      <c r="R239" s="991"/>
      <c r="S239" s="1186"/>
      <c r="T239" s="1187"/>
      <c r="U239" s="1187"/>
      <c r="V239" s="25">
        <f t="shared" si="78"/>
        <v>0</v>
      </c>
      <c r="W239" s="8"/>
    </row>
    <row r="240" spans="1:23" s="1113" customFormat="1">
      <c r="Q240" s="985"/>
      <c r="R240" s="25"/>
      <c r="S240" s="701"/>
      <c r="T240" s="85"/>
      <c r="U240" s="85"/>
      <c r="V240" s="8"/>
      <c r="W240" s="8"/>
    </row>
    <row r="241" spans="1:23" s="1113" customFormat="1">
      <c r="Q241" s="985"/>
      <c r="R241" s="1166"/>
      <c r="S241" s="1167"/>
      <c r="T241" s="1168"/>
      <c r="U241" s="1179"/>
      <c r="V241" s="76">
        <f>SUM(V233:V240)</f>
        <v>37533726</v>
      </c>
      <c r="W241" s="76">
        <f>SUM(W233:W240)</f>
        <v>0</v>
      </c>
    </row>
    <row r="242" spans="1:23" s="1141" customFormat="1">
      <c r="A242" s="1113"/>
      <c r="B242" s="1113"/>
      <c r="C242" s="1113"/>
      <c r="D242" s="1113"/>
      <c r="E242" s="1113"/>
      <c r="F242" s="1113"/>
      <c r="G242" s="1113"/>
      <c r="H242" s="1113"/>
      <c r="I242" s="1113"/>
      <c r="J242" s="1113"/>
      <c r="K242" s="1113"/>
      <c r="L242" s="1113"/>
      <c r="M242" s="1113"/>
      <c r="N242" s="1113"/>
      <c r="O242" s="1113"/>
      <c r="P242" s="1113"/>
      <c r="Q242" s="985"/>
      <c r="R242" s="993"/>
      <c r="S242" s="1186"/>
      <c r="T242" s="1187"/>
      <c r="U242" s="1191"/>
      <c r="V242" s="25">
        <f>ROUND(T242*U242,0)</f>
        <v>0</v>
      </c>
      <c r="W242" s="25"/>
    </row>
    <row r="243" spans="1:23" s="1116" customFormat="1">
      <c r="A243" s="1113"/>
      <c r="B243" s="1113"/>
      <c r="C243" s="1113"/>
      <c r="D243" s="1113"/>
      <c r="E243" s="1113"/>
      <c r="F243" s="1113"/>
      <c r="G243" s="1113"/>
      <c r="H243" s="1113"/>
      <c r="I243" s="1113"/>
      <c r="J243" s="1113"/>
      <c r="K243" s="1113"/>
      <c r="L243" s="1113"/>
      <c r="M243" s="1113"/>
      <c r="N243" s="1113"/>
      <c r="O243" s="1113"/>
      <c r="P243" s="1113"/>
      <c r="Q243" s="985"/>
      <c r="R243" s="992"/>
      <c r="S243" s="1186"/>
      <c r="T243" s="1191"/>
      <c r="U243" s="1191"/>
      <c r="V243" s="25">
        <f>ROUND(T243*U243,0)</f>
        <v>0</v>
      </c>
      <c r="W243" s="25"/>
    </row>
    <row r="244" spans="1:23" s="1113" customFormat="1">
      <c r="Q244" s="985"/>
      <c r="R244" s="993"/>
      <c r="S244" s="1186"/>
      <c r="T244" s="1191"/>
      <c r="U244" s="1191"/>
      <c r="V244" s="25">
        <f>ROUND(T244*U244,0)</f>
        <v>0</v>
      </c>
      <c r="W244" s="25"/>
    </row>
    <row r="245" spans="1:23" s="1113" customFormat="1">
      <c r="Q245" s="985"/>
      <c r="R245" s="993"/>
      <c r="S245" s="1197"/>
      <c r="T245" s="1191"/>
      <c r="U245" s="1191"/>
      <c r="V245" s="25">
        <f t="shared" ref="V245:V247" si="84">ROUND(T245*U245,0)</f>
        <v>0</v>
      </c>
      <c r="W245" s="25"/>
    </row>
    <row r="246" spans="1:23" s="1113" customFormat="1">
      <c r="Q246" s="985"/>
      <c r="R246" s="993"/>
      <c r="S246" s="1197"/>
      <c r="T246" s="1191"/>
      <c r="U246" s="1191"/>
      <c r="V246" s="25">
        <f t="shared" si="84"/>
        <v>0</v>
      </c>
      <c r="W246" s="8"/>
    </row>
    <row r="247" spans="1:23" s="1113" customFormat="1">
      <c r="Q247" s="985"/>
      <c r="R247" s="1198"/>
      <c r="S247" s="1197"/>
      <c r="T247" s="1191"/>
      <c r="U247" s="1191"/>
      <c r="V247" s="25">
        <f t="shared" si="84"/>
        <v>0</v>
      </c>
      <c r="W247" s="8"/>
    </row>
    <row r="248" spans="1:23" s="1113" customFormat="1">
      <c r="Q248" s="985"/>
      <c r="R248" s="698"/>
      <c r="S248" s="1176"/>
      <c r="T248" s="923"/>
      <c r="U248" s="923"/>
      <c r="V248" s="25">
        <f>SUM(V242:V247)</f>
        <v>0</v>
      </c>
      <c r="W248" s="8"/>
    </row>
    <row r="249" spans="1:23" s="1113" customFormat="1">
      <c r="Q249" s="1114"/>
      <c r="R249" s="698"/>
      <c r="S249" s="701"/>
      <c r="T249" s="923"/>
      <c r="U249" s="923"/>
      <c r="V249" s="25"/>
      <c r="W249" s="8"/>
    </row>
    <row r="250" spans="1:23" s="1113" customFormat="1">
      <c r="Q250" s="1114"/>
      <c r="R250" s="1149"/>
      <c r="S250" s="701"/>
      <c r="T250" s="923"/>
      <c r="U250" s="923"/>
      <c r="V250" s="25"/>
      <c r="W250" s="8"/>
    </row>
    <row r="251" spans="1:23" s="1113" customFormat="1">
      <c r="Q251" s="1114"/>
      <c r="R251" s="467"/>
      <c r="S251" s="1120"/>
      <c r="T251" s="467"/>
      <c r="U251" s="467"/>
    </row>
    <row r="252" spans="1:23" s="1113" customFormat="1">
      <c r="A252" s="1116" t="s">
        <v>524</v>
      </c>
      <c r="B252" s="1116"/>
      <c r="C252" s="1117"/>
      <c r="D252" s="1118"/>
      <c r="E252" s="1118"/>
      <c r="F252" s="1118"/>
      <c r="G252" s="467"/>
      <c r="H252" s="467"/>
      <c r="I252" s="467"/>
      <c r="J252" s="467"/>
      <c r="K252" s="467"/>
      <c r="L252" s="467"/>
      <c r="M252" s="467"/>
      <c r="N252" s="467"/>
      <c r="O252" s="969"/>
      <c r="P252" s="467"/>
      <c r="Q252" s="1114"/>
      <c r="R252" s="467"/>
      <c r="S252" s="1120"/>
      <c r="T252" s="467"/>
      <c r="U252" s="467"/>
    </row>
    <row r="253" spans="1:23" s="1113" customFormat="1">
      <c r="A253" s="1121" t="s">
        <v>551</v>
      </c>
      <c r="B253" s="1121"/>
      <c r="C253" s="1121"/>
      <c r="D253" s="1121"/>
      <c r="E253" s="1121"/>
      <c r="F253" s="1121"/>
      <c r="G253" s="1121"/>
      <c r="H253" s="1121"/>
      <c r="I253" s="1121"/>
      <c r="J253" s="1121"/>
      <c r="K253" s="1121"/>
      <c r="L253" s="1121"/>
      <c r="M253" s="1121"/>
      <c r="N253" s="1121"/>
      <c r="O253" s="1121"/>
      <c r="P253" s="1121"/>
      <c r="Q253" s="1114"/>
      <c r="R253" s="467"/>
      <c r="S253" s="1120"/>
      <c r="T253" s="467"/>
      <c r="U253" s="467"/>
    </row>
    <row r="254" spans="1:23" s="1113" customFormat="1">
      <c r="A254" s="1122"/>
      <c r="B254" s="1122"/>
      <c r="C254" s="1123"/>
      <c r="D254" s="1122"/>
      <c r="E254" s="1122"/>
      <c r="F254" s="1122"/>
      <c r="G254" s="1122"/>
      <c r="H254" s="1122"/>
      <c r="I254" s="1122"/>
      <c r="J254" s="1122"/>
      <c r="K254" s="1122"/>
      <c r="L254" s="1122"/>
      <c r="M254" s="1122"/>
      <c r="N254" s="1122"/>
      <c r="O254" s="1124"/>
      <c r="P254" s="1122"/>
      <c r="Q254" s="1114"/>
      <c r="R254" s="467"/>
      <c r="S254" s="1120"/>
      <c r="T254" s="467"/>
      <c r="U254" s="467"/>
    </row>
    <row r="255" spans="1:23" s="1113" customFormat="1" ht="31.5" customHeight="1">
      <c r="A255" s="689" t="s">
        <v>37</v>
      </c>
      <c r="B255" s="689" t="s">
        <v>526</v>
      </c>
      <c r="C255" s="690" t="s">
        <v>527</v>
      </c>
      <c r="D255" s="691" t="s">
        <v>528</v>
      </c>
      <c r="E255" s="691" t="s">
        <v>529</v>
      </c>
      <c r="F255" s="691" t="s">
        <v>530</v>
      </c>
      <c r="G255" s="691" t="s">
        <v>531</v>
      </c>
      <c r="H255" s="691" t="s">
        <v>532</v>
      </c>
      <c r="I255" s="691" t="s">
        <v>533</v>
      </c>
      <c r="J255" s="691" t="s">
        <v>534</v>
      </c>
      <c r="K255" s="692" t="s">
        <v>535</v>
      </c>
      <c r="L255" s="691" t="s">
        <v>536</v>
      </c>
      <c r="M255" s="692" t="s">
        <v>537</v>
      </c>
      <c r="N255" s="691" t="s">
        <v>538</v>
      </c>
      <c r="O255" s="693" t="s">
        <v>529</v>
      </c>
      <c r="P255" s="691" t="s">
        <v>539</v>
      </c>
      <c r="Q255" s="1114"/>
      <c r="R255" s="689" t="s">
        <v>526</v>
      </c>
      <c r="S255" s="691" t="s">
        <v>493</v>
      </c>
      <c r="T255" s="691" t="s">
        <v>335</v>
      </c>
      <c r="U255" s="691" t="s">
        <v>530</v>
      </c>
      <c r="V255" s="691" t="s">
        <v>540</v>
      </c>
      <c r="W255" s="689" t="s">
        <v>540</v>
      </c>
    </row>
    <row r="256" spans="1:23" s="1113" customFormat="1" ht="15" customHeight="1">
      <c r="A256" s="1175" t="str">
        <f>IF(B256&lt;&gt;"",ROW()-(ROW()-1),"")</f>
        <v/>
      </c>
      <c r="B256" s="472"/>
      <c r="C256" s="1128">
        <f>IF(ISNA(VLOOKUP(B256,NXT!$Q$74:$S$94,2,0)),0,VLOOKUP(B256,NXT!$Q$74:$S$94,3,0))</f>
        <v>0</v>
      </c>
      <c r="D256" s="1199">
        <f>ROUND(C256*O256,0)</f>
        <v>0</v>
      </c>
      <c r="E256" s="1199"/>
      <c r="F256" s="1199"/>
      <c r="G256" s="365">
        <f>(D256+E256)*F256</f>
        <v>0</v>
      </c>
      <c r="H256" s="1199"/>
      <c r="I256" s="1199"/>
      <c r="J256" s="1199"/>
      <c r="K256" s="1199"/>
      <c r="L256" s="365"/>
      <c r="M256" s="1199"/>
      <c r="N256" s="365">
        <f>ROUND(SUM(G256:M256),0)</f>
        <v>0</v>
      </c>
      <c r="O256" s="1199"/>
      <c r="P256" s="1199">
        <f>IF(N256&lt;&gt;0,N256/O256,0)</f>
        <v>0</v>
      </c>
      <c r="Q256" s="1114"/>
      <c r="R256" s="696"/>
      <c r="S256" s="1176"/>
      <c r="T256" s="85"/>
      <c r="U256" s="85"/>
      <c r="V256" s="25">
        <f>ROUND(T256*U256,0)</f>
        <v>0</v>
      </c>
      <c r="W256" s="25"/>
    </row>
    <row r="257" spans="1:24" s="1113" customFormat="1" ht="15" customHeight="1">
      <c r="A257" s="1127" t="str">
        <f>IF(B257&lt;&gt;"",A256+1,"")</f>
        <v/>
      </c>
      <c r="B257" s="474"/>
      <c r="C257" s="1128">
        <f>IF(ISNA(VLOOKUP(B257,NXT!$Q$74:$S$94,2,0)),0,VLOOKUP(B257,NXT!$Q$74:$S$94,3,0))</f>
        <v>0</v>
      </c>
      <c r="D257" s="407">
        <f>ROUND(C257*O257,0)</f>
        <v>0</v>
      </c>
      <c r="E257" s="407"/>
      <c r="F257" s="407"/>
      <c r="G257" s="8">
        <f t="shared" ref="G257:G261" si="85">(D257+E257)*F257</f>
        <v>0</v>
      </c>
      <c r="H257" s="407">
        <f t="shared" ref="H257:K261" si="86">IF($D$263&lt;&gt;0,H$263/($D$263+$E$263/4)*($D257+$E257/4),0)</f>
        <v>0</v>
      </c>
      <c r="I257" s="407">
        <f t="shared" si="86"/>
        <v>0</v>
      </c>
      <c r="J257" s="407">
        <f t="shared" si="86"/>
        <v>0</v>
      </c>
      <c r="K257" s="407">
        <f t="shared" si="86"/>
        <v>0</v>
      </c>
      <c r="L257" s="407"/>
      <c r="M257" s="407"/>
      <c r="N257" s="8">
        <f>ROUND(SUM(G257:M257),0)</f>
        <v>0</v>
      </c>
      <c r="O257" s="407"/>
      <c r="P257" s="407">
        <f>IF(N257&lt;&gt;0,N257/O257,0)</f>
        <v>0</v>
      </c>
      <c r="Q257" s="1114"/>
      <c r="R257" s="698"/>
      <c r="S257" s="1176"/>
      <c r="T257" s="85"/>
      <c r="U257" s="85"/>
      <c r="V257" s="25">
        <f t="shared" ref="V257:V266" si="87">ROUND(T257*U257,0)</f>
        <v>0</v>
      </c>
      <c r="W257" s="8"/>
    </row>
    <row r="258" spans="1:24" s="1113" customFormat="1" ht="15" customHeight="1">
      <c r="A258" s="1127" t="str">
        <f t="shared" ref="A258:A261" si="88">IF(B258&lt;&gt;"",A257+1,"")</f>
        <v/>
      </c>
      <c r="B258" s="474"/>
      <c r="C258" s="1128">
        <f>IF(ISNA(VLOOKUP(B258,NXT!$Q$74:$S$94,2,0)),0,VLOOKUP(B258,NXT!$Q$74:$S$94,3,0))</f>
        <v>0</v>
      </c>
      <c r="D258" s="407">
        <f t="shared" ref="D258" si="89">ROUND(C258*O258,0)</f>
        <v>0</v>
      </c>
      <c r="E258" s="407"/>
      <c r="F258" s="407"/>
      <c r="G258" s="8">
        <f t="shared" si="85"/>
        <v>0</v>
      </c>
      <c r="H258" s="407">
        <f t="shared" si="86"/>
        <v>0</v>
      </c>
      <c r="I258" s="407">
        <f t="shared" si="86"/>
        <v>0</v>
      </c>
      <c r="J258" s="407">
        <f t="shared" si="86"/>
        <v>0</v>
      </c>
      <c r="K258" s="407">
        <f t="shared" si="86"/>
        <v>0</v>
      </c>
      <c r="L258" s="407"/>
      <c r="M258" s="407"/>
      <c r="N258" s="8">
        <f t="shared" ref="N258:N261" si="90">ROUND(SUM(G258:M258),0)</f>
        <v>0</v>
      </c>
      <c r="O258" s="407"/>
      <c r="P258" s="407">
        <f t="shared" ref="P258:P261" si="91">IF(N258&lt;&gt;0,N258/O258,0)</f>
        <v>0</v>
      </c>
      <c r="Q258" s="1114"/>
      <c r="R258" s="698"/>
      <c r="S258" s="1176"/>
      <c r="T258" s="85"/>
      <c r="U258" s="85"/>
      <c r="V258" s="25">
        <f t="shared" si="87"/>
        <v>0</v>
      </c>
      <c r="W258" s="8"/>
    </row>
    <row r="259" spans="1:24" s="1113" customFormat="1" ht="15" customHeight="1">
      <c r="A259" s="1127" t="str">
        <f t="shared" si="88"/>
        <v/>
      </c>
      <c r="B259" s="1133"/>
      <c r="C259" s="1128">
        <f>IF(ISNA(VLOOKUP(B259,NXT!$Q$74:$S$94,2,0)),0,VLOOKUP(B259,NXT!$Q$74:$S$94,3,0))</f>
        <v>0</v>
      </c>
      <c r="D259" s="407">
        <f t="shared" ref="D259" si="92">ROUND(C259*O259,0)</f>
        <v>0</v>
      </c>
      <c r="E259" s="407"/>
      <c r="F259" s="407"/>
      <c r="G259" s="8">
        <f t="shared" si="85"/>
        <v>0</v>
      </c>
      <c r="H259" s="407">
        <f t="shared" si="86"/>
        <v>0</v>
      </c>
      <c r="I259" s="407">
        <f t="shared" si="86"/>
        <v>0</v>
      </c>
      <c r="J259" s="407">
        <f t="shared" si="86"/>
        <v>0</v>
      </c>
      <c r="K259" s="407">
        <f t="shared" si="86"/>
        <v>0</v>
      </c>
      <c r="L259" s="407"/>
      <c r="M259" s="407"/>
      <c r="N259" s="8">
        <f t="shared" si="90"/>
        <v>0</v>
      </c>
      <c r="O259" s="407"/>
      <c r="P259" s="407">
        <f t="shared" si="91"/>
        <v>0</v>
      </c>
      <c r="Q259" s="1119"/>
      <c r="R259" s="698"/>
      <c r="S259" s="1176"/>
      <c r="T259" s="85"/>
      <c r="U259" s="85"/>
      <c r="V259" s="25">
        <f t="shared" si="87"/>
        <v>0</v>
      </c>
      <c r="W259" s="8"/>
    </row>
    <row r="260" spans="1:24" s="1113" customFormat="1" ht="15" customHeight="1">
      <c r="A260" s="1127" t="str">
        <f t="shared" si="88"/>
        <v/>
      </c>
      <c r="B260" s="1133"/>
      <c r="C260" s="1128">
        <f>IF(ISNA(VLOOKUP(B260,NXT!$Q$74:$S$94,2,0)),0,VLOOKUP(B260,NXT!$Q$74:$S$94,3,0))</f>
        <v>0</v>
      </c>
      <c r="D260" s="407">
        <f t="shared" ref="D260:D261" si="93">ROUND(C260*O260,0)</f>
        <v>0</v>
      </c>
      <c r="E260" s="407"/>
      <c r="F260" s="407"/>
      <c r="G260" s="8">
        <f t="shared" si="85"/>
        <v>0</v>
      </c>
      <c r="H260" s="407">
        <f t="shared" si="86"/>
        <v>0</v>
      </c>
      <c r="I260" s="407">
        <f t="shared" si="86"/>
        <v>0</v>
      </c>
      <c r="J260" s="407">
        <f t="shared" si="86"/>
        <v>0</v>
      </c>
      <c r="K260" s="407">
        <f t="shared" si="86"/>
        <v>0</v>
      </c>
      <c r="L260" s="407"/>
      <c r="M260" s="407"/>
      <c r="N260" s="8">
        <f t="shared" si="90"/>
        <v>0</v>
      </c>
      <c r="O260" s="407"/>
      <c r="P260" s="407">
        <f t="shared" si="91"/>
        <v>0</v>
      </c>
      <c r="Q260" s="1119"/>
      <c r="R260" s="991"/>
      <c r="S260" s="1176"/>
      <c r="T260" s="85"/>
      <c r="U260" s="85"/>
      <c r="V260" s="25">
        <f t="shared" si="87"/>
        <v>0</v>
      </c>
      <c r="W260" s="8"/>
      <c r="X260" s="1200"/>
    </row>
    <row r="261" spans="1:24" s="695" customFormat="1" ht="15" customHeight="1">
      <c r="A261" s="1127" t="str">
        <f t="shared" si="88"/>
        <v/>
      </c>
      <c r="B261" s="1133"/>
      <c r="C261" s="1128">
        <f>IF(ISNA(VLOOKUP(B261,NXT!$Q$74:$S$94,2,0)),0,VLOOKUP(B261,NXT!$Q$74:$S$94,3,0))</f>
        <v>0</v>
      </c>
      <c r="D261" s="407">
        <f t="shared" si="93"/>
        <v>0</v>
      </c>
      <c r="E261" s="407"/>
      <c r="F261" s="407"/>
      <c r="G261" s="8">
        <f t="shared" si="85"/>
        <v>0</v>
      </c>
      <c r="H261" s="407">
        <f t="shared" si="86"/>
        <v>0</v>
      </c>
      <c r="I261" s="407">
        <f t="shared" si="86"/>
        <v>0</v>
      </c>
      <c r="J261" s="407">
        <f t="shared" si="86"/>
        <v>0</v>
      </c>
      <c r="K261" s="407">
        <f t="shared" si="86"/>
        <v>0</v>
      </c>
      <c r="L261" s="407"/>
      <c r="M261" s="407"/>
      <c r="N261" s="8">
        <f t="shared" si="90"/>
        <v>0</v>
      </c>
      <c r="O261" s="407"/>
      <c r="P261" s="407">
        <f t="shared" si="91"/>
        <v>0</v>
      </c>
      <c r="Q261" s="1119"/>
      <c r="R261" s="991"/>
      <c r="S261" s="1176"/>
      <c r="T261" s="85"/>
      <c r="U261" s="923"/>
      <c r="V261" s="25">
        <f t="shared" si="87"/>
        <v>0</v>
      </c>
      <c r="W261" s="8"/>
    </row>
    <row r="262" spans="1:24" s="695" customFormat="1" ht="15" customHeight="1">
      <c r="A262" s="1201" t="str">
        <f>IF(B262&lt;&gt;"",#REF!+1,"")</f>
        <v/>
      </c>
      <c r="B262" s="1159"/>
      <c r="C262" s="1160"/>
      <c r="D262" s="1161"/>
      <c r="E262" s="1161"/>
      <c r="F262" s="1161"/>
      <c r="G262" s="1162"/>
      <c r="H262" s="1163"/>
      <c r="I262" s="1161"/>
      <c r="J262" s="490"/>
      <c r="K262" s="1161"/>
      <c r="L262" s="1163"/>
      <c r="M262" s="1161"/>
      <c r="N262" s="1163"/>
      <c r="O262" s="1164"/>
      <c r="P262" s="1161"/>
      <c r="Q262" s="1119"/>
      <c r="R262" s="991"/>
      <c r="S262" s="1186"/>
      <c r="T262" s="1187"/>
      <c r="U262" s="1191"/>
      <c r="V262" s="25">
        <f t="shared" si="87"/>
        <v>0</v>
      </c>
      <c r="W262" s="8"/>
    </row>
    <row r="263" spans="1:24" s="695" customFormat="1" ht="15" customHeight="1">
      <c r="A263" s="1142"/>
      <c r="B263" s="1143" t="s">
        <v>541</v>
      </c>
      <c r="C263" s="1144"/>
      <c r="D263" s="883">
        <f>SUM(D256:D262)</f>
        <v>0</v>
      </c>
      <c r="E263" s="883">
        <f>SUM(E256:E262)</f>
        <v>0</v>
      </c>
      <c r="F263" s="883"/>
      <c r="G263" s="883">
        <f>SUM(G256:G262)</f>
        <v>0</v>
      </c>
      <c r="H263" s="883"/>
      <c r="I263" s="883"/>
      <c r="J263" s="883"/>
      <c r="K263" s="883"/>
      <c r="L263" s="883">
        <f>ROUND(SUM(L256:L262),0)</f>
        <v>0</v>
      </c>
      <c r="M263" s="883">
        <f>ROUND(SUM(M256:M262),0)</f>
        <v>0</v>
      </c>
      <c r="N263" s="883">
        <f>ROUND(SUM(N256:N262),0)</f>
        <v>0</v>
      </c>
      <c r="O263" s="883">
        <f>ROUND(SUM(O256:O262),0)</f>
        <v>0</v>
      </c>
      <c r="P263" s="883"/>
      <c r="Q263" s="1119"/>
      <c r="R263" s="991"/>
      <c r="S263" s="1186"/>
      <c r="T263" s="1187"/>
      <c r="U263" s="1191"/>
      <c r="V263" s="25">
        <f t="shared" si="87"/>
        <v>0</v>
      </c>
      <c r="W263" s="8"/>
    </row>
    <row r="264" spans="1:24" s="1113" customFormat="1" ht="13.5" customHeight="1">
      <c r="Q264" s="694"/>
      <c r="R264" s="698"/>
      <c r="S264" s="701"/>
      <c r="T264" s="1149"/>
      <c r="U264" s="923"/>
      <c r="V264" s="25">
        <f t="shared" si="87"/>
        <v>0</v>
      </c>
      <c r="W264" s="8"/>
    </row>
    <row r="265" spans="1:24" s="1113" customFormat="1" ht="13.5" customHeight="1">
      <c r="Q265" s="694"/>
      <c r="R265" s="702"/>
      <c r="S265" s="701"/>
      <c r="T265" s="1149"/>
      <c r="U265" s="923"/>
      <c r="V265" s="25">
        <f t="shared" si="87"/>
        <v>0</v>
      </c>
      <c r="W265" s="8"/>
    </row>
    <row r="266" spans="1:24" s="1113" customFormat="1">
      <c r="Q266" s="985"/>
      <c r="R266" s="474"/>
      <c r="S266" s="701"/>
      <c r="T266" s="85"/>
      <c r="U266" s="85"/>
      <c r="V266" s="25">
        <f t="shared" si="87"/>
        <v>0</v>
      </c>
      <c r="W266" s="8"/>
    </row>
    <row r="267" spans="1:24" s="1113" customFormat="1">
      <c r="Q267" s="985"/>
      <c r="R267" s="25"/>
      <c r="S267" s="701"/>
      <c r="T267" s="85"/>
      <c r="U267" s="85"/>
      <c r="V267" s="8"/>
      <c r="W267" s="8"/>
    </row>
    <row r="268" spans="1:24" s="1113" customFormat="1" ht="12" customHeight="1">
      <c r="O268" s="1152"/>
      <c r="Q268" s="985"/>
      <c r="R268" s="1166"/>
      <c r="S268" s="1167"/>
      <c r="T268" s="1168"/>
      <c r="U268" s="1179"/>
      <c r="V268" s="76">
        <f>SUM(V256:V267)</f>
        <v>0</v>
      </c>
      <c r="W268" s="76">
        <f>SUM(W256:W267)</f>
        <v>0</v>
      </c>
    </row>
    <row r="269" spans="1:24" s="1141" customFormat="1">
      <c r="A269" s="1113"/>
      <c r="B269" s="1113"/>
      <c r="C269" s="1113"/>
      <c r="D269" s="1113"/>
      <c r="E269" s="1113"/>
      <c r="F269" s="1113"/>
      <c r="G269" s="1113"/>
      <c r="H269" s="1113"/>
      <c r="I269" s="1113"/>
      <c r="J269" s="1113"/>
      <c r="K269" s="1113"/>
      <c r="L269" s="1113"/>
      <c r="M269" s="1113"/>
      <c r="N269" s="1113"/>
      <c r="O269" s="1113"/>
      <c r="P269" s="1113"/>
      <c r="Q269" s="985"/>
      <c r="R269" s="1149"/>
      <c r="S269" s="1176"/>
      <c r="T269" s="85"/>
      <c r="U269" s="85"/>
      <c r="V269" s="25">
        <f t="shared" ref="V269:V274" si="94">ROUND(T269*U269,0)</f>
        <v>0</v>
      </c>
      <c r="W269" s="25"/>
    </row>
    <row r="270" spans="1:24" s="1116" customFormat="1">
      <c r="A270" s="1113"/>
      <c r="B270" s="1113"/>
      <c r="C270" s="1113"/>
      <c r="D270" s="1113"/>
      <c r="E270" s="1113"/>
      <c r="F270" s="1113"/>
      <c r="G270" s="1113"/>
      <c r="H270" s="1113"/>
      <c r="I270" s="1113"/>
      <c r="J270" s="1113"/>
      <c r="K270" s="1113"/>
      <c r="L270" s="1113"/>
      <c r="M270" s="1113"/>
      <c r="N270" s="1113"/>
      <c r="O270" s="1113"/>
      <c r="P270" s="1113"/>
      <c r="Q270" s="985"/>
      <c r="R270" s="698"/>
      <c r="S270" s="1176"/>
      <c r="T270" s="923"/>
      <c r="U270" s="923"/>
      <c r="V270" s="25">
        <f t="shared" si="94"/>
        <v>0</v>
      </c>
      <c r="W270" s="8"/>
    </row>
    <row r="271" spans="1:24" s="1113" customFormat="1">
      <c r="Q271" s="985"/>
      <c r="R271" s="698"/>
      <c r="S271" s="701"/>
      <c r="T271" s="923"/>
      <c r="U271" s="923"/>
      <c r="V271" s="25">
        <f t="shared" si="94"/>
        <v>0</v>
      </c>
      <c r="W271" s="8"/>
    </row>
    <row r="272" spans="1:24" s="1113" customFormat="1">
      <c r="Q272" s="985"/>
      <c r="R272" s="993"/>
      <c r="S272" s="701"/>
      <c r="T272" s="923"/>
      <c r="U272" s="923"/>
      <c r="V272" s="25">
        <f t="shared" si="94"/>
        <v>0</v>
      </c>
      <c r="W272" s="8"/>
    </row>
    <row r="273" spans="1:23" s="1113" customFormat="1">
      <c r="Q273" s="1114"/>
      <c r="R273" s="698"/>
      <c r="S273" s="701"/>
      <c r="T273" s="923"/>
      <c r="U273" s="923"/>
      <c r="V273" s="25">
        <f t="shared" si="94"/>
        <v>0</v>
      </c>
      <c r="W273" s="8"/>
    </row>
    <row r="274" spans="1:23" s="1113" customFormat="1">
      <c r="Q274" s="1114"/>
      <c r="R274" s="993"/>
      <c r="S274" s="701"/>
      <c r="T274" s="923"/>
      <c r="U274" s="923"/>
      <c r="V274" s="25">
        <f t="shared" si="94"/>
        <v>0</v>
      </c>
      <c r="W274" s="8"/>
    </row>
    <row r="275" spans="1:23" s="1113" customFormat="1">
      <c r="Q275" s="1114"/>
      <c r="R275" s="1149"/>
      <c r="S275" s="701"/>
      <c r="T275" s="923"/>
      <c r="U275" s="923"/>
      <c r="V275" s="25"/>
      <c r="W275" s="8"/>
    </row>
    <row r="276" spans="1:23" s="1113" customFormat="1">
      <c r="Q276" s="1114"/>
      <c r="R276" s="1149"/>
      <c r="S276" s="701"/>
      <c r="T276" s="923"/>
      <c r="U276" s="923"/>
      <c r="V276" s="1202">
        <f>SUM(V269:V275)</f>
        <v>0</v>
      </c>
      <c r="W276" s="8"/>
    </row>
    <row r="277" spans="1:23" s="1113" customFormat="1">
      <c r="A277" s="1121"/>
      <c r="B277" s="1121"/>
      <c r="C277" s="1121"/>
      <c r="D277" s="1121"/>
      <c r="E277" s="1121"/>
      <c r="F277" s="1121"/>
      <c r="G277" s="1121"/>
      <c r="H277" s="1121"/>
      <c r="I277" s="1121"/>
      <c r="J277" s="1121"/>
      <c r="K277" s="1121"/>
      <c r="L277" s="1121"/>
      <c r="M277" s="1121"/>
      <c r="N277" s="1121"/>
      <c r="O277" s="1121"/>
      <c r="P277" s="1121"/>
      <c r="Q277" s="1114"/>
      <c r="R277" s="467"/>
      <c r="S277" s="1120"/>
      <c r="T277" s="467"/>
      <c r="U277" s="467"/>
    </row>
    <row r="278" spans="1:23" s="1113" customFormat="1">
      <c r="A278" s="1116" t="s">
        <v>524</v>
      </c>
      <c r="B278" s="1116"/>
      <c r="C278" s="1117"/>
      <c r="D278" s="1118"/>
      <c r="E278" s="1118"/>
      <c r="F278" s="1118"/>
      <c r="G278" s="467"/>
      <c r="H278" s="467"/>
      <c r="I278" s="467"/>
      <c r="J278" s="467"/>
      <c r="K278" s="467"/>
      <c r="L278" s="467"/>
      <c r="M278" s="467"/>
      <c r="N278" s="467"/>
      <c r="O278" s="969"/>
      <c r="P278" s="467"/>
      <c r="Q278" s="1114"/>
      <c r="R278" s="467"/>
      <c r="S278" s="1120"/>
      <c r="T278" s="467"/>
      <c r="U278" s="467"/>
    </row>
    <row r="279" spans="1:23" s="1113" customFormat="1">
      <c r="A279" s="1121" t="s">
        <v>552</v>
      </c>
      <c r="B279" s="1121"/>
      <c r="C279" s="1121"/>
      <c r="D279" s="1121"/>
      <c r="E279" s="1121"/>
      <c r="F279" s="1121"/>
      <c r="G279" s="1121"/>
      <c r="H279" s="1121"/>
      <c r="I279" s="1121"/>
      <c r="J279" s="1121"/>
      <c r="K279" s="1121"/>
      <c r="L279" s="1121"/>
      <c r="M279" s="1121"/>
      <c r="N279" s="1121"/>
      <c r="O279" s="1121"/>
      <c r="P279" s="1121"/>
      <c r="Q279" s="1114"/>
      <c r="R279" s="467"/>
      <c r="S279" s="1120"/>
      <c r="T279" s="467"/>
      <c r="U279" s="467"/>
    </row>
    <row r="280" spans="1:23" s="1113" customFormat="1">
      <c r="A280" s="1122"/>
      <c r="B280" s="1122"/>
      <c r="C280" s="1123"/>
      <c r="D280" s="1122"/>
      <c r="E280" s="1122"/>
      <c r="F280" s="1122"/>
      <c r="G280" s="1122"/>
      <c r="H280" s="1122"/>
      <c r="I280" s="1122"/>
      <c r="J280" s="1122"/>
      <c r="K280" s="1122"/>
      <c r="L280" s="1122"/>
      <c r="M280" s="1122"/>
      <c r="N280" s="1122"/>
      <c r="O280" s="1124"/>
      <c r="P280" s="1122"/>
      <c r="Q280" s="1114"/>
      <c r="R280" s="467"/>
      <c r="S280" s="1120"/>
      <c r="T280" s="467"/>
      <c r="U280" s="467"/>
    </row>
    <row r="281" spans="1:23" s="1113" customFormat="1" ht="33" customHeight="1">
      <c r="A281" s="689" t="s">
        <v>37</v>
      </c>
      <c r="B281" s="689" t="s">
        <v>526</v>
      </c>
      <c r="C281" s="690" t="s">
        <v>527</v>
      </c>
      <c r="D281" s="691" t="s">
        <v>528</v>
      </c>
      <c r="E281" s="691" t="s">
        <v>529</v>
      </c>
      <c r="F281" s="691" t="s">
        <v>530</v>
      </c>
      <c r="G281" s="691" t="s">
        <v>531</v>
      </c>
      <c r="H281" s="691" t="s">
        <v>532</v>
      </c>
      <c r="I281" s="691" t="s">
        <v>533</v>
      </c>
      <c r="J281" s="691" t="s">
        <v>534</v>
      </c>
      <c r="K281" s="692" t="s">
        <v>535</v>
      </c>
      <c r="L281" s="691" t="s">
        <v>536</v>
      </c>
      <c r="M281" s="692" t="s">
        <v>537</v>
      </c>
      <c r="N281" s="691" t="s">
        <v>538</v>
      </c>
      <c r="O281" s="693" t="s">
        <v>529</v>
      </c>
      <c r="P281" s="691" t="s">
        <v>539</v>
      </c>
      <c r="Q281" s="1114"/>
      <c r="R281" s="689" t="s">
        <v>526</v>
      </c>
      <c r="S281" s="691" t="s">
        <v>493</v>
      </c>
      <c r="T281" s="691" t="s">
        <v>335</v>
      </c>
      <c r="U281" s="691" t="s">
        <v>530</v>
      </c>
      <c r="V281" s="691" t="s">
        <v>540</v>
      </c>
      <c r="W281" s="689" t="s">
        <v>540</v>
      </c>
    </row>
    <row r="282" spans="1:23" s="1113" customFormat="1" ht="16.5" customHeight="1">
      <c r="A282" s="1175">
        <v>1</v>
      </c>
      <c r="B282" s="1034"/>
      <c r="C282" s="1203"/>
      <c r="D282" s="1199">
        <f t="shared" ref="D282" si="95">ROUND(C282*O282,0)</f>
        <v>0</v>
      </c>
      <c r="E282" s="1199"/>
      <c r="F282" s="1199"/>
      <c r="G282" s="365">
        <f>(D282+E282)*F282</f>
        <v>0</v>
      </c>
      <c r="H282" s="1199"/>
      <c r="I282" s="1199"/>
      <c r="J282" s="1199"/>
      <c r="K282" s="1199"/>
      <c r="L282" s="365"/>
      <c r="M282" s="407"/>
      <c r="N282" s="365">
        <f>ROUND(SUM(G282:M282),0)</f>
        <v>0</v>
      </c>
      <c r="O282" s="1038"/>
      <c r="P282" s="1199">
        <f t="shared" ref="P282:P296" si="96">IF(N282&lt;&gt;0,N282/O282,0)</f>
        <v>0</v>
      </c>
      <c r="Q282" s="1114"/>
      <c r="R282" s="1021"/>
      <c r="S282" s="1022"/>
      <c r="T282" s="1022"/>
      <c r="U282" s="1022"/>
      <c r="V282" s="25">
        <f t="shared" ref="V282:V286" si="97">ROUND(T282*U282,0)</f>
        <v>0</v>
      </c>
      <c r="W282" s="1020"/>
    </row>
    <row r="283" spans="1:23" s="1113" customFormat="1" ht="13.5" customHeight="1">
      <c r="A283" s="1177">
        <v>2</v>
      </c>
      <c r="B283" s="78"/>
      <c r="C283" s="1128"/>
      <c r="D283" s="407">
        <f>ROUND(C283*O283,0)</f>
        <v>0</v>
      </c>
      <c r="E283" s="407"/>
      <c r="F283" s="407"/>
      <c r="G283" s="8"/>
      <c r="H283" s="407">
        <f t="shared" ref="H283:H296" si="98">IF($D$298&lt;&gt;0,H$298/($D$298+$E$298/4)*($D283+$E283/4),0)</f>
        <v>0</v>
      </c>
      <c r="I283" s="407">
        <f t="shared" ref="I283:K296" si="99">IF($D$298&lt;&gt;0,I$298/$D$298*$D283,0)</f>
        <v>0</v>
      </c>
      <c r="J283" s="407">
        <f t="shared" si="99"/>
        <v>0</v>
      </c>
      <c r="K283" s="407">
        <f t="shared" si="99"/>
        <v>0</v>
      </c>
      <c r="L283" s="8"/>
      <c r="M283" s="407"/>
      <c r="N283" s="8">
        <f>ROUND(SUM(G283:L283),0)</f>
        <v>0</v>
      </c>
      <c r="O283" s="1018"/>
      <c r="P283" s="407">
        <f t="shared" si="96"/>
        <v>0</v>
      </c>
      <c r="Q283" s="1114"/>
      <c r="R283" s="698"/>
      <c r="S283" s="701"/>
      <c r="T283" s="923"/>
      <c r="U283" s="923"/>
      <c r="V283" s="25">
        <f t="shared" si="97"/>
        <v>0</v>
      </c>
      <c r="W283" s="25"/>
    </row>
    <row r="284" spans="1:23" s="1113" customFormat="1" ht="13.5" customHeight="1">
      <c r="A284" s="1177">
        <f>A283+1</f>
        <v>3</v>
      </c>
      <c r="B284" s="78"/>
      <c r="C284" s="1128"/>
      <c r="D284" s="407">
        <f t="shared" ref="D284:D287" si="100">ROUND(C284*O284,0)</f>
        <v>0</v>
      </c>
      <c r="E284" s="407"/>
      <c r="F284" s="407"/>
      <c r="G284" s="8">
        <f t="shared" ref="G284" si="101">(D284+E284)*F284</f>
        <v>0</v>
      </c>
      <c r="H284" s="407">
        <f t="shared" si="98"/>
        <v>0</v>
      </c>
      <c r="I284" s="407">
        <f t="shared" si="99"/>
        <v>0</v>
      </c>
      <c r="J284" s="407">
        <f t="shared" si="99"/>
        <v>0</v>
      </c>
      <c r="K284" s="407">
        <f t="shared" si="99"/>
        <v>0</v>
      </c>
      <c r="L284" s="8"/>
      <c r="M284" s="407"/>
      <c r="N284" s="8">
        <f t="shared" ref="N284" si="102">ROUND(SUM(G284:L284),0)</f>
        <v>0</v>
      </c>
      <c r="O284" s="1018"/>
      <c r="P284" s="407">
        <f t="shared" si="96"/>
        <v>0</v>
      </c>
      <c r="Q284" s="1114"/>
      <c r="R284" s="698"/>
      <c r="S284" s="701"/>
      <c r="T284" s="923"/>
      <c r="U284" s="923"/>
      <c r="V284" s="25">
        <f t="shared" si="97"/>
        <v>0</v>
      </c>
      <c r="W284" s="8"/>
    </row>
    <row r="285" spans="1:23" s="1113" customFormat="1" ht="13.5" customHeight="1">
      <c r="A285" s="1177">
        <f t="shared" ref="A285:A296" si="103">A284+1</f>
        <v>4</v>
      </c>
      <c r="B285" s="78"/>
      <c r="C285" s="1128"/>
      <c r="D285" s="407">
        <f t="shared" si="100"/>
        <v>0</v>
      </c>
      <c r="E285" s="319"/>
      <c r="F285" s="319"/>
      <c r="G285" s="8">
        <f>(D285+E285)*F285</f>
        <v>0</v>
      </c>
      <c r="H285" s="407">
        <f t="shared" si="98"/>
        <v>0</v>
      </c>
      <c r="I285" s="407">
        <f t="shared" si="99"/>
        <v>0</v>
      </c>
      <c r="J285" s="407">
        <f t="shared" si="99"/>
        <v>0</v>
      </c>
      <c r="K285" s="407">
        <f t="shared" si="99"/>
        <v>0</v>
      </c>
      <c r="L285" s="8"/>
      <c r="M285" s="1039"/>
      <c r="N285" s="8">
        <f t="shared" ref="N285:N290" si="104">ROUND(SUM(G285:L285),0)</f>
        <v>0</v>
      </c>
      <c r="O285" s="403"/>
      <c r="P285" s="407">
        <f t="shared" si="96"/>
        <v>0</v>
      </c>
      <c r="Q285" s="1114"/>
      <c r="R285" s="698"/>
      <c r="S285" s="1176"/>
      <c r="T285" s="85"/>
      <c r="U285" s="85"/>
      <c r="V285" s="25">
        <f t="shared" si="97"/>
        <v>0</v>
      </c>
      <c r="W285" s="8"/>
    </row>
    <row r="286" spans="1:23" s="1113" customFormat="1" ht="13.5" customHeight="1">
      <c r="A286" s="1177">
        <f t="shared" si="103"/>
        <v>5</v>
      </c>
      <c r="B286" s="78"/>
      <c r="C286" s="1128"/>
      <c r="D286" s="407">
        <f t="shared" si="100"/>
        <v>0</v>
      </c>
      <c r="E286" s="407"/>
      <c r="F286" s="407"/>
      <c r="G286" s="8">
        <f t="shared" ref="G286:G296" si="105">(D286+E286)*F286</f>
        <v>0</v>
      </c>
      <c r="H286" s="407">
        <f t="shared" si="98"/>
        <v>0</v>
      </c>
      <c r="I286" s="407">
        <f t="shared" si="99"/>
        <v>0</v>
      </c>
      <c r="J286" s="407">
        <f t="shared" si="99"/>
        <v>0</v>
      </c>
      <c r="K286" s="407">
        <f t="shared" si="99"/>
        <v>0</v>
      </c>
      <c r="L286" s="8"/>
      <c r="M286" s="407"/>
      <c r="N286" s="8">
        <f t="shared" si="104"/>
        <v>0</v>
      </c>
      <c r="O286" s="403"/>
      <c r="P286" s="407">
        <f t="shared" si="96"/>
        <v>0</v>
      </c>
      <c r="Q286" s="1119"/>
      <c r="R286" s="991"/>
      <c r="S286" s="1176"/>
      <c r="T286" s="85"/>
      <c r="U286" s="85"/>
      <c r="V286" s="25">
        <f t="shared" si="97"/>
        <v>0</v>
      </c>
      <c r="W286" s="8"/>
    </row>
    <row r="287" spans="1:23" s="1113" customFormat="1" ht="13.5" customHeight="1">
      <c r="A287" s="1177">
        <f t="shared" si="103"/>
        <v>6</v>
      </c>
      <c r="B287" s="78"/>
      <c r="C287" s="1128"/>
      <c r="D287" s="407">
        <f t="shared" si="100"/>
        <v>0</v>
      </c>
      <c r="E287" s="407"/>
      <c r="F287" s="407"/>
      <c r="G287" s="8">
        <f t="shared" si="105"/>
        <v>0</v>
      </c>
      <c r="H287" s="407">
        <f t="shared" si="98"/>
        <v>0</v>
      </c>
      <c r="I287" s="407">
        <f t="shared" si="99"/>
        <v>0</v>
      </c>
      <c r="J287" s="407">
        <f t="shared" si="99"/>
        <v>0</v>
      </c>
      <c r="K287" s="407">
        <f t="shared" si="99"/>
        <v>0</v>
      </c>
      <c r="L287" s="8"/>
      <c r="M287" s="407"/>
      <c r="N287" s="8">
        <f t="shared" si="104"/>
        <v>0</v>
      </c>
      <c r="O287" s="403"/>
      <c r="P287" s="407">
        <f t="shared" si="96"/>
        <v>0</v>
      </c>
      <c r="Q287" s="1119"/>
      <c r="R287" s="991"/>
      <c r="S287" s="1176"/>
      <c r="T287" s="85"/>
      <c r="U287" s="85"/>
      <c r="V287" s="25">
        <f t="shared" ref="V287:V289" si="106">ROUND(T287*U287,0)</f>
        <v>0</v>
      </c>
      <c r="W287" s="8"/>
    </row>
    <row r="288" spans="1:23" s="695" customFormat="1" ht="13.5" customHeight="1">
      <c r="A288" s="1177">
        <f t="shared" si="103"/>
        <v>7</v>
      </c>
      <c r="B288" s="78"/>
      <c r="C288" s="1128"/>
      <c r="D288" s="407">
        <f t="shared" ref="D288:D290" si="107">ROUND(C288*O288,0)</f>
        <v>0</v>
      </c>
      <c r="E288" s="407"/>
      <c r="F288" s="407"/>
      <c r="G288" s="8">
        <f t="shared" si="105"/>
        <v>0</v>
      </c>
      <c r="H288" s="407">
        <f t="shared" si="98"/>
        <v>0</v>
      </c>
      <c r="I288" s="407">
        <f t="shared" si="99"/>
        <v>0</v>
      </c>
      <c r="J288" s="407">
        <f t="shared" si="99"/>
        <v>0</v>
      </c>
      <c r="K288" s="407">
        <f t="shared" si="99"/>
        <v>0</v>
      </c>
      <c r="L288" s="8"/>
      <c r="M288" s="407"/>
      <c r="N288" s="8">
        <f t="shared" si="104"/>
        <v>0</v>
      </c>
      <c r="O288" s="403"/>
      <c r="P288" s="407">
        <f t="shared" si="96"/>
        <v>0</v>
      </c>
      <c r="Q288" s="1119"/>
      <c r="R288" s="991"/>
      <c r="S288" s="1176"/>
      <c r="T288" s="85"/>
      <c r="U288" s="85"/>
      <c r="V288" s="25">
        <f t="shared" si="106"/>
        <v>0</v>
      </c>
      <c r="W288" s="8"/>
    </row>
    <row r="289" spans="1:23" s="1113" customFormat="1" ht="13.5" customHeight="1">
      <c r="A289" s="1177">
        <f t="shared" si="103"/>
        <v>8</v>
      </c>
      <c r="B289" s="78"/>
      <c r="C289" s="1128"/>
      <c r="D289" s="407">
        <f t="shared" si="107"/>
        <v>0</v>
      </c>
      <c r="E289" s="407"/>
      <c r="F289" s="407"/>
      <c r="G289" s="8">
        <f t="shared" si="105"/>
        <v>0</v>
      </c>
      <c r="H289" s="407">
        <f t="shared" si="98"/>
        <v>0</v>
      </c>
      <c r="I289" s="407">
        <f t="shared" si="99"/>
        <v>0</v>
      </c>
      <c r="J289" s="407">
        <f t="shared" si="99"/>
        <v>0</v>
      </c>
      <c r="K289" s="407">
        <f t="shared" si="99"/>
        <v>0</v>
      </c>
      <c r="L289" s="8"/>
      <c r="M289" s="407"/>
      <c r="N289" s="8">
        <f t="shared" si="104"/>
        <v>0</v>
      </c>
      <c r="O289" s="403"/>
      <c r="P289" s="407">
        <f t="shared" si="96"/>
        <v>0</v>
      </c>
      <c r="Q289" s="1119"/>
      <c r="R289" s="698"/>
      <c r="S289" s="1176"/>
      <c r="T289" s="85"/>
      <c r="U289" s="85"/>
      <c r="V289" s="25">
        <f t="shared" si="106"/>
        <v>0</v>
      </c>
      <c r="W289" s="8"/>
    </row>
    <row r="290" spans="1:23" s="1113" customFormat="1" ht="13.5" customHeight="1">
      <c r="A290" s="1177">
        <f t="shared" si="103"/>
        <v>9</v>
      </c>
      <c r="B290" s="78"/>
      <c r="C290" s="1128"/>
      <c r="D290" s="407">
        <f t="shared" si="107"/>
        <v>0</v>
      </c>
      <c r="E290" s="407"/>
      <c r="F290" s="407"/>
      <c r="G290" s="8">
        <f t="shared" si="105"/>
        <v>0</v>
      </c>
      <c r="H290" s="407">
        <f t="shared" si="98"/>
        <v>0</v>
      </c>
      <c r="I290" s="407">
        <f t="shared" si="99"/>
        <v>0</v>
      </c>
      <c r="J290" s="407">
        <f t="shared" si="99"/>
        <v>0</v>
      </c>
      <c r="K290" s="407">
        <f t="shared" si="99"/>
        <v>0</v>
      </c>
      <c r="L290" s="8"/>
      <c r="M290" s="407"/>
      <c r="N290" s="8">
        <f t="shared" si="104"/>
        <v>0</v>
      </c>
      <c r="O290" s="403"/>
      <c r="P290" s="407">
        <f t="shared" si="96"/>
        <v>0</v>
      </c>
      <c r="Q290" s="1119"/>
      <c r="R290" s="698"/>
      <c r="S290" s="1176"/>
      <c r="T290" s="85"/>
      <c r="U290" s="923"/>
      <c r="V290" s="25">
        <f t="shared" ref="V290:V295" si="108">ROUND(T290*U290,0)</f>
        <v>0</v>
      </c>
      <c r="W290" s="8"/>
    </row>
    <row r="291" spans="1:23" s="1113" customFormat="1" ht="13.5" customHeight="1">
      <c r="A291" s="1177">
        <f t="shared" si="103"/>
        <v>10</v>
      </c>
      <c r="B291" s="78"/>
      <c r="C291" s="1128"/>
      <c r="D291" s="407">
        <f t="shared" ref="D291" si="109">ROUND(C291*O291,0)</f>
        <v>0</v>
      </c>
      <c r="E291" s="407"/>
      <c r="F291" s="407"/>
      <c r="G291" s="8">
        <f t="shared" si="105"/>
        <v>0</v>
      </c>
      <c r="H291" s="407">
        <f t="shared" si="98"/>
        <v>0</v>
      </c>
      <c r="I291" s="407">
        <f t="shared" si="99"/>
        <v>0</v>
      </c>
      <c r="J291" s="407">
        <f t="shared" si="99"/>
        <v>0</v>
      </c>
      <c r="K291" s="407">
        <f t="shared" si="99"/>
        <v>0</v>
      </c>
      <c r="L291" s="8"/>
      <c r="M291" s="407"/>
      <c r="N291" s="8">
        <f t="shared" ref="N291" si="110">ROUND(SUM(G291:L291),0)</f>
        <v>0</v>
      </c>
      <c r="O291" s="403"/>
      <c r="P291" s="407">
        <f t="shared" si="96"/>
        <v>0</v>
      </c>
      <c r="Q291" s="694"/>
      <c r="R291" s="698"/>
      <c r="S291" s="1176"/>
      <c r="T291" s="85"/>
      <c r="U291" s="85"/>
      <c r="V291" s="25">
        <f t="shared" si="108"/>
        <v>0</v>
      </c>
      <c r="W291" s="8"/>
    </row>
    <row r="292" spans="1:23" s="1113" customFormat="1" ht="13.5" customHeight="1">
      <c r="A292" s="1177">
        <f t="shared" si="103"/>
        <v>11</v>
      </c>
      <c r="B292" s="78"/>
      <c r="C292" s="1128"/>
      <c r="D292" s="407">
        <f t="shared" ref="D292:D296" si="111">ROUND(C292*O292,0)</f>
        <v>0</v>
      </c>
      <c r="E292" s="407"/>
      <c r="F292" s="407"/>
      <c r="G292" s="8">
        <f t="shared" si="105"/>
        <v>0</v>
      </c>
      <c r="H292" s="407">
        <f t="shared" si="98"/>
        <v>0</v>
      </c>
      <c r="I292" s="407">
        <f t="shared" si="99"/>
        <v>0</v>
      </c>
      <c r="J292" s="407">
        <f t="shared" si="99"/>
        <v>0</v>
      </c>
      <c r="K292" s="407">
        <f t="shared" si="99"/>
        <v>0</v>
      </c>
      <c r="L292" s="8"/>
      <c r="M292" s="407"/>
      <c r="N292" s="8">
        <f t="shared" ref="N292:N296" si="112">ROUND(SUM(G292:L292),0)</f>
        <v>0</v>
      </c>
      <c r="O292" s="403"/>
      <c r="P292" s="407">
        <f t="shared" si="96"/>
        <v>0</v>
      </c>
      <c r="Q292" s="985"/>
      <c r="R292" s="698"/>
      <c r="S292" s="701"/>
      <c r="T292" s="1149"/>
      <c r="U292" s="923"/>
      <c r="V292" s="25">
        <f t="shared" si="108"/>
        <v>0</v>
      </c>
      <c r="W292" s="8"/>
    </row>
    <row r="293" spans="1:23" s="1113" customFormat="1" ht="13.5" customHeight="1">
      <c r="A293" s="1177">
        <f t="shared" si="103"/>
        <v>12</v>
      </c>
      <c r="B293" s="78"/>
      <c r="C293" s="1128"/>
      <c r="D293" s="407">
        <f t="shared" si="111"/>
        <v>0</v>
      </c>
      <c r="E293" s="407"/>
      <c r="F293" s="407"/>
      <c r="G293" s="8">
        <f t="shared" si="105"/>
        <v>0</v>
      </c>
      <c r="H293" s="407">
        <f t="shared" si="98"/>
        <v>0</v>
      </c>
      <c r="I293" s="407">
        <f t="shared" si="99"/>
        <v>0</v>
      </c>
      <c r="J293" s="407">
        <f t="shared" si="99"/>
        <v>0</v>
      </c>
      <c r="K293" s="407">
        <f t="shared" si="99"/>
        <v>0</v>
      </c>
      <c r="L293" s="8"/>
      <c r="M293" s="407"/>
      <c r="N293" s="8">
        <f t="shared" si="112"/>
        <v>0</v>
      </c>
      <c r="O293" s="403"/>
      <c r="P293" s="407">
        <f t="shared" si="96"/>
        <v>0</v>
      </c>
      <c r="Q293" s="985"/>
      <c r="R293" s="702"/>
      <c r="S293" s="701"/>
      <c r="T293" s="1149"/>
      <c r="U293" s="923"/>
      <c r="V293" s="25">
        <f t="shared" ref="V293" si="113">ROUND(T293*U293,0)</f>
        <v>0</v>
      </c>
      <c r="W293" s="8"/>
    </row>
    <row r="294" spans="1:23" s="1113" customFormat="1" ht="13.5" customHeight="1">
      <c r="A294" s="1177">
        <f t="shared" si="103"/>
        <v>13</v>
      </c>
      <c r="B294" s="78"/>
      <c r="C294" s="1128"/>
      <c r="D294" s="407">
        <f>ROUND(C294*O294,0)</f>
        <v>0</v>
      </c>
      <c r="E294" s="407"/>
      <c r="F294" s="407"/>
      <c r="G294" s="8">
        <f>(D294+E294)*F294</f>
        <v>0</v>
      </c>
      <c r="H294" s="407">
        <f t="shared" si="98"/>
        <v>0</v>
      </c>
      <c r="I294" s="407">
        <f t="shared" si="99"/>
        <v>0</v>
      </c>
      <c r="J294" s="407">
        <f t="shared" si="99"/>
        <v>0</v>
      </c>
      <c r="K294" s="407">
        <f t="shared" si="99"/>
        <v>0</v>
      </c>
      <c r="L294" s="8"/>
      <c r="M294" s="407"/>
      <c r="N294" s="8">
        <f>ROUND(SUM(G294:L294),0)</f>
        <v>0</v>
      </c>
      <c r="O294" s="403"/>
      <c r="P294" s="407">
        <f t="shared" si="96"/>
        <v>0</v>
      </c>
      <c r="Q294" s="985"/>
      <c r="R294" s="702"/>
      <c r="S294" s="701"/>
      <c r="T294" s="1149"/>
      <c r="U294" s="923"/>
      <c r="V294" s="25">
        <f t="shared" si="108"/>
        <v>0</v>
      </c>
      <c r="W294" s="8"/>
    </row>
    <row r="295" spans="1:23" s="1113" customFormat="1" ht="13.5" customHeight="1">
      <c r="A295" s="1177">
        <f t="shared" si="103"/>
        <v>14</v>
      </c>
      <c r="B295" s="89"/>
      <c r="C295" s="1128"/>
      <c r="D295" s="407">
        <f>ROUND(C295*O295,0)</f>
        <v>0</v>
      </c>
      <c r="E295" s="407"/>
      <c r="F295" s="407"/>
      <c r="G295" s="8">
        <f>(D295+E295)*F295</f>
        <v>0</v>
      </c>
      <c r="H295" s="407">
        <f t="shared" si="98"/>
        <v>0</v>
      </c>
      <c r="I295" s="407">
        <f t="shared" si="99"/>
        <v>0</v>
      </c>
      <c r="J295" s="407">
        <f t="shared" si="99"/>
        <v>0</v>
      </c>
      <c r="K295" s="407">
        <f t="shared" si="99"/>
        <v>0</v>
      </c>
      <c r="L295" s="8"/>
      <c r="M295" s="407"/>
      <c r="N295" s="8">
        <f>ROUND(SUM(G295:L295),0)</f>
        <v>0</v>
      </c>
      <c r="O295" s="403"/>
      <c r="P295" s="407">
        <f t="shared" si="96"/>
        <v>0</v>
      </c>
      <c r="Q295" s="985"/>
      <c r="R295" s="474"/>
      <c r="S295" s="701"/>
      <c r="T295" s="85"/>
      <c r="U295" s="85"/>
      <c r="V295" s="25">
        <f t="shared" si="108"/>
        <v>0</v>
      </c>
      <c r="W295" s="8"/>
    </row>
    <row r="296" spans="1:23" s="1113" customFormat="1" ht="13.5" customHeight="1">
      <c r="A296" s="1177">
        <f t="shared" si="103"/>
        <v>15</v>
      </c>
      <c r="B296" s="800"/>
      <c r="C296" s="1128"/>
      <c r="D296" s="407">
        <f t="shared" si="111"/>
        <v>0</v>
      </c>
      <c r="E296" s="407"/>
      <c r="F296" s="407"/>
      <c r="G296" s="8">
        <f t="shared" si="105"/>
        <v>0</v>
      </c>
      <c r="H296" s="407">
        <f t="shared" si="98"/>
        <v>0</v>
      </c>
      <c r="I296" s="407">
        <f t="shared" si="99"/>
        <v>0</v>
      </c>
      <c r="J296" s="407">
        <f t="shared" si="99"/>
        <v>0</v>
      </c>
      <c r="K296" s="407">
        <f t="shared" si="99"/>
        <v>0</v>
      </c>
      <c r="L296" s="8"/>
      <c r="M296" s="407"/>
      <c r="N296" s="8">
        <f t="shared" si="112"/>
        <v>0</v>
      </c>
      <c r="O296" s="403"/>
      <c r="P296" s="407">
        <f t="shared" si="96"/>
        <v>0</v>
      </c>
      <c r="Q296" s="985"/>
      <c r="R296" s="25"/>
      <c r="S296" s="701"/>
      <c r="T296" s="85"/>
      <c r="U296" s="85"/>
      <c r="V296" s="8"/>
      <c r="W296" s="8"/>
    </row>
    <row r="297" spans="1:23" s="1113" customFormat="1" ht="13.5" customHeight="1">
      <c r="A297" s="1201"/>
      <c r="B297" s="1036"/>
      <c r="C297" s="1204"/>
      <c r="D297" s="787"/>
      <c r="E297" s="787"/>
      <c r="F297" s="787"/>
      <c r="G297" s="490"/>
      <c r="H297" s="787"/>
      <c r="I297" s="787"/>
      <c r="J297" s="787"/>
      <c r="K297" s="787"/>
      <c r="L297" s="787"/>
      <c r="M297" s="787"/>
      <c r="N297" s="490"/>
      <c r="O297" s="1037"/>
      <c r="P297" s="787"/>
      <c r="Q297" s="985"/>
      <c r="R297" s="1166"/>
      <c r="S297" s="1167"/>
      <c r="T297" s="1168"/>
      <c r="U297" s="1179"/>
      <c r="V297" s="76">
        <f>SUM(V282:V296)</f>
        <v>0</v>
      </c>
      <c r="W297" s="76">
        <f>SUM(W283:W296)</f>
        <v>0</v>
      </c>
    </row>
    <row r="298" spans="1:23" s="1113" customFormat="1" ht="13.5" customHeight="1">
      <c r="A298" s="1142"/>
      <c r="B298" s="1143" t="s">
        <v>541</v>
      </c>
      <c r="C298" s="1144"/>
      <c r="D298" s="883">
        <f>SUM(D283:D297)</f>
        <v>0</v>
      </c>
      <c r="E298" s="883">
        <f>SUM(E283:E297)</f>
        <v>0</v>
      </c>
      <c r="F298" s="883"/>
      <c r="G298" s="883">
        <f>SUM(G282:G297)-G283</f>
        <v>0</v>
      </c>
      <c r="H298" s="883"/>
      <c r="I298" s="883"/>
      <c r="J298" s="883"/>
      <c r="K298" s="883"/>
      <c r="L298" s="883"/>
      <c r="M298" s="883">
        <f>ROUND(SUM(M282:M297),0)</f>
        <v>0</v>
      </c>
      <c r="N298" s="883">
        <f>ROUND(SUM(N282:N297),0)</f>
        <v>0</v>
      </c>
      <c r="O298" s="883">
        <f>ROUND(SUM(O283:O297),0)</f>
        <v>0</v>
      </c>
      <c r="P298" s="883"/>
      <c r="Q298" s="985"/>
      <c r="R298" s="698"/>
      <c r="S298" s="1176"/>
      <c r="T298" s="923"/>
      <c r="U298" s="923"/>
      <c r="V298" s="25">
        <f t="shared" ref="V298:V306" si="114">ROUND(T298*U298,0)</f>
        <v>0</v>
      </c>
      <c r="W298" s="8"/>
    </row>
    <row r="299" spans="1:23" s="1113" customFormat="1">
      <c r="Q299" s="985"/>
      <c r="R299" s="698"/>
      <c r="S299" s="701"/>
      <c r="T299" s="923"/>
      <c r="U299" s="923"/>
      <c r="V299" s="25">
        <f t="shared" si="114"/>
        <v>0</v>
      </c>
      <c r="W299" s="8"/>
    </row>
    <row r="300" spans="1:23" s="1113" customFormat="1" ht="13.5" customHeight="1">
      <c r="L300" s="969"/>
      <c r="Q300" s="985"/>
      <c r="R300" s="698"/>
      <c r="S300" s="701"/>
      <c r="T300" s="923"/>
      <c r="U300" s="923"/>
      <c r="V300" s="25">
        <f t="shared" si="114"/>
        <v>0</v>
      </c>
      <c r="W300" s="8"/>
    </row>
    <row r="301" spans="1:23" s="1113" customFormat="1" ht="13.5" customHeight="1">
      <c r="N301" s="1152"/>
      <c r="Q301" s="985"/>
      <c r="R301" s="698"/>
      <c r="S301" s="701"/>
      <c r="T301" s="923"/>
      <c r="U301" s="923"/>
      <c r="V301" s="25">
        <f t="shared" si="114"/>
        <v>0</v>
      </c>
      <c r="W301" s="8"/>
    </row>
    <row r="302" spans="1:23" s="1113" customFormat="1" ht="13.5" customHeight="1">
      <c r="Q302" s="985"/>
      <c r="R302" s="698"/>
      <c r="S302" s="701"/>
      <c r="T302" s="923"/>
      <c r="U302" s="923"/>
      <c r="V302" s="25">
        <f t="shared" si="114"/>
        <v>0</v>
      </c>
      <c r="W302" s="8"/>
    </row>
    <row r="303" spans="1:23" s="1113" customFormat="1" ht="13.5" customHeight="1">
      <c r="N303" s="1152"/>
      <c r="Q303" s="985"/>
      <c r="R303" s="698"/>
      <c r="S303" s="701"/>
      <c r="T303" s="923"/>
      <c r="U303" s="923"/>
      <c r="V303" s="25">
        <f t="shared" si="114"/>
        <v>0</v>
      </c>
      <c r="W303" s="8"/>
    </row>
    <row r="304" spans="1:23" s="1113" customFormat="1">
      <c r="N304" s="1152"/>
      <c r="Q304" s="985"/>
      <c r="R304" s="698"/>
      <c r="S304" s="701"/>
      <c r="T304" s="923"/>
      <c r="U304" s="923"/>
      <c r="V304" s="25">
        <f t="shared" si="114"/>
        <v>0</v>
      </c>
      <c r="W304" s="8"/>
    </row>
    <row r="305" spans="1:23" s="1113" customFormat="1">
      <c r="Q305" s="985"/>
      <c r="R305" s="698"/>
      <c r="S305" s="701"/>
      <c r="T305" s="923"/>
      <c r="U305" s="923"/>
      <c r="V305" s="25">
        <f t="shared" si="114"/>
        <v>0</v>
      </c>
      <c r="W305" s="8"/>
    </row>
    <row r="306" spans="1:23" s="1141" customFormat="1">
      <c r="A306" s="1113"/>
      <c r="B306" s="1113"/>
      <c r="C306" s="1113"/>
      <c r="D306" s="1113"/>
      <c r="E306" s="1113"/>
      <c r="F306" s="1113"/>
      <c r="G306" s="1113"/>
      <c r="H306" s="1113"/>
      <c r="I306" s="1113"/>
      <c r="J306" s="1113"/>
      <c r="K306" s="1113"/>
      <c r="L306" s="1113"/>
      <c r="M306" s="1113"/>
      <c r="N306" s="1113"/>
      <c r="O306" s="1113"/>
      <c r="P306" s="1113"/>
      <c r="Q306" s="985"/>
      <c r="R306" s="698"/>
      <c r="S306" s="701"/>
      <c r="T306" s="923"/>
      <c r="U306" s="923"/>
      <c r="V306" s="25">
        <f t="shared" si="114"/>
        <v>0</v>
      </c>
      <c r="W306" s="8"/>
    </row>
    <row r="307" spans="1:23" s="1116" customFormat="1">
      <c r="A307" s="1113"/>
      <c r="B307" s="1113"/>
      <c r="C307" s="1113"/>
      <c r="D307" s="1113"/>
      <c r="E307" s="1113"/>
      <c r="F307" s="1113"/>
      <c r="G307" s="1113"/>
      <c r="H307" s="1113"/>
      <c r="I307" s="1113"/>
      <c r="J307" s="1113"/>
      <c r="K307" s="1113"/>
      <c r="L307" s="1113"/>
      <c r="M307" s="1113"/>
      <c r="N307" s="1113"/>
      <c r="O307" s="1113"/>
      <c r="P307" s="1113"/>
      <c r="Q307" s="985"/>
      <c r="R307" s="698"/>
      <c r="S307" s="701"/>
      <c r="T307" s="923"/>
      <c r="U307" s="923"/>
      <c r="V307" s="25">
        <f t="shared" ref="V307" si="115">ROUND(T307*U307,0)</f>
        <v>0</v>
      </c>
      <c r="W307" s="8"/>
    </row>
  </sheetData>
  <mergeCells count="3">
    <mergeCell ref="S4:T4"/>
    <mergeCell ref="V4:W4"/>
    <mergeCell ref="R24:T24"/>
  </mergeCells>
  <dataValidations count="2">
    <dataValidation type="list" allowBlank="1" showInputMessage="1" showErrorMessage="1" sqref="R232 R181 R105 R88 R48 R68 R158 R129 R255 R204 R281 R5">
      <formula1>DSTP</formula1>
    </dataValidation>
    <dataValidation type="list" allowBlank="1" showInputMessage="1" showErrorMessage="1" sqref="B160 B234 B132 B162 B208 B107:B11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topLeftCell="A22"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962"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11" t="s">
        <v>499</v>
      </c>
      <c r="B1" s="1411"/>
      <c r="C1" s="1411"/>
      <c r="D1" s="1411"/>
      <c r="E1" s="1411"/>
      <c r="F1" s="1411"/>
      <c r="G1" s="1411"/>
      <c r="H1" s="1411"/>
      <c r="I1" s="1411"/>
      <c r="J1" s="1412" t="s">
        <v>500</v>
      </c>
      <c r="K1" s="1413"/>
      <c r="L1" s="652"/>
      <c r="M1" s="652"/>
      <c r="N1" s="653"/>
    </row>
    <row r="2" spans="1:14" ht="15.75">
      <c r="A2" s="1411"/>
      <c r="B2" s="1411"/>
      <c r="C2" s="1411"/>
      <c r="D2" s="1411"/>
      <c r="E2" s="1411"/>
      <c r="F2" s="1411"/>
      <c r="G2" s="1411"/>
      <c r="H2" s="1411"/>
      <c r="I2" s="1411"/>
      <c r="J2" s="1414"/>
      <c r="K2" s="1415"/>
      <c r="L2" s="652"/>
      <c r="M2" s="652"/>
      <c r="N2" s="653"/>
    </row>
    <row r="3" spans="1:14" ht="15.75">
      <c r="A3" s="1411"/>
      <c r="B3" s="1411"/>
      <c r="C3" s="1411"/>
      <c r="D3" s="1411"/>
      <c r="E3" s="1411"/>
      <c r="F3" s="1411"/>
      <c r="G3" s="1411"/>
      <c r="H3" s="1411"/>
      <c r="I3" s="1411"/>
      <c r="J3" s="1414"/>
      <c r="K3" s="1415"/>
      <c r="L3" s="652"/>
      <c r="M3" s="652"/>
      <c r="N3" s="653"/>
    </row>
    <row r="4" spans="1:14" ht="16.5">
      <c r="A4" s="1418" t="str">
        <f>"( " &amp; IF(OR($M$11=1,$M$11=4,$M$11=6,$M$11=9,$M$11=11),"Ngày  30  tháng  "&amp;$M$11&amp;"  năm 2016",IF(OR($M$11=3,$M$11=5,$M$11=7,$M$11=8,$M$11=10,$M$11=12),"Ngày  31  tháng  "&amp;$M$11&amp;"  năm 2016","Ngày  29  tháng  "&amp;$M$11&amp;"  năm 2016")) &amp; " ) "</f>
        <v xml:space="preserve">( Ngày  29  tháng  2  năm 2016 ) </v>
      </c>
      <c r="B4" s="1418"/>
      <c r="C4" s="1418"/>
      <c r="D4" s="1418"/>
      <c r="E4" s="1418"/>
      <c r="F4" s="1418"/>
      <c r="G4" s="1418"/>
      <c r="H4" s="1418"/>
      <c r="I4" s="1418"/>
      <c r="J4" s="1416"/>
      <c r="K4" s="1417"/>
      <c r="L4" s="652"/>
      <c r="M4" s="652"/>
      <c r="N4" s="653"/>
    </row>
    <row r="5" spans="1:14" ht="20.25">
      <c r="A5" s="654"/>
      <c r="B5" s="652"/>
      <c r="C5" s="652"/>
      <c r="D5" s="652"/>
      <c r="E5" s="955"/>
      <c r="F5" s="655"/>
      <c r="G5" s="652"/>
      <c r="H5" s="656"/>
      <c r="I5" s="656"/>
      <c r="J5" s="652"/>
      <c r="K5" s="652"/>
      <c r="L5" s="652"/>
      <c r="M5" s="653"/>
      <c r="N5" s="653"/>
    </row>
    <row r="6" spans="1:14" ht="15.75">
      <c r="A6" s="654" t="s">
        <v>501</v>
      </c>
      <c r="B6" s="652"/>
      <c r="C6" s="652"/>
      <c r="D6" s="652"/>
      <c r="E6" s="956"/>
      <c r="F6" s="652"/>
      <c r="G6" s="652" t="s">
        <v>502</v>
      </c>
      <c r="H6" s="656"/>
      <c r="I6" s="656"/>
      <c r="J6" s="652"/>
      <c r="K6" s="652"/>
      <c r="L6" s="652"/>
      <c r="M6" s="653"/>
      <c r="N6" s="653"/>
    </row>
    <row r="7" spans="1:14" ht="15.75">
      <c r="A7" s="654" t="s">
        <v>503</v>
      </c>
      <c r="B7" s="652"/>
      <c r="C7" s="652"/>
      <c r="D7" s="652"/>
      <c r="E7" s="956"/>
      <c r="F7" s="652"/>
      <c r="G7" s="652"/>
      <c r="H7" s="656"/>
      <c r="I7" s="656"/>
      <c r="J7" s="652"/>
      <c r="K7" s="652"/>
      <c r="L7" s="652"/>
      <c r="M7" s="653"/>
      <c r="N7" s="653"/>
    </row>
    <row r="8" spans="1:14" ht="15.75">
      <c r="A8" s="654" t="s">
        <v>504</v>
      </c>
      <c r="B8" s="652"/>
      <c r="C8" s="652"/>
      <c r="D8" s="652"/>
      <c r="E8" s="956"/>
      <c r="F8" s="652"/>
      <c r="G8" s="652"/>
      <c r="H8" s="656"/>
      <c r="I8" s="656"/>
      <c r="J8" s="652"/>
      <c r="K8" s="652"/>
      <c r="L8" s="652"/>
      <c r="M8" s="653"/>
      <c r="N8" s="653"/>
    </row>
    <row r="9" spans="1:14" ht="15.75">
      <c r="A9" s="654" t="s">
        <v>505</v>
      </c>
      <c r="B9" s="652"/>
      <c r="C9" s="652"/>
      <c r="D9" s="652"/>
      <c r="E9" s="956"/>
      <c r="F9" s="652"/>
      <c r="G9" s="652"/>
      <c r="H9" s="656"/>
      <c r="I9" s="656"/>
      <c r="J9" s="652"/>
      <c r="K9" s="652"/>
      <c r="L9" s="652"/>
      <c r="M9" s="653"/>
      <c r="N9" s="653"/>
    </row>
    <row r="10" spans="1:14" ht="16.5" thickBot="1">
      <c r="A10" s="654"/>
      <c r="B10" s="652"/>
      <c r="C10" s="652"/>
      <c r="D10" s="652"/>
      <c r="E10" s="956"/>
      <c r="F10" s="652"/>
      <c r="G10" s="652"/>
      <c r="H10" s="656"/>
      <c r="I10" s="656"/>
      <c r="J10" s="652"/>
      <c r="K10" s="652"/>
      <c r="L10" s="652"/>
      <c r="M10" s="657"/>
      <c r="N10" s="653"/>
    </row>
    <row r="11" spans="1:14" ht="15.75" thickBot="1">
      <c r="A11" s="1419" t="s">
        <v>572</v>
      </c>
      <c r="B11" s="1421" t="s">
        <v>506</v>
      </c>
      <c r="C11" s="1422"/>
      <c r="D11" s="1422"/>
      <c r="E11" s="1422"/>
      <c r="F11" s="1423"/>
      <c r="G11" s="1424" t="s">
        <v>507</v>
      </c>
      <c r="H11" s="1424"/>
      <c r="I11" s="1424"/>
      <c r="J11" s="1424"/>
      <c r="K11" s="1425" t="s">
        <v>152</v>
      </c>
      <c r="L11" s="658"/>
      <c r="M11" s="954">
        <v>2</v>
      </c>
      <c r="N11" s="660"/>
    </row>
    <row r="12" spans="1:14" ht="36" customHeight="1">
      <c r="A12" s="1420"/>
      <c r="B12" s="661" t="s">
        <v>508</v>
      </c>
      <c r="C12" s="661"/>
      <c r="D12" s="661" t="s">
        <v>509</v>
      </c>
      <c r="E12" s="661" t="s">
        <v>510</v>
      </c>
      <c r="F12" s="661" t="s">
        <v>511</v>
      </c>
      <c r="G12" s="661" t="s">
        <v>512</v>
      </c>
      <c r="H12" s="662" t="s">
        <v>463</v>
      </c>
      <c r="I12" s="662" t="s">
        <v>464</v>
      </c>
      <c r="J12" s="661" t="s">
        <v>513</v>
      </c>
      <c r="K12" s="1426"/>
      <c r="L12" s="663"/>
      <c r="M12" s="664"/>
      <c r="N12" s="664"/>
    </row>
    <row r="13" spans="1:14">
      <c r="A13" s="665" t="s">
        <v>172</v>
      </c>
      <c r="B13" s="666">
        <v>2</v>
      </c>
      <c r="C13" s="666"/>
      <c r="D13" s="666"/>
      <c r="E13" s="957">
        <v>3</v>
      </c>
      <c r="F13" s="666">
        <v>4</v>
      </c>
      <c r="G13" s="666">
        <v>5</v>
      </c>
      <c r="H13" s="667" t="s">
        <v>514</v>
      </c>
      <c r="I13" s="667" t="s">
        <v>515</v>
      </c>
      <c r="J13" s="666">
        <v>8</v>
      </c>
      <c r="K13" s="666">
        <v>9</v>
      </c>
      <c r="L13" s="668"/>
      <c r="M13" s="668"/>
      <c r="N13" s="668"/>
    </row>
    <row r="14" spans="1:14" ht="27" customHeight="1">
      <c r="A14" s="218" t="str">
        <f ca="1">IF(ROWS($1:1)&gt;COUNT(Dong13),"",OFFSET(TH!E$1,SMALL(Dong13,ROWS($1:1)),))</f>
        <v/>
      </c>
      <c r="B14" s="221" t="str">
        <f ca="1">IF(ROWS($1:1)&gt;COUNT(Dong13),"",OFFSET(TH!H$1,SMALL(Dong13,ROWS($1:1)),))</f>
        <v/>
      </c>
      <c r="C14" s="669" t="str">
        <f ca="1">IF(ISNA(VLOOKUP($B14,DSNL,6,0)),"",VLOOKUP($B14,DSNL,6,0))</f>
        <v/>
      </c>
      <c r="D14" s="669" t="str">
        <f ca="1">IF(ROWS($1:1)&gt;COUNT(Dong13),"",OFFSET(TH!D$1,SMALL(Dong13,ROWS($1:1)),))</f>
        <v/>
      </c>
      <c r="E14" s="958" t="str">
        <f t="shared" ref="E14:E40" ca="1" si="0">IF(ISNA(VLOOKUP($B14,DSNL,4,0)),"",VLOOKUP($B14,DSNL,4,0))</f>
        <v/>
      </c>
      <c r="F14" s="670" t="str">
        <f t="shared" ref="F14:F40" ca="1" si="1">IF(ISNA(VLOOKUP($B14,DSNL,3,0)),"",VLOOKUP($B14,DSNL,3,0))</f>
        <v/>
      </c>
      <c r="G14" s="671" t="str">
        <f ca="1">IF(ROWS($1:1)&gt;COUNT(Dong13),"",OFFSET(TH!F$1,SMALL(Dong13,ROWS($1:1)),))</f>
        <v/>
      </c>
      <c r="H14" s="672" t="str">
        <f ca="1">IF(ROWS($1:1)&gt;COUNT(Dong13),"",OFFSET(TH!I$1,SMALL(Dong13,ROWS($1:1)),))</f>
        <v/>
      </c>
      <c r="I14" s="672" t="str">
        <f ca="1">IF(ROWS($1:1)&gt;COUNT(Dong13),"",OFFSET(TH!J$1,SMALL(Dong13,ROWS($1:1)),))</f>
        <v/>
      </c>
      <c r="J14" s="673">
        <f ca="1">IF(B14&lt;&gt;"",H14*I14,0)</f>
        <v>0</v>
      </c>
      <c r="K14" s="673"/>
      <c r="L14" s="674"/>
      <c r="M14" s="653"/>
      <c r="N14" s="653"/>
    </row>
    <row r="15" spans="1:14" ht="27" customHeight="1">
      <c r="A15" s="218" t="str">
        <f ca="1">IF(ROWS($1:2)&gt;COUNT(Dong13),"",OFFSET(TH!E$1,SMALL(Dong13,ROWS($1:2)),))</f>
        <v/>
      </c>
      <c r="B15" s="221" t="str">
        <f ca="1">IF(ROWS($1:2)&gt;COUNT(Dong13),"",OFFSET(TH!H$1,SMALL(Dong13,ROWS($1:2)),))</f>
        <v/>
      </c>
      <c r="C15" s="669" t="str">
        <f t="shared" ref="C15:C40" ca="1" si="2">IF(ISNA(VLOOKUP($B15,DSNL,6,0)),"",VLOOKUP($B15,DSNL,6,0))</f>
        <v/>
      </c>
      <c r="D15" s="669" t="str">
        <f ca="1">IF(ROWS($1:2)&gt;COUNT(Dong13),"",OFFSET(TH!D$1,SMALL(Dong13,ROWS($1:2)),))</f>
        <v/>
      </c>
      <c r="E15" s="958" t="str">
        <f t="shared" ca="1" si="0"/>
        <v/>
      </c>
      <c r="F15" s="670" t="str">
        <f t="shared" ca="1" si="1"/>
        <v/>
      </c>
      <c r="G15" s="671" t="str">
        <f ca="1">IF(ROWS($1:2)&gt;COUNT(Dong13),"",OFFSET(TH!F$1,SMALL(Dong13,ROWS($1:2)),))</f>
        <v/>
      </c>
      <c r="H15" s="672" t="str">
        <f ca="1">IF(ROWS($1:2)&gt;COUNT(Dong13),"",OFFSET(TH!I$1,SMALL(Dong13,ROWS($1:2)),))</f>
        <v/>
      </c>
      <c r="I15" s="672" t="str">
        <f ca="1">IF(ROWS($1:2)&gt;COUNT(Dong13),"",OFFSET(TH!J$1,SMALL(Dong13,ROWS($1:2)),))</f>
        <v/>
      </c>
      <c r="J15" s="673">
        <f t="shared" ref="J15:J40" ca="1" si="3">IF(B15&lt;&gt;"",H15*I15,0)</f>
        <v>0</v>
      </c>
      <c r="K15" s="675"/>
      <c r="L15" s="674"/>
      <c r="M15" s="653"/>
      <c r="N15" s="653"/>
    </row>
    <row r="16" spans="1:14" ht="27" customHeight="1">
      <c r="A16" s="218" t="str">
        <f ca="1">IF(ROWS($1:3)&gt;COUNT(Dong13),"",OFFSET(TH!E$1,SMALL(Dong13,ROWS($1:3)),))</f>
        <v/>
      </c>
      <c r="B16" s="221" t="str">
        <f ca="1">IF(ROWS($1:3)&gt;COUNT(Dong13),"",OFFSET(TH!H$1,SMALL(Dong13,ROWS($1:3)),))</f>
        <v/>
      </c>
      <c r="C16" s="669" t="str">
        <f t="shared" ca="1" si="2"/>
        <v/>
      </c>
      <c r="D16" s="669" t="str">
        <f ca="1">IF(ROWS($1:3)&gt;COUNT(Dong13),"",OFFSET(TH!D$1,SMALL(Dong13,ROWS($1:3)),))</f>
        <v/>
      </c>
      <c r="E16" s="958" t="str">
        <f t="shared" ca="1" si="0"/>
        <v/>
      </c>
      <c r="F16" s="670" t="str">
        <f t="shared" ca="1" si="1"/>
        <v/>
      </c>
      <c r="G16" s="671" t="str">
        <f ca="1">IF(ROWS($1:3)&gt;COUNT(Dong13),"",OFFSET(TH!F$1,SMALL(Dong13,ROWS($1:3)),))</f>
        <v/>
      </c>
      <c r="H16" s="672" t="str">
        <f ca="1">IF(ROWS($1:3)&gt;COUNT(Dong13),"",OFFSET(TH!I$1,SMALL(Dong13,ROWS($1:3)),))</f>
        <v/>
      </c>
      <c r="I16" s="672" t="str">
        <f ca="1">IF(ROWS($1:3)&gt;COUNT(Dong13),"",OFFSET(TH!J$1,SMALL(Dong13,ROWS($1:3)),))</f>
        <v/>
      </c>
      <c r="J16" s="673">
        <f t="shared" ca="1" si="3"/>
        <v>0</v>
      </c>
      <c r="K16" s="675"/>
      <c r="L16" s="674"/>
      <c r="M16" s="653"/>
      <c r="N16" s="653"/>
    </row>
    <row r="17" spans="1:14" ht="27" customHeight="1">
      <c r="A17" s="218" t="str">
        <f ca="1">IF(ROWS($1:4)&gt;COUNT(Dong13),"",OFFSET(TH!E$1,SMALL(Dong13,ROWS($1:4)),))</f>
        <v/>
      </c>
      <c r="B17" s="221" t="str">
        <f ca="1">IF(ROWS($1:4)&gt;COUNT(Dong13),"",OFFSET(TH!H$1,SMALL(Dong13,ROWS($1:4)),))</f>
        <v/>
      </c>
      <c r="C17" s="669" t="str">
        <f t="shared" ca="1" si="2"/>
        <v/>
      </c>
      <c r="D17" s="669" t="str">
        <f ca="1">IF(ROWS($1:4)&gt;COUNT(Dong13),"",OFFSET(TH!D$1,SMALL(Dong13,ROWS($1:4)),))</f>
        <v/>
      </c>
      <c r="E17" s="958" t="str">
        <f t="shared" ca="1" si="0"/>
        <v/>
      </c>
      <c r="F17" s="670" t="str">
        <f t="shared" ca="1" si="1"/>
        <v/>
      </c>
      <c r="G17" s="671" t="str">
        <f ca="1">IF(ROWS($1:4)&gt;COUNT(Dong13),"",OFFSET(TH!F$1,SMALL(Dong13,ROWS($1:4)),))</f>
        <v/>
      </c>
      <c r="H17" s="672" t="str">
        <f ca="1">IF(ROWS($1:4)&gt;COUNT(Dong13),"",OFFSET(TH!I$1,SMALL(Dong13,ROWS($1:4)),))</f>
        <v/>
      </c>
      <c r="I17" s="672" t="str">
        <f ca="1">IF(ROWS($1:4)&gt;COUNT(Dong13),"",OFFSET(TH!J$1,SMALL(Dong13,ROWS($1:4)),))</f>
        <v/>
      </c>
      <c r="J17" s="673">
        <f t="shared" ca="1" si="3"/>
        <v>0</v>
      </c>
      <c r="K17" s="675"/>
      <c r="L17" s="674"/>
      <c r="M17" s="653"/>
      <c r="N17" s="653"/>
    </row>
    <row r="18" spans="1:14" ht="27" customHeight="1">
      <c r="A18" s="218" t="str">
        <f ca="1">IF(ROWS($1:5)&gt;COUNT(Dong13),"",OFFSET(TH!E$1,SMALL(Dong13,ROWS($1:5)),))</f>
        <v/>
      </c>
      <c r="B18" s="221" t="str">
        <f ca="1">IF(ROWS($1:5)&gt;COUNT(Dong13),"",OFFSET(TH!H$1,SMALL(Dong13,ROWS($1:5)),))</f>
        <v/>
      </c>
      <c r="C18" s="669" t="str">
        <f t="shared" ca="1" si="2"/>
        <v/>
      </c>
      <c r="D18" s="669" t="str">
        <f ca="1">IF(ROWS($1:5)&gt;COUNT(Dong13),"",OFFSET(TH!D$1,SMALL(Dong13,ROWS($1:5)),))</f>
        <v/>
      </c>
      <c r="E18" s="958" t="str">
        <f t="shared" ca="1" si="0"/>
        <v/>
      </c>
      <c r="F18" s="670" t="str">
        <f t="shared" ca="1" si="1"/>
        <v/>
      </c>
      <c r="G18" s="671" t="str">
        <f ca="1">IF(ROWS($1:5)&gt;COUNT(Dong13),"",OFFSET(TH!F$1,SMALL(Dong13,ROWS($1:5)),))</f>
        <v/>
      </c>
      <c r="H18" s="672" t="str">
        <f ca="1">IF(ROWS($1:5)&gt;COUNT(Dong13),"",OFFSET(TH!I$1,SMALL(Dong13,ROWS($1:5)),))</f>
        <v/>
      </c>
      <c r="I18" s="672" t="str">
        <f ca="1">IF(ROWS($1:5)&gt;COUNT(Dong13),"",OFFSET(TH!J$1,SMALL(Dong13,ROWS($1:5)),))</f>
        <v/>
      </c>
      <c r="J18" s="673">
        <f t="shared" ca="1" si="3"/>
        <v>0</v>
      </c>
      <c r="K18" s="675"/>
      <c r="L18" s="674"/>
      <c r="M18" s="653"/>
      <c r="N18" s="653"/>
    </row>
    <row r="19" spans="1:14" ht="27" customHeight="1">
      <c r="A19" s="218" t="str">
        <f ca="1">IF(ROWS($1:6)&gt;COUNT(Dong13),"",OFFSET(TH!E$1,SMALL(Dong13,ROWS($1:6)),))</f>
        <v/>
      </c>
      <c r="B19" s="221" t="str">
        <f ca="1">IF(ROWS($1:6)&gt;COUNT(Dong13),"",OFFSET(TH!H$1,SMALL(Dong13,ROWS($1:6)),))</f>
        <v/>
      </c>
      <c r="C19" s="669" t="str">
        <f t="shared" ca="1" si="2"/>
        <v/>
      </c>
      <c r="D19" s="669" t="str">
        <f ca="1">IF(ROWS($1:6)&gt;COUNT(Dong13),"",OFFSET(TH!D$1,SMALL(Dong13,ROWS($1:6)),))</f>
        <v/>
      </c>
      <c r="E19" s="958" t="str">
        <f t="shared" ca="1" si="0"/>
        <v/>
      </c>
      <c r="F19" s="670" t="str">
        <f t="shared" ca="1" si="1"/>
        <v/>
      </c>
      <c r="G19" s="671" t="str">
        <f ca="1">IF(ROWS($1:6)&gt;COUNT(Dong13),"",OFFSET(TH!F$1,SMALL(Dong13,ROWS($1:6)),))</f>
        <v/>
      </c>
      <c r="H19" s="672" t="str">
        <f ca="1">IF(ROWS($1:6)&gt;COUNT(Dong13),"",OFFSET(TH!I$1,SMALL(Dong13,ROWS($1:6)),))</f>
        <v/>
      </c>
      <c r="I19" s="672" t="str">
        <f ca="1">IF(ROWS($1:6)&gt;COUNT(Dong13),"",OFFSET(TH!J$1,SMALL(Dong13,ROWS($1:6)),))</f>
        <v/>
      </c>
      <c r="J19" s="673">
        <f t="shared" ca="1" si="3"/>
        <v>0</v>
      </c>
      <c r="K19" s="675"/>
      <c r="L19" s="674"/>
      <c r="M19" s="653"/>
      <c r="N19" s="653"/>
    </row>
    <row r="20" spans="1:14" ht="31.5" customHeight="1">
      <c r="A20" s="218" t="str">
        <f ca="1">IF(ROWS($1:7)&gt;COUNT(Dong13),"",OFFSET(TH!E$1,SMALL(Dong13,ROWS($1:7)),))</f>
        <v/>
      </c>
      <c r="B20" s="221" t="str">
        <f ca="1">IF(ROWS($1:7)&gt;COUNT(Dong13),"",OFFSET(TH!H$1,SMALL(Dong13,ROWS($1:7)),))</f>
        <v/>
      </c>
      <c r="C20" s="669" t="str">
        <f t="shared" ca="1" si="2"/>
        <v/>
      </c>
      <c r="D20" s="669" t="str">
        <f ca="1">IF(ROWS($1:7)&gt;COUNT(Dong13),"",OFFSET(TH!D$1,SMALL(Dong13,ROWS($1:7)),))</f>
        <v/>
      </c>
      <c r="E20" s="958" t="str">
        <f t="shared" ca="1" si="0"/>
        <v/>
      </c>
      <c r="F20" s="670" t="str">
        <f t="shared" ca="1" si="1"/>
        <v/>
      </c>
      <c r="G20" s="671" t="str">
        <f ca="1">IF(ROWS($1:7)&gt;COUNT(Dong13),"",OFFSET(TH!F$1,SMALL(Dong13,ROWS($1:7)),))</f>
        <v/>
      </c>
      <c r="H20" s="672" t="str">
        <f ca="1">IF(ROWS($1:7)&gt;COUNT(Dong13),"",OFFSET(TH!I$1,SMALL(Dong13,ROWS($1:7)),))</f>
        <v/>
      </c>
      <c r="I20" s="672" t="str">
        <f ca="1">IF(ROWS($1:7)&gt;COUNT(Dong13),"",OFFSET(TH!J$1,SMALL(Dong13,ROWS($1:7)),))</f>
        <v/>
      </c>
      <c r="J20" s="673">
        <f t="shared" ca="1" si="3"/>
        <v>0</v>
      </c>
      <c r="K20" s="675"/>
      <c r="L20" s="674"/>
      <c r="M20" s="653"/>
      <c r="N20" s="653"/>
    </row>
    <row r="21" spans="1:14" ht="27" customHeight="1">
      <c r="A21" s="218" t="str">
        <f ca="1">IF(ROWS($1:8)&gt;COUNT(Dong13),"",OFFSET(TH!E$1,SMALL(Dong13,ROWS($1:8)),))</f>
        <v/>
      </c>
      <c r="B21" s="221" t="str">
        <f ca="1">IF(ROWS($1:8)&gt;COUNT(Dong13),"",OFFSET(TH!H$1,SMALL(Dong13,ROWS($1:8)),))</f>
        <v/>
      </c>
      <c r="C21" s="669" t="str">
        <f t="shared" ca="1" si="2"/>
        <v/>
      </c>
      <c r="D21" s="669" t="str">
        <f ca="1">IF(ROWS($1:8)&gt;COUNT(Dong13),"",OFFSET(TH!D$1,SMALL(Dong13,ROWS($1:8)),))</f>
        <v/>
      </c>
      <c r="E21" s="958" t="str">
        <f t="shared" ca="1" si="0"/>
        <v/>
      </c>
      <c r="F21" s="670" t="str">
        <f t="shared" ca="1" si="1"/>
        <v/>
      </c>
      <c r="G21" s="671" t="str">
        <f ca="1">IF(ROWS($1:8)&gt;COUNT(Dong13),"",OFFSET(TH!F$1,SMALL(Dong13,ROWS($1:8)),))</f>
        <v/>
      </c>
      <c r="H21" s="672" t="str">
        <f ca="1">IF(ROWS($1:8)&gt;COUNT(Dong13),"",OFFSET(TH!I$1,SMALL(Dong13,ROWS($1:8)),))</f>
        <v/>
      </c>
      <c r="I21" s="672" t="str">
        <f ca="1">IF(ROWS($1:8)&gt;COUNT(Dong13),"",OFFSET(TH!J$1,SMALL(Dong13,ROWS($1:8)),))</f>
        <v/>
      </c>
      <c r="J21" s="673">
        <f t="shared" ca="1" si="3"/>
        <v>0</v>
      </c>
      <c r="K21" s="675"/>
      <c r="L21" s="674"/>
      <c r="M21" s="653"/>
      <c r="N21" s="653"/>
    </row>
    <row r="22" spans="1:14" ht="27" customHeight="1">
      <c r="A22" s="218" t="str">
        <f ca="1">IF(ROWS($1:9)&gt;COUNT(Dong13),"",OFFSET(TH!E$1,SMALL(Dong13,ROWS($1:9)),))</f>
        <v/>
      </c>
      <c r="B22" s="221" t="str">
        <f ca="1">IF(ROWS($1:9)&gt;COUNT(Dong13),"",OFFSET(TH!H$1,SMALL(Dong13,ROWS($1:9)),))</f>
        <v/>
      </c>
      <c r="C22" s="669" t="str">
        <f t="shared" ca="1" si="2"/>
        <v/>
      </c>
      <c r="D22" s="669" t="str">
        <f ca="1">IF(ROWS($1:9)&gt;COUNT(Dong13),"",OFFSET(TH!D$1,SMALL(Dong13,ROWS($1:9)),))</f>
        <v/>
      </c>
      <c r="E22" s="958" t="str">
        <f t="shared" ca="1" si="0"/>
        <v/>
      </c>
      <c r="F22" s="670" t="str">
        <f t="shared" ca="1" si="1"/>
        <v/>
      </c>
      <c r="G22" s="671" t="str">
        <f ca="1">IF(ROWS($1:9)&gt;COUNT(Dong13),"",OFFSET(TH!F$1,SMALL(Dong13,ROWS($1:9)),))</f>
        <v/>
      </c>
      <c r="H22" s="672" t="str">
        <f ca="1">IF(ROWS($1:9)&gt;COUNT(Dong13),"",OFFSET(TH!I$1,SMALL(Dong13,ROWS($1:9)),))</f>
        <v/>
      </c>
      <c r="I22" s="672" t="str">
        <f ca="1">IF(ROWS($1:9)&gt;COUNT(Dong13),"",OFFSET(TH!J$1,SMALL(Dong13,ROWS($1:9)),))</f>
        <v/>
      </c>
      <c r="J22" s="673">
        <f t="shared" ca="1" si="3"/>
        <v>0</v>
      </c>
      <c r="K22" s="675"/>
      <c r="L22" s="674"/>
      <c r="M22" s="653"/>
      <c r="N22" s="653"/>
    </row>
    <row r="23" spans="1:14" ht="27" customHeight="1">
      <c r="A23" s="218" t="str">
        <f ca="1">IF(ROWS($1:10)&gt;COUNT(Dong13),"",OFFSET(TH!E$1,SMALL(Dong13,ROWS($1:10)),))</f>
        <v/>
      </c>
      <c r="B23" s="221" t="str">
        <f ca="1">IF(ROWS($1:10)&gt;COUNT(Dong13),"",OFFSET(TH!H$1,SMALL(Dong13,ROWS($1:10)),))</f>
        <v/>
      </c>
      <c r="C23" s="669" t="str">
        <f t="shared" ca="1" si="2"/>
        <v/>
      </c>
      <c r="D23" s="669" t="str">
        <f ca="1">IF(ROWS($1:10)&gt;COUNT(Dong13),"",OFFSET(TH!D$1,SMALL(Dong13,ROWS($1:10)),))</f>
        <v/>
      </c>
      <c r="E23" s="958" t="str">
        <f t="shared" ca="1" si="0"/>
        <v/>
      </c>
      <c r="F23" s="670" t="str">
        <f t="shared" ca="1" si="1"/>
        <v/>
      </c>
      <c r="G23" s="671" t="str">
        <f ca="1">IF(ROWS($1:10)&gt;COUNT(Dong13),"",OFFSET(TH!F$1,SMALL(Dong13,ROWS($1:10)),))</f>
        <v/>
      </c>
      <c r="H23" s="672" t="str">
        <f ca="1">IF(ROWS($1:10)&gt;COUNT(Dong13),"",OFFSET(TH!I$1,SMALL(Dong13,ROWS($1:10)),))</f>
        <v/>
      </c>
      <c r="I23" s="672" t="str">
        <f ca="1">IF(ROWS($1:10)&gt;COUNT(Dong13),"",OFFSET(TH!J$1,SMALL(Dong13,ROWS($1:10)),))</f>
        <v/>
      </c>
      <c r="J23" s="673">
        <f t="shared" ca="1" si="3"/>
        <v>0</v>
      </c>
      <c r="K23" s="675"/>
      <c r="L23" s="674"/>
      <c r="M23" s="653"/>
      <c r="N23" s="653"/>
    </row>
    <row r="24" spans="1:14" ht="27" customHeight="1">
      <c r="A24" s="218" t="str">
        <f ca="1">IF(ROWS($1:11)&gt;COUNT(Dong13),"",OFFSET(TH!E$1,SMALL(Dong13,ROWS($1:11)),))</f>
        <v/>
      </c>
      <c r="B24" s="221" t="str">
        <f ca="1">IF(ROWS($1:11)&gt;COUNT(Dong13),"",OFFSET(TH!H$1,SMALL(Dong13,ROWS($1:11)),))</f>
        <v/>
      </c>
      <c r="C24" s="669" t="str">
        <f t="shared" ca="1" si="2"/>
        <v/>
      </c>
      <c r="D24" s="669" t="str">
        <f ca="1">IF(ROWS($1:11)&gt;COUNT(Dong13),"",OFFSET(TH!D$1,SMALL(Dong13,ROWS($1:11)),))</f>
        <v/>
      </c>
      <c r="E24" s="958" t="str">
        <f t="shared" ca="1" si="0"/>
        <v/>
      </c>
      <c r="F24" s="670" t="str">
        <f t="shared" ca="1" si="1"/>
        <v/>
      </c>
      <c r="G24" s="671" t="str">
        <f ca="1">IF(ROWS($1:11)&gt;COUNT(Dong13),"",OFFSET(TH!F$1,SMALL(Dong13,ROWS($1:11)),))</f>
        <v/>
      </c>
      <c r="H24" s="672" t="str">
        <f ca="1">IF(ROWS($1:11)&gt;COUNT(Dong13),"",OFFSET(TH!I$1,SMALL(Dong13,ROWS($1:11)),))</f>
        <v/>
      </c>
      <c r="I24" s="672" t="str">
        <f ca="1">IF(ROWS($1:11)&gt;COUNT(Dong13),"",OFFSET(TH!J$1,SMALL(Dong13,ROWS($1:11)),))</f>
        <v/>
      </c>
      <c r="J24" s="673">
        <f t="shared" ca="1" si="3"/>
        <v>0</v>
      </c>
      <c r="K24" s="675"/>
      <c r="L24" s="674"/>
      <c r="M24" s="653"/>
      <c r="N24" s="653"/>
    </row>
    <row r="25" spans="1:14" ht="27" customHeight="1">
      <c r="A25" s="218" t="str">
        <f ca="1">IF(ROWS($1:12)&gt;COUNT(Dong13),"",OFFSET(TH!E$1,SMALL(Dong13,ROWS($1:12)),))</f>
        <v/>
      </c>
      <c r="B25" s="221" t="str">
        <f ca="1">IF(ROWS($1:12)&gt;COUNT(Dong13),"",OFFSET(TH!H$1,SMALL(Dong13,ROWS($1:12)),))</f>
        <v/>
      </c>
      <c r="C25" s="669" t="str">
        <f t="shared" ca="1" si="2"/>
        <v/>
      </c>
      <c r="D25" s="669" t="str">
        <f ca="1">IF(ROWS($1:12)&gt;COUNT(Dong13),"",OFFSET(TH!D$1,SMALL(Dong13,ROWS($1:12)),))</f>
        <v/>
      </c>
      <c r="E25" s="958" t="str">
        <f t="shared" ca="1" si="0"/>
        <v/>
      </c>
      <c r="F25" s="670" t="str">
        <f t="shared" ca="1" si="1"/>
        <v/>
      </c>
      <c r="G25" s="671" t="str">
        <f ca="1">IF(ROWS($1:12)&gt;COUNT(Dong13),"",OFFSET(TH!F$1,SMALL(Dong13,ROWS($1:12)),))</f>
        <v/>
      </c>
      <c r="H25" s="672" t="str">
        <f ca="1">IF(ROWS($1:12)&gt;COUNT(Dong13),"",OFFSET(TH!I$1,SMALL(Dong13,ROWS($1:12)),))</f>
        <v/>
      </c>
      <c r="I25" s="672" t="str">
        <f ca="1">IF(ROWS($1:12)&gt;COUNT(Dong13),"",OFFSET(TH!J$1,SMALL(Dong13,ROWS($1:12)),))</f>
        <v/>
      </c>
      <c r="J25" s="673">
        <f t="shared" ca="1" si="3"/>
        <v>0</v>
      </c>
      <c r="K25" s="675"/>
      <c r="L25" s="674"/>
      <c r="M25" s="653"/>
      <c r="N25" s="653"/>
    </row>
    <row r="26" spans="1:14" ht="27" customHeight="1">
      <c r="A26" s="218" t="str">
        <f ca="1">IF(ROWS($1:13)&gt;COUNT(Dong13),"",OFFSET(TH!E$1,SMALL(Dong13,ROWS($1:13)),))</f>
        <v/>
      </c>
      <c r="B26" s="221" t="str">
        <f ca="1">IF(ROWS($1:13)&gt;COUNT(Dong13),"",OFFSET(TH!H$1,SMALL(Dong13,ROWS($1:13)),))</f>
        <v/>
      </c>
      <c r="C26" s="669" t="str">
        <f t="shared" ca="1" si="2"/>
        <v/>
      </c>
      <c r="D26" s="669" t="str">
        <f ca="1">IF(ROWS($1:13)&gt;COUNT(Dong13),"",OFFSET(TH!D$1,SMALL(Dong13,ROWS($1:13)),))</f>
        <v/>
      </c>
      <c r="E26" s="958" t="str">
        <f t="shared" ca="1" si="0"/>
        <v/>
      </c>
      <c r="F26" s="670" t="str">
        <f t="shared" ca="1" si="1"/>
        <v/>
      </c>
      <c r="G26" s="671" t="str">
        <f ca="1">IF(ROWS($1:13)&gt;COUNT(Dong13),"",OFFSET(TH!F$1,SMALL(Dong13,ROWS($1:13)),))</f>
        <v/>
      </c>
      <c r="H26" s="672" t="str">
        <f ca="1">IF(ROWS($1:13)&gt;COUNT(Dong13),"",OFFSET(TH!I$1,SMALL(Dong13,ROWS($1:13)),))</f>
        <v/>
      </c>
      <c r="I26" s="672" t="str">
        <f ca="1">IF(ROWS($1:13)&gt;COUNT(Dong13),"",OFFSET(TH!J$1,SMALL(Dong13,ROWS($1:13)),))</f>
        <v/>
      </c>
      <c r="J26" s="673">
        <f t="shared" ca="1" si="3"/>
        <v>0</v>
      </c>
      <c r="K26" s="675"/>
      <c r="L26" s="674"/>
      <c r="M26" s="653"/>
      <c r="N26" s="653"/>
    </row>
    <row r="27" spans="1:14" ht="27" customHeight="1">
      <c r="A27" s="218" t="str">
        <f ca="1">IF(ROWS($1:14)&gt;COUNT(Dong13),"",OFFSET(TH!E$1,SMALL(Dong13,ROWS($1:14)),))</f>
        <v/>
      </c>
      <c r="B27" s="221" t="str">
        <f ca="1">IF(ROWS($1:14)&gt;COUNT(Dong13),"",OFFSET(TH!H$1,SMALL(Dong13,ROWS($1:14)),))</f>
        <v/>
      </c>
      <c r="C27" s="669" t="str">
        <f t="shared" ca="1" si="2"/>
        <v/>
      </c>
      <c r="D27" s="669" t="str">
        <f ca="1">IF(ROWS($1:14)&gt;COUNT(Dong13),"",OFFSET(TH!D$1,SMALL(Dong13,ROWS($1:14)),))</f>
        <v/>
      </c>
      <c r="E27" s="958" t="str">
        <f t="shared" ca="1" si="0"/>
        <v/>
      </c>
      <c r="F27" s="670" t="str">
        <f t="shared" ca="1" si="1"/>
        <v/>
      </c>
      <c r="G27" s="671" t="str">
        <f ca="1">IF(ROWS($1:14)&gt;COUNT(Dong13),"",OFFSET(TH!F$1,SMALL(Dong13,ROWS($1:14)),))</f>
        <v/>
      </c>
      <c r="H27" s="672" t="str">
        <f ca="1">IF(ROWS($1:14)&gt;COUNT(Dong13),"",OFFSET(TH!I$1,SMALL(Dong13,ROWS($1:14)),))</f>
        <v/>
      </c>
      <c r="I27" s="672" t="str">
        <f ca="1">IF(ROWS($1:14)&gt;COUNT(Dong13),"",OFFSET(TH!J$1,SMALL(Dong13,ROWS($1:14)),))</f>
        <v/>
      </c>
      <c r="J27" s="673">
        <f t="shared" ca="1" si="3"/>
        <v>0</v>
      </c>
      <c r="K27" s="675"/>
      <c r="L27" s="674"/>
      <c r="M27" s="653"/>
      <c r="N27" s="653"/>
    </row>
    <row r="28" spans="1:14" ht="27" customHeight="1">
      <c r="A28" s="218" t="str">
        <f ca="1">IF(ROWS($1:15)&gt;COUNT(Dong13),"",OFFSET(TH!E$1,SMALL(Dong13,ROWS($1:15)),))</f>
        <v/>
      </c>
      <c r="B28" s="221" t="str">
        <f ca="1">IF(ROWS($1:15)&gt;COUNT(Dong13),"",OFFSET(TH!H$1,SMALL(Dong13,ROWS($1:15)),))</f>
        <v/>
      </c>
      <c r="C28" s="669" t="str">
        <f t="shared" ca="1" si="2"/>
        <v/>
      </c>
      <c r="D28" s="669" t="str">
        <f ca="1">IF(ROWS($1:15)&gt;COUNT(Dong13),"",OFFSET(TH!D$1,SMALL(Dong13,ROWS($1:15)),))</f>
        <v/>
      </c>
      <c r="E28" s="958" t="str">
        <f t="shared" ca="1" si="0"/>
        <v/>
      </c>
      <c r="F28" s="670" t="str">
        <f t="shared" ca="1" si="1"/>
        <v/>
      </c>
      <c r="G28" s="671" t="str">
        <f ca="1">IF(ROWS($1:15)&gt;COUNT(Dong13),"",OFFSET(TH!F$1,SMALL(Dong13,ROWS($1:15)),))</f>
        <v/>
      </c>
      <c r="H28" s="672" t="str">
        <f ca="1">IF(ROWS($1:15)&gt;COUNT(Dong13),"",OFFSET(TH!I$1,SMALL(Dong13,ROWS($1:15)),))</f>
        <v/>
      </c>
      <c r="I28" s="672" t="str">
        <f ca="1">IF(ROWS($1:15)&gt;COUNT(Dong13),"",OFFSET(TH!J$1,SMALL(Dong13,ROWS($1:15)),))</f>
        <v/>
      </c>
      <c r="J28" s="673">
        <f t="shared" ca="1" si="3"/>
        <v>0</v>
      </c>
      <c r="K28" s="675"/>
      <c r="L28" s="674"/>
      <c r="M28" s="653"/>
      <c r="N28" s="653"/>
    </row>
    <row r="29" spans="1:14" ht="27" customHeight="1">
      <c r="A29" s="218" t="str">
        <f ca="1">IF(ROWS($1:16)&gt;COUNT(Dong13),"",OFFSET(TH!E$1,SMALL(Dong13,ROWS($1:16)),))</f>
        <v/>
      </c>
      <c r="B29" s="221" t="str">
        <f ca="1">IF(ROWS($1:16)&gt;COUNT(Dong13),"",OFFSET(TH!H$1,SMALL(Dong13,ROWS($1:16)),))</f>
        <v/>
      </c>
      <c r="C29" s="669" t="str">
        <f t="shared" ca="1" si="2"/>
        <v/>
      </c>
      <c r="D29" s="669" t="str">
        <f ca="1">IF(ROWS($1:16)&gt;COUNT(Dong13),"",OFFSET(TH!D$1,SMALL(Dong13,ROWS($1:16)),))</f>
        <v/>
      </c>
      <c r="E29" s="958" t="str">
        <f t="shared" ca="1" si="0"/>
        <v/>
      </c>
      <c r="F29" s="670" t="str">
        <f t="shared" ca="1" si="1"/>
        <v/>
      </c>
      <c r="G29" s="671" t="str">
        <f ca="1">IF(ROWS($1:16)&gt;COUNT(Dong13),"",OFFSET(TH!F$1,SMALL(Dong13,ROWS($1:16)),))</f>
        <v/>
      </c>
      <c r="H29" s="672" t="str">
        <f ca="1">IF(ROWS($1:16)&gt;COUNT(Dong13),"",OFFSET(TH!I$1,SMALL(Dong13,ROWS($1:16)),))</f>
        <v/>
      </c>
      <c r="I29" s="672" t="str">
        <f ca="1">IF(ROWS($1:16)&gt;COUNT(Dong13),"",OFFSET(TH!J$1,SMALL(Dong13,ROWS($1:16)),))</f>
        <v/>
      </c>
      <c r="J29" s="673">
        <f t="shared" ca="1" si="3"/>
        <v>0</v>
      </c>
      <c r="K29" s="675"/>
      <c r="L29" s="674"/>
      <c r="M29" s="653"/>
      <c r="N29" s="653"/>
    </row>
    <row r="30" spans="1:14" ht="27" customHeight="1">
      <c r="A30" s="218" t="str">
        <f ca="1">IF(ROWS($1:17)&gt;COUNT(Dong13),"",OFFSET(TH!E$1,SMALL(Dong13,ROWS($1:17)),))</f>
        <v/>
      </c>
      <c r="B30" s="221" t="str">
        <f ca="1">IF(ROWS($1:17)&gt;COUNT(Dong13),"",OFFSET(TH!H$1,SMALL(Dong13,ROWS($1:17)),))</f>
        <v/>
      </c>
      <c r="C30" s="669" t="str">
        <f t="shared" ca="1" si="2"/>
        <v/>
      </c>
      <c r="D30" s="669" t="str">
        <f ca="1">IF(ROWS($1:17)&gt;COUNT(Dong13),"",OFFSET(TH!D$1,SMALL(Dong13,ROWS($1:17)),))</f>
        <v/>
      </c>
      <c r="E30" s="958" t="str">
        <f t="shared" ca="1" si="0"/>
        <v/>
      </c>
      <c r="F30" s="670" t="str">
        <f t="shared" ca="1" si="1"/>
        <v/>
      </c>
      <c r="G30" s="671" t="str">
        <f ca="1">IF(ROWS($1:17)&gt;COUNT(Dong13),"",OFFSET(TH!F$1,SMALL(Dong13,ROWS($1:17)),))</f>
        <v/>
      </c>
      <c r="H30" s="672" t="str">
        <f ca="1">IF(ROWS($1:17)&gt;COUNT(Dong13),"",OFFSET(TH!I$1,SMALL(Dong13,ROWS($1:17)),))</f>
        <v/>
      </c>
      <c r="I30" s="672" t="str">
        <f ca="1">IF(ROWS($1:17)&gt;COUNT(Dong13),"",OFFSET(TH!J$1,SMALL(Dong13,ROWS($1:17)),))</f>
        <v/>
      </c>
      <c r="J30" s="673">
        <f t="shared" ca="1" si="3"/>
        <v>0</v>
      </c>
      <c r="K30" s="675"/>
      <c r="L30" s="674"/>
      <c r="M30" s="653"/>
      <c r="N30" s="653"/>
    </row>
    <row r="31" spans="1:14" ht="27" customHeight="1">
      <c r="A31" s="218" t="str">
        <f ca="1">IF(ROWS($1:18)&gt;COUNT(Dong13),"",OFFSET(TH!E$1,SMALL(Dong13,ROWS($1:18)),))</f>
        <v/>
      </c>
      <c r="B31" s="221" t="str">
        <f ca="1">IF(ROWS($1:18)&gt;COUNT(Dong13),"",OFFSET(TH!H$1,SMALL(Dong13,ROWS($1:18)),))</f>
        <v/>
      </c>
      <c r="C31" s="669" t="str">
        <f t="shared" ca="1" si="2"/>
        <v/>
      </c>
      <c r="D31" s="669" t="str">
        <f ca="1">IF(ROWS($1:18)&gt;COUNT(Dong13),"",OFFSET(TH!D$1,SMALL(Dong13,ROWS($1:18)),))</f>
        <v/>
      </c>
      <c r="E31" s="958" t="str">
        <f t="shared" ca="1" si="0"/>
        <v/>
      </c>
      <c r="F31" s="670" t="str">
        <f t="shared" ca="1" si="1"/>
        <v/>
      </c>
      <c r="G31" s="671" t="str">
        <f ca="1">IF(ROWS($1:18)&gt;COUNT(Dong13),"",OFFSET(TH!F$1,SMALL(Dong13,ROWS($1:18)),))</f>
        <v/>
      </c>
      <c r="H31" s="672" t="str">
        <f ca="1">IF(ROWS($1:18)&gt;COUNT(Dong13),"",OFFSET(TH!I$1,SMALL(Dong13,ROWS($1:18)),))</f>
        <v/>
      </c>
      <c r="I31" s="672" t="str">
        <f ca="1">IF(ROWS($1:18)&gt;COUNT(Dong13),"",OFFSET(TH!J$1,SMALL(Dong13,ROWS($1:18)),))</f>
        <v/>
      </c>
      <c r="J31" s="673">
        <f t="shared" ca="1" si="3"/>
        <v>0</v>
      </c>
      <c r="K31" s="675"/>
      <c r="L31" s="674"/>
      <c r="M31" s="653"/>
      <c r="N31" s="653"/>
    </row>
    <row r="32" spans="1:14" ht="27" customHeight="1">
      <c r="A32" s="218" t="str">
        <f ca="1">IF(ROWS($1:19)&gt;COUNT(Dong13),"",OFFSET(TH!E$1,SMALL(Dong13,ROWS($1:19)),))</f>
        <v/>
      </c>
      <c r="B32" s="221" t="str">
        <f ca="1">IF(ROWS($1:19)&gt;COUNT(Dong13),"",OFFSET(TH!H$1,SMALL(Dong13,ROWS($1:19)),))</f>
        <v/>
      </c>
      <c r="C32" s="669" t="str">
        <f t="shared" ca="1" si="2"/>
        <v/>
      </c>
      <c r="D32" s="669" t="str">
        <f ca="1">IF(ROWS($1:19)&gt;COUNT(Dong13),"",OFFSET(TH!D$1,SMALL(Dong13,ROWS($1:19)),))</f>
        <v/>
      </c>
      <c r="E32" s="958" t="str">
        <f t="shared" ca="1" si="0"/>
        <v/>
      </c>
      <c r="F32" s="670" t="str">
        <f t="shared" ca="1" si="1"/>
        <v/>
      </c>
      <c r="G32" s="671" t="str">
        <f ca="1">IF(ROWS($1:19)&gt;COUNT(Dong13),"",OFFSET(TH!F$1,SMALL(Dong13,ROWS($1:19)),))</f>
        <v/>
      </c>
      <c r="H32" s="672" t="str">
        <f ca="1">IF(ROWS($1:19)&gt;COUNT(Dong13),"",OFFSET(TH!I$1,SMALL(Dong13,ROWS($1:19)),))</f>
        <v/>
      </c>
      <c r="I32" s="672" t="str">
        <f ca="1">IF(ROWS($1:19)&gt;COUNT(Dong13),"",OFFSET(TH!J$1,SMALL(Dong13,ROWS($1:19)),))</f>
        <v/>
      </c>
      <c r="J32" s="673">
        <f t="shared" ca="1" si="3"/>
        <v>0</v>
      </c>
      <c r="K32" s="675"/>
      <c r="L32" s="674"/>
      <c r="M32" s="653"/>
      <c r="N32" s="653"/>
    </row>
    <row r="33" spans="1:14" ht="27" customHeight="1">
      <c r="A33" s="218" t="str">
        <f ca="1">IF(ROWS($1:20)&gt;COUNT(Dong13),"",OFFSET(TH!E$1,SMALL(Dong13,ROWS($1:20)),))</f>
        <v/>
      </c>
      <c r="B33" s="221" t="str">
        <f ca="1">IF(ROWS($1:20)&gt;COUNT(Dong13),"",OFFSET(TH!H$1,SMALL(Dong13,ROWS($1:20)),))</f>
        <v/>
      </c>
      <c r="C33" s="669" t="str">
        <f t="shared" ca="1" si="2"/>
        <v/>
      </c>
      <c r="D33" s="669" t="str">
        <f ca="1">IF(ROWS($1:20)&gt;COUNT(Dong13),"",OFFSET(TH!D$1,SMALL(Dong13,ROWS($1:20)),))</f>
        <v/>
      </c>
      <c r="E33" s="958" t="str">
        <f t="shared" ca="1" si="0"/>
        <v/>
      </c>
      <c r="F33" s="670" t="str">
        <f t="shared" ca="1" si="1"/>
        <v/>
      </c>
      <c r="G33" s="671" t="str">
        <f ca="1">IF(ROWS($1:20)&gt;COUNT(Dong13),"",OFFSET(TH!F$1,SMALL(Dong13,ROWS($1:20)),))</f>
        <v/>
      </c>
      <c r="H33" s="672" t="str">
        <f ca="1">IF(ROWS($1:20)&gt;COUNT(Dong13),"",OFFSET(TH!I$1,SMALL(Dong13,ROWS($1:20)),))</f>
        <v/>
      </c>
      <c r="I33" s="672" t="str">
        <f ca="1">IF(ROWS($1:20)&gt;COUNT(Dong13),"",OFFSET(TH!J$1,SMALL(Dong13,ROWS($1:20)),))</f>
        <v/>
      </c>
      <c r="J33" s="673">
        <f t="shared" ca="1" si="3"/>
        <v>0</v>
      </c>
      <c r="K33" s="675"/>
      <c r="L33" s="674"/>
      <c r="M33" s="653"/>
      <c r="N33" s="653"/>
    </row>
    <row r="34" spans="1:14" ht="27" customHeight="1">
      <c r="A34" s="218" t="str">
        <f ca="1">IF(ROWS($1:21)&gt;COUNT(Dong13),"",OFFSET(TH!E$1,SMALL(Dong13,ROWS($1:21)),))</f>
        <v/>
      </c>
      <c r="B34" s="221" t="str">
        <f ca="1">IF(ROWS($1:21)&gt;COUNT(Dong13),"",OFFSET(TH!H$1,SMALL(Dong13,ROWS($1:21)),))</f>
        <v/>
      </c>
      <c r="C34" s="669" t="str">
        <f t="shared" ca="1" si="2"/>
        <v/>
      </c>
      <c r="D34" s="669" t="str">
        <f ca="1">IF(ROWS($1:21)&gt;COUNT(Dong13),"",OFFSET(TH!D$1,SMALL(Dong13,ROWS($1:21)),))</f>
        <v/>
      </c>
      <c r="E34" s="958" t="str">
        <f t="shared" ca="1" si="0"/>
        <v/>
      </c>
      <c r="F34" s="670" t="str">
        <f t="shared" ca="1" si="1"/>
        <v/>
      </c>
      <c r="G34" s="671" t="str">
        <f ca="1">IF(ROWS($1:21)&gt;COUNT(Dong13),"",OFFSET(TH!F$1,SMALL(Dong13,ROWS($1:21)),))</f>
        <v/>
      </c>
      <c r="H34" s="672" t="str">
        <f ca="1">IF(ROWS($1:21)&gt;COUNT(Dong13),"",OFFSET(TH!I$1,SMALL(Dong13,ROWS($1:21)),))</f>
        <v/>
      </c>
      <c r="I34" s="672" t="str">
        <f ca="1">IF(ROWS($1:21)&gt;COUNT(Dong13),"",OFFSET(TH!J$1,SMALL(Dong13,ROWS($1:21)),))</f>
        <v/>
      </c>
      <c r="J34" s="673">
        <f t="shared" ca="1" si="3"/>
        <v>0</v>
      </c>
      <c r="K34" s="675"/>
      <c r="L34" s="674"/>
      <c r="M34" s="653"/>
      <c r="N34" s="653"/>
    </row>
    <row r="35" spans="1:14" ht="27" customHeight="1">
      <c r="A35" s="218" t="str">
        <f ca="1">IF(ROWS($1:22)&gt;COUNT(Dong13),"",OFFSET(TH!E$1,SMALL(Dong13,ROWS($1:22)),))</f>
        <v/>
      </c>
      <c r="B35" s="221" t="str">
        <f ca="1">IF(ROWS($1:22)&gt;COUNT(Dong13),"",OFFSET(TH!H$1,SMALL(Dong13,ROWS($1:22)),))</f>
        <v/>
      </c>
      <c r="C35" s="669" t="str">
        <f t="shared" ca="1" si="2"/>
        <v/>
      </c>
      <c r="D35" s="669" t="str">
        <f ca="1">IF(ROWS($1:22)&gt;COUNT(Dong13),"",OFFSET(TH!D$1,SMALL(Dong13,ROWS($1:22)),))</f>
        <v/>
      </c>
      <c r="E35" s="958" t="str">
        <f t="shared" ca="1" si="0"/>
        <v/>
      </c>
      <c r="F35" s="670" t="str">
        <f t="shared" ca="1" si="1"/>
        <v/>
      </c>
      <c r="G35" s="671" t="str">
        <f ca="1">IF(ROWS($1:22)&gt;COUNT(Dong13),"",OFFSET(TH!F$1,SMALL(Dong13,ROWS($1:22)),))</f>
        <v/>
      </c>
      <c r="H35" s="672" t="str">
        <f ca="1">IF(ROWS($1:22)&gt;COUNT(Dong13),"",OFFSET(TH!I$1,SMALL(Dong13,ROWS($1:22)),))</f>
        <v/>
      </c>
      <c r="I35" s="672" t="str">
        <f ca="1">IF(ROWS($1:22)&gt;COUNT(Dong13),"",OFFSET(TH!J$1,SMALL(Dong13,ROWS($1:22)),))</f>
        <v/>
      </c>
      <c r="J35" s="673">
        <f t="shared" ca="1" si="3"/>
        <v>0</v>
      </c>
      <c r="K35" s="675"/>
      <c r="L35" s="674"/>
      <c r="M35" s="653"/>
      <c r="N35" s="653"/>
    </row>
    <row r="36" spans="1:14" ht="27" customHeight="1">
      <c r="A36" s="218" t="str">
        <f ca="1">IF(ROWS($1:23)&gt;COUNT(Dong13),"",OFFSET(TH!E$1,SMALL(Dong13,ROWS($1:23)),))</f>
        <v/>
      </c>
      <c r="B36" s="221" t="str">
        <f ca="1">IF(ROWS($1:23)&gt;COUNT(Dong13),"",OFFSET(TH!H$1,SMALL(Dong13,ROWS($1:23)),))</f>
        <v/>
      </c>
      <c r="C36" s="669" t="str">
        <f t="shared" ca="1" si="2"/>
        <v/>
      </c>
      <c r="D36" s="669" t="str">
        <f ca="1">IF(ROWS($1:23)&gt;COUNT(Dong13),"",OFFSET(TH!D$1,SMALL(Dong13,ROWS($1:23)),))</f>
        <v/>
      </c>
      <c r="E36" s="958" t="str">
        <f t="shared" ca="1" si="0"/>
        <v/>
      </c>
      <c r="F36" s="670" t="str">
        <f t="shared" ca="1" si="1"/>
        <v/>
      </c>
      <c r="G36" s="671" t="str">
        <f ca="1">IF(ROWS($1:23)&gt;COUNT(Dong13),"",OFFSET(TH!F$1,SMALL(Dong13,ROWS($1:23)),))</f>
        <v/>
      </c>
      <c r="H36" s="672" t="str">
        <f ca="1">IF(ROWS($1:23)&gt;COUNT(Dong13),"",OFFSET(TH!I$1,SMALL(Dong13,ROWS($1:23)),))</f>
        <v/>
      </c>
      <c r="I36" s="672" t="str">
        <f ca="1">IF(ROWS($1:23)&gt;COUNT(Dong13),"",OFFSET(TH!J$1,SMALL(Dong13,ROWS($1:23)),))</f>
        <v/>
      </c>
      <c r="J36" s="673">
        <f t="shared" ca="1" si="3"/>
        <v>0</v>
      </c>
      <c r="K36" s="675"/>
      <c r="L36" s="674"/>
      <c r="M36" s="653"/>
      <c r="N36" s="653"/>
    </row>
    <row r="37" spans="1:14" ht="27" customHeight="1">
      <c r="A37" s="218" t="str">
        <f ca="1">IF(ROWS($1:24)&gt;COUNT(Dong13),"",OFFSET(TH!E$1,SMALL(Dong13,ROWS($1:24)),))</f>
        <v/>
      </c>
      <c r="B37" s="221" t="str">
        <f ca="1">IF(ROWS($1:24)&gt;COUNT(Dong13),"",OFFSET(TH!H$1,SMALL(Dong13,ROWS($1:24)),))</f>
        <v/>
      </c>
      <c r="C37" s="669" t="str">
        <f t="shared" ca="1" si="2"/>
        <v/>
      </c>
      <c r="D37" s="669" t="str">
        <f ca="1">IF(ROWS($1:24)&gt;COUNT(Dong13),"",OFFSET(TH!D$1,SMALL(Dong13,ROWS($1:24)),))</f>
        <v/>
      </c>
      <c r="E37" s="958" t="str">
        <f t="shared" ca="1" si="0"/>
        <v/>
      </c>
      <c r="F37" s="670" t="str">
        <f t="shared" ca="1" si="1"/>
        <v/>
      </c>
      <c r="G37" s="671" t="str">
        <f ca="1">IF(ROWS($1:24)&gt;COUNT(Dong13),"",OFFSET(TH!F$1,SMALL(Dong13,ROWS($1:24)),))</f>
        <v/>
      </c>
      <c r="H37" s="672" t="str">
        <f ca="1">IF(ROWS($1:24)&gt;COUNT(Dong13),"",OFFSET(TH!I$1,SMALL(Dong13,ROWS($1:24)),))</f>
        <v/>
      </c>
      <c r="I37" s="672" t="str">
        <f ca="1">IF(ROWS($1:24)&gt;COUNT(Dong13),"",OFFSET(TH!J$1,SMALL(Dong13,ROWS($1:24)),))</f>
        <v/>
      </c>
      <c r="J37" s="673">
        <f t="shared" ca="1" si="3"/>
        <v>0</v>
      </c>
      <c r="K37" s="675"/>
      <c r="L37" s="674"/>
      <c r="M37" s="653"/>
      <c r="N37" s="653"/>
    </row>
    <row r="38" spans="1:14" ht="27" customHeight="1">
      <c r="A38" s="218" t="str">
        <f ca="1">IF(ROWS($1:25)&gt;COUNT(Dong13),"",OFFSET(TH!E$1,SMALL(Dong13,ROWS($1:25)),))</f>
        <v/>
      </c>
      <c r="B38" s="221" t="str">
        <f ca="1">IF(ROWS($1:25)&gt;COUNT(Dong13),"",OFFSET(TH!H$1,SMALL(Dong13,ROWS($1:25)),))</f>
        <v/>
      </c>
      <c r="C38" s="669" t="str">
        <f t="shared" ca="1" si="2"/>
        <v/>
      </c>
      <c r="D38" s="669" t="str">
        <f ca="1">IF(ROWS($1:25)&gt;COUNT(Dong13),"",OFFSET(TH!D$1,SMALL(Dong13,ROWS($1:25)),))</f>
        <v/>
      </c>
      <c r="E38" s="958" t="str">
        <f t="shared" ca="1" si="0"/>
        <v/>
      </c>
      <c r="F38" s="670" t="str">
        <f t="shared" ca="1" si="1"/>
        <v/>
      </c>
      <c r="G38" s="671" t="str">
        <f ca="1">IF(ROWS($1:25)&gt;COUNT(Dong13),"",OFFSET(TH!F$1,SMALL(Dong13,ROWS($1:25)),))</f>
        <v/>
      </c>
      <c r="H38" s="672" t="str">
        <f ca="1">IF(ROWS($1:25)&gt;COUNT(Dong13),"",OFFSET(TH!I$1,SMALL(Dong13,ROWS($1:25)),))</f>
        <v/>
      </c>
      <c r="I38" s="672" t="str">
        <f ca="1">IF(ROWS($1:25)&gt;COUNT(Dong13),"",OFFSET(TH!J$1,SMALL(Dong13,ROWS($1:25)),))</f>
        <v/>
      </c>
      <c r="J38" s="673">
        <f t="shared" ca="1" si="3"/>
        <v>0</v>
      </c>
      <c r="K38" s="675"/>
      <c r="L38" s="674"/>
      <c r="M38" s="653"/>
      <c r="N38" s="653"/>
    </row>
    <row r="39" spans="1:14" ht="27" customHeight="1">
      <c r="A39" s="218" t="str">
        <f ca="1">IF(ROWS($1:26)&gt;COUNT(Dong13),"",OFFSET(TH!E$1,SMALL(Dong13,ROWS($1:26)),))</f>
        <v/>
      </c>
      <c r="B39" s="221" t="str">
        <f ca="1">IF(ROWS($1:26)&gt;COUNT(Dong13),"",OFFSET(TH!H$1,SMALL(Dong13,ROWS($1:26)),))</f>
        <v/>
      </c>
      <c r="C39" s="669" t="str">
        <f t="shared" ca="1" si="2"/>
        <v/>
      </c>
      <c r="D39" s="669" t="str">
        <f ca="1">IF(ROWS($1:26)&gt;COUNT(Dong13),"",OFFSET(TH!D$1,SMALL(Dong13,ROWS($1:26)),))</f>
        <v/>
      </c>
      <c r="E39" s="958" t="str">
        <f t="shared" ca="1" si="0"/>
        <v/>
      </c>
      <c r="F39" s="670" t="str">
        <f t="shared" ca="1" si="1"/>
        <v/>
      </c>
      <c r="G39" s="671" t="str">
        <f ca="1">IF(ROWS($1:26)&gt;COUNT(Dong13),"",OFFSET(TH!F$1,SMALL(Dong13,ROWS($1:26)),))</f>
        <v/>
      </c>
      <c r="H39" s="672" t="str">
        <f ca="1">IF(ROWS($1:26)&gt;COUNT(Dong13),"",OFFSET(TH!I$1,SMALL(Dong13,ROWS($1:26)),))</f>
        <v/>
      </c>
      <c r="I39" s="672" t="str">
        <f ca="1">IF(ROWS($1:26)&gt;COUNT(Dong13),"",OFFSET(TH!J$1,SMALL(Dong13,ROWS($1:26)),))</f>
        <v/>
      </c>
      <c r="J39" s="673">
        <f t="shared" ca="1" si="3"/>
        <v>0</v>
      </c>
      <c r="K39" s="675"/>
      <c r="L39" s="674"/>
      <c r="M39" s="653"/>
      <c r="N39" s="653"/>
    </row>
    <row r="40" spans="1:14" ht="27" customHeight="1">
      <c r="A40" s="218" t="str">
        <f ca="1">IF(ROWS($1:27)&gt;COUNT(Dong13),"",OFFSET(TH!E$1,SMALL(Dong13,ROWS($1:27)),))</f>
        <v/>
      </c>
      <c r="B40" s="221" t="str">
        <f ca="1">IF(ROWS($1:27)&gt;COUNT(Dong13),"",OFFSET(TH!H$1,SMALL(Dong13,ROWS($1:27)),))</f>
        <v/>
      </c>
      <c r="C40" s="669" t="str">
        <f t="shared" ca="1" si="2"/>
        <v/>
      </c>
      <c r="D40" s="669" t="str">
        <f ca="1">IF(ROWS($1:27)&gt;COUNT(Dong13),"",OFFSET(TH!D$1,SMALL(Dong13,ROWS($1:27)),))</f>
        <v/>
      </c>
      <c r="E40" s="958" t="str">
        <f t="shared" ca="1" si="0"/>
        <v/>
      </c>
      <c r="F40" s="670" t="str">
        <f t="shared" ca="1" si="1"/>
        <v/>
      </c>
      <c r="G40" s="671" t="str">
        <f ca="1">IF(ROWS($1:27)&gt;COUNT(Dong13),"",OFFSET(TH!F$1,SMALL(Dong13,ROWS($1:27)),))</f>
        <v/>
      </c>
      <c r="H40" s="672" t="str">
        <f ca="1">IF(ROWS($1:27)&gt;COUNT(Dong13),"",OFFSET(TH!I$1,SMALL(Dong13,ROWS($1:27)),))</f>
        <v/>
      </c>
      <c r="I40" s="672" t="str">
        <f ca="1">IF(ROWS($1:27)&gt;COUNT(Dong13),"",OFFSET(TH!J$1,SMALL(Dong13,ROWS($1:27)),))</f>
        <v/>
      </c>
      <c r="J40" s="673">
        <f t="shared" ca="1" si="3"/>
        <v>0</v>
      </c>
      <c r="K40" s="675"/>
      <c r="L40" s="674"/>
      <c r="M40" s="653"/>
      <c r="N40" s="653"/>
    </row>
    <row r="41" spans="1:14" ht="28.5" customHeight="1">
      <c r="A41" s="654" t="s">
        <v>516</v>
      </c>
      <c r="B41" s="652"/>
      <c r="C41" s="652"/>
      <c r="D41" s="652"/>
      <c r="E41" s="959">
        <f ca="1">SUM(J14:J40)</f>
        <v>0</v>
      </c>
      <c r="F41" s="676"/>
      <c r="G41" s="652"/>
      <c r="H41" s="656"/>
      <c r="I41" s="656"/>
      <c r="J41" s="677"/>
      <c r="K41" s="652"/>
      <c r="L41" s="652"/>
      <c r="M41" s="653"/>
      <c r="N41" s="678">
        <f ca="1">SUBTOTAL(9,J14:J40)</f>
        <v>0</v>
      </c>
    </row>
    <row r="42" spans="1:14" ht="15.75">
      <c r="A42" s="654"/>
      <c r="B42" s="652"/>
      <c r="C42" s="652"/>
      <c r="D42" s="652"/>
      <c r="E42" s="960"/>
      <c r="F42" s="656"/>
      <c r="G42" s="652"/>
      <c r="H42" s="656"/>
      <c r="I42" s="656"/>
      <c r="J42" s="680" t="str">
        <f xml:space="preserve"> IF(OR($M$11=1,$M$11=4,$M$11=6,$M$11=9,$M$11=11),"Ngày  30  tháng  "&amp;$M$11&amp;"  năm 2016",IF(OR($M$11=3,$M$11=5,$M$11=7,$M$11=8,$M$11=10,$M$11=12),"Ngày  31  tháng  "&amp;$M$11&amp;"  năm 2016","Ngày  29  tháng  "&amp;$M$11&amp;"  năm 2016"))</f>
        <v>Ngày  29  tháng  2  năm 2016</v>
      </c>
      <c r="K42" s="681"/>
      <c r="L42" s="652"/>
      <c r="M42" s="653"/>
      <c r="N42" s="653"/>
    </row>
    <row r="43" spans="1:14" ht="15.75">
      <c r="A43" s="654"/>
      <c r="B43" s="682" t="s">
        <v>517</v>
      </c>
      <c r="C43" s="682"/>
      <c r="D43" s="682"/>
      <c r="E43" s="956"/>
      <c r="F43" s="652"/>
      <c r="G43" s="652"/>
      <c r="H43" s="656"/>
      <c r="I43" s="656"/>
      <c r="J43" s="683" t="s">
        <v>518</v>
      </c>
      <c r="K43" s="652"/>
      <c r="L43" s="652"/>
      <c r="M43" s="653"/>
      <c r="N43" s="653"/>
    </row>
    <row r="44" spans="1:14" ht="15.75">
      <c r="A44" s="654"/>
      <c r="B44" s="684" t="s">
        <v>519</v>
      </c>
      <c r="C44" s="684"/>
      <c r="D44" s="684"/>
      <c r="E44" s="956"/>
      <c r="F44" s="685"/>
      <c r="G44" s="652"/>
      <c r="H44" s="656"/>
      <c r="I44" s="656"/>
      <c r="J44" s="686" t="s">
        <v>520</v>
      </c>
      <c r="K44" s="652"/>
      <c r="L44" s="652"/>
      <c r="M44" s="653"/>
      <c r="N44" s="653"/>
    </row>
    <row r="45" spans="1:14" ht="15.75">
      <c r="A45" s="654"/>
      <c r="B45" s="684"/>
      <c r="C45" s="684"/>
      <c r="D45" s="684"/>
      <c r="E45" s="956"/>
      <c r="F45" s="685"/>
      <c r="G45" s="652"/>
      <c r="H45" s="656"/>
      <c r="I45" s="686"/>
      <c r="J45" s="652"/>
      <c r="K45" s="652"/>
      <c r="L45" s="652"/>
      <c r="M45" s="653"/>
      <c r="N45" s="653"/>
    </row>
    <row r="46" spans="1:14" ht="15.75">
      <c r="A46" s="654"/>
      <c r="B46" s="684"/>
      <c r="C46" s="684"/>
      <c r="D46" s="684"/>
      <c r="E46" s="956"/>
      <c r="F46" s="685"/>
      <c r="G46" s="652"/>
      <c r="H46" s="656"/>
      <c r="I46" s="686"/>
      <c r="J46" s="652"/>
      <c r="K46" s="652"/>
      <c r="L46" s="652"/>
      <c r="M46" s="653"/>
      <c r="N46" s="653"/>
    </row>
    <row r="47" spans="1:14" ht="15.75">
      <c r="A47" s="654"/>
      <c r="B47" s="679"/>
      <c r="C47" s="652"/>
      <c r="D47" s="652"/>
      <c r="E47" s="956"/>
      <c r="F47" s="679"/>
      <c r="G47" s="652"/>
      <c r="H47" s="656"/>
      <c r="I47" s="656"/>
      <c r="J47" s="467"/>
      <c r="K47" s="652"/>
      <c r="L47" s="652"/>
      <c r="M47" s="653"/>
      <c r="N47" s="653"/>
    </row>
    <row r="48" spans="1:14" ht="15.75">
      <c r="A48" s="654"/>
      <c r="B48" s="687"/>
      <c r="C48" s="687"/>
      <c r="D48" s="687"/>
      <c r="E48" s="961"/>
      <c r="F48" s="652"/>
      <c r="G48" s="652"/>
      <c r="H48" s="1408"/>
      <c r="I48" s="1408"/>
      <c r="J48" s="1408"/>
      <c r="K48" s="652"/>
      <c r="L48" s="652"/>
      <c r="M48" s="653"/>
      <c r="N48" s="653"/>
    </row>
    <row r="49" spans="1:14" ht="15.75">
      <c r="A49" s="654"/>
      <c r="B49" s="950" t="s">
        <v>228</v>
      </c>
      <c r="C49" s="953"/>
      <c r="D49" s="652"/>
      <c r="E49" s="956"/>
      <c r="F49" s="652"/>
      <c r="G49" s="652"/>
      <c r="H49" s="656"/>
      <c r="I49" s="656"/>
      <c r="J49" s="951" t="s">
        <v>125</v>
      </c>
      <c r="K49" s="951"/>
      <c r="L49" s="951"/>
      <c r="M49" s="951"/>
      <c r="N49" s="653"/>
    </row>
    <row r="50" spans="1:14" ht="15.75">
      <c r="A50" s="688" t="s">
        <v>521</v>
      </c>
      <c r="B50" s="652"/>
      <c r="C50" s="652"/>
      <c r="D50" s="652"/>
      <c r="E50" s="956"/>
      <c r="F50" s="652"/>
      <c r="G50" s="652"/>
      <c r="H50" s="656"/>
      <c r="I50" s="656"/>
      <c r="J50" s="652"/>
      <c r="K50" s="652"/>
      <c r="L50" s="652"/>
      <c r="M50" s="653"/>
      <c r="N50" s="653"/>
    </row>
    <row r="51" spans="1:14" ht="37.5" customHeight="1">
      <c r="A51" s="1409" t="s">
        <v>522</v>
      </c>
      <c r="B51" s="1410"/>
      <c r="C51" s="1410"/>
      <c r="D51" s="1410"/>
      <c r="E51" s="1410"/>
      <c r="F51" s="1410"/>
      <c r="G51" s="1410"/>
      <c r="H51" s="1410"/>
      <c r="I51" s="1410"/>
      <c r="J51" s="1410"/>
      <c r="K51" s="1410"/>
      <c r="L51" s="652"/>
      <c r="M51" s="653"/>
      <c r="N51" s="653"/>
    </row>
    <row r="52" spans="1:14" ht="45" customHeight="1">
      <c r="A52" s="1409" t="s">
        <v>523</v>
      </c>
      <c r="B52" s="1409"/>
      <c r="C52" s="1409"/>
      <c r="D52" s="1409"/>
      <c r="E52" s="1409"/>
      <c r="F52" s="1409"/>
      <c r="G52" s="1409"/>
      <c r="H52" s="1409"/>
      <c r="I52" s="1409"/>
      <c r="J52" s="1409"/>
      <c r="K52" s="1409"/>
      <c r="L52" s="652"/>
      <c r="M52" s="653"/>
      <c r="N52" s="653"/>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941" customWidth="1"/>
    <col min="2" max="2" width="15.7109375" style="941" customWidth="1"/>
    <col min="3" max="3" width="16.85546875" style="941" customWidth="1"/>
    <col min="4" max="8" width="15.28515625" style="941" customWidth="1"/>
    <col min="9" max="9" width="10.140625" style="941" customWidth="1"/>
    <col min="10" max="10" width="5.85546875" style="941" customWidth="1"/>
    <col min="11" max="16384" width="10.28515625" style="941"/>
  </cols>
  <sheetData>
    <row r="1" spans="1:10" s="703" customFormat="1" ht="15" customHeight="1">
      <c r="A1" s="928" t="s">
        <v>314</v>
      </c>
      <c r="B1" s="928"/>
      <c r="D1" s="704"/>
      <c r="E1" s="704"/>
      <c r="F1" s="1428" t="s">
        <v>553</v>
      </c>
      <c r="G1" s="1428"/>
      <c r="H1" s="1428"/>
      <c r="I1" s="705"/>
      <c r="J1" s="706"/>
    </row>
    <row r="2" spans="1:10" s="703" customFormat="1" ht="29.25" customHeight="1">
      <c r="A2" s="928" t="s">
        <v>554</v>
      </c>
      <c r="B2" s="928"/>
      <c r="D2" s="707"/>
      <c r="E2" s="707"/>
      <c r="F2" s="1429" t="s">
        <v>144</v>
      </c>
      <c r="G2" s="1429"/>
      <c r="H2" s="1429"/>
      <c r="I2" s="705"/>
      <c r="J2" s="659">
        <v>1</v>
      </c>
    </row>
    <row r="3" spans="1:10" s="703" customFormat="1" ht="15">
      <c r="A3" s="929"/>
      <c r="B3" s="930"/>
      <c r="C3" s="707"/>
      <c r="D3" s="707"/>
      <c r="E3" s="707"/>
      <c r="F3" s="1429"/>
      <c r="G3" s="1429"/>
      <c r="H3" s="1429"/>
      <c r="I3" s="705"/>
    </row>
    <row r="4" spans="1:10" s="932" customFormat="1" ht="17.25" customHeight="1">
      <c r="A4" s="1430" t="s">
        <v>555</v>
      </c>
      <c r="B4" s="1430"/>
      <c r="C4" s="1430"/>
      <c r="D4" s="1430"/>
      <c r="E4" s="1430"/>
      <c r="F4" s="1430"/>
      <c r="G4" s="1430"/>
      <c r="H4" s="1430"/>
      <c r="I4" s="931"/>
    </row>
    <row r="5" spans="1:10" s="933" customFormat="1" ht="17.25" customHeight="1">
      <c r="B5" s="934"/>
      <c r="C5" s="935" t="s">
        <v>460</v>
      </c>
      <c r="D5" s="934" t="str">
        <f>IF($J$2&lt;10,"0"&amp;$J$2&amp;"  năm 2016",$J$2&amp;"  năm 2016")</f>
        <v>01  năm 2016</v>
      </c>
      <c r="E5" s="934"/>
      <c r="F5" s="934"/>
      <c r="G5" s="934"/>
      <c r="H5" s="934"/>
      <c r="I5" s="934"/>
    </row>
    <row r="6" spans="1:10" s="933" customFormat="1" ht="17.25" customHeight="1">
      <c r="B6" s="936"/>
      <c r="C6" s="1431" t="s">
        <v>556</v>
      </c>
      <c r="D6" s="1431"/>
      <c r="E6" s="1432" t="s">
        <v>445</v>
      </c>
      <c r="F6" s="1432"/>
      <c r="H6" s="936"/>
      <c r="I6" s="934"/>
    </row>
    <row r="7" spans="1:10" s="938" customFormat="1" ht="9.75" customHeight="1">
      <c r="A7" s="937"/>
      <c r="B7" s="937"/>
      <c r="C7" s="937"/>
      <c r="D7" s="937"/>
      <c r="E7" s="937"/>
      <c r="F7" s="937"/>
      <c r="G7" s="937"/>
      <c r="H7" s="937"/>
      <c r="I7" s="936"/>
    </row>
    <row r="8" spans="1:10" s="709" customFormat="1" ht="17.25" customHeight="1">
      <c r="A8" s="1433" t="s">
        <v>557</v>
      </c>
      <c r="B8" s="1434" t="s">
        <v>558</v>
      </c>
      <c r="C8" s="1434" t="s">
        <v>559</v>
      </c>
      <c r="D8" s="1434"/>
      <c r="E8" s="1434"/>
      <c r="F8" s="1434"/>
      <c r="G8" s="1434"/>
      <c r="H8" s="1434"/>
      <c r="I8" s="708"/>
    </row>
    <row r="9" spans="1:10" s="712" customFormat="1" ht="28.5">
      <c r="A9" s="1433"/>
      <c r="B9" s="1434"/>
      <c r="C9" s="710" t="s">
        <v>560</v>
      </c>
      <c r="D9" s="710" t="s">
        <v>561</v>
      </c>
      <c r="E9" s="710" t="s">
        <v>562</v>
      </c>
      <c r="F9" s="710" t="s">
        <v>563</v>
      </c>
      <c r="G9" s="710" t="s">
        <v>564</v>
      </c>
      <c r="H9" s="710" t="s">
        <v>565</v>
      </c>
      <c r="I9" s="711"/>
    </row>
    <row r="10" spans="1:10" s="715" customFormat="1" ht="15">
      <c r="A10" s="713" t="s">
        <v>2</v>
      </c>
      <c r="B10" s="714">
        <v>1</v>
      </c>
      <c r="C10" s="714">
        <v>2</v>
      </c>
      <c r="D10" s="714">
        <v>3</v>
      </c>
      <c r="E10" s="714">
        <v>4</v>
      </c>
      <c r="F10" s="714">
        <v>5</v>
      </c>
      <c r="G10" s="714">
        <v>6</v>
      </c>
      <c r="H10" s="714">
        <v>7</v>
      </c>
      <c r="I10" s="705"/>
    </row>
    <row r="11" spans="1:10" s="933" customFormat="1" ht="24.75" customHeight="1">
      <c r="A11" s="939" t="s">
        <v>566</v>
      </c>
      <c r="B11" s="940">
        <f>ROUND(SUM(C11:H11),0)</f>
        <v>0</v>
      </c>
      <c r="C11" s="940">
        <v>0</v>
      </c>
      <c r="D11" s="940">
        <v>0</v>
      </c>
      <c r="E11" s="940">
        <v>0</v>
      </c>
      <c r="F11" s="940">
        <v>0</v>
      </c>
      <c r="G11" s="940">
        <v>0</v>
      </c>
      <c r="H11" s="940">
        <v>0</v>
      </c>
      <c r="I11" s="934"/>
    </row>
    <row r="12" spans="1:10" s="933" customFormat="1" ht="24.75" customHeight="1">
      <c r="A12" s="939" t="s">
        <v>567</v>
      </c>
      <c r="B12" s="940">
        <f ca="1">ROUND(SUM(C12:H12),0)</f>
        <v>2205234204</v>
      </c>
      <c r="C12" s="940">
        <f ca="1">IF(ISNA(VLOOKUP($E6,INDIRECT("DSSP"&amp;$J$2),6,0)),0,VLOOKUP($E6,INDIRECT("DSSP"&amp;$J$2),6,0))</f>
        <v>2112000000</v>
      </c>
      <c r="D12" s="940">
        <f ca="1">IF(ISNA(VLOOKUP($E6,INDIRECT("DSSP"&amp;$J$2),7,0)),0,VLOOKUP($E6,INDIRECT("DSSP"&amp;$J$2),7,0))</f>
        <v>30771291.982597888</v>
      </c>
      <c r="E12" s="940">
        <f ca="1">IF(ISNA(VLOOKUP($E6,INDIRECT("DSSP"&amp;$J$2),8,0)),0,VLOOKUP($E6,INDIRECT("DSSP"&amp;$J$2),8,0))</f>
        <v>13804623.990055935</v>
      </c>
      <c r="F12" s="940">
        <f ca="1">IF(ISNA(VLOOKUP($E6,INDIRECT("DSSP"&amp;$J$2),9,0)),0,VLOOKUP($E6,INDIRECT("DSSP"&amp;$J$2),9,0))</f>
        <v>36298288.266003728</v>
      </c>
      <c r="G12" s="940">
        <f ca="1">IF(ISNA(VLOOKUP($E6,INDIRECT("DSSP"&amp;$J$2),10,0)),0,VLOOKUP($E6,INDIRECT("DSSP"&amp;$J$2),10,0))</f>
        <v>0</v>
      </c>
      <c r="H12" s="940">
        <f ca="1">IF(ISNA(VLOOKUP($E6,INDIRECT("DSSP"&amp;$J$2),11,0)),0,VLOOKUP($E6,INDIRECT("DSSP"&amp;$J$2),11,0))</f>
        <v>12360000</v>
      </c>
      <c r="I12" s="934"/>
    </row>
    <row r="13" spans="1:10" s="933" customFormat="1" ht="24.75" customHeight="1">
      <c r="A13" s="939" t="s">
        <v>568</v>
      </c>
      <c r="B13" s="940">
        <f ca="1">ROUND(IF(ISNA(VLOOKUP($E6,INDIRECT("DSSP"&amp;$J$2),13,0)),0,VLOOKUP($E6,INDIRECT("DSSP"&amp;$J$2),13,0)),0)</f>
        <v>2205234204</v>
      </c>
      <c r="C13" s="940">
        <f t="shared" ref="C13:H13" ca="1" si="0">C12</f>
        <v>2112000000</v>
      </c>
      <c r="D13" s="940">
        <f t="shared" ca="1" si="0"/>
        <v>30771291.982597888</v>
      </c>
      <c r="E13" s="940">
        <f t="shared" ca="1" si="0"/>
        <v>13804623.990055935</v>
      </c>
      <c r="F13" s="940">
        <f t="shared" ca="1" si="0"/>
        <v>36298288.266003728</v>
      </c>
      <c r="G13" s="940">
        <f t="shared" ca="1" si="0"/>
        <v>0</v>
      </c>
      <c r="H13" s="940">
        <f t="shared" ca="1" si="0"/>
        <v>12360000</v>
      </c>
      <c r="I13" s="934"/>
    </row>
    <row r="14" spans="1:10" s="933" customFormat="1" ht="24.75" customHeight="1">
      <c r="A14" s="939" t="s">
        <v>569</v>
      </c>
      <c r="B14" s="940">
        <f ca="1">B12-B13</f>
        <v>0</v>
      </c>
      <c r="C14" s="940">
        <f t="shared" ref="C14:H14" ca="1" si="1">C12-C13</f>
        <v>0</v>
      </c>
      <c r="D14" s="940">
        <f t="shared" ca="1" si="1"/>
        <v>0</v>
      </c>
      <c r="E14" s="940">
        <f t="shared" ca="1" si="1"/>
        <v>0</v>
      </c>
      <c r="F14" s="940">
        <f t="shared" ca="1" si="1"/>
        <v>0</v>
      </c>
      <c r="G14" s="940">
        <f t="shared" ca="1" si="1"/>
        <v>0</v>
      </c>
      <c r="H14" s="940">
        <f t="shared" ca="1" si="1"/>
        <v>0</v>
      </c>
      <c r="I14" s="934"/>
    </row>
    <row r="15" spans="1:10" s="933" customFormat="1" ht="15">
      <c r="B15" s="934"/>
      <c r="C15" s="934"/>
      <c r="D15" s="934"/>
      <c r="E15" s="934"/>
      <c r="F15" s="934"/>
      <c r="G15" s="934"/>
      <c r="H15" s="934"/>
      <c r="I15" s="934"/>
    </row>
    <row r="16" spans="1:10" s="933" customFormat="1" ht="15">
      <c r="B16" s="934"/>
      <c r="C16" s="934"/>
      <c r="D16" s="934"/>
      <c r="E16" s="1427" t="str">
        <f xml:space="preserve"> IF(OR($J$2=1,$J$2=4,$J$2=6,$J$2=9,$J$2=11),"Ngày  30  tháng  "&amp;$J$2&amp;"  năm 2016",IF(OR($J$2=3,$J$2=5,$J$2=7,$J$2=8,$J$2=10,$J$2=12),"Ngày  31  tháng  "&amp;$J$2&amp;"  năm 2016","Ngày  29  tháng  "&amp;$J$2&amp;"  năm 2016"))</f>
        <v>Ngày  30  tháng  1  năm 2016</v>
      </c>
      <c r="F16" s="1427"/>
      <c r="G16" s="1427"/>
      <c r="H16" s="1427"/>
      <c r="I16" s="934"/>
    </row>
    <row r="17" spans="2:9" s="933" customFormat="1" ht="15">
      <c r="B17" s="715" t="s">
        <v>570</v>
      </c>
      <c r="C17" s="934"/>
      <c r="D17" s="934"/>
      <c r="E17" s="1427" t="s">
        <v>12</v>
      </c>
      <c r="F17" s="1427"/>
      <c r="G17" s="1427"/>
      <c r="H17" s="1427"/>
      <c r="I17" s="934"/>
    </row>
    <row r="19" spans="2:9" ht="15">
      <c r="E19" s="942"/>
    </row>
    <row r="26" spans="2:9">
      <c r="B26" s="912"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58" activePane="bottomLeft" state="frozen"/>
      <selection activeCell="A10" sqref="A10"/>
      <selection pane="bottomLeft" activeCell="J16" sqref="J16:L16"/>
    </sheetView>
  </sheetViews>
  <sheetFormatPr defaultRowHeight="12.75"/>
  <cols>
    <col min="1" max="1" width="4.140625" style="833" customWidth="1"/>
    <col min="2" max="2" width="9.140625" style="833" customWidth="1"/>
    <col min="3" max="3" width="9" style="834" customWidth="1"/>
    <col min="4" max="4" width="28.140625" style="833" customWidth="1"/>
    <col min="5" max="5" width="9.140625" style="833" customWidth="1"/>
    <col min="6" max="6" width="9.28515625" style="834" customWidth="1"/>
    <col min="7" max="7" width="9" style="833" customWidth="1"/>
    <col min="8" max="8" width="14.5703125" style="833" customWidth="1"/>
    <col min="9" max="9" width="6" style="833" customWidth="1"/>
    <col min="10" max="10" width="14.140625" style="833" customWidth="1"/>
    <col min="11" max="11" width="14.85546875" style="835" customWidth="1"/>
    <col min="12" max="12" width="14.42578125" style="833" customWidth="1"/>
    <col min="13" max="13" width="5.85546875" style="833" customWidth="1"/>
    <col min="14" max="14" width="7.42578125" style="833" customWidth="1"/>
    <col min="15" max="15" width="11.7109375" style="833" customWidth="1"/>
    <col min="16" max="16" width="4.5703125" style="913" customWidth="1"/>
    <col min="17" max="17" width="12.85546875" style="833" bestFit="1" customWidth="1"/>
    <col min="18" max="16384" width="9.140625" style="833"/>
  </cols>
  <sheetData>
    <row r="1" spans="1:17" ht="15" customHeight="1">
      <c r="A1" s="832" t="s">
        <v>682</v>
      </c>
      <c r="M1" s="836"/>
      <c r="N1" s="837" t="s">
        <v>683</v>
      </c>
      <c r="O1" s="836"/>
    </row>
    <row r="2" spans="1:17" ht="15" customHeight="1">
      <c r="A2" s="832" t="s">
        <v>684</v>
      </c>
      <c r="L2" s="835"/>
      <c r="M2" s="835"/>
      <c r="N2" s="838" t="s">
        <v>317</v>
      </c>
      <c r="O2" s="835"/>
    </row>
    <row r="3" spans="1:17" ht="15" customHeight="1">
      <c r="L3" s="835"/>
      <c r="M3" s="835"/>
      <c r="N3" s="838" t="s">
        <v>236</v>
      </c>
      <c r="O3" s="835"/>
    </row>
    <row r="5" spans="1:17" s="839" customFormat="1" ht="24" customHeight="1">
      <c r="A5" s="1444" t="s">
        <v>685</v>
      </c>
      <c r="B5" s="1444"/>
      <c r="C5" s="1444"/>
      <c r="D5" s="1444"/>
      <c r="E5" s="1444"/>
      <c r="F5" s="1444"/>
      <c r="G5" s="1444"/>
      <c r="H5" s="1444"/>
      <c r="I5" s="1444"/>
      <c r="J5" s="1444"/>
      <c r="K5" s="1444"/>
      <c r="L5" s="1444"/>
      <c r="M5" s="1444"/>
      <c r="N5" s="1444"/>
      <c r="O5" s="1444"/>
      <c r="P5" s="914"/>
    </row>
    <row r="6" spans="1:17" s="839" customFormat="1" ht="21" customHeight="1">
      <c r="A6" s="1445" t="s">
        <v>742</v>
      </c>
      <c r="B6" s="1445"/>
      <c r="C6" s="1445"/>
      <c r="D6" s="1445"/>
      <c r="E6" s="1445"/>
      <c r="F6" s="1445"/>
      <c r="G6" s="1445"/>
      <c r="H6" s="1445"/>
      <c r="I6" s="1445"/>
      <c r="J6" s="1445"/>
      <c r="K6" s="1445"/>
      <c r="L6" s="1445"/>
      <c r="M6" s="1445"/>
      <c r="N6" s="1445"/>
      <c r="O6" s="1445"/>
      <c r="P6" s="914"/>
    </row>
    <row r="7" spans="1:17" s="839" customFormat="1" ht="21" customHeight="1">
      <c r="A7" s="1446" t="s">
        <v>750</v>
      </c>
      <c r="B7" s="1446"/>
      <c r="C7" s="1446"/>
      <c r="D7" s="1446"/>
      <c r="E7" s="1446"/>
      <c r="F7" s="1446"/>
      <c r="G7" s="1446"/>
      <c r="H7" s="1446"/>
      <c r="I7" s="1446"/>
      <c r="J7" s="1446"/>
      <c r="K7" s="1446"/>
      <c r="L7" s="1446"/>
      <c r="M7" s="1446"/>
      <c r="N7" s="1446"/>
      <c r="O7" s="1446"/>
      <c r="P7" s="914"/>
    </row>
    <row r="8" spans="1:17">
      <c r="D8" s="834"/>
    </row>
    <row r="9" spans="1:17" s="840" customFormat="1" ht="24" customHeight="1">
      <c r="A9" s="1435" t="s">
        <v>492</v>
      </c>
      <c r="B9" s="1438" t="s">
        <v>686</v>
      </c>
      <c r="C9" s="1439"/>
      <c r="D9" s="1439"/>
      <c r="E9" s="1439"/>
      <c r="F9" s="1439"/>
      <c r="G9" s="1439"/>
      <c r="H9" s="1440"/>
      <c r="I9" s="1438" t="s">
        <v>687</v>
      </c>
      <c r="J9" s="1439"/>
      <c r="K9" s="1439"/>
      <c r="L9" s="1440"/>
      <c r="M9" s="1441" t="s">
        <v>688</v>
      </c>
      <c r="N9" s="1441"/>
      <c r="O9" s="1441"/>
      <c r="P9" s="915"/>
    </row>
    <row r="10" spans="1:17" s="840" customFormat="1" ht="24" customHeight="1">
      <c r="A10" s="1436"/>
      <c r="B10" s="1438" t="s">
        <v>689</v>
      </c>
      <c r="C10" s="1440"/>
      <c r="D10" s="1435" t="s">
        <v>690</v>
      </c>
      <c r="E10" s="1435" t="s">
        <v>691</v>
      </c>
      <c r="F10" s="1435" t="s">
        <v>692</v>
      </c>
      <c r="G10" s="1435" t="s">
        <v>693</v>
      </c>
      <c r="H10" s="1435" t="s">
        <v>694</v>
      </c>
      <c r="I10" s="1438" t="s">
        <v>695</v>
      </c>
      <c r="J10" s="1440"/>
      <c r="K10" s="1442" t="s">
        <v>696</v>
      </c>
      <c r="L10" s="1435" t="s">
        <v>697</v>
      </c>
      <c r="M10" s="1441" t="s">
        <v>689</v>
      </c>
      <c r="N10" s="1441"/>
      <c r="O10" s="1441" t="s">
        <v>698</v>
      </c>
      <c r="P10" s="915"/>
    </row>
    <row r="11" spans="1:17" s="840" customFormat="1" ht="55.5" customHeight="1">
      <c r="A11" s="1437"/>
      <c r="B11" s="841" t="s">
        <v>699</v>
      </c>
      <c r="C11" s="841" t="s">
        <v>493</v>
      </c>
      <c r="D11" s="1437"/>
      <c r="E11" s="1437"/>
      <c r="F11" s="1437"/>
      <c r="G11" s="1437"/>
      <c r="H11" s="1437"/>
      <c r="I11" s="841" t="s">
        <v>700</v>
      </c>
      <c r="J11" s="841" t="s">
        <v>701</v>
      </c>
      <c r="K11" s="1443"/>
      <c r="L11" s="1437"/>
      <c r="M11" s="841" t="s">
        <v>17</v>
      </c>
      <c r="N11" s="841" t="s">
        <v>493</v>
      </c>
      <c r="O11" s="1441"/>
      <c r="P11" s="915"/>
    </row>
    <row r="12" spans="1:17" s="844" customFormat="1" ht="13.5">
      <c r="A12" s="842" t="s">
        <v>2</v>
      </c>
      <c r="B12" s="842" t="s">
        <v>3</v>
      </c>
      <c r="C12" s="842" t="s">
        <v>4</v>
      </c>
      <c r="D12" s="842" t="s">
        <v>5</v>
      </c>
      <c r="E12" s="842" t="s">
        <v>6</v>
      </c>
      <c r="F12" s="842" t="s">
        <v>156</v>
      </c>
      <c r="G12" s="842" t="s">
        <v>702</v>
      </c>
      <c r="H12" s="842">
        <v>1</v>
      </c>
      <c r="I12" s="842">
        <v>2</v>
      </c>
      <c r="J12" s="842">
        <v>3</v>
      </c>
      <c r="K12" s="843"/>
      <c r="L12" s="842">
        <v>4</v>
      </c>
      <c r="M12" s="842" t="s">
        <v>703</v>
      </c>
      <c r="N12" s="842" t="s">
        <v>704</v>
      </c>
      <c r="O12" s="842" t="s">
        <v>705</v>
      </c>
      <c r="P12" s="916"/>
    </row>
    <row r="13" spans="1:17" s="844" customFormat="1" ht="21.75" customHeight="1">
      <c r="A13" s="872" t="s">
        <v>703</v>
      </c>
      <c r="B13" s="873" t="s">
        <v>745</v>
      </c>
      <c r="C13" s="872"/>
      <c r="D13" s="872"/>
      <c r="E13" s="872"/>
      <c r="F13" s="872"/>
      <c r="G13" s="872"/>
      <c r="H13" s="879"/>
      <c r="I13" s="879"/>
      <c r="J13" s="879"/>
      <c r="K13" s="879"/>
      <c r="L13" s="879"/>
      <c r="M13" s="872"/>
      <c r="N13" s="872"/>
      <c r="O13" s="872"/>
      <c r="P13" s="916" t="str">
        <f>IF(D13='THE-TS'!$D$11,"x","")</f>
        <v/>
      </c>
    </row>
    <row r="14" spans="1:17" ht="21.75" customHeight="1">
      <c r="A14" s="871">
        <v>1</v>
      </c>
      <c r="B14" s="884" t="s">
        <v>752</v>
      </c>
      <c r="C14" s="846">
        <v>40543</v>
      </c>
      <c r="D14" s="330" t="s">
        <v>706</v>
      </c>
      <c r="E14" s="698" t="s">
        <v>707</v>
      </c>
      <c r="F14" s="886" t="s">
        <v>775</v>
      </c>
      <c r="G14" s="918" t="s">
        <v>1209</v>
      </c>
      <c r="H14" s="407">
        <v>1101349856</v>
      </c>
      <c r="I14" s="407">
        <v>25</v>
      </c>
      <c r="J14" s="8">
        <v>44053994</v>
      </c>
      <c r="K14" s="8">
        <v>264323964</v>
      </c>
      <c r="L14" s="8">
        <f>K14+J14</f>
        <v>308377958</v>
      </c>
      <c r="M14" s="698"/>
      <c r="N14" s="698"/>
      <c r="O14" s="225"/>
      <c r="P14" s="916" t="str">
        <f>IF(D14='THE-TS'!$D$11,"x","")</f>
        <v/>
      </c>
      <c r="Q14" s="908"/>
    </row>
    <row r="15" spans="1:17" ht="21.75" customHeight="1">
      <c r="A15" s="871">
        <v>2</v>
      </c>
      <c r="B15" s="884" t="s">
        <v>753</v>
      </c>
      <c r="C15" s="846">
        <v>40543</v>
      </c>
      <c r="D15" s="330" t="s">
        <v>708</v>
      </c>
      <c r="E15" s="698" t="s">
        <v>707</v>
      </c>
      <c r="F15" s="886" t="s">
        <v>775</v>
      </c>
      <c r="G15" s="918" t="s">
        <v>1210</v>
      </c>
      <c r="H15" s="407">
        <v>1712810212</v>
      </c>
      <c r="I15" s="407">
        <v>5</v>
      </c>
      <c r="J15" s="8"/>
      <c r="K15" s="8">
        <v>1712810212</v>
      </c>
      <c r="L15" s="8">
        <f t="shared" ref="L15:L33" si="0">K15+J15</f>
        <v>1712810212</v>
      </c>
      <c r="M15" s="867"/>
      <c r="N15" s="698"/>
      <c r="O15" s="225"/>
      <c r="P15" s="916" t="str">
        <f>IF(D15='THE-TS'!$D$11,"x","")</f>
        <v/>
      </c>
      <c r="Q15" s="908"/>
    </row>
    <row r="16" spans="1:17" ht="21.75" customHeight="1">
      <c r="A16" s="871">
        <v>3</v>
      </c>
      <c r="B16" s="884" t="s">
        <v>754</v>
      </c>
      <c r="C16" s="846">
        <v>40543</v>
      </c>
      <c r="D16" s="330" t="s">
        <v>709</v>
      </c>
      <c r="E16" s="698" t="s">
        <v>707</v>
      </c>
      <c r="F16" s="886" t="s">
        <v>775</v>
      </c>
      <c r="G16" s="918" t="s">
        <v>1211</v>
      </c>
      <c r="H16" s="407">
        <v>4567613580</v>
      </c>
      <c r="I16" s="407">
        <v>25</v>
      </c>
      <c r="J16" s="8">
        <v>182704543</v>
      </c>
      <c r="K16" s="8">
        <v>1096227258</v>
      </c>
      <c r="L16" s="8">
        <f t="shared" si="0"/>
        <v>1278931801</v>
      </c>
      <c r="M16" s="698"/>
      <c r="N16" s="698"/>
      <c r="O16" s="225"/>
      <c r="P16" s="916" t="str">
        <f>IF(D16='THE-TS'!$D$11,"x","")</f>
        <v/>
      </c>
      <c r="Q16" s="908"/>
    </row>
    <row r="17" spans="1:17" ht="21.75" customHeight="1">
      <c r="A17" s="871">
        <v>4</v>
      </c>
      <c r="B17" s="885" t="s">
        <v>755</v>
      </c>
      <c r="C17" s="846">
        <v>41425</v>
      </c>
      <c r="D17" s="330" t="s">
        <v>710</v>
      </c>
      <c r="E17" s="698" t="s">
        <v>707</v>
      </c>
      <c r="F17" s="886" t="s">
        <v>770</v>
      </c>
      <c r="G17" s="918" t="s">
        <v>1212</v>
      </c>
      <c r="H17" s="407">
        <v>108970000</v>
      </c>
      <c r="I17" s="880">
        <v>5</v>
      </c>
      <c r="J17" s="8">
        <v>21794000</v>
      </c>
      <c r="K17" s="8">
        <v>78095167</v>
      </c>
      <c r="L17" s="8">
        <f t="shared" ref="L17" si="1">K17+J17</f>
        <v>99889167</v>
      </c>
      <c r="M17" s="698"/>
      <c r="N17" s="698"/>
      <c r="O17" s="225"/>
      <c r="P17" s="916" t="str">
        <f>IF(D17='THE-TS'!$D$11,"x","")</f>
        <v/>
      </c>
      <c r="Q17" s="908"/>
    </row>
    <row r="18" spans="1:17" ht="21.75" customHeight="1">
      <c r="A18" s="871">
        <v>5</v>
      </c>
      <c r="B18" s="885" t="s">
        <v>1213</v>
      </c>
      <c r="C18" s="846">
        <v>42551</v>
      </c>
      <c r="D18" s="330" t="s">
        <v>1208</v>
      </c>
      <c r="E18" s="698" t="s">
        <v>707</v>
      </c>
      <c r="F18" s="886" t="s">
        <v>1214</v>
      </c>
      <c r="G18" s="918" t="s">
        <v>1215</v>
      </c>
      <c r="H18" s="407">
        <v>279617893</v>
      </c>
      <c r="I18" s="880">
        <v>10</v>
      </c>
      <c r="J18" s="8">
        <v>27961789</v>
      </c>
      <c r="K18" s="8">
        <v>16311044</v>
      </c>
      <c r="L18" s="8">
        <f t="shared" si="0"/>
        <v>44272833</v>
      </c>
      <c r="M18" s="698"/>
      <c r="N18" s="698"/>
      <c r="O18" s="225"/>
      <c r="P18" s="916" t="str">
        <f>IF(D18='THE-TS'!$D$11,"x","")</f>
        <v/>
      </c>
      <c r="Q18" s="908"/>
    </row>
    <row r="19" spans="1:17" s="844" customFormat="1" ht="21.75" customHeight="1">
      <c r="A19" s="870" t="s">
        <v>746</v>
      </c>
      <c r="B19" s="874" t="s">
        <v>747</v>
      </c>
      <c r="C19" s="870"/>
      <c r="D19" s="870"/>
      <c r="E19" s="870"/>
      <c r="F19" s="870"/>
      <c r="G19" s="918"/>
      <c r="H19" s="881"/>
      <c r="I19" s="881"/>
      <c r="J19" s="881"/>
      <c r="K19" s="881"/>
      <c r="L19" s="8"/>
      <c r="M19" s="870"/>
      <c r="N19" s="870"/>
      <c r="O19" s="225"/>
      <c r="P19" s="916" t="str">
        <f>IF(D19='THE-TS'!$D$11,"x","")</f>
        <v/>
      </c>
      <c r="Q19" s="908"/>
    </row>
    <row r="20" spans="1:17" ht="21.75" customHeight="1">
      <c r="A20" s="871">
        <v>1</v>
      </c>
      <c r="B20" s="886" t="s">
        <v>759</v>
      </c>
      <c r="C20" s="846">
        <v>40543</v>
      </c>
      <c r="D20" s="330" t="s">
        <v>714</v>
      </c>
      <c r="E20" s="698"/>
      <c r="F20" s="886" t="s">
        <v>775</v>
      </c>
      <c r="G20" s="918" t="str">
        <f t="shared" ref="G20:G33" si="2">RIGHT(B20,5)</f>
        <v>02/10</v>
      </c>
      <c r="H20" s="407">
        <v>210000000</v>
      </c>
      <c r="I20" s="407">
        <v>5</v>
      </c>
      <c r="J20" s="8"/>
      <c r="K20" s="8">
        <v>210000000</v>
      </c>
      <c r="L20" s="8">
        <f t="shared" si="0"/>
        <v>210000000</v>
      </c>
      <c r="M20" s="867"/>
      <c r="N20" s="698"/>
      <c r="O20" s="225"/>
      <c r="P20" s="916" t="str">
        <f>IF(D20='THE-TS'!$D$11,"x","")</f>
        <v/>
      </c>
      <c r="Q20" s="908"/>
    </row>
    <row r="21" spans="1:17" ht="21.75" customHeight="1">
      <c r="A21" s="871">
        <v>2</v>
      </c>
      <c r="B21" s="884" t="s">
        <v>760</v>
      </c>
      <c r="C21" s="846">
        <v>40543</v>
      </c>
      <c r="D21" s="330" t="s">
        <v>715</v>
      </c>
      <c r="E21" s="698" t="s">
        <v>707</v>
      </c>
      <c r="F21" s="886" t="s">
        <v>775</v>
      </c>
      <c r="G21" s="918" t="str">
        <f t="shared" si="2"/>
        <v>06/10</v>
      </c>
      <c r="H21" s="407">
        <v>2787898863</v>
      </c>
      <c r="I21" s="407">
        <v>5</v>
      </c>
      <c r="J21" s="8"/>
      <c r="K21" s="8">
        <v>2787898863</v>
      </c>
      <c r="L21" s="8">
        <f t="shared" si="0"/>
        <v>2787898863</v>
      </c>
      <c r="M21" s="867"/>
      <c r="N21" s="698"/>
      <c r="O21" s="225"/>
      <c r="P21" s="916" t="str">
        <f>IF(D21='THE-TS'!$D$11,"x","")</f>
        <v/>
      </c>
      <c r="Q21" s="908"/>
    </row>
    <row r="22" spans="1:17" ht="21.75" customHeight="1">
      <c r="A22" s="871">
        <v>3</v>
      </c>
      <c r="B22" s="884" t="s">
        <v>761</v>
      </c>
      <c r="C22" s="846">
        <v>41883</v>
      </c>
      <c r="D22" s="330" t="s">
        <v>716</v>
      </c>
      <c r="E22" s="698"/>
      <c r="F22" s="886" t="s">
        <v>771</v>
      </c>
      <c r="G22" s="918" t="str">
        <f t="shared" si="2"/>
        <v>12/14</v>
      </c>
      <c r="H22" s="407">
        <v>150000000</v>
      </c>
      <c r="I22" s="880">
        <v>3</v>
      </c>
      <c r="J22" s="8">
        <v>37500000</v>
      </c>
      <c r="K22" s="8">
        <v>112500000</v>
      </c>
      <c r="L22" s="8">
        <f t="shared" si="0"/>
        <v>150000000</v>
      </c>
      <c r="M22" s="867"/>
      <c r="N22" s="225"/>
      <c r="O22" s="225"/>
      <c r="P22" s="916" t="str">
        <f>IF(D22='THE-TS'!$D$11,"x","")</f>
        <v/>
      </c>
      <c r="Q22" s="908"/>
    </row>
    <row r="23" spans="1:17" ht="21.75" customHeight="1">
      <c r="A23" s="871">
        <v>4</v>
      </c>
      <c r="B23" s="884" t="s">
        <v>762</v>
      </c>
      <c r="C23" s="846">
        <v>41883</v>
      </c>
      <c r="D23" s="330" t="s">
        <v>717</v>
      </c>
      <c r="E23" s="698"/>
      <c r="F23" s="886" t="s">
        <v>771</v>
      </c>
      <c r="G23" s="918" t="str">
        <f t="shared" si="2"/>
        <v>13/14</v>
      </c>
      <c r="H23" s="407">
        <v>80000000</v>
      </c>
      <c r="I23" s="880">
        <v>3</v>
      </c>
      <c r="J23" s="8">
        <v>19999999</v>
      </c>
      <c r="K23" s="8">
        <v>60000001</v>
      </c>
      <c r="L23" s="8">
        <f t="shared" si="0"/>
        <v>80000000</v>
      </c>
      <c r="M23" s="867"/>
      <c r="N23" s="698"/>
      <c r="O23" s="225"/>
      <c r="P23" s="916" t="str">
        <f>IF(D23='THE-TS'!$D$11,"x","")</f>
        <v/>
      </c>
      <c r="Q23" s="908"/>
    </row>
    <row r="24" spans="1:17" ht="21.75" customHeight="1">
      <c r="A24" s="871">
        <v>5</v>
      </c>
      <c r="B24" s="884" t="s">
        <v>763</v>
      </c>
      <c r="C24" s="846">
        <v>41890</v>
      </c>
      <c r="D24" s="330" t="s">
        <v>718</v>
      </c>
      <c r="E24" s="698"/>
      <c r="F24" s="886" t="s">
        <v>771</v>
      </c>
      <c r="G24" s="918" t="str">
        <f t="shared" si="2"/>
        <v>14/14</v>
      </c>
      <c r="H24" s="407">
        <v>50000000</v>
      </c>
      <c r="I24" s="880">
        <v>3</v>
      </c>
      <c r="J24" s="8">
        <v>12499999</v>
      </c>
      <c r="K24" s="8">
        <v>37500001</v>
      </c>
      <c r="L24" s="8">
        <f t="shared" si="0"/>
        <v>50000000</v>
      </c>
      <c r="M24" s="867"/>
      <c r="N24" s="698"/>
      <c r="O24" s="225"/>
      <c r="P24" s="916" t="str">
        <f>IF(D24='THE-TS'!$D$11,"x","")</f>
        <v/>
      </c>
      <c r="Q24" s="908"/>
    </row>
    <row r="25" spans="1:17" ht="21.75" customHeight="1">
      <c r="A25" s="871">
        <v>6</v>
      </c>
      <c r="B25" s="884" t="s">
        <v>764</v>
      </c>
      <c r="C25" s="846">
        <v>41890</v>
      </c>
      <c r="D25" s="330" t="s">
        <v>719</v>
      </c>
      <c r="E25" s="698"/>
      <c r="F25" s="886" t="s">
        <v>771</v>
      </c>
      <c r="G25" s="918" t="str">
        <f t="shared" si="2"/>
        <v>15/14</v>
      </c>
      <c r="H25" s="407">
        <v>100000000</v>
      </c>
      <c r="I25" s="880">
        <v>5</v>
      </c>
      <c r="J25" s="8">
        <v>20000000</v>
      </c>
      <c r="K25" s="8">
        <v>45000000</v>
      </c>
      <c r="L25" s="8">
        <f t="shared" si="0"/>
        <v>65000000</v>
      </c>
      <c r="M25" s="867"/>
      <c r="N25" s="698"/>
      <c r="O25" s="225"/>
      <c r="P25" s="916" t="str">
        <f>IF(D25='THE-TS'!$D$11,"x","")</f>
        <v/>
      </c>
      <c r="Q25" s="908"/>
    </row>
    <row r="26" spans="1:17" ht="21.75" customHeight="1">
      <c r="A26" s="871">
        <v>7</v>
      </c>
      <c r="B26" s="884" t="s">
        <v>765</v>
      </c>
      <c r="C26" s="846">
        <v>41890</v>
      </c>
      <c r="D26" s="330" t="s">
        <v>720</v>
      </c>
      <c r="E26" s="698"/>
      <c r="F26" s="886" t="s">
        <v>771</v>
      </c>
      <c r="G26" s="918" t="str">
        <f t="shared" si="2"/>
        <v>16/14</v>
      </c>
      <c r="H26" s="407">
        <v>100000000</v>
      </c>
      <c r="I26" s="880">
        <v>5</v>
      </c>
      <c r="J26" s="8">
        <v>20000000</v>
      </c>
      <c r="K26" s="8">
        <v>45000000</v>
      </c>
      <c r="L26" s="8">
        <f t="shared" si="0"/>
        <v>65000000</v>
      </c>
      <c r="M26" s="867"/>
      <c r="N26" s="698"/>
      <c r="O26" s="225"/>
      <c r="P26" s="916" t="str">
        <f>IF(D26='THE-TS'!$D$11,"x","")</f>
        <v/>
      </c>
      <c r="Q26" s="908"/>
    </row>
    <row r="27" spans="1:17" ht="21.75" customHeight="1">
      <c r="A27" s="871">
        <v>8</v>
      </c>
      <c r="B27" s="884" t="s">
        <v>766</v>
      </c>
      <c r="C27" s="846">
        <v>41890</v>
      </c>
      <c r="D27" s="330" t="s">
        <v>721</v>
      </c>
      <c r="E27" s="698"/>
      <c r="F27" s="886" t="s">
        <v>771</v>
      </c>
      <c r="G27" s="918" t="str">
        <f t="shared" si="2"/>
        <v>17/14</v>
      </c>
      <c r="H27" s="407">
        <v>110000000</v>
      </c>
      <c r="I27" s="880">
        <v>5</v>
      </c>
      <c r="J27" s="8">
        <v>22000000</v>
      </c>
      <c r="K27" s="8">
        <v>49500000</v>
      </c>
      <c r="L27" s="8">
        <f t="shared" si="0"/>
        <v>71500000</v>
      </c>
      <c r="M27" s="867"/>
      <c r="N27" s="698"/>
      <c r="O27" s="225"/>
      <c r="P27" s="916" t="str">
        <f>IF(D27='THE-TS'!$D$11,"x","")</f>
        <v/>
      </c>
      <c r="Q27" s="908"/>
    </row>
    <row r="28" spans="1:17" ht="21.75" customHeight="1">
      <c r="A28" s="871">
        <v>8</v>
      </c>
      <c r="B28" s="884" t="s">
        <v>766</v>
      </c>
      <c r="C28" s="846">
        <v>41890</v>
      </c>
      <c r="D28" s="330" t="s">
        <v>721</v>
      </c>
      <c r="E28" s="698"/>
      <c r="F28" s="886" t="s">
        <v>771</v>
      </c>
      <c r="G28" s="918" t="str">
        <f>RIGHT(B28,5)</f>
        <v>17/14</v>
      </c>
      <c r="H28" s="407">
        <v>110000000</v>
      </c>
      <c r="I28" s="880">
        <v>5</v>
      </c>
      <c r="J28" s="8">
        <v>22000000</v>
      </c>
      <c r="K28" s="8">
        <v>49500000</v>
      </c>
      <c r="L28" s="8">
        <f>K28+J28</f>
        <v>71500000</v>
      </c>
      <c r="M28" s="867"/>
      <c r="N28" s="698"/>
      <c r="O28" s="225"/>
      <c r="P28" s="916" t="str">
        <f>IF(D28='THE-TS'!$D$11,"x","")</f>
        <v/>
      </c>
      <c r="Q28" s="908"/>
    </row>
    <row r="29" spans="1:17" ht="21.75" customHeight="1">
      <c r="A29" s="871">
        <v>8</v>
      </c>
      <c r="B29" s="884" t="s">
        <v>766</v>
      </c>
      <c r="C29" s="846">
        <v>41890</v>
      </c>
      <c r="D29" s="330" t="s">
        <v>721</v>
      </c>
      <c r="E29" s="698"/>
      <c r="F29" s="886" t="s">
        <v>771</v>
      </c>
      <c r="G29" s="918" t="str">
        <f t="shared" si="2"/>
        <v>17/14</v>
      </c>
      <c r="H29" s="407">
        <v>110000000</v>
      </c>
      <c r="I29" s="880">
        <v>5</v>
      </c>
      <c r="J29" s="8">
        <v>22000000</v>
      </c>
      <c r="K29" s="8">
        <v>49500000</v>
      </c>
      <c r="L29" s="8">
        <f t="shared" si="0"/>
        <v>71500000</v>
      </c>
      <c r="M29" s="867"/>
      <c r="N29" s="698"/>
      <c r="O29" s="225"/>
      <c r="P29" s="916" t="str">
        <f>IF(D29='THE-TS'!$D$11,"x","")</f>
        <v/>
      </c>
      <c r="Q29" s="908"/>
    </row>
    <row r="30" spans="1:17" s="844" customFormat="1" ht="21.75" customHeight="1">
      <c r="A30" s="870" t="s">
        <v>748</v>
      </c>
      <c r="B30" s="874" t="s">
        <v>749</v>
      </c>
      <c r="C30" s="870"/>
      <c r="D30" s="870"/>
      <c r="E30" s="870"/>
      <c r="F30" s="870"/>
      <c r="G30" s="918"/>
      <c r="H30" s="881"/>
      <c r="I30" s="881"/>
      <c r="J30" s="8"/>
      <c r="K30" s="881"/>
      <c r="L30" s="8"/>
      <c r="M30" s="870"/>
      <c r="N30" s="870"/>
      <c r="O30" s="225"/>
      <c r="P30" s="916" t="str">
        <f>IF(D30='THE-TS'!$D$11,"x","")</f>
        <v/>
      </c>
      <c r="Q30" s="908"/>
    </row>
    <row r="31" spans="1:17" ht="21.75" customHeight="1">
      <c r="A31" s="871">
        <v>1</v>
      </c>
      <c r="B31" s="886" t="s">
        <v>756</v>
      </c>
      <c r="C31" s="846">
        <v>40543</v>
      </c>
      <c r="D31" s="330" t="s">
        <v>722</v>
      </c>
      <c r="E31" s="698" t="s">
        <v>707</v>
      </c>
      <c r="F31" s="886" t="s">
        <v>775</v>
      </c>
      <c r="G31" s="918" t="str">
        <f t="shared" si="2"/>
        <v>07/10</v>
      </c>
      <c r="H31" s="407">
        <v>2173860839</v>
      </c>
      <c r="I31" s="407">
        <v>5</v>
      </c>
      <c r="J31" s="8"/>
      <c r="K31" s="8">
        <v>2173860839</v>
      </c>
      <c r="L31" s="8">
        <f t="shared" si="0"/>
        <v>2173860839</v>
      </c>
      <c r="M31" s="698"/>
      <c r="N31" s="698"/>
      <c r="O31" s="225"/>
      <c r="P31" s="916" t="str">
        <f>IF(D31='THE-TS'!$D$11,"x","")</f>
        <v/>
      </c>
      <c r="Q31" s="908"/>
    </row>
    <row r="32" spans="1:17" ht="21.75" customHeight="1">
      <c r="A32" s="871">
        <v>2</v>
      </c>
      <c r="B32" s="886" t="s">
        <v>757</v>
      </c>
      <c r="C32" s="846">
        <v>40543</v>
      </c>
      <c r="D32" s="330" t="s">
        <v>723</v>
      </c>
      <c r="E32" s="698" t="s">
        <v>707</v>
      </c>
      <c r="F32" s="886" t="s">
        <v>775</v>
      </c>
      <c r="G32" s="918" t="str">
        <f t="shared" si="2"/>
        <v>08/10</v>
      </c>
      <c r="H32" s="407">
        <v>1303180703</v>
      </c>
      <c r="I32" s="407">
        <v>10</v>
      </c>
      <c r="J32" s="8">
        <v>130318070</v>
      </c>
      <c r="K32" s="8">
        <v>781908420</v>
      </c>
      <c r="L32" s="8">
        <f t="shared" si="0"/>
        <v>912226490</v>
      </c>
      <c r="M32" s="698"/>
      <c r="N32" s="698"/>
      <c r="O32" s="225"/>
      <c r="P32" s="916" t="str">
        <f>IF(D32='THE-TS'!$D$11,"x","")</f>
        <v/>
      </c>
      <c r="Q32" s="908"/>
    </row>
    <row r="33" spans="1:17" ht="21.75" customHeight="1">
      <c r="A33" s="871">
        <v>3</v>
      </c>
      <c r="B33" s="886" t="s">
        <v>758</v>
      </c>
      <c r="C33" s="846">
        <v>40543</v>
      </c>
      <c r="D33" s="330" t="s">
        <v>724</v>
      </c>
      <c r="E33" s="698" t="s">
        <v>707</v>
      </c>
      <c r="F33" s="886" t="s">
        <v>775</v>
      </c>
      <c r="G33" s="918" t="str">
        <f t="shared" si="2"/>
        <v>09/10</v>
      </c>
      <c r="H33" s="407">
        <v>313876943</v>
      </c>
      <c r="I33" s="407">
        <v>10</v>
      </c>
      <c r="J33" s="8">
        <v>31387694</v>
      </c>
      <c r="K33" s="8">
        <v>188326164</v>
      </c>
      <c r="L33" s="8">
        <f t="shared" si="0"/>
        <v>219713858</v>
      </c>
      <c r="M33" s="698"/>
      <c r="N33" s="698"/>
      <c r="O33" s="225"/>
      <c r="P33" s="916" t="str">
        <f>IF(D33='THE-TS'!$D$11,"x","")</f>
        <v/>
      </c>
      <c r="Q33" s="908"/>
    </row>
    <row r="34" spans="1:17" ht="21.75" customHeight="1">
      <c r="A34" s="849"/>
      <c r="B34" s="875"/>
      <c r="C34" s="876"/>
      <c r="D34" s="877"/>
      <c r="E34" s="850"/>
      <c r="F34" s="876"/>
      <c r="G34" s="875"/>
      <c r="H34" s="882"/>
      <c r="I34" s="882"/>
      <c r="J34" s="486"/>
      <c r="K34" s="486"/>
      <c r="L34" s="486"/>
      <c r="M34" s="850"/>
      <c r="N34" s="850"/>
      <c r="O34" s="850"/>
      <c r="P34" s="916" t="str">
        <f>IF(D34='THE-TS'!$D$11,"x","")</f>
        <v/>
      </c>
    </row>
    <row r="35" spans="1:17" s="856" customFormat="1" ht="21.75" customHeight="1">
      <c r="A35" s="853"/>
      <c r="B35" s="854"/>
      <c r="C35" s="853"/>
      <c r="D35" s="853" t="s">
        <v>711</v>
      </c>
      <c r="E35" s="853" t="s">
        <v>21</v>
      </c>
      <c r="F35" s="853" t="s">
        <v>21</v>
      </c>
      <c r="G35" s="853" t="s">
        <v>21</v>
      </c>
      <c r="H35" s="883">
        <f>SUM(H13:H34)</f>
        <v>15369178889</v>
      </c>
      <c r="I35" s="883"/>
      <c r="J35" s="883">
        <f>SUM(J13:J34)</f>
        <v>614220088</v>
      </c>
      <c r="K35" s="883">
        <f>SUM(K13:K34)</f>
        <v>9758261933</v>
      </c>
      <c r="L35" s="883">
        <f>SUM(L13:L34)</f>
        <v>10372482021</v>
      </c>
      <c r="M35" s="853" t="s">
        <v>21</v>
      </c>
      <c r="N35" s="853" t="s">
        <v>21</v>
      </c>
      <c r="O35" s="853" t="s">
        <v>21</v>
      </c>
      <c r="P35" s="916" t="str">
        <f>IF(D35='THE-TS'!$D$11,"x","")</f>
        <v/>
      </c>
    </row>
    <row r="36" spans="1:17" ht="6.75" customHeight="1">
      <c r="A36" s="699"/>
      <c r="B36" s="699"/>
      <c r="C36" s="857"/>
      <c r="D36" s="699"/>
      <c r="E36" s="857"/>
      <c r="F36" s="857"/>
      <c r="G36" s="857"/>
      <c r="H36" s="699"/>
      <c r="I36" s="699"/>
      <c r="J36" s="699"/>
      <c r="K36" s="858"/>
      <c r="L36" s="699"/>
      <c r="M36" s="699"/>
      <c r="N36" s="699"/>
      <c r="O36" s="699"/>
      <c r="P36" s="916" t="str">
        <f>IF(D36='THE-TS'!$D$11,"x","")</f>
        <v/>
      </c>
    </row>
    <row r="37" spans="1:17" ht="13.5" customHeight="1">
      <c r="A37" s="699"/>
      <c r="B37" s="699"/>
      <c r="C37" s="857"/>
      <c r="D37" s="699" t="s">
        <v>712</v>
      </c>
      <c r="E37" s="699"/>
      <c r="F37" s="857"/>
      <c r="G37" s="699"/>
      <c r="H37" s="835"/>
      <c r="I37" s="835"/>
      <c r="J37" s="925"/>
      <c r="L37" s="835"/>
      <c r="M37" s="699"/>
      <c r="N37" s="699"/>
      <c r="O37" s="699"/>
      <c r="P37" s="916" t="str">
        <f>IF(D37='THE-TS'!$D$11,"x","")</f>
        <v/>
      </c>
    </row>
    <row r="38" spans="1:17" ht="13.5" customHeight="1">
      <c r="A38" s="699"/>
      <c r="B38" s="699"/>
      <c r="C38" s="857"/>
      <c r="D38" s="699" t="s">
        <v>743</v>
      </c>
      <c r="E38" s="699"/>
      <c r="F38" s="857"/>
      <c r="G38" s="699"/>
      <c r="H38" s="868"/>
      <c r="I38" s="699"/>
      <c r="J38" s="878"/>
      <c r="K38" s="858"/>
      <c r="L38" s="699"/>
      <c r="M38" s="699"/>
      <c r="N38" s="699"/>
      <c r="O38" s="699"/>
      <c r="P38" s="916" t="str">
        <f>IF(D38='THE-TS'!$D$11,"x","")</f>
        <v/>
      </c>
    </row>
    <row r="39" spans="1:17" ht="13.5" customHeight="1">
      <c r="K39" s="859"/>
      <c r="L39" s="838" t="s">
        <v>744</v>
      </c>
      <c r="P39" s="916" t="str">
        <f>IF(D39='THE-TS'!$D$11,"x","")</f>
        <v/>
      </c>
    </row>
    <row r="40" spans="1:17" ht="13.5" customHeight="1">
      <c r="B40" s="834"/>
      <c r="D40" s="834" t="s">
        <v>11</v>
      </c>
      <c r="F40" s="834" t="s">
        <v>713</v>
      </c>
      <c r="I40" s="860"/>
      <c r="K40" s="857"/>
      <c r="L40" s="857" t="s">
        <v>131</v>
      </c>
      <c r="P40" s="916" t="str">
        <f>IF(D40='THE-TS'!$D$11,"x","")</f>
        <v/>
      </c>
    </row>
    <row r="41" spans="1:17" ht="13.5" customHeight="1">
      <c r="B41" s="834"/>
      <c r="D41" s="834"/>
      <c r="P41" s="916" t="str">
        <f>IF(D41='THE-TS'!$D$11,"x","")</f>
        <v/>
      </c>
    </row>
    <row r="42" spans="1:17" ht="13.5" customHeight="1">
      <c r="H42" s="861"/>
      <c r="J42" s="861"/>
      <c r="L42" s="861"/>
      <c r="P42" s="916" t="str">
        <f>IF(D42='THE-TS'!$D$11,"x","")</f>
        <v/>
      </c>
    </row>
    <row r="43" spans="1:17" ht="13.5" customHeight="1">
      <c r="H43" s="862"/>
      <c r="P43" s="916" t="str">
        <f>IF(D43='THE-TS'!$D$11,"x","")</f>
        <v/>
      </c>
    </row>
    <row r="44" spans="1:17" ht="13.5" customHeight="1">
      <c r="H44" s="862"/>
      <c r="J44" s="861"/>
      <c r="P44" s="916" t="str">
        <f>IF(D44='THE-TS'!$D$11,"x","")</f>
        <v/>
      </c>
    </row>
    <row r="45" spans="1:17" ht="13.5" customHeight="1">
      <c r="H45" s="862"/>
      <c r="P45" s="916" t="str">
        <f>IF(D45='THE-TS'!$D$11,"x","")</f>
        <v/>
      </c>
    </row>
    <row r="46" spans="1:17" ht="13.5" customHeight="1">
      <c r="H46" s="862"/>
      <c r="P46" s="916" t="str">
        <f>IF(D46='THE-TS'!$D$11,"x","")</f>
        <v/>
      </c>
    </row>
    <row r="47" spans="1:17" s="863" customFormat="1" ht="13.5" customHeight="1">
      <c r="C47" s="864"/>
      <c r="D47" s="864" t="s">
        <v>228</v>
      </c>
      <c r="F47" s="864"/>
      <c r="H47" s="865"/>
      <c r="K47" s="866"/>
      <c r="L47" s="863" t="s">
        <v>125</v>
      </c>
      <c r="P47" s="916" t="str">
        <f>IF(D47='THE-TS'!$D$11,"x","")</f>
        <v/>
      </c>
    </row>
    <row r="48" spans="1:17" ht="13.5">
      <c r="P48" s="916" t="str">
        <f>IF(D48='THE-TS'!$D$11,"x","")</f>
        <v/>
      </c>
    </row>
    <row r="49" spans="1:16" ht="13.5" customHeight="1">
      <c r="H49" s="862"/>
      <c r="P49" s="916" t="str">
        <f>IF(D49='THE-TS'!$D$11,"x","")</f>
        <v/>
      </c>
    </row>
    <row r="50" spans="1:16" ht="13.5">
      <c r="P50" s="916" t="str">
        <f>IF(D50='THE-TS'!$D$11,"x","")</f>
        <v/>
      </c>
    </row>
    <row r="51" spans="1:16" ht="13.5">
      <c r="P51" s="916" t="str">
        <f>IF(D51='THE-TS'!$D$11,"x","")</f>
        <v/>
      </c>
    </row>
    <row r="52" spans="1:16" ht="13.5">
      <c r="P52" s="916" t="str">
        <f>IF(D52='THE-TS'!$D$11,"x","")</f>
        <v/>
      </c>
    </row>
    <row r="53" spans="1:16" ht="13.5">
      <c r="A53" s="832" t="s">
        <v>682</v>
      </c>
      <c r="L53" s="836"/>
      <c r="M53" s="836"/>
      <c r="N53" s="837" t="s">
        <v>683</v>
      </c>
      <c r="O53" s="836"/>
      <c r="P53" s="916" t="str">
        <f>IF(D53='THE-TS'!$D$11,"x","")</f>
        <v/>
      </c>
    </row>
    <row r="54" spans="1:16" ht="13.5">
      <c r="A54" s="832" t="s">
        <v>684</v>
      </c>
      <c r="L54" s="835"/>
      <c r="M54" s="835"/>
      <c r="N54" s="838" t="s">
        <v>317</v>
      </c>
      <c r="O54" s="835"/>
      <c r="P54" s="916" t="str">
        <f>IF(D54='THE-TS'!$D$11,"x","")</f>
        <v/>
      </c>
    </row>
    <row r="55" spans="1:16" ht="13.5">
      <c r="L55" s="835"/>
      <c r="M55" s="835"/>
      <c r="N55" s="838" t="s">
        <v>236</v>
      </c>
      <c r="O55" s="835"/>
      <c r="P55" s="916" t="str">
        <f>IF(D55='THE-TS'!$D$11,"x","")</f>
        <v/>
      </c>
    </row>
    <row r="56" spans="1:16" ht="13.5">
      <c r="P56" s="916" t="str">
        <f>IF(D56='THE-TS'!$D$11,"x","")</f>
        <v/>
      </c>
    </row>
    <row r="57" spans="1:16" s="927" customFormat="1" ht="28.5" customHeight="1">
      <c r="A57" s="1444" t="s">
        <v>685</v>
      </c>
      <c r="B57" s="1444"/>
      <c r="C57" s="1444"/>
      <c r="D57" s="1444"/>
      <c r="E57" s="1444"/>
      <c r="F57" s="1444"/>
      <c r="G57" s="1444"/>
      <c r="H57" s="1444"/>
      <c r="I57" s="1444"/>
      <c r="J57" s="1444"/>
      <c r="K57" s="1444"/>
      <c r="L57" s="1444"/>
      <c r="M57" s="1444"/>
      <c r="N57" s="1444"/>
      <c r="O57" s="1444"/>
      <c r="P57" s="926" t="str">
        <f>IF(D57='THE-TS'!$D$11,"x","")</f>
        <v/>
      </c>
    </row>
    <row r="58" spans="1:16" s="839" customFormat="1" ht="19.5" customHeight="1">
      <c r="A58" s="1445" t="s">
        <v>742</v>
      </c>
      <c r="B58" s="1445"/>
      <c r="C58" s="1445"/>
      <c r="D58" s="1445"/>
      <c r="E58" s="1445"/>
      <c r="F58" s="1445"/>
      <c r="G58" s="1445"/>
      <c r="H58" s="1445"/>
      <c r="I58" s="1445"/>
      <c r="J58" s="1445"/>
      <c r="K58" s="1445"/>
      <c r="L58" s="1445"/>
      <c r="M58" s="1445"/>
      <c r="N58" s="1445"/>
      <c r="O58" s="1445"/>
      <c r="P58" s="916" t="str">
        <f>IF(D58='THE-TS'!$D$11,"x","")</f>
        <v/>
      </c>
    </row>
    <row r="59" spans="1:16" s="839" customFormat="1" ht="19.5" customHeight="1">
      <c r="A59" s="1446" t="s">
        <v>751</v>
      </c>
      <c r="B59" s="1446"/>
      <c r="C59" s="1446"/>
      <c r="D59" s="1446"/>
      <c r="E59" s="1446"/>
      <c r="F59" s="1446"/>
      <c r="G59" s="1446"/>
      <c r="H59" s="1446"/>
      <c r="I59" s="1446"/>
      <c r="J59" s="1446"/>
      <c r="K59" s="1446"/>
      <c r="L59" s="1446"/>
      <c r="M59" s="1446"/>
      <c r="N59" s="1446"/>
      <c r="O59" s="1446"/>
      <c r="P59" s="916" t="str">
        <f>IF(D59='THE-TS'!$D$11,"x","")</f>
        <v/>
      </c>
    </row>
    <row r="60" spans="1:16" ht="13.5">
      <c r="D60" s="834"/>
      <c r="P60" s="916" t="str">
        <f>IF(D60='THE-TS'!$D$11,"x","")</f>
        <v/>
      </c>
    </row>
    <row r="61" spans="1:16" s="840" customFormat="1" ht="17.25" customHeight="1">
      <c r="A61" s="1435" t="s">
        <v>492</v>
      </c>
      <c r="B61" s="1438" t="s">
        <v>686</v>
      </c>
      <c r="C61" s="1439"/>
      <c r="D61" s="1439"/>
      <c r="E61" s="1439"/>
      <c r="F61" s="1439"/>
      <c r="G61" s="1439"/>
      <c r="H61" s="1440"/>
      <c r="I61" s="1438" t="s">
        <v>687</v>
      </c>
      <c r="J61" s="1439"/>
      <c r="K61" s="1439"/>
      <c r="L61" s="1440"/>
      <c r="M61" s="1441" t="s">
        <v>688</v>
      </c>
      <c r="N61" s="1441"/>
      <c r="O61" s="1441"/>
      <c r="P61" s="916" t="str">
        <f>IF(D61='THE-TS'!$D$11,"x","")</f>
        <v/>
      </c>
    </row>
    <row r="62" spans="1:16" s="840" customFormat="1" ht="17.25" customHeight="1">
      <c r="A62" s="1436"/>
      <c r="B62" s="1438" t="s">
        <v>689</v>
      </c>
      <c r="C62" s="1440"/>
      <c r="D62" s="1435" t="s">
        <v>690</v>
      </c>
      <c r="E62" s="1435" t="s">
        <v>691</v>
      </c>
      <c r="F62" s="1435" t="s">
        <v>692</v>
      </c>
      <c r="G62" s="1435" t="s">
        <v>693</v>
      </c>
      <c r="H62" s="1435" t="s">
        <v>694</v>
      </c>
      <c r="I62" s="1438" t="s">
        <v>695</v>
      </c>
      <c r="J62" s="1440"/>
      <c r="K62" s="1442" t="s">
        <v>696</v>
      </c>
      <c r="L62" s="1435" t="s">
        <v>697</v>
      </c>
      <c r="M62" s="1441" t="s">
        <v>689</v>
      </c>
      <c r="N62" s="1441"/>
      <c r="O62" s="1441" t="s">
        <v>698</v>
      </c>
      <c r="P62" s="916" t="str">
        <f>IF(D62='THE-TS'!$D$11,"x","")</f>
        <v/>
      </c>
    </row>
    <row r="63" spans="1:16" s="840" customFormat="1" ht="55.5" customHeight="1">
      <c r="A63" s="1437"/>
      <c r="B63" s="841" t="s">
        <v>699</v>
      </c>
      <c r="C63" s="841" t="s">
        <v>493</v>
      </c>
      <c r="D63" s="1437"/>
      <c r="E63" s="1437"/>
      <c r="F63" s="1437"/>
      <c r="G63" s="1437"/>
      <c r="H63" s="1437"/>
      <c r="I63" s="841" t="s">
        <v>700</v>
      </c>
      <c r="J63" s="841" t="s">
        <v>701</v>
      </c>
      <c r="K63" s="1443"/>
      <c r="L63" s="1437"/>
      <c r="M63" s="841" t="s">
        <v>17</v>
      </c>
      <c r="N63" s="841" t="s">
        <v>493</v>
      </c>
      <c r="O63" s="1441"/>
      <c r="P63" s="916" t="str">
        <f>IF(D63='THE-TS'!$D$11,"x","")</f>
        <v/>
      </c>
    </row>
    <row r="64" spans="1:16" s="844" customFormat="1" ht="13.5">
      <c r="A64" s="842" t="s">
        <v>2</v>
      </c>
      <c r="B64" s="842" t="s">
        <v>3</v>
      </c>
      <c r="C64" s="842" t="s">
        <v>4</v>
      </c>
      <c r="D64" s="842" t="s">
        <v>5</v>
      </c>
      <c r="E64" s="842" t="s">
        <v>6</v>
      </c>
      <c r="F64" s="842" t="s">
        <v>156</v>
      </c>
      <c r="G64" s="842" t="s">
        <v>702</v>
      </c>
      <c r="H64" s="842">
        <v>1</v>
      </c>
      <c r="I64" s="842">
        <v>2</v>
      </c>
      <c r="J64" s="842">
        <v>3</v>
      </c>
      <c r="K64" s="843"/>
      <c r="L64" s="842">
        <v>4</v>
      </c>
      <c r="M64" s="842" t="s">
        <v>703</v>
      </c>
      <c r="N64" s="842" t="s">
        <v>704</v>
      </c>
      <c r="O64" s="842" t="s">
        <v>705</v>
      </c>
      <c r="P64" s="916" t="str">
        <f>IF(D64='THE-TS'!$D$11,"x","")</f>
        <v/>
      </c>
    </row>
    <row r="65" spans="1:17" ht="15.75" customHeight="1">
      <c r="A65" s="845">
        <v>1</v>
      </c>
      <c r="B65" s="884" t="s">
        <v>774</v>
      </c>
      <c r="C65" s="846">
        <v>40543</v>
      </c>
      <c r="D65" s="330" t="s">
        <v>725</v>
      </c>
      <c r="E65" s="696"/>
      <c r="F65" s="886" t="s">
        <v>775</v>
      </c>
      <c r="G65" s="918" t="str">
        <f>RIGHT(B65,5)</f>
        <v>10/10</v>
      </c>
      <c r="H65" s="330">
        <v>5405781300</v>
      </c>
      <c r="I65" s="848">
        <v>45</v>
      </c>
      <c r="J65" s="8">
        <v>120128473</v>
      </c>
      <c r="K65" s="847">
        <v>720770838</v>
      </c>
      <c r="L65" s="847">
        <f>K65+J65</f>
        <v>840899311</v>
      </c>
      <c r="M65" s="696"/>
      <c r="N65" s="696"/>
      <c r="O65" s="225"/>
      <c r="P65" s="916" t="str">
        <f>IF(D65='THE-TS'!$D$11,"x","")</f>
        <v>x</v>
      </c>
      <c r="Q65" s="908"/>
    </row>
    <row r="66" spans="1:17" ht="15.75" customHeight="1">
      <c r="A66" s="849"/>
      <c r="B66" s="850"/>
      <c r="C66" s="849"/>
      <c r="D66" s="850"/>
      <c r="E66" s="850"/>
      <c r="F66" s="849"/>
      <c r="G66" s="850"/>
      <c r="H66" s="850"/>
      <c r="I66" s="851"/>
      <c r="J66" s="850"/>
      <c r="K66" s="852"/>
      <c r="L66" s="850"/>
      <c r="M66" s="850"/>
      <c r="N66" s="850"/>
      <c r="O66" s="850"/>
      <c r="P66" s="916" t="str">
        <f>IF(D66='THE-TS'!$D$11,"x","")</f>
        <v/>
      </c>
    </row>
    <row r="67" spans="1:17" s="856" customFormat="1" ht="15.75" customHeight="1">
      <c r="A67" s="853"/>
      <c r="B67" s="854"/>
      <c r="C67" s="853"/>
      <c r="D67" s="853" t="s">
        <v>711</v>
      </c>
      <c r="E67" s="854"/>
      <c r="F67" s="853"/>
      <c r="G67" s="854"/>
      <c r="H67" s="855">
        <f>SUM(H65:H66)</f>
        <v>5405781300</v>
      </c>
      <c r="I67" s="855"/>
      <c r="J67" s="855">
        <f>SUM(J65:J66)</f>
        <v>120128473</v>
      </c>
      <c r="K67" s="855">
        <f>SUM(K65:K66)</f>
        <v>720770838</v>
      </c>
      <c r="L67" s="855">
        <f>SUM(L65:L66)</f>
        <v>840899311</v>
      </c>
      <c r="M67" s="854"/>
      <c r="N67" s="854"/>
      <c r="O67" s="854"/>
      <c r="P67" s="916" t="str">
        <f>IF(D67='THE-TS'!$D$11,"x","")</f>
        <v/>
      </c>
    </row>
    <row r="68" spans="1:17" ht="6.75" customHeight="1">
      <c r="A68" s="699"/>
      <c r="B68" s="699"/>
      <c r="C68" s="857"/>
      <c r="D68" s="699"/>
      <c r="E68" s="699"/>
      <c r="F68" s="857"/>
      <c r="G68" s="699"/>
      <c r="H68" s="699"/>
      <c r="I68" s="699"/>
      <c r="J68" s="699"/>
      <c r="K68" s="858"/>
      <c r="L68" s="699"/>
      <c r="M68" s="699"/>
      <c r="N68" s="699"/>
      <c r="O68" s="699"/>
    </row>
    <row r="69" spans="1:17">
      <c r="A69" s="699"/>
      <c r="B69" s="699"/>
      <c r="C69" s="857"/>
      <c r="D69" s="699" t="s">
        <v>712</v>
      </c>
      <c r="E69" s="699"/>
      <c r="F69" s="857"/>
      <c r="G69" s="699"/>
      <c r="H69" s="699"/>
      <c r="I69" s="699"/>
      <c r="J69" s="1109"/>
      <c r="K69" s="858"/>
      <c r="L69" s="699"/>
      <c r="M69" s="699"/>
      <c r="N69" s="699"/>
      <c r="O69" s="699"/>
    </row>
    <row r="70" spans="1:17">
      <c r="A70" s="699"/>
      <c r="B70" s="699"/>
      <c r="C70" s="857"/>
      <c r="D70" s="699" t="s">
        <v>743</v>
      </c>
      <c r="E70" s="699"/>
      <c r="F70" s="857"/>
      <c r="G70" s="699"/>
      <c r="I70" s="699"/>
      <c r="J70" s="878"/>
      <c r="K70" s="858"/>
      <c r="L70" s="699"/>
      <c r="M70" s="699"/>
      <c r="N70" s="699"/>
      <c r="O70" s="699"/>
    </row>
    <row r="71" spans="1:17">
      <c r="K71" s="838"/>
      <c r="L71" s="838" t="s">
        <v>744</v>
      </c>
    </row>
    <row r="72" spans="1:17" ht="16.5" customHeight="1">
      <c r="B72" s="834"/>
      <c r="D72" s="834" t="s">
        <v>11</v>
      </c>
      <c r="F72" s="834" t="s">
        <v>713</v>
      </c>
      <c r="I72" s="860"/>
      <c r="K72" s="857"/>
      <c r="L72" s="857" t="s">
        <v>131</v>
      </c>
    </row>
    <row r="75" spans="1:17">
      <c r="L75" s="861"/>
    </row>
    <row r="76" spans="1:17">
      <c r="D76" s="861"/>
    </row>
    <row r="77" spans="1:17">
      <c r="D77" s="835"/>
      <c r="L77" s="861"/>
    </row>
    <row r="78" spans="1:17">
      <c r="D78" s="868"/>
      <c r="L78" s="861"/>
    </row>
    <row r="79" spans="1:17" s="863" customFormat="1" ht="13.5" customHeight="1">
      <c r="C79" s="864"/>
      <c r="D79" s="864" t="s">
        <v>228</v>
      </c>
      <c r="F79" s="864"/>
      <c r="H79" s="865"/>
      <c r="K79" s="866"/>
      <c r="L79" s="863" t="s">
        <v>125</v>
      </c>
      <c r="P79" s="917"/>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888" customWidth="1"/>
    <col min="2" max="2" width="10.140625" style="888" customWidth="1"/>
    <col min="3" max="3" width="11.5703125" style="888" customWidth="1"/>
    <col min="4" max="4" width="28.7109375" style="888" customWidth="1"/>
    <col min="5" max="5" width="13.28515625" style="888" customWidth="1"/>
    <col min="6" max="6" width="9.140625" style="888"/>
    <col min="7" max="7" width="14" style="888" customWidth="1"/>
    <col min="8" max="8" width="14.7109375" style="888" customWidth="1"/>
    <col min="9" max="10" width="9.140625" style="888"/>
    <col min="11" max="11" width="13.85546875" style="888" customWidth="1"/>
    <col min="12" max="16384" width="9.140625" style="888"/>
  </cols>
  <sheetData>
    <row r="2" spans="1:11">
      <c r="A2" s="904" t="s">
        <v>682</v>
      </c>
      <c r="B2" s="887"/>
      <c r="C2" s="887"/>
      <c r="D2" s="887"/>
      <c r="E2" s="837"/>
      <c r="F2" s="837"/>
      <c r="G2" s="837" t="s">
        <v>726</v>
      </c>
      <c r="H2" s="837"/>
    </row>
    <row r="3" spans="1:11">
      <c r="A3" s="904" t="s">
        <v>684</v>
      </c>
      <c r="B3" s="887"/>
      <c r="C3" s="887"/>
      <c r="D3" s="887"/>
      <c r="E3" s="838"/>
      <c r="F3" s="838"/>
      <c r="G3" s="838" t="s">
        <v>317</v>
      </c>
      <c r="H3" s="838"/>
    </row>
    <row r="4" spans="1:11">
      <c r="A4" s="834"/>
      <c r="B4" s="834"/>
      <c r="C4" s="838"/>
      <c r="D4" s="838"/>
      <c r="E4" s="838"/>
      <c r="F4" s="838"/>
      <c r="G4" s="838" t="s">
        <v>236</v>
      </c>
      <c r="H4" s="838"/>
    </row>
    <row r="5" spans="1:11">
      <c r="A5" s="834"/>
      <c r="B5" s="834"/>
      <c r="C5" s="838"/>
      <c r="D5" s="838"/>
      <c r="E5" s="838"/>
      <c r="F5" s="838"/>
      <c r="G5" s="838"/>
      <c r="H5" s="838"/>
    </row>
    <row r="6" spans="1:11" ht="23.25" customHeight="1" thickBot="1">
      <c r="A6" s="1461" t="s">
        <v>727</v>
      </c>
      <c r="B6" s="1461"/>
      <c r="C6" s="1461"/>
      <c r="D6" s="1461"/>
      <c r="E6" s="1461"/>
      <c r="F6" s="1461"/>
      <c r="G6" s="1461"/>
      <c r="H6" s="1461"/>
    </row>
    <row r="7" spans="1:11" ht="17.25" customHeight="1" thickBot="1">
      <c r="A7" s="1447" t="str">
        <f ca="1" xml:space="preserve"> IF(ROWS($1:1)&gt;COUNT(Dong3),"","Số: "&amp;OFFSET('SO-TS'!$B$1,SMALL(Dong3,ROWS($1:1)),))</f>
        <v>Số: SX 10/10</v>
      </c>
      <c r="B7" s="1447"/>
      <c r="C7" s="1447"/>
      <c r="D7" s="1447"/>
      <c r="E7" s="1447"/>
      <c r="F7" s="1447"/>
      <c r="G7" s="1447"/>
      <c r="H7" s="1447"/>
      <c r="J7" s="905" t="s">
        <v>767</v>
      </c>
      <c r="K7" s="906" t="s">
        <v>1216</v>
      </c>
    </row>
    <row r="8" spans="1:11" ht="17.25" customHeight="1">
      <c r="A8" s="1462" t="str">
        <f ca="1" xml:space="preserve"> IF(ROWS($1:1)&gt;COUNT(Dong3),"","Ngày   "&amp;DAY(OFFSET('SO-TS'!$C$1,SMALL(Dong3,ROWS($1:1)),))&amp;"   tháng   "&amp;MONTH(OFFSET('SO-TS'!$C$1,SMALL(Dong3,ROWS($1:1)),))&amp;"  năm   "&amp;YEAR(OFFSET('SO-TS'!$C$1,SMALL(Dong3,ROWS($1:1)),)))</f>
        <v>Ngày   31   tháng   12  năm   2010</v>
      </c>
      <c r="B8" s="1462"/>
      <c r="C8" s="1462"/>
      <c r="D8" s="1462"/>
      <c r="E8" s="1462"/>
      <c r="F8" s="1462"/>
      <c r="G8" s="1462"/>
      <c r="H8" s="1462"/>
    </row>
    <row r="9" spans="1:11" ht="12" customHeight="1">
      <c r="A9" s="834"/>
      <c r="B9" s="834"/>
      <c r="C9" s="834"/>
      <c r="D9" s="834"/>
      <c r="E9" s="834"/>
      <c r="F9" s="834"/>
      <c r="G9" s="838"/>
      <c r="H9" s="838"/>
    </row>
    <row r="10" spans="1:11" ht="15" customHeight="1">
      <c r="A10" s="833" t="str">
        <f ca="1">"Căn cứ vào biên bản giao nhận TSCĐ "&amp;"  "&amp;A7&amp;"  "&amp;A8</f>
        <v>Căn cứ vào biên bản giao nhận TSCĐ   Số: SX 10/10  Ngày   31   tháng   12  năm   2010</v>
      </c>
      <c r="B10" s="833"/>
      <c r="C10" s="833"/>
      <c r="D10" s="833"/>
      <c r="E10" s="833"/>
      <c r="F10" s="833"/>
      <c r="G10" s="833"/>
      <c r="H10" s="833"/>
    </row>
    <row r="11" spans="1:11" ht="15" customHeight="1">
      <c r="A11" s="833" t="s">
        <v>768</v>
      </c>
      <c r="B11" s="833"/>
      <c r="C11" s="833"/>
      <c r="D11" s="833" t="s">
        <v>725</v>
      </c>
      <c r="E11" s="833" t="str">
        <f ca="1" xml:space="preserve"> IF(ROWS($1:1)&gt;COUNT(Dong3),"","Số hiệu TSCĐ:   "&amp;OFFSET('SO-TS'!$G$1,SMALL(Dong3,ROWS($1:1)),))</f>
        <v>Số hiệu TSCĐ:   10/10</v>
      </c>
      <c r="F11" s="833"/>
      <c r="H11" s="833"/>
    </row>
    <row r="12" spans="1:11" ht="15" customHeight="1">
      <c r="A12" s="833" t="str">
        <f ca="1" xml:space="preserve"> IF(ROWS($1:1)&gt;COUNT(Dong3),"","Nước sản xuất:   "&amp;OFFSET('SO-TS'!$E$1,SMALL(Dong3,ROWS($1:1)),))</f>
        <v xml:space="preserve">Nước sản xuất:   </v>
      </c>
      <c r="B12" s="833"/>
      <c r="C12" s="833"/>
      <c r="D12" s="833"/>
      <c r="E12" s="833" t="s">
        <v>769</v>
      </c>
      <c r="F12" s="833"/>
      <c r="G12" s="833"/>
      <c r="H12" s="833"/>
    </row>
    <row r="13" spans="1:11" ht="15" customHeight="1">
      <c r="A13" s="833" t="str">
        <f ca="1" xml:space="preserve"> IF(ROWS($1:1)&gt;COUNT(Dong3),"","Bộ phận quản lý sử dụng:  "&amp;IF(LEFT(OFFSET('SO-TS'!$B$1,SMALL(Dong3,ROWS($1:1)),),2)="VP","Văn Phòng","Sản Xuất"))</f>
        <v>Bộ phận quản lý sử dụng:  Sản Xuất</v>
      </c>
      <c r="B13" s="833"/>
      <c r="C13" s="833"/>
      <c r="D13" s="833"/>
      <c r="E13" s="833" t="str">
        <f ca="1" xml:space="preserve"> IF(ROWS($1:1)&gt;COUNT(Dong3),"","Tháng, năm đưa vào sử dụng:    "&amp;OFFSET('SO-TS'!$F$1,SMALL(Dong3,ROWS($1:1)),))</f>
        <v>Tháng, năm đưa vào sử dụng:    01/2011</v>
      </c>
      <c r="F13" s="833"/>
      <c r="G13" s="833"/>
      <c r="H13" s="833"/>
    </row>
    <row r="14" spans="1:11" ht="15" customHeight="1">
      <c r="A14" s="833" t="s">
        <v>728</v>
      </c>
      <c r="B14" s="833"/>
      <c r="C14" s="833"/>
      <c r="D14" s="833"/>
      <c r="E14" s="833"/>
      <c r="F14" s="833"/>
      <c r="G14" s="833"/>
      <c r="H14" s="833"/>
    </row>
    <row r="15" spans="1:11" ht="15" customHeight="1">
      <c r="A15" s="833" t="s">
        <v>777</v>
      </c>
      <c r="B15" s="833"/>
      <c r="C15" s="833"/>
      <c r="D15" s="833"/>
      <c r="E15" s="833"/>
      <c r="F15" s="833"/>
      <c r="G15" s="833"/>
      <c r="H15" s="833"/>
    </row>
    <row r="16" spans="1:11" ht="15" customHeight="1">
      <c r="A16" s="907" t="s">
        <v>776</v>
      </c>
      <c r="B16" s="907"/>
      <c r="C16" s="907"/>
      <c r="D16" s="907"/>
      <c r="E16" s="907"/>
      <c r="F16" s="907"/>
      <c r="G16" s="907"/>
      <c r="H16" s="907"/>
    </row>
    <row r="17" spans="1:8" s="901" customFormat="1" ht="18" customHeight="1">
      <c r="A17" s="1451" t="s">
        <v>150</v>
      </c>
      <c r="B17" s="1452"/>
      <c r="C17" s="1455" t="s">
        <v>729</v>
      </c>
      <c r="D17" s="1456"/>
      <c r="E17" s="1457"/>
      <c r="F17" s="1458" t="s">
        <v>730</v>
      </c>
      <c r="G17" s="1459"/>
      <c r="H17" s="1460"/>
    </row>
    <row r="18" spans="1:8" s="901" customFormat="1" ht="28.5" customHeight="1">
      <c r="A18" s="1453"/>
      <c r="B18" s="1454"/>
      <c r="C18" s="869" t="s">
        <v>731</v>
      </c>
      <c r="D18" s="869" t="s">
        <v>0</v>
      </c>
      <c r="E18" s="869" t="s">
        <v>732</v>
      </c>
      <c r="F18" s="869" t="s">
        <v>733</v>
      </c>
      <c r="G18" s="869" t="s">
        <v>734</v>
      </c>
      <c r="H18" s="869" t="s">
        <v>735</v>
      </c>
    </row>
    <row r="19" spans="1:8" s="903" customFormat="1">
      <c r="A19" s="1463" t="s">
        <v>2</v>
      </c>
      <c r="B19" s="1464"/>
      <c r="C19" s="902" t="s">
        <v>3</v>
      </c>
      <c r="D19" s="902" t="s">
        <v>4</v>
      </c>
      <c r="E19" s="902">
        <v>1</v>
      </c>
      <c r="F19" s="902">
        <v>2</v>
      </c>
      <c r="G19" s="902">
        <v>3</v>
      </c>
      <c r="H19" s="902">
        <v>4</v>
      </c>
    </row>
    <row r="20" spans="1:8" ht="17.25" customHeight="1">
      <c r="A20" s="740">
        <f ca="1">IF(B20&lt;&gt;"",ROW()-19,"")</f>
        <v>1</v>
      </c>
      <c r="B20" s="889" t="str">
        <f ca="1" xml:space="preserve"> IF(ROWS($1:1)&gt;COUNT(Dong3),"",OFFSET('SO-TS'!B$1,SMALL(Dong3,ROWS($1:1)),))</f>
        <v>SX 10/10</v>
      </c>
      <c r="C20" s="889" t="str">
        <f ca="1" xml:space="preserve"> IF(ROWS($1:1)&gt;COUNT(Dong3),"",OFFSET('SO-TS'!F$1,SMALL(Dong3,ROWS($1:1)),))</f>
        <v>01/2011</v>
      </c>
      <c r="D20" s="919" t="str">
        <f ca="1" xml:space="preserve"> IF(ROWS($1:1)&gt;COUNT(Dong3),"",OFFSET('SO-TS'!D$1,SMALL(Dong3,ROWS($1:1)),))</f>
        <v>Quyền sử dụng đất</v>
      </c>
      <c r="E20" s="920">
        <f ca="1" xml:space="preserve"> IF(ROWS($1:1)&gt;COUNT(Dong3),"",OFFSET('SO-TS'!H$1,SMALL(Dong3,ROWS($1:1)),))</f>
        <v>5405781300</v>
      </c>
      <c r="F20" s="921"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40" t="str">
        <f t="shared" ref="A21:A29" ca="1" si="0">IF(B21&lt;&gt;"",ROW()-19,"")</f>
        <v/>
      </c>
      <c r="B21" s="889" t="str">
        <f ca="1" xml:space="preserve"> IF(ROWS($1:2)&gt;COUNT(Dong3),"",OFFSET('SO-TS'!B$1,SMALL(Dong3,ROWS($1:2)),))</f>
        <v/>
      </c>
      <c r="C21" s="889" t="str">
        <f ca="1" xml:space="preserve"> IF(ROWS($1:2)&gt;COUNT(Dong3),"",OFFSET('SO-TS'!F$1,SMALL(Dong3,ROWS($1:2)),))</f>
        <v/>
      </c>
      <c r="D21" s="919" t="str">
        <f ca="1" xml:space="preserve"> IF(ROWS($1:2)&gt;COUNT(Dong3),"",OFFSET('SO-TS'!D$1,SMALL(Dong3,ROWS($1:2)),))</f>
        <v/>
      </c>
      <c r="E21" s="920" t="str">
        <f ca="1" xml:space="preserve"> IF(ROWS($1:2)&gt;COUNT(Dong3),"",OFFSET('SO-TS'!H$1,SMALL(Dong3,ROWS($1:2)),))</f>
        <v/>
      </c>
      <c r="F21" s="921">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923">
        <f ca="1">IF(G21&lt;&gt;0,H20+G21,0)</f>
        <v>240256946</v>
      </c>
    </row>
    <row r="22" spans="1:8" ht="17.25" customHeight="1">
      <c r="A22" s="740" t="str">
        <f t="shared" ca="1" si="0"/>
        <v/>
      </c>
      <c r="B22" s="889" t="str">
        <f ca="1" xml:space="preserve"> IF(ROWS($1:3)&gt;COUNT(Dong3),"",OFFSET('SO-TS'!B$1,SMALL(Dong3,ROWS($1:3)),))</f>
        <v/>
      </c>
      <c r="C22" s="889" t="str">
        <f ca="1" xml:space="preserve"> IF(ROWS($1:3)&gt;COUNT(Dong3),"",OFFSET('SO-TS'!F$1,SMALL(Dong3,ROWS($1:3)),))</f>
        <v/>
      </c>
      <c r="D22" s="919" t="str">
        <f ca="1" xml:space="preserve"> IF(ROWS($1:3)&gt;COUNT(Dong3),"",OFFSET('SO-TS'!D$1,SMALL(Dong3,ROWS($1:3)),))</f>
        <v/>
      </c>
      <c r="E22" s="920" t="str">
        <f ca="1" xml:space="preserve"> IF(ROWS($1:3)&gt;COUNT(Dong3),"",OFFSET('SO-TS'!H$1,SMALL(Dong3,ROWS($1:3)),))</f>
        <v/>
      </c>
      <c r="F22" s="921">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923">
        <f t="shared" ref="H22:H28" ca="1" si="1">IF(G22&lt;&gt;0,H21+G22,0)</f>
        <v>360385419</v>
      </c>
    </row>
    <row r="23" spans="1:8" ht="17.25" customHeight="1">
      <c r="A23" s="740" t="str">
        <f t="shared" ca="1" si="0"/>
        <v/>
      </c>
      <c r="B23" s="889" t="str">
        <f ca="1" xml:space="preserve"> IF(ROWS($1:4)&gt;COUNT(Dong3),"",OFFSET('SO-TS'!B$1,SMALL(Dong3,ROWS($1:4)),))</f>
        <v/>
      </c>
      <c r="C23" s="889" t="str">
        <f ca="1" xml:space="preserve"> IF(ROWS($1:4)&gt;COUNT(Dong3),"",OFFSET('SO-TS'!F$1,SMALL(Dong3,ROWS($1:4)),))</f>
        <v/>
      </c>
      <c r="D23" s="919" t="str">
        <f ca="1" xml:space="preserve"> IF(ROWS($1:4)&gt;COUNT(Dong3),"",OFFSET('SO-TS'!D$1,SMALL(Dong3,ROWS($1:4)),))</f>
        <v/>
      </c>
      <c r="E23" s="920" t="str">
        <f ca="1" xml:space="preserve"> IF(ROWS($1:4)&gt;COUNT(Dong3),"",OFFSET('SO-TS'!H$1,SMALL(Dong3,ROWS($1:4)),))</f>
        <v/>
      </c>
      <c r="F23" s="921">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923">
        <f t="shared" ca="1" si="1"/>
        <v>480513892</v>
      </c>
    </row>
    <row r="24" spans="1:8" ht="17.25" customHeight="1">
      <c r="A24" s="740" t="str">
        <f t="shared" ca="1" si="0"/>
        <v/>
      </c>
      <c r="B24" s="889" t="str">
        <f ca="1" xml:space="preserve"> IF(ROWS($1:5)&gt;COUNT(Dong3),"",OFFSET('SO-TS'!B$1,SMALL(Dong3,ROWS($1:5)),))</f>
        <v/>
      </c>
      <c r="C24" s="889" t="str">
        <f ca="1" xml:space="preserve"> IF(ROWS($1:5)&gt;COUNT(Dong3),"",OFFSET('SO-TS'!F$1,SMALL(Dong3,ROWS($1:5)),))</f>
        <v/>
      </c>
      <c r="D24" s="919" t="str">
        <f ca="1" xml:space="preserve"> IF(ROWS($1:5)&gt;COUNT(Dong3),"",OFFSET('SO-TS'!D$1,SMALL(Dong3,ROWS($1:5)),))</f>
        <v/>
      </c>
      <c r="E24" s="920" t="str">
        <f ca="1" xml:space="preserve"> IF(ROWS($1:5)&gt;COUNT(Dong3),"",OFFSET('SO-TS'!H$1,SMALL(Dong3,ROWS($1:5)),))</f>
        <v/>
      </c>
      <c r="F24" s="921">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923">
        <f t="shared" ca="1" si="1"/>
        <v>600642365</v>
      </c>
    </row>
    <row r="25" spans="1:8" ht="17.25" customHeight="1">
      <c r="A25" s="740" t="str">
        <f t="shared" ca="1" si="0"/>
        <v/>
      </c>
      <c r="B25" s="889" t="str">
        <f ca="1" xml:space="preserve"> IF(ROWS($1:6)&gt;COUNT(Dong3),"",OFFSET('SO-TS'!B$1,SMALL(Dong3,ROWS($1:6)),))</f>
        <v/>
      </c>
      <c r="C25" s="889" t="str">
        <f ca="1" xml:space="preserve"> IF(ROWS($1:6)&gt;COUNT(Dong3),"",OFFSET('SO-TS'!F$1,SMALL(Dong3,ROWS($1:6)),))</f>
        <v/>
      </c>
      <c r="D25" s="919" t="str">
        <f ca="1" xml:space="preserve"> IF(ROWS($1:6)&gt;COUNT(Dong3),"",OFFSET('SO-TS'!D$1,SMALL(Dong3,ROWS($1:6)),))</f>
        <v/>
      </c>
      <c r="E25" s="920" t="str">
        <f ca="1" xml:space="preserve"> IF(ROWS($1:6)&gt;COUNT(Dong3),"",OFFSET('SO-TS'!H$1,SMALL(Dong3,ROWS($1:6)),))</f>
        <v/>
      </c>
      <c r="F25" s="921">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923">
        <f t="shared" ca="1" si="1"/>
        <v>720770838</v>
      </c>
    </row>
    <row r="26" spans="1:8" ht="17.25" customHeight="1">
      <c r="A26" s="740" t="str">
        <f t="shared" ca="1" si="0"/>
        <v/>
      </c>
      <c r="B26" s="889" t="str">
        <f ca="1" xml:space="preserve"> IF(ROWS($1:7)&gt;COUNT(Dong3),"",OFFSET('SO-TS'!B$1,SMALL(Dong3,ROWS($1:7)),))</f>
        <v/>
      </c>
      <c r="C26" s="889" t="str">
        <f ca="1" xml:space="preserve"> IF(ROWS($1:7)&gt;COUNT(Dong3),"",OFFSET('SO-TS'!F$1,SMALL(Dong3,ROWS($1:7)),))</f>
        <v/>
      </c>
      <c r="D26" s="919" t="str">
        <f ca="1" xml:space="preserve"> IF(ROWS($1:7)&gt;COUNT(Dong3),"",OFFSET('SO-TS'!D$1,SMALL(Dong3,ROWS($1:7)),))</f>
        <v/>
      </c>
      <c r="E26" s="920" t="str">
        <f ca="1" xml:space="preserve"> IF(ROWS($1:7)&gt;COUNT(Dong3),"",OFFSET('SO-TS'!H$1,SMALL(Dong3,ROWS($1:7)),))</f>
        <v/>
      </c>
      <c r="F26" s="921">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923">
        <f t="shared" ca="1" si="1"/>
        <v>840899311</v>
      </c>
    </row>
    <row r="27" spans="1:8" ht="17.25" customHeight="1">
      <c r="A27" s="740" t="str">
        <f t="shared" ca="1" si="0"/>
        <v/>
      </c>
      <c r="B27" s="889" t="str">
        <f ca="1" xml:space="preserve"> IF(ROWS($1:8)&gt;COUNT(Dong3),"",OFFSET('SO-TS'!B$1,SMALL(Dong3,ROWS($1:8)),))</f>
        <v/>
      </c>
      <c r="C27" s="889" t="str">
        <f ca="1" xml:space="preserve"> IF(ROWS($1:8)&gt;COUNT(Dong3),"",OFFSET('SO-TS'!F$1,SMALL(Dong3,ROWS($1:8)),))</f>
        <v/>
      </c>
      <c r="D27" s="919" t="str">
        <f ca="1" xml:space="preserve"> IF(ROWS($1:8)&gt;COUNT(Dong3),"",OFFSET('SO-TS'!D$1,SMALL(Dong3,ROWS($1:8)),))</f>
        <v/>
      </c>
      <c r="E27" s="920" t="str">
        <f ca="1" xml:space="preserve"> IF(ROWS($1:8)&gt;COUNT(Dong3),"",OFFSET('SO-TS'!H$1,SMALL(Dong3,ROWS($1:8)),))</f>
        <v/>
      </c>
      <c r="F27" s="921" t="str">
        <f ca="1">IF(OR(F26="",$E$30=H26,(ROW()-19)&gt;OFFSET('SO-TS'!I$1,SMALL(Dong3,ROWS($1:$1)),)+1),"",IF(VALUE(F26)&gt;=VALUE(YEAR(NOW())),"",F26+1))</f>
        <v/>
      </c>
      <c r="G27" s="85">
        <f ca="1">IF(F27="",0,ROUND(IF(OR(ROWS($1:$1)&gt;COUNT(Dong3),(ROW()-19)&gt;OFFSET('SO-TS'!I$1,SMALL(Dong3,ROWS($1:$1)),)+1),0,IF($E$30-H26&lt;($E$30/(OFFSET('SO-TS'!I$1,SMALL(Dong3,ROWS($1:$1)),))+12),$E$30-H26,$E$30/(OFFSET('SO-TS'!I$1,SMALL(Dong3,ROWS($1:$1)),)))),0))</f>
        <v>0</v>
      </c>
      <c r="H27" s="923">
        <f t="shared" ca="1" si="1"/>
        <v>0</v>
      </c>
    </row>
    <row r="28" spans="1:8" ht="17.25" customHeight="1">
      <c r="A28" s="740" t="str">
        <f t="shared" ca="1" si="0"/>
        <v/>
      </c>
      <c r="B28" s="889" t="str">
        <f ca="1" xml:space="preserve"> IF(ROWS($1:9)&gt;COUNT(Dong3),"",OFFSET('SO-TS'!B$1,SMALL(Dong3,ROWS($1:9)),))</f>
        <v/>
      </c>
      <c r="C28" s="889" t="str">
        <f ca="1" xml:space="preserve"> IF(ROWS($1:9)&gt;COUNT(Dong3),"",OFFSET('SO-TS'!F$1,SMALL(Dong3,ROWS($1:9)),))</f>
        <v/>
      </c>
      <c r="D28" s="919" t="str">
        <f ca="1" xml:space="preserve"> IF(ROWS($1:9)&gt;COUNT(Dong3),"",OFFSET('SO-TS'!D$1,SMALL(Dong3,ROWS($1:9)),))</f>
        <v/>
      </c>
      <c r="E28" s="920" t="str">
        <f ca="1" xml:space="preserve"> IF(ROWS($1:9)&gt;COUNT(Dong3),"",OFFSET('SO-TS'!H$1,SMALL(Dong3,ROWS($1:9)),))</f>
        <v/>
      </c>
      <c r="F28" s="921" t="str">
        <f ca="1">IF(OR(F27="",$E$30=H27,(ROW()-19)&gt;OFFSET('SO-TS'!I$1,SMALL(Dong3,ROWS($1:$1)),)+1),"",IF(VALUE(F27)&gt;=VALUE(YEAR(NOW())),"",F27+1))</f>
        <v/>
      </c>
      <c r="G28" s="85">
        <f ca="1">IF(F28="",0,ROUND(IF(OR(ROWS($1:$1)&gt;COUNT(Dong3),(ROW()-19)&gt;OFFSET('SO-TS'!I$1,SMALL(Dong3,ROWS($1:$1)),)+1),0,IF($E$30-H27&lt;($E$30/(OFFSET('SO-TS'!I$1,SMALL(Dong3,ROWS($1:$1)),))+12),$E$30-H27,$E$30/(OFFSET('SO-TS'!I$1,SMALL(Dong3,ROWS($1:$1)),)))),0))</f>
        <v>0</v>
      </c>
      <c r="H28" s="923">
        <f t="shared" ca="1" si="1"/>
        <v>0</v>
      </c>
    </row>
    <row r="29" spans="1:8" ht="17.25" customHeight="1">
      <c r="A29" s="740" t="str">
        <f t="shared" si="0"/>
        <v/>
      </c>
      <c r="B29" s="849"/>
      <c r="C29" s="890"/>
      <c r="D29" s="890"/>
      <c r="E29" s="922"/>
      <c r="F29" s="921" t="str">
        <f ca="1">IF(OR(F28="",$E$30=H28,(ROW()-19)&gt;OFFSET('SO-TS'!I$1,SMALL(Dong3,ROWS($1:$1)),)+1),"",IF(VALUE(F28)&gt;=VALUE(YEAR(NOW())),"",F28+1))</f>
        <v/>
      </c>
      <c r="G29" s="922"/>
      <c r="H29" s="922"/>
    </row>
    <row r="30" spans="1:8" ht="17.25" customHeight="1">
      <c r="A30" s="853"/>
      <c r="B30" s="853" t="s">
        <v>736</v>
      </c>
      <c r="C30" s="891"/>
      <c r="D30" s="891"/>
      <c r="E30" s="924">
        <f ca="1">SUM(E20:E29)</f>
        <v>5405781300</v>
      </c>
      <c r="F30" s="891"/>
      <c r="G30" s="924">
        <f ca="1">SUM(G20:G29)</f>
        <v>840899311</v>
      </c>
      <c r="H30" s="924"/>
    </row>
    <row r="31" spans="1:8" ht="17.25" customHeight="1">
      <c r="A31" s="892"/>
      <c r="B31" s="892"/>
      <c r="C31" s="893"/>
      <c r="D31" s="893"/>
      <c r="E31" s="893"/>
      <c r="F31" s="893"/>
      <c r="G31" s="894"/>
      <c r="H31" s="894"/>
    </row>
    <row r="32" spans="1:8" ht="17.25" customHeight="1">
      <c r="A32" s="892"/>
      <c r="B32" s="892"/>
      <c r="C32" s="893"/>
      <c r="D32" s="893"/>
      <c r="E32" s="893"/>
      <c r="F32" s="893"/>
      <c r="G32" s="894"/>
      <c r="H32" s="894"/>
    </row>
    <row r="33" spans="1:8" ht="17.25" customHeight="1">
      <c r="A33" s="1465" t="s">
        <v>737</v>
      </c>
      <c r="B33" s="1465"/>
      <c r="C33" s="1465"/>
      <c r="D33" s="1465"/>
      <c r="E33" s="1465"/>
      <c r="F33" s="1465"/>
      <c r="G33" s="1465"/>
      <c r="H33" s="1465"/>
    </row>
    <row r="34" spans="1:8" ht="27" customHeight="1">
      <c r="A34" s="853" t="s">
        <v>37</v>
      </c>
      <c r="B34" s="1438" t="s">
        <v>738</v>
      </c>
      <c r="C34" s="1440"/>
      <c r="D34" s="891" t="s">
        <v>324</v>
      </c>
      <c r="E34" s="891" t="s">
        <v>739</v>
      </c>
      <c r="F34" s="891" t="s">
        <v>740</v>
      </c>
      <c r="G34" s="894"/>
      <c r="H34" s="894"/>
    </row>
    <row r="35" spans="1:8" ht="17.25" customHeight="1">
      <c r="A35" s="853" t="s">
        <v>2</v>
      </c>
      <c r="B35" s="853" t="s">
        <v>3</v>
      </c>
      <c r="C35" s="891"/>
      <c r="D35" s="891" t="s">
        <v>4</v>
      </c>
      <c r="E35" s="891">
        <v>1</v>
      </c>
      <c r="F35" s="891">
        <v>2</v>
      </c>
      <c r="G35" s="894"/>
      <c r="H35" s="894"/>
    </row>
    <row r="36" spans="1:8" ht="17.25" customHeight="1">
      <c r="A36" s="895"/>
      <c r="B36" s="895"/>
      <c r="C36" s="896"/>
      <c r="D36" s="896"/>
      <c r="E36" s="896"/>
      <c r="F36" s="896"/>
      <c r="G36" s="894"/>
      <c r="H36" s="894"/>
    </row>
    <row r="37" spans="1:8" ht="17.25" customHeight="1">
      <c r="A37" s="897"/>
      <c r="B37" s="897"/>
      <c r="C37" s="898"/>
      <c r="D37" s="898"/>
      <c r="E37" s="898"/>
      <c r="F37" s="898"/>
      <c r="G37" s="894"/>
      <c r="H37" s="894"/>
    </row>
    <row r="38" spans="1:8" ht="17.25" customHeight="1">
      <c r="A38" s="897"/>
      <c r="B38" s="897"/>
      <c r="C38" s="898"/>
      <c r="D38" s="898"/>
      <c r="E38" s="898"/>
      <c r="F38" s="898"/>
      <c r="G38" s="894"/>
      <c r="H38" s="894"/>
    </row>
    <row r="39" spans="1:8" ht="17.25" customHeight="1">
      <c r="A39" s="897"/>
      <c r="B39" s="897"/>
      <c r="C39" s="898"/>
      <c r="D39" s="898"/>
      <c r="E39" s="898"/>
      <c r="F39" s="898"/>
      <c r="G39" s="894"/>
      <c r="H39" s="894"/>
    </row>
    <row r="40" spans="1:8" ht="17.25" customHeight="1">
      <c r="A40" s="899"/>
      <c r="B40" s="899"/>
      <c r="C40" s="900"/>
      <c r="D40" s="900"/>
      <c r="E40" s="900"/>
      <c r="F40" s="900"/>
      <c r="G40" s="894"/>
      <c r="H40" s="894"/>
    </row>
    <row r="41" spans="1:8">
      <c r="A41" s="892"/>
      <c r="B41" s="892"/>
      <c r="C41" s="893"/>
      <c r="D41" s="893"/>
      <c r="E41" s="893"/>
      <c r="F41" s="893"/>
      <c r="G41" s="894"/>
      <c r="H41" s="894"/>
    </row>
    <row r="42" spans="1:8">
      <c r="A42" s="1466" t="str">
        <f ca="1" xml:space="preserve"> IF(ROWS($1:1)&gt;COUNT(Dong3),"","Ghi giảm TSCĐ chứng từ số:  "&amp;OFFSET('SO-TS'!$M$1,SMALL(Dong3,ROWS($1:1)),))</f>
        <v xml:space="preserve">Ghi giảm TSCĐ chứng từ số:  </v>
      </c>
      <c r="B42" s="1466"/>
      <c r="C42" s="1466"/>
      <c r="D42" s="1466"/>
      <c r="E42" s="1466"/>
      <c r="F42" s="1466"/>
      <c r="G42" s="1466"/>
      <c r="H42" s="1466"/>
    </row>
    <row r="43" spans="1:8">
      <c r="A43" s="1466" t="str">
        <f ca="1" xml:space="preserve"> IF(ROWS($1:1)&gt;COUNT(Dong3),"","Lý do giảm:   "&amp;OFFSET('SO-TS'!$O$1,SMALL(Dong3,ROWS($1:1)),))</f>
        <v xml:space="preserve">Lý do giảm:   </v>
      </c>
      <c r="B43" s="1466"/>
      <c r="C43" s="1466"/>
      <c r="D43" s="1466"/>
      <c r="E43" s="1466"/>
      <c r="F43" s="1466"/>
      <c r="G43" s="1466"/>
      <c r="H43" s="1466"/>
    </row>
    <row r="44" spans="1:8">
      <c r="A44" s="864"/>
      <c r="B44" s="864"/>
      <c r="C44" s="859"/>
      <c r="D44" s="859"/>
      <c r="E44" s="1450" t="s">
        <v>778</v>
      </c>
      <c r="F44" s="1450"/>
      <c r="G44" s="1450"/>
      <c r="H44" s="1450"/>
    </row>
    <row r="45" spans="1:8">
      <c r="A45" s="1447" t="s">
        <v>741</v>
      </c>
      <c r="B45" s="1447"/>
      <c r="C45" s="1447" t="s">
        <v>12</v>
      </c>
      <c r="D45" s="1447"/>
      <c r="E45" s="1448" t="s">
        <v>131</v>
      </c>
      <c r="F45" s="1448"/>
      <c r="G45" s="1448"/>
      <c r="H45" s="1448"/>
    </row>
    <row r="46" spans="1:8">
      <c r="A46" s="834"/>
      <c r="B46" s="834"/>
      <c r="C46" s="838"/>
      <c r="D46" s="838"/>
      <c r="E46" s="838"/>
      <c r="F46" s="838"/>
      <c r="G46" s="838"/>
      <c r="H46" s="838"/>
    </row>
    <row r="47" spans="1:8">
      <c r="A47" s="834"/>
      <c r="B47" s="834"/>
      <c r="C47" s="838"/>
      <c r="D47" s="838"/>
      <c r="E47" s="838"/>
      <c r="F47" s="838"/>
      <c r="G47" s="838"/>
      <c r="H47" s="838"/>
    </row>
    <row r="48" spans="1:8">
      <c r="A48" s="834"/>
      <c r="B48" s="834"/>
      <c r="C48" s="838"/>
      <c r="D48" s="838"/>
      <c r="E48" s="838"/>
      <c r="F48" s="838"/>
      <c r="G48" s="838"/>
      <c r="H48" s="838"/>
    </row>
    <row r="49" spans="1:8">
      <c r="A49" s="834"/>
      <c r="B49" s="834"/>
      <c r="C49" s="838"/>
      <c r="D49" s="838"/>
      <c r="E49" s="838"/>
      <c r="F49" s="838"/>
      <c r="G49" s="838"/>
      <c r="H49" s="838"/>
    </row>
    <row r="50" spans="1:8">
      <c r="A50" s="834"/>
      <c r="B50" s="834"/>
      <c r="C50" s="838"/>
      <c r="D50" s="838"/>
      <c r="E50" s="838"/>
      <c r="F50" s="838"/>
      <c r="G50" s="838"/>
      <c r="H50" s="838"/>
    </row>
    <row r="51" spans="1:8">
      <c r="A51" s="834"/>
      <c r="B51" s="834"/>
      <c r="C51" s="838"/>
      <c r="D51" s="838"/>
      <c r="E51" s="838"/>
      <c r="F51" s="838"/>
      <c r="G51" s="838"/>
      <c r="H51" s="838"/>
    </row>
    <row r="52" spans="1:8">
      <c r="A52" s="834"/>
      <c r="B52" s="834"/>
      <c r="C52" s="838"/>
      <c r="D52" s="838"/>
      <c r="E52" s="838"/>
      <c r="F52" s="838"/>
      <c r="G52" s="838"/>
      <c r="H52" s="838"/>
    </row>
    <row r="53" spans="1:8">
      <c r="A53" s="1449" t="s">
        <v>228</v>
      </c>
      <c r="B53" s="1449"/>
      <c r="C53" s="859"/>
      <c r="D53" s="859"/>
      <c r="E53" s="1450" t="s">
        <v>125</v>
      </c>
      <c r="F53" s="1450"/>
      <c r="G53" s="1450"/>
      <c r="H53" s="1450"/>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topLeftCell="A13" workbookViewId="0">
      <selection activeCell="I13" sqref="I13"/>
    </sheetView>
  </sheetViews>
  <sheetFormatPr defaultRowHeight="12.75"/>
  <cols>
    <col min="1" max="1" width="15.42578125" style="389" customWidth="1"/>
    <col min="2" max="2" width="11" style="389" customWidth="1"/>
    <col min="3" max="3" width="22.140625" style="389" customWidth="1"/>
    <col min="4" max="4" width="6.7109375" style="389" customWidth="1"/>
    <col min="5" max="5" width="6.42578125" style="389" customWidth="1"/>
    <col min="6" max="6" width="8.85546875" style="389" customWidth="1"/>
    <col min="7" max="7" width="20.7109375" style="389" customWidth="1"/>
    <col min="8" max="11" width="9.140625" style="389"/>
    <col min="12" max="12" width="10.85546875" style="389" customWidth="1"/>
    <col min="13" max="16384" width="9.140625" style="389"/>
  </cols>
  <sheetData>
    <row r="1" spans="1:12">
      <c r="A1" s="124" t="s">
        <v>138</v>
      </c>
      <c r="D1" s="1469"/>
      <c r="E1" s="1469"/>
      <c r="F1" s="1469"/>
      <c r="G1" s="1469"/>
      <c r="I1" s="1469" t="s">
        <v>252</v>
      </c>
      <c r="J1" s="1469"/>
      <c r="K1" s="1469"/>
      <c r="L1" s="1469"/>
    </row>
    <row r="2" spans="1:12">
      <c r="A2" s="357" t="s">
        <v>139</v>
      </c>
      <c r="D2" s="1469"/>
      <c r="E2" s="1469"/>
      <c r="F2" s="1469"/>
      <c r="G2" s="1469"/>
      <c r="I2" s="1469" t="s">
        <v>235</v>
      </c>
      <c r="J2" s="1469"/>
      <c r="K2" s="1469"/>
      <c r="L2" s="1469"/>
    </row>
    <row r="3" spans="1:12">
      <c r="D3" s="1469"/>
      <c r="E3" s="1469"/>
      <c r="F3" s="1469"/>
      <c r="G3" s="1469"/>
      <c r="I3" s="1469" t="s">
        <v>253</v>
      </c>
      <c r="J3" s="1469"/>
      <c r="K3" s="1469"/>
      <c r="L3" s="1469"/>
    </row>
    <row r="8" spans="1:12" ht="40.5" customHeight="1">
      <c r="H8" s="390"/>
      <c r="I8" s="390"/>
      <c r="J8" s="390"/>
    </row>
    <row r="10" spans="1:12" ht="29.25" customHeight="1">
      <c r="A10" s="1467" t="s">
        <v>112</v>
      </c>
      <c r="B10" s="1467"/>
      <c r="C10" s="1467"/>
      <c r="D10" s="1467"/>
      <c r="E10" s="1467"/>
      <c r="F10" s="1467"/>
      <c r="G10" s="1467"/>
    </row>
    <row r="11" spans="1:12" ht="6" customHeight="1">
      <c r="H11" s="391"/>
      <c r="I11" s="391"/>
    </row>
    <row r="12" spans="1:12" ht="20.25">
      <c r="A12" s="1468" t="s">
        <v>254</v>
      </c>
      <c r="B12" s="1468"/>
      <c r="C12" s="1468"/>
      <c r="D12" s="1468"/>
      <c r="E12" s="1468"/>
      <c r="F12" s="1468"/>
      <c r="G12" s="1468"/>
    </row>
    <row r="13" spans="1:12" ht="64.5" customHeight="1"/>
    <row r="16" spans="1:12" ht="22.5" customHeight="1">
      <c r="B16" s="392" t="s">
        <v>255</v>
      </c>
    </row>
    <row r="17" spans="2:2" ht="22.5" customHeight="1">
      <c r="B17" s="392" t="s">
        <v>256</v>
      </c>
    </row>
    <row r="18" spans="2:2" ht="22.5" customHeight="1">
      <c r="B18" s="392" t="s">
        <v>257</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SC-II</vt:lpstr>
      <vt:lpstr>SC-I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2017-02-08T01:27:58Z</cp:lastPrinted>
  <dcterms:created xsi:type="dcterms:W3CDTF">1996-10-14T23:33:28Z</dcterms:created>
  <dcterms:modified xsi:type="dcterms:W3CDTF">2017-03-17T08:46:38Z</dcterms:modified>
</cp:coreProperties>
</file>