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65" windowWidth="19440" windowHeight="9015" activeTab="4"/>
  </bookViews>
  <sheets>
    <sheet name="TD-TQ 2016" sheetId="1" r:id="rId1"/>
    <sheet name="CT-2016" sheetId="5" r:id="rId2"/>
    <sheet name="GC - TQ 2016" sheetId="2" r:id="rId3"/>
    <sheet name="BSHĐ - 2016" sheetId="6" r:id="rId4"/>
    <sheet name="TQ 2017" sheetId="8" r:id="rId5"/>
    <sheet name="CT-2017" sheetId="9" r:id="rId6"/>
    <sheet name="BSHĐ - 2017" sheetId="10" r:id="rId7"/>
  </sheets>
  <definedNames>
    <definedName name="_Fill" localSheetId="6" hidden="1">#REF!</definedName>
    <definedName name="_Fill" localSheetId="1" hidden="1">#REF!</definedName>
    <definedName name="_Fill" localSheetId="5" hidden="1">#REF!</definedName>
    <definedName name="_Fill" localSheetId="2" hidden="1">#REF!</definedName>
    <definedName name="_Fill" localSheetId="4" hidden="1">#REF!</definedName>
    <definedName name="_Fill" hidden="1">#REF!</definedName>
    <definedName name="_xlnm.Print_Area" localSheetId="3">'BSHĐ - 2016'!$A$67:$I$89</definedName>
    <definedName name="_xlnm.Print_Area" localSheetId="6">'BSHĐ - 2017'!#REF!</definedName>
    <definedName name="_xlnm.Print_Area" localSheetId="1">'CT-2016'!$A$423:$I$508</definedName>
    <definedName name="_xlnm.Print_Titles" localSheetId="0">'TD-TQ 2016'!$17:$18</definedName>
    <definedName name="_xlnm.Print_Titles" localSheetId="4">'TQ 2017'!$2:$3</definedName>
  </definedNames>
  <calcPr calcId="124519"/>
</workbook>
</file>

<file path=xl/calcChain.xml><?xml version="1.0" encoding="utf-8"?>
<calcChain xmlns="http://schemas.openxmlformats.org/spreadsheetml/2006/main">
  <c r="J21" i="8"/>
  <c r="I10" l="1"/>
  <c r="I11"/>
  <c r="I12"/>
  <c r="I13"/>
  <c r="I14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J10"/>
  <c r="G5"/>
  <c r="G6"/>
  <c r="G7"/>
  <c r="G8"/>
  <c r="G9"/>
  <c r="I9" s="1"/>
  <c r="G10"/>
  <c r="G11"/>
  <c r="G12"/>
  <c r="G13"/>
  <c r="G14"/>
  <c r="G4"/>
  <c r="G22" i="10" l="1"/>
  <c r="H22" s="1"/>
  <c r="G23"/>
  <c r="H23" s="1"/>
  <c r="G24"/>
  <c r="H24" s="1"/>
  <c r="I24" s="1"/>
  <c r="G25"/>
  <c r="H25" s="1"/>
  <c r="I25" s="1"/>
  <c r="G26"/>
  <c r="H26" s="1"/>
  <c r="G27"/>
  <c r="H27" s="1"/>
  <c r="G28"/>
  <c r="H28" s="1"/>
  <c r="I28" s="1"/>
  <c r="G29"/>
  <c r="H29" s="1"/>
  <c r="I29" s="1"/>
  <c r="G30"/>
  <c r="H30" s="1"/>
  <c r="G31"/>
  <c r="H31" s="1"/>
  <c r="G32"/>
  <c r="H32"/>
  <c r="I32" s="1"/>
  <c r="G33"/>
  <c r="H33" s="1"/>
  <c r="I33" s="1"/>
  <c r="I30" l="1"/>
  <c r="I26"/>
  <c r="I22"/>
  <c r="I31"/>
  <c r="I27"/>
  <c r="I23"/>
  <c r="G14"/>
  <c r="H14" s="1"/>
  <c r="I14" s="1"/>
  <c r="G15"/>
  <c r="H15" s="1"/>
  <c r="G16"/>
  <c r="H16" s="1"/>
  <c r="G17"/>
  <c r="G18"/>
  <c r="I18" s="1"/>
  <c r="H18"/>
  <c r="G19"/>
  <c r="H19" s="1"/>
  <c r="I19" s="1"/>
  <c r="G20"/>
  <c r="H20" s="1"/>
  <c r="G21"/>
  <c r="H21"/>
  <c r="G15" i="8"/>
  <c r="I15" s="1"/>
  <c r="G16"/>
  <c r="I16" s="1"/>
  <c r="G17"/>
  <c r="I17" s="1"/>
  <c r="G18"/>
  <c r="I18" s="1"/>
  <c r="G19"/>
  <c r="I19" s="1"/>
  <c r="G20"/>
  <c r="I20" s="1"/>
  <c r="G21"/>
  <c r="I21" s="1"/>
  <c r="G22"/>
  <c r="I22" s="1"/>
  <c r="G23"/>
  <c r="I23" s="1"/>
  <c r="G24"/>
  <c r="I24" s="1"/>
  <c r="G25"/>
  <c r="I25" s="1"/>
  <c r="G26"/>
  <c r="I26" s="1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I5"/>
  <c r="I6"/>
  <c r="I7"/>
  <c r="I8"/>
  <c r="I4"/>
  <c r="J15" l="1"/>
  <c r="I15" i="10"/>
  <c r="I21"/>
  <c r="H17"/>
  <c r="I17" s="1"/>
  <c r="I20"/>
  <c r="I16"/>
  <c r="G13"/>
  <c r="G12"/>
  <c r="G11"/>
  <c r="G10"/>
  <c r="G9"/>
  <c r="G8"/>
  <c r="G7"/>
  <c r="G6"/>
  <c r="G5"/>
  <c r="G4"/>
  <c r="H5" l="1"/>
  <c r="I5"/>
  <c r="H9"/>
  <c r="I9"/>
  <c r="H6"/>
  <c r="I6"/>
  <c r="H7"/>
  <c r="I7"/>
  <c r="H4"/>
  <c r="I4"/>
  <c r="H8"/>
  <c r="I8"/>
  <c r="H12"/>
  <c r="I12"/>
  <c r="H13"/>
  <c r="I13"/>
  <c r="H10"/>
  <c r="I10"/>
  <c r="H11"/>
  <c r="I11"/>
  <c r="G35"/>
  <c r="E5" i="9"/>
  <c r="C9"/>
  <c r="E9"/>
  <c r="F9"/>
  <c r="E10"/>
  <c r="E11"/>
  <c r="C15"/>
  <c r="F15"/>
  <c r="A18"/>
  <c r="C18"/>
  <c r="E18" s="1"/>
  <c r="J18"/>
  <c r="N18" s="1"/>
  <c r="A19"/>
  <c r="E19"/>
  <c r="J19"/>
  <c r="N19" s="1"/>
  <c r="A20"/>
  <c r="E20"/>
  <c r="J20"/>
  <c r="N20" s="1"/>
  <c r="A21"/>
  <c r="E21"/>
  <c r="J21"/>
  <c r="N21" s="1"/>
  <c r="A22"/>
  <c r="E22"/>
  <c r="J22"/>
  <c r="N22" s="1"/>
  <c r="A23"/>
  <c r="E23"/>
  <c r="J23"/>
  <c r="N23" s="1"/>
  <c r="A24"/>
  <c r="E24"/>
  <c r="J24"/>
  <c r="N24" s="1"/>
  <c r="A25"/>
  <c r="D25"/>
  <c r="E25"/>
  <c r="J25"/>
  <c r="N25"/>
  <c r="E26"/>
  <c r="J26"/>
  <c r="N26" s="1"/>
  <c r="C27"/>
  <c r="E27" s="1"/>
  <c r="J27"/>
  <c r="N27"/>
  <c r="J28"/>
  <c r="N28"/>
  <c r="J29"/>
  <c r="N29"/>
  <c r="N30"/>
  <c r="K31"/>
  <c r="L31"/>
  <c r="F41"/>
  <c r="E40"/>
  <c r="E39"/>
  <c r="E38"/>
  <c r="E37"/>
  <c r="C36"/>
  <c r="E36" s="1"/>
  <c r="U88" i="8"/>
  <c r="N88"/>
  <c r="K88"/>
  <c r="T88"/>
  <c r="Q88"/>
  <c r="P88"/>
  <c r="H35" i="10" l="1"/>
  <c r="N31" i="9"/>
  <c r="E28" s="1"/>
  <c r="E31" s="1"/>
  <c r="E33" s="1"/>
  <c r="E15"/>
  <c r="E41"/>
  <c r="F43" s="1"/>
  <c r="J4" i="8"/>
  <c r="R88"/>
  <c r="K90" s="1"/>
  <c r="F88"/>
  <c r="M88" l="1"/>
  <c r="J88"/>
  <c r="F501" i="5" l="1"/>
  <c r="F502"/>
  <c r="F503"/>
  <c r="F498"/>
  <c r="I506"/>
  <c r="E494"/>
  <c r="F506" l="1"/>
  <c r="O22" i="1" l="1"/>
  <c r="O19"/>
  <c r="T27" l="1"/>
  <c r="T103" s="1"/>
  <c r="H27"/>
  <c r="H28"/>
  <c r="H29"/>
  <c r="R20"/>
  <c r="R21"/>
  <c r="R19"/>
  <c r="H51"/>
  <c r="H46"/>
  <c r="S103"/>
  <c r="H20"/>
  <c r="I26" l="1"/>
  <c r="R103"/>
  <c r="P80"/>
  <c r="L103"/>
  <c r="O103"/>
  <c r="N98"/>
  <c r="P98" s="1"/>
  <c r="N92"/>
  <c r="P92" s="1"/>
  <c r="N86"/>
  <c r="P86" s="1"/>
  <c r="N80"/>
  <c r="N78"/>
  <c r="P78" s="1"/>
  <c r="N72"/>
  <c r="P72" s="1"/>
  <c r="N68"/>
  <c r="P68" s="1"/>
  <c r="N64"/>
  <c r="P64" s="1"/>
  <c r="N62"/>
  <c r="P62" s="1"/>
  <c r="N58"/>
  <c r="P58" s="1"/>
  <c r="N48"/>
  <c r="P48" s="1"/>
  <c r="N54"/>
  <c r="P54" s="1"/>
  <c r="N43"/>
  <c r="P43" s="1"/>
  <c r="N39"/>
  <c r="P39" s="1"/>
  <c r="N37"/>
  <c r="P37" s="1"/>
  <c r="N33"/>
  <c r="P33" s="1"/>
  <c r="N29"/>
  <c r="P29" s="1"/>
  <c r="N24"/>
  <c r="P24" s="1"/>
  <c r="N26"/>
  <c r="P26" s="1"/>
  <c r="N22"/>
  <c r="P22" s="1"/>
  <c r="N19" l="1"/>
  <c r="P19" s="1"/>
  <c r="P103" s="1"/>
  <c r="N103" l="1"/>
  <c r="I489" i="5"/>
  <c r="F487"/>
  <c r="F489" s="1"/>
  <c r="E479"/>
  <c r="I474" l="1"/>
  <c r="F472"/>
  <c r="F474" s="1"/>
  <c r="E464"/>
  <c r="E474" s="1"/>
  <c r="I476" l="1"/>
  <c r="E481" s="1"/>
  <c r="E489" s="1"/>
  <c r="I491" s="1"/>
  <c r="E496" s="1"/>
  <c r="E506" s="1"/>
  <c r="I508" s="1"/>
  <c r="F427"/>
  <c r="F426"/>
  <c r="I459" l="1"/>
  <c r="F457"/>
  <c r="E447"/>
  <c r="E459" s="1"/>
  <c r="F459" l="1"/>
  <c r="I461" s="1"/>
  <c r="F437" l="1"/>
  <c r="F438"/>
  <c r="F439"/>
  <c r="F429"/>
  <c r="F436"/>
  <c r="F440"/>
  <c r="I442"/>
  <c r="E434"/>
  <c r="E442" s="1"/>
  <c r="I429"/>
  <c r="E424"/>
  <c r="E429" s="1"/>
  <c r="K393"/>
  <c r="J389"/>
  <c r="M389" s="1"/>
  <c r="J390"/>
  <c r="M390" s="1"/>
  <c r="J391"/>
  <c r="M391" s="1"/>
  <c r="J392"/>
  <c r="M392" s="1"/>
  <c r="J393"/>
  <c r="M393" s="1"/>
  <c r="J388"/>
  <c r="F418"/>
  <c r="F414"/>
  <c r="F416"/>
  <c r="F417"/>
  <c r="I420"/>
  <c r="E418"/>
  <c r="E413"/>
  <c r="F406"/>
  <c r="F101" i="1"/>
  <c r="H101" s="1"/>
  <c r="F100"/>
  <c r="H100" s="1"/>
  <c r="F99"/>
  <c r="H99" s="1"/>
  <c r="F98"/>
  <c r="H98" s="1"/>
  <c r="F405" i="5"/>
  <c r="J362"/>
  <c r="M362" s="1"/>
  <c r="J363"/>
  <c r="M363" s="1"/>
  <c r="J364"/>
  <c r="J365"/>
  <c r="N365" s="1"/>
  <c r="J366"/>
  <c r="J367"/>
  <c r="M367" s="1"/>
  <c r="J368"/>
  <c r="M368" s="1"/>
  <c r="J369"/>
  <c r="M369" s="1"/>
  <c r="J370"/>
  <c r="M370" s="1"/>
  <c r="J371"/>
  <c r="M371" s="1"/>
  <c r="J372"/>
  <c r="M372" s="1"/>
  <c r="J373"/>
  <c r="M373" s="1"/>
  <c r="J374"/>
  <c r="M374" s="1"/>
  <c r="J375"/>
  <c r="M375" s="1"/>
  <c r="J376"/>
  <c r="M376" s="1"/>
  <c r="J377"/>
  <c r="M377" s="1"/>
  <c r="J378"/>
  <c r="M378" s="1"/>
  <c r="J379"/>
  <c r="M379" s="1"/>
  <c r="J380"/>
  <c r="M380" s="1"/>
  <c r="J381"/>
  <c r="M381" s="1"/>
  <c r="J382"/>
  <c r="M382" s="1"/>
  <c r="J383"/>
  <c r="M383" s="1"/>
  <c r="J384"/>
  <c r="M384" s="1"/>
  <c r="J385"/>
  <c r="M385" s="1"/>
  <c r="J361"/>
  <c r="M361" s="1"/>
  <c r="I403"/>
  <c r="M388"/>
  <c r="K396"/>
  <c r="L390"/>
  <c r="L391"/>
  <c r="L392"/>
  <c r="L393"/>
  <c r="L394"/>
  <c r="K385"/>
  <c r="K380"/>
  <c r="L380" s="1"/>
  <c r="K369"/>
  <c r="L369" s="1"/>
  <c r="L366"/>
  <c r="K364"/>
  <c r="L364" s="1"/>
  <c r="K375"/>
  <c r="L375" s="1"/>
  <c r="L365"/>
  <c r="K371"/>
  <c r="L371" s="1"/>
  <c r="L385"/>
  <c r="L384"/>
  <c r="L383"/>
  <c r="L382"/>
  <c r="L381"/>
  <c r="L379"/>
  <c r="L378"/>
  <c r="L377"/>
  <c r="L376"/>
  <c r="L374"/>
  <c r="L373"/>
  <c r="L372"/>
  <c r="L370"/>
  <c r="L368"/>
  <c r="L367"/>
  <c r="J303"/>
  <c r="J304"/>
  <c r="J305"/>
  <c r="J306"/>
  <c r="J307"/>
  <c r="K307"/>
  <c r="L307" s="1"/>
  <c r="J308"/>
  <c r="J309"/>
  <c r="J310"/>
  <c r="J311"/>
  <c r="K311"/>
  <c r="L311" s="1"/>
  <c r="K302"/>
  <c r="L302" s="1"/>
  <c r="K298"/>
  <c r="L298" s="1"/>
  <c r="L310"/>
  <c r="L309"/>
  <c r="L308"/>
  <c r="L306"/>
  <c r="L305"/>
  <c r="L304"/>
  <c r="L303"/>
  <c r="J302"/>
  <c r="L301"/>
  <c r="J301"/>
  <c r="L300"/>
  <c r="J300"/>
  <c r="L299"/>
  <c r="J299"/>
  <c r="J298"/>
  <c r="L297"/>
  <c r="J297"/>
  <c r="L296"/>
  <c r="J296"/>
  <c r="L295"/>
  <c r="J295"/>
  <c r="L294"/>
  <c r="J294"/>
  <c r="K335"/>
  <c r="K343" s="1"/>
  <c r="K255"/>
  <c r="K252"/>
  <c r="K363"/>
  <c r="L363" s="1"/>
  <c r="L336"/>
  <c r="L388"/>
  <c r="L389"/>
  <c r="J394"/>
  <c r="N394" s="1"/>
  <c r="M366"/>
  <c r="F402"/>
  <c r="F408" s="1"/>
  <c r="E406"/>
  <c r="E401"/>
  <c r="F89" i="1"/>
  <c r="H89" s="1"/>
  <c r="M364" i="5"/>
  <c r="G73" i="6"/>
  <c r="H73"/>
  <c r="G75"/>
  <c r="H75"/>
  <c r="G78"/>
  <c r="H78"/>
  <c r="G82"/>
  <c r="H82"/>
  <c r="G69"/>
  <c r="H69"/>
  <c r="G71"/>
  <c r="H71"/>
  <c r="E85"/>
  <c r="G83"/>
  <c r="H83"/>
  <c r="G81"/>
  <c r="H81"/>
  <c r="G80"/>
  <c r="H80"/>
  <c r="G79"/>
  <c r="H79"/>
  <c r="G77"/>
  <c r="H77"/>
  <c r="G76"/>
  <c r="H76"/>
  <c r="G74"/>
  <c r="H74"/>
  <c r="G72"/>
  <c r="H72"/>
  <c r="G70"/>
  <c r="H70"/>
  <c r="G85"/>
  <c r="H85"/>
  <c r="F350" i="5"/>
  <c r="F347"/>
  <c r="E350"/>
  <c r="F349"/>
  <c r="E346"/>
  <c r="J333"/>
  <c r="J334"/>
  <c r="J335"/>
  <c r="L362"/>
  <c r="L361"/>
  <c r="F96" i="1"/>
  <c r="H96" s="1"/>
  <c r="F97"/>
  <c r="H97" s="1"/>
  <c r="F321" i="5"/>
  <c r="F322"/>
  <c r="F320"/>
  <c r="E322"/>
  <c r="E321"/>
  <c r="E320"/>
  <c r="F319"/>
  <c r="E317"/>
  <c r="J331"/>
  <c r="J332"/>
  <c r="A292"/>
  <c r="A293"/>
  <c r="A294"/>
  <c r="A295"/>
  <c r="A296"/>
  <c r="A297"/>
  <c r="A298"/>
  <c r="A299"/>
  <c r="A300"/>
  <c r="A301"/>
  <c r="A291"/>
  <c r="L341"/>
  <c r="N341"/>
  <c r="A341"/>
  <c r="L340"/>
  <c r="N340"/>
  <c r="E340"/>
  <c r="A340"/>
  <c r="L339"/>
  <c r="N339"/>
  <c r="E339"/>
  <c r="A339"/>
  <c r="L338"/>
  <c r="N338"/>
  <c r="E338"/>
  <c r="A338"/>
  <c r="L337"/>
  <c r="N337"/>
  <c r="E337"/>
  <c r="A337"/>
  <c r="N336"/>
  <c r="E336"/>
  <c r="A336"/>
  <c r="L335"/>
  <c r="E335"/>
  <c r="A335"/>
  <c r="L334"/>
  <c r="E334"/>
  <c r="A334"/>
  <c r="L333"/>
  <c r="E333"/>
  <c r="A333"/>
  <c r="L332"/>
  <c r="N332" s="1"/>
  <c r="E332"/>
  <c r="A332"/>
  <c r="L331"/>
  <c r="E331"/>
  <c r="A331"/>
  <c r="F91" i="1"/>
  <c r="H91" s="1"/>
  <c r="F92"/>
  <c r="H92" s="1"/>
  <c r="F93"/>
  <c r="H93" s="1"/>
  <c r="F94"/>
  <c r="H94" s="1"/>
  <c r="F95"/>
  <c r="H95" s="1"/>
  <c r="F90"/>
  <c r="H90"/>
  <c r="F84"/>
  <c r="H84" s="1"/>
  <c r="F85"/>
  <c r="H85" s="1"/>
  <c r="F86"/>
  <c r="H86" s="1"/>
  <c r="F87"/>
  <c r="H87" s="1"/>
  <c r="F88"/>
  <c r="H88" s="1"/>
  <c r="E58" i="6"/>
  <c r="F279" i="5"/>
  <c r="F277"/>
  <c r="E279"/>
  <c r="F278"/>
  <c r="E278"/>
  <c r="E277"/>
  <c r="F276"/>
  <c r="I281"/>
  <c r="E275"/>
  <c r="E300"/>
  <c r="E299"/>
  <c r="E298"/>
  <c r="E297"/>
  <c r="E296"/>
  <c r="E295"/>
  <c r="E294"/>
  <c r="L293"/>
  <c r="N293"/>
  <c r="E293"/>
  <c r="L292"/>
  <c r="N292"/>
  <c r="E292"/>
  <c r="E291"/>
  <c r="L291"/>
  <c r="F270"/>
  <c r="F265"/>
  <c r="E270"/>
  <c r="F269"/>
  <c r="F268"/>
  <c r="F267"/>
  <c r="E267"/>
  <c r="F266"/>
  <c r="E266"/>
  <c r="E263"/>
  <c r="L251"/>
  <c r="J251"/>
  <c r="J248"/>
  <c r="J249"/>
  <c r="J250"/>
  <c r="J252"/>
  <c r="J253"/>
  <c r="J244"/>
  <c r="J245"/>
  <c r="J246"/>
  <c r="J247"/>
  <c r="J254"/>
  <c r="J255"/>
  <c r="J243"/>
  <c r="N291"/>
  <c r="G53" i="6"/>
  <c r="H53"/>
  <c r="G51"/>
  <c r="H51"/>
  <c r="G49"/>
  <c r="H49"/>
  <c r="G48"/>
  <c r="H48"/>
  <c r="G47"/>
  <c r="H47"/>
  <c r="G56"/>
  <c r="H56"/>
  <c r="G55"/>
  <c r="H55"/>
  <c r="G54"/>
  <c r="H54"/>
  <c r="G52"/>
  <c r="H52"/>
  <c r="G50"/>
  <c r="G58"/>
  <c r="H50"/>
  <c r="H58"/>
  <c r="F79" i="1"/>
  <c r="H79" s="1"/>
  <c r="F80"/>
  <c r="H80" s="1"/>
  <c r="F81"/>
  <c r="H81" s="1"/>
  <c r="F82"/>
  <c r="H82" s="1"/>
  <c r="F83"/>
  <c r="H83" s="1"/>
  <c r="F78"/>
  <c r="H78" s="1"/>
  <c r="A244" i="5"/>
  <c r="A245"/>
  <c r="A246"/>
  <c r="A247"/>
  <c r="A248"/>
  <c r="A249"/>
  <c r="A250"/>
  <c r="A251"/>
  <c r="A252"/>
  <c r="A253"/>
  <c r="A243"/>
  <c r="N256"/>
  <c r="L256"/>
  <c r="L254"/>
  <c r="L253"/>
  <c r="E252"/>
  <c r="L252"/>
  <c r="E251"/>
  <c r="L250"/>
  <c r="E250"/>
  <c r="L249"/>
  <c r="E249"/>
  <c r="L248"/>
  <c r="E248"/>
  <c r="L247"/>
  <c r="E247"/>
  <c r="L246"/>
  <c r="E246"/>
  <c r="L245"/>
  <c r="E245"/>
  <c r="L244"/>
  <c r="E244"/>
  <c r="L243"/>
  <c r="E243"/>
  <c r="H77" i="1"/>
  <c r="H76"/>
  <c r="H75"/>
  <c r="H74"/>
  <c r="H73"/>
  <c r="H72"/>
  <c r="G34" i="6"/>
  <c r="H34"/>
  <c r="G31"/>
  <c r="H31"/>
  <c r="G32"/>
  <c r="H32"/>
  <c r="G33"/>
  <c r="H33"/>
  <c r="G30"/>
  <c r="H30"/>
  <c r="G29"/>
  <c r="H29"/>
  <c r="G28"/>
  <c r="H28"/>
  <c r="G27"/>
  <c r="H27"/>
  <c r="G26"/>
  <c r="H26"/>
  <c r="G25"/>
  <c r="H25"/>
  <c r="G24"/>
  <c r="G36"/>
  <c r="H24"/>
  <c r="H36"/>
  <c r="H61" i="1"/>
  <c r="H60"/>
  <c r="H59"/>
  <c r="H58"/>
  <c r="F234" i="5"/>
  <c r="F232"/>
  <c r="A211"/>
  <c r="A212"/>
  <c r="A213"/>
  <c r="A214"/>
  <c r="A215"/>
  <c r="A216"/>
  <c r="A217"/>
  <c r="A218"/>
  <c r="E234"/>
  <c r="F233"/>
  <c r="F231"/>
  <c r="E231"/>
  <c r="F230"/>
  <c r="E230"/>
  <c r="F228"/>
  <c r="E227"/>
  <c r="G13" i="6"/>
  <c r="H13"/>
  <c r="G4"/>
  <c r="H4"/>
  <c r="G5"/>
  <c r="H5"/>
  <c r="G6"/>
  <c r="H6"/>
  <c r="G7"/>
  <c r="H7"/>
  <c r="G8"/>
  <c r="H8"/>
  <c r="G9"/>
  <c r="H9"/>
  <c r="G10"/>
  <c r="H10"/>
  <c r="G11"/>
  <c r="H11"/>
  <c r="G12"/>
  <c r="H12"/>
  <c r="G15"/>
  <c r="H15"/>
  <c r="N220" i="5"/>
  <c r="K218"/>
  <c r="K222" s="1"/>
  <c r="N209"/>
  <c r="N210"/>
  <c r="N208"/>
  <c r="J212"/>
  <c r="J213"/>
  <c r="J214"/>
  <c r="J215"/>
  <c r="J216"/>
  <c r="J217"/>
  <c r="J218"/>
  <c r="N219"/>
  <c r="L218"/>
  <c r="L217"/>
  <c r="L216"/>
  <c r="L215"/>
  <c r="L214"/>
  <c r="L213"/>
  <c r="L212"/>
  <c r="L211"/>
  <c r="J211"/>
  <c r="L219"/>
  <c r="L220"/>
  <c r="L210"/>
  <c r="L209"/>
  <c r="L208"/>
  <c r="A209"/>
  <c r="A210"/>
  <c r="A208"/>
  <c r="H69" i="1"/>
  <c r="H70"/>
  <c r="H71"/>
  <c r="H65"/>
  <c r="H64"/>
  <c r="H63"/>
  <c r="H62"/>
  <c r="H57"/>
  <c r="H56"/>
  <c r="H55"/>
  <c r="F181" i="5"/>
  <c r="E166"/>
  <c r="E165"/>
  <c r="E164"/>
  <c r="A165"/>
  <c r="A166"/>
  <c r="A167"/>
  <c r="I194"/>
  <c r="F194" s="1"/>
  <c r="F196"/>
  <c r="F191"/>
  <c r="E197"/>
  <c r="F195"/>
  <c r="E195"/>
  <c r="E194"/>
  <c r="E189"/>
  <c r="A154"/>
  <c r="A155"/>
  <c r="A156"/>
  <c r="A157"/>
  <c r="A158"/>
  <c r="A159"/>
  <c r="A160"/>
  <c r="A161"/>
  <c r="A162"/>
  <c r="A163"/>
  <c r="A164"/>
  <c r="A153"/>
  <c r="K171"/>
  <c r="L171" s="1"/>
  <c r="J171"/>
  <c r="J170"/>
  <c r="J169"/>
  <c r="J168"/>
  <c r="J167"/>
  <c r="J166"/>
  <c r="J165"/>
  <c r="J164"/>
  <c r="L165"/>
  <c r="L166"/>
  <c r="L167"/>
  <c r="L168"/>
  <c r="L169"/>
  <c r="L170"/>
  <c r="H54" i="1"/>
  <c r="H66"/>
  <c r="H67"/>
  <c r="H68"/>
  <c r="D157" i="5"/>
  <c r="E157" s="1"/>
  <c r="L164"/>
  <c r="E217"/>
  <c r="E216"/>
  <c r="E215"/>
  <c r="E214"/>
  <c r="E213"/>
  <c r="E212"/>
  <c r="E211"/>
  <c r="E210"/>
  <c r="E209"/>
  <c r="E208"/>
  <c r="K159"/>
  <c r="L159" s="1"/>
  <c r="L163"/>
  <c r="J163"/>
  <c r="L162"/>
  <c r="J162"/>
  <c r="N162" s="1"/>
  <c r="L161"/>
  <c r="J161"/>
  <c r="L160"/>
  <c r="J160"/>
  <c r="J159"/>
  <c r="K122"/>
  <c r="L122" s="1"/>
  <c r="I184"/>
  <c r="E182"/>
  <c r="E181"/>
  <c r="F180"/>
  <c r="E180"/>
  <c r="E178"/>
  <c r="H50" i="1"/>
  <c r="H49"/>
  <c r="H48"/>
  <c r="H45"/>
  <c r="H44"/>
  <c r="H43"/>
  <c r="I147" i="5"/>
  <c r="E145"/>
  <c r="F144"/>
  <c r="E144"/>
  <c r="F143"/>
  <c r="E143"/>
  <c r="F142"/>
  <c r="E142"/>
  <c r="E140"/>
  <c r="D112"/>
  <c r="J115"/>
  <c r="J116"/>
  <c r="J117"/>
  <c r="J118"/>
  <c r="L118"/>
  <c r="J119"/>
  <c r="L119"/>
  <c r="J120"/>
  <c r="N120" s="1"/>
  <c r="L120"/>
  <c r="J121"/>
  <c r="L121"/>
  <c r="J122"/>
  <c r="L117"/>
  <c r="L158"/>
  <c r="J158"/>
  <c r="L157"/>
  <c r="J157"/>
  <c r="L156"/>
  <c r="J156"/>
  <c r="N156" s="1"/>
  <c r="L155"/>
  <c r="J155"/>
  <c r="L154"/>
  <c r="J154"/>
  <c r="L153"/>
  <c r="J153"/>
  <c r="L116"/>
  <c r="N116" s="1"/>
  <c r="L115"/>
  <c r="J113"/>
  <c r="J114"/>
  <c r="J112"/>
  <c r="C108"/>
  <c r="K111"/>
  <c r="L111" s="1"/>
  <c r="L114"/>
  <c r="L113"/>
  <c r="L112"/>
  <c r="E163"/>
  <c r="E162"/>
  <c r="E161"/>
  <c r="D160"/>
  <c r="E160" s="1"/>
  <c r="E159"/>
  <c r="E158"/>
  <c r="E156"/>
  <c r="E155"/>
  <c r="E154"/>
  <c r="E153"/>
  <c r="D115"/>
  <c r="F132"/>
  <c r="F100"/>
  <c r="F130"/>
  <c r="E135"/>
  <c r="F134"/>
  <c r="E134"/>
  <c r="F133"/>
  <c r="E133"/>
  <c r="E132"/>
  <c r="E129"/>
  <c r="L31" i="2"/>
  <c r="K31"/>
  <c r="E95" i="5"/>
  <c r="I98"/>
  <c r="I100" s="1"/>
  <c r="E97"/>
  <c r="A59"/>
  <c r="A60"/>
  <c r="A61"/>
  <c r="A62"/>
  <c r="A63"/>
  <c r="A64"/>
  <c r="A65"/>
  <c r="A66"/>
  <c r="A67"/>
  <c r="A68"/>
  <c r="A69"/>
  <c r="A70"/>
  <c r="A58"/>
  <c r="E98"/>
  <c r="E96"/>
  <c r="E93"/>
  <c r="F87"/>
  <c r="H42" i="1"/>
  <c r="H41"/>
  <c r="H40"/>
  <c r="H39"/>
  <c r="E87" i="5"/>
  <c r="E88"/>
  <c r="E86"/>
  <c r="E25"/>
  <c r="J111"/>
  <c r="L110"/>
  <c r="J110"/>
  <c r="L109"/>
  <c r="J109"/>
  <c r="L108"/>
  <c r="J108"/>
  <c r="K70"/>
  <c r="L70" s="1"/>
  <c r="J70"/>
  <c r="L69"/>
  <c r="J69"/>
  <c r="K68"/>
  <c r="L68" s="1"/>
  <c r="J68"/>
  <c r="L67"/>
  <c r="J67"/>
  <c r="L66"/>
  <c r="J66"/>
  <c r="L65"/>
  <c r="J65"/>
  <c r="L64"/>
  <c r="J64"/>
  <c r="K63"/>
  <c r="L63" s="1"/>
  <c r="C58"/>
  <c r="E58" s="1"/>
  <c r="J25"/>
  <c r="J26"/>
  <c r="J36"/>
  <c r="J37"/>
  <c r="J38"/>
  <c r="J39"/>
  <c r="J40"/>
  <c r="J41"/>
  <c r="J42"/>
  <c r="J43"/>
  <c r="J44"/>
  <c r="J45"/>
  <c r="J46"/>
  <c r="J47"/>
  <c r="J48"/>
  <c r="J49"/>
  <c r="J59"/>
  <c r="J60"/>
  <c r="J61"/>
  <c r="J62"/>
  <c r="J63"/>
  <c r="J58"/>
  <c r="J35"/>
  <c r="J24"/>
  <c r="J5"/>
  <c r="N5" s="1"/>
  <c r="J6"/>
  <c r="N6" s="1"/>
  <c r="J7"/>
  <c r="N7" s="1"/>
  <c r="N8"/>
  <c r="J9"/>
  <c r="N9" s="1"/>
  <c r="J10"/>
  <c r="N10" s="1"/>
  <c r="J11"/>
  <c r="N11" s="1"/>
  <c r="J12"/>
  <c r="N12" s="1"/>
  <c r="J13"/>
  <c r="N13" s="1"/>
  <c r="J14"/>
  <c r="N14" s="1"/>
  <c r="J15"/>
  <c r="N15" s="1"/>
  <c r="J4"/>
  <c r="N4" s="1"/>
  <c r="K17"/>
  <c r="L9"/>
  <c r="L8"/>
  <c r="L7"/>
  <c r="L6"/>
  <c r="L5"/>
  <c r="L4"/>
  <c r="A109"/>
  <c r="A110"/>
  <c r="A111"/>
  <c r="A112"/>
  <c r="A113"/>
  <c r="A114"/>
  <c r="A115"/>
  <c r="A116"/>
  <c r="A117"/>
  <c r="A118"/>
  <c r="A119"/>
  <c r="A108"/>
  <c r="A36"/>
  <c r="A37"/>
  <c r="A38"/>
  <c r="A39"/>
  <c r="A40"/>
  <c r="A41"/>
  <c r="A42"/>
  <c r="A43"/>
  <c r="A44"/>
  <c r="A45"/>
  <c r="A46"/>
  <c r="A35"/>
  <c r="K124"/>
  <c r="K58"/>
  <c r="L58" s="1"/>
  <c r="L49"/>
  <c r="L48"/>
  <c r="N48" s="1"/>
  <c r="L47"/>
  <c r="L46"/>
  <c r="L45"/>
  <c r="E118"/>
  <c r="E117"/>
  <c r="E116"/>
  <c r="E115"/>
  <c r="E114"/>
  <c r="E113"/>
  <c r="E112"/>
  <c r="E111"/>
  <c r="E110"/>
  <c r="E109"/>
  <c r="E108"/>
  <c r="L40"/>
  <c r="L39"/>
  <c r="N39" s="1"/>
  <c r="L38"/>
  <c r="L37"/>
  <c r="L36"/>
  <c r="L35"/>
  <c r="L41"/>
  <c r="L42"/>
  <c r="L43"/>
  <c r="N43" s="1"/>
  <c r="L44"/>
  <c r="L26"/>
  <c r="L25"/>
  <c r="K24"/>
  <c r="L24" s="1"/>
  <c r="E68"/>
  <c r="E67"/>
  <c r="E66"/>
  <c r="D65"/>
  <c r="E65" s="1"/>
  <c r="E64"/>
  <c r="E63"/>
  <c r="L62"/>
  <c r="E62"/>
  <c r="L61"/>
  <c r="E61"/>
  <c r="L60"/>
  <c r="E60"/>
  <c r="L59"/>
  <c r="E59"/>
  <c r="K51"/>
  <c r="A25"/>
  <c r="A26"/>
  <c r="A24"/>
  <c r="A6"/>
  <c r="A7"/>
  <c r="A8"/>
  <c r="A9"/>
  <c r="A10"/>
  <c r="A11"/>
  <c r="A12"/>
  <c r="A13"/>
  <c r="A14"/>
  <c r="A15"/>
  <c r="E44"/>
  <c r="E13"/>
  <c r="E14"/>
  <c r="E15"/>
  <c r="C35"/>
  <c r="E35" s="1"/>
  <c r="E45"/>
  <c r="E43"/>
  <c r="D42"/>
  <c r="E42" s="1"/>
  <c r="E41"/>
  <c r="E40"/>
  <c r="E39"/>
  <c r="E38"/>
  <c r="E37"/>
  <c r="E36"/>
  <c r="D12"/>
  <c r="E12" s="1"/>
  <c r="E11"/>
  <c r="E10"/>
  <c r="E9"/>
  <c r="E8"/>
  <c r="E7"/>
  <c r="E6"/>
  <c r="E5"/>
  <c r="A5"/>
  <c r="E4"/>
  <c r="A4"/>
  <c r="H34" i="1"/>
  <c r="H33"/>
  <c r="H32"/>
  <c r="H31"/>
  <c r="H30"/>
  <c r="F41" i="2"/>
  <c r="E40"/>
  <c r="E39"/>
  <c r="E38"/>
  <c r="E37"/>
  <c r="N30"/>
  <c r="J29"/>
  <c r="N29"/>
  <c r="J28"/>
  <c r="N28"/>
  <c r="J27"/>
  <c r="N27"/>
  <c r="J26"/>
  <c r="N26"/>
  <c r="E26"/>
  <c r="J25"/>
  <c r="N25"/>
  <c r="D25"/>
  <c r="E25"/>
  <c r="A25"/>
  <c r="J24"/>
  <c r="N24"/>
  <c r="E24"/>
  <c r="A24"/>
  <c r="J23"/>
  <c r="N23"/>
  <c r="E23"/>
  <c r="A23"/>
  <c r="J22"/>
  <c r="N22"/>
  <c r="E22"/>
  <c r="A22"/>
  <c r="J21"/>
  <c r="N21"/>
  <c r="E21"/>
  <c r="A21"/>
  <c r="J20"/>
  <c r="N20"/>
  <c r="E20"/>
  <c r="A20"/>
  <c r="J19"/>
  <c r="N19"/>
  <c r="E19"/>
  <c r="A19"/>
  <c r="J18"/>
  <c r="N18"/>
  <c r="C18"/>
  <c r="E18"/>
  <c r="A18"/>
  <c r="F15"/>
  <c r="C15"/>
  <c r="E11"/>
  <c r="E10"/>
  <c r="F9"/>
  <c r="C36"/>
  <c r="E36"/>
  <c r="C9"/>
  <c r="E5"/>
  <c r="E9"/>
  <c r="H38" i="1"/>
  <c r="H37"/>
  <c r="A26"/>
  <c r="H25"/>
  <c r="H24"/>
  <c r="H23"/>
  <c r="H22"/>
  <c r="H19"/>
  <c r="I19" s="1"/>
  <c r="K19" s="1"/>
  <c r="E15" i="2"/>
  <c r="E41"/>
  <c r="F43"/>
  <c r="N31"/>
  <c r="E28"/>
  <c r="C27"/>
  <c r="E27"/>
  <c r="E31"/>
  <c r="E33"/>
  <c r="I137" i="5"/>
  <c r="I78" i="1" l="1"/>
  <c r="K78" s="1"/>
  <c r="F147" i="5"/>
  <c r="M365"/>
  <c r="K258"/>
  <c r="N310"/>
  <c r="L396"/>
  <c r="K173"/>
  <c r="L255"/>
  <c r="N335"/>
  <c r="N393"/>
  <c r="E90"/>
  <c r="K313"/>
  <c r="N333"/>
  <c r="N35"/>
  <c r="E352"/>
  <c r="N388"/>
  <c r="F137"/>
  <c r="N118"/>
  <c r="N163"/>
  <c r="N372"/>
  <c r="N247"/>
  <c r="L343"/>
  <c r="N334"/>
  <c r="N331"/>
  <c r="E324"/>
  <c r="N37"/>
  <c r="N114"/>
  <c r="N253"/>
  <c r="K387"/>
  <c r="N378"/>
  <c r="N370"/>
  <c r="N366"/>
  <c r="N60"/>
  <c r="N62"/>
  <c r="N44"/>
  <c r="N47"/>
  <c r="N69"/>
  <c r="N108"/>
  <c r="N111"/>
  <c r="N155"/>
  <c r="N122"/>
  <c r="N254"/>
  <c r="N251"/>
  <c r="F272"/>
  <c r="F352"/>
  <c r="N385"/>
  <c r="N301"/>
  <c r="N304"/>
  <c r="N45"/>
  <c r="N65"/>
  <c r="N213"/>
  <c r="N361"/>
  <c r="M394"/>
  <c r="N390"/>
  <c r="E420"/>
  <c r="F184"/>
  <c r="I39" i="1"/>
  <c r="K39" s="1"/>
  <c r="I29"/>
  <c r="K29" s="1"/>
  <c r="I22"/>
  <c r="K22" s="1"/>
  <c r="I24"/>
  <c r="K24" s="1"/>
  <c r="K26"/>
  <c r="I37"/>
  <c r="K37" s="1"/>
  <c r="I54"/>
  <c r="K54" s="1"/>
  <c r="I64"/>
  <c r="K64" s="1"/>
  <c r="I98"/>
  <c r="K98" s="1"/>
  <c r="I86"/>
  <c r="K86" s="1"/>
  <c r="I68"/>
  <c r="K68" s="1"/>
  <c r="F103"/>
  <c r="I62"/>
  <c r="K62" s="1"/>
  <c r="I58"/>
  <c r="K58" s="1"/>
  <c r="I72"/>
  <c r="K72" s="1"/>
  <c r="I33"/>
  <c r="K33" s="1"/>
  <c r="I43"/>
  <c r="K43" s="1"/>
  <c r="I48"/>
  <c r="K48" s="1"/>
  <c r="I80"/>
  <c r="K80" s="1"/>
  <c r="I92"/>
  <c r="K92" s="1"/>
  <c r="N59" i="5"/>
  <c r="N63"/>
  <c r="N25"/>
  <c r="N70"/>
  <c r="L222"/>
  <c r="E236"/>
  <c r="N244"/>
  <c r="N246"/>
  <c r="N248"/>
  <c r="N42"/>
  <c r="E184"/>
  <c r="N169"/>
  <c r="N376"/>
  <c r="E137"/>
  <c r="N157"/>
  <c r="N363"/>
  <c r="N306"/>
  <c r="N364"/>
  <c r="N26"/>
  <c r="N49"/>
  <c r="N115"/>
  <c r="E408"/>
  <c r="N374"/>
  <c r="N298"/>
  <c r="N66"/>
  <c r="N68"/>
  <c r="L124"/>
  <c r="N211"/>
  <c r="F236"/>
  <c r="N311"/>
  <c r="N159"/>
  <c r="N252"/>
  <c r="N375"/>
  <c r="N367"/>
  <c r="N117"/>
  <c r="N380"/>
  <c r="N299"/>
  <c r="N305"/>
  <c r="N392"/>
  <c r="N389"/>
  <c r="K73"/>
  <c r="N113"/>
  <c r="N119"/>
  <c r="E147"/>
  <c r="N216"/>
  <c r="N382"/>
  <c r="F420"/>
  <c r="N391"/>
  <c r="F199"/>
  <c r="N215"/>
  <c r="F324"/>
  <c r="N295"/>
  <c r="N297"/>
  <c r="N300"/>
  <c r="N302"/>
  <c r="N368"/>
  <c r="N64"/>
  <c r="E100"/>
  <c r="N161"/>
  <c r="N167"/>
  <c r="N165"/>
  <c r="N255"/>
  <c r="N250"/>
  <c r="F281"/>
  <c r="N308"/>
  <c r="F442"/>
  <c r="I444" s="1"/>
  <c r="E17"/>
  <c r="E19" s="1"/>
  <c r="N164"/>
  <c r="N249"/>
  <c r="L313"/>
  <c r="E281"/>
  <c r="L387"/>
  <c r="L28"/>
  <c r="C24" s="1"/>
  <c r="E24" s="1"/>
  <c r="N67"/>
  <c r="N109"/>
  <c r="N166"/>
  <c r="N218"/>
  <c r="L258"/>
  <c r="E272"/>
  <c r="I431"/>
  <c r="N158"/>
  <c r="N121"/>
  <c r="N170"/>
  <c r="N294"/>
  <c r="N296"/>
  <c r="N381"/>
  <c r="N377"/>
  <c r="N373"/>
  <c r="N61"/>
  <c r="N40"/>
  <c r="N110"/>
  <c r="N112"/>
  <c r="N154"/>
  <c r="N160"/>
  <c r="N214"/>
  <c r="N243"/>
  <c r="N245"/>
  <c r="N384"/>
  <c r="N153"/>
  <c r="N168"/>
  <c r="N217"/>
  <c r="N383"/>
  <c r="N379"/>
  <c r="N371"/>
  <c r="N46"/>
  <c r="N212"/>
  <c r="N309"/>
  <c r="N307"/>
  <c r="N303"/>
  <c r="N17"/>
  <c r="E78"/>
  <c r="N38"/>
  <c r="K28"/>
  <c r="N24"/>
  <c r="N41"/>
  <c r="N369"/>
  <c r="L73"/>
  <c r="L51"/>
  <c r="L17"/>
  <c r="N36"/>
  <c r="N171"/>
  <c r="L173"/>
  <c r="N58"/>
  <c r="N396"/>
  <c r="N362"/>
  <c r="E190"/>
  <c r="E199" s="1"/>
  <c r="N343" l="1"/>
  <c r="E341" s="1"/>
  <c r="E343" s="1"/>
  <c r="I348" s="1"/>
  <c r="I352" s="1"/>
  <c r="I186"/>
  <c r="N28"/>
  <c r="E26" s="1"/>
  <c r="E28" s="1"/>
  <c r="E30" s="1"/>
  <c r="K103" i="1"/>
  <c r="I103"/>
  <c r="N258" i="5"/>
  <c r="E253" s="1"/>
  <c r="E258" s="1"/>
  <c r="E260" s="1"/>
  <c r="N51"/>
  <c r="E46" s="1"/>
  <c r="E51" s="1"/>
  <c r="E80" s="1"/>
  <c r="N124"/>
  <c r="E119" s="1"/>
  <c r="E124" s="1"/>
  <c r="E126" s="1"/>
  <c r="N222"/>
  <c r="E218" s="1"/>
  <c r="E222" s="1"/>
  <c r="E224" s="1"/>
  <c r="N313"/>
  <c r="E301" s="1"/>
  <c r="E313" s="1"/>
  <c r="I318" s="1"/>
  <c r="I324" s="1"/>
  <c r="N173"/>
  <c r="E167" s="1"/>
  <c r="E173" s="1"/>
  <c r="E175" s="1"/>
  <c r="N387"/>
  <c r="I404" s="1"/>
  <c r="I408" s="1"/>
  <c r="N73"/>
  <c r="E69" s="1"/>
  <c r="E73" s="1"/>
  <c r="E75" s="1"/>
  <c r="I264" l="1"/>
  <c r="I272" s="1"/>
  <c r="E53"/>
  <c r="I229"/>
  <c r="I236" s="1"/>
  <c r="E79"/>
  <c r="I192"/>
  <c r="I199" s="1"/>
  <c r="E81"/>
  <c r="E83" l="1"/>
  <c r="I84" s="1"/>
  <c r="F88" s="1"/>
  <c r="F90" s="1"/>
  <c r="I88" l="1"/>
  <c r="I90" s="1"/>
</calcChain>
</file>

<file path=xl/sharedStrings.xml><?xml version="1.0" encoding="utf-8"?>
<sst xmlns="http://schemas.openxmlformats.org/spreadsheetml/2006/main" count="1581" uniqueCount="524">
  <si>
    <t>STT</t>
  </si>
  <si>
    <t>NGÀY XUẤT</t>
  </si>
  <si>
    <t>THÔNG TIN TÀU</t>
  </si>
  <si>
    <t>THANH TOÁN</t>
  </si>
  <si>
    <t>TÊN TÀU</t>
  </si>
  <si>
    <t>SỐ CONT</t>
  </si>
  <si>
    <t>SỐ SEAL</t>
  </si>
  <si>
    <t>SỐ LƯỢNG</t>
  </si>
  <si>
    <t>ĐƠN GIÁ</t>
  </si>
  <si>
    <t>THÀNH TIỀN</t>
  </si>
  <si>
    <t>BOMAR HANBURG V.1606 N</t>
  </si>
  <si>
    <t>TCLU1061797</t>
  </si>
  <si>
    <t>DFOU6114545</t>
  </si>
  <si>
    <t>DELOS WAVE V.1607N</t>
  </si>
  <si>
    <t>TRIU8795930</t>
  </si>
  <si>
    <t>TGHU9974981</t>
  </si>
  <si>
    <t>PHILIPPOS - MICHALIS/21N</t>
  </si>
  <si>
    <t>ZCSU5973547</t>
  </si>
  <si>
    <t>ZCSU5131045</t>
  </si>
  <si>
    <t>TỔNG CỘNG</t>
  </si>
  <si>
    <t>CHI PHÍ XUAÁT HAØNG - CAÙ CÔM - SHOUSHAN (Cont 1,2,3,4 - 05&amp;12/08/16)</t>
  </si>
  <si>
    <t>NỘI DUNG</t>
  </si>
  <si>
    <t>THÀNH TIỀN USD</t>
  </si>
  <si>
    <t>TỜ KHAI (lần 1): 05/08/16</t>
  </si>
  <si>
    <t>Cá cơm khô</t>
  </si>
  <si>
    <t>THANH TOÁN:</t>
  </si>
  <si>
    <t>14/09/16 Chuyển NH</t>
  </si>
  <si>
    <t>TỔNG</t>
  </si>
  <si>
    <t>TỜ KHAI (lần 2): 12/08/16</t>
  </si>
  <si>
    <t>Phí lưu kho:</t>
  </si>
  <si>
    <t>Ngày nhập</t>
  </si>
  <si>
    <t>Ngày xuất</t>
  </si>
  <si>
    <t>Số ngày LK</t>
  </si>
  <si>
    <t>SL</t>
  </si>
  <si>
    <t>ĐƠN GIÁ tấn/ngày</t>
  </si>
  <si>
    <t>Tiền Code AL</t>
  </si>
  <si>
    <t>Cá cơm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</si>
  <si>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</si>
  <si>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</si>
  <si>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</si>
  <si>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</si>
  <si>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</si>
  <si>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</si>
  <si>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Phí chuyển Bill Surrender</t>
  </si>
  <si>
    <t>Phí gửi bộ chứng từ qua Trung Quốc</t>
  </si>
  <si>
    <t>Phí bốc xếp</t>
  </si>
  <si>
    <t>Phi lưu kho</t>
  </si>
  <si>
    <t>Phí chuyển tiền ngân hàng 14/09/16</t>
  </si>
  <si>
    <t>TỔNG CỘNG CHI PHÍ</t>
  </si>
  <si>
    <t>VNĐ/Kg =</t>
  </si>
  <si>
    <t>TIỀN (USD)</t>
  </si>
  <si>
    <t>TỶ GIÁ</t>
  </si>
  <si>
    <t>CHUYỀN KHOẢN</t>
  </si>
  <si>
    <t>Tiền hàng</t>
  </si>
  <si>
    <t>Bùi Thị Diện</t>
  </si>
  <si>
    <t>Nguyễn Đình Nguyên</t>
  </si>
  <si>
    <t>Hồ Thiên Trang</t>
  </si>
  <si>
    <t>TỔNG CỘNG:</t>
  </si>
  <si>
    <t>CÒN LẠI CHI PHÍ:</t>
  </si>
  <si>
    <t>ZGLV143938</t>
  </si>
  <si>
    <t>ZGLV141257</t>
  </si>
  <si>
    <t>SITC GUANGDONG V.1619N</t>
  </si>
  <si>
    <t>SEGU9328936</t>
  </si>
  <si>
    <t>SEGU9359310</t>
  </si>
  <si>
    <t>SITB507533</t>
  </si>
  <si>
    <t>SITB507572</t>
  </si>
  <si>
    <t>IRENES RESPECT V.1609N</t>
  </si>
  <si>
    <t>TEMU9320269</t>
  </si>
  <si>
    <t>SZLU9682820</t>
  </si>
  <si>
    <t>CBHU2825846</t>
  </si>
  <si>
    <t>SXRU1634108</t>
  </si>
  <si>
    <t>ZCSU5968828</t>
  </si>
  <si>
    <t>ZCSU5826783</t>
  </si>
  <si>
    <t>A-174340</t>
  </si>
  <si>
    <t>A-174266</t>
  </si>
  <si>
    <t>Tiền tàu (container : 750USD)</t>
  </si>
  <si>
    <t>Phí xe kéo cont nâng hạ (Bình Thuận)</t>
  </si>
  <si>
    <t>CHI PHÍ XUAÁT HAØNG - CAÙ CÔM - SHOUSHAN (Cont 5,6 - 19/10/16)</t>
  </si>
  <si>
    <t>CHI PHÍ XUAÁT HAØNG - CAÙ CÔM - SHOUSHAN (Cont 7,8,9,10,11,12 - 31/10/16 &amp; 04/11/16)</t>
  </si>
  <si>
    <t>Dán ticker, xếp lên cont</t>
  </si>
  <si>
    <t>Bình Thuận</t>
  </si>
  <si>
    <t>Toàn Phát</t>
  </si>
  <si>
    <t>GHI CHÚ</t>
  </si>
  <si>
    <t>SỐ THÙNG</t>
  </si>
  <si>
    <t>94C-00277</t>
  </si>
  <si>
    <t>69L-6793</t>
  </si>
  <si>
    <t>69C-02647</t>
  </si>
  <si>
    <t>69C-02782</t>
  </si>
  <si>
    <t>69C-00752</t>
  </si>
  <si>
    <t>51C-75246</t>
  </si>
  <si>
    <t>69C-02297</t>
  </si>
  <si>
    <t>69C-00957</t>
  </si>
  <si>
    <t>69L-6765</t>
  </si>
  <si>
    <t>69C-01442</t>
  </si>
  <si>
    <t>69C-01528</t>
  </si>
  <si>
    <t>67C-01213</t>
  </si>
  <si>
    <t>60C-27648</t>
  </si>
  <si>
    <t>CHI PHÍ XUAÁT HAØNG - CAÙ CÔM - SHOUSHAN (Cont đi xe - 31/10/16)</t>
  </si>
  <si>
    <t>69C-00897</t>
  </si>
  <si>
    <t>36C-12732</t>
  </si>
  <si>
    <t>67L-4549</t>
  </si>
  <si>
    <t>69C-01066</t>
  </si>
  <si>
    <t>69C-6793</t>
  </si>
  <si>
    <t>DIỄN GIẢI</t>
  </si>
  <si>
    <t>51C-70788</t>
  </si>
  <si>
    <t>Kho Toàn Phát (10T)</t>
  </si>
  <si>
    <t>ĐG tấn/ngày</t>
  </si>
  <si>
    <t>Phí xe kéo cont nâng hạ (Toàn Phát)</t>
  </si>
  <si>
    <t>An Lạc</t>
  </si>
  <si>
    <t>CHI PHÍ XUAÁT HAØNG - CAÙ CÔM - SHOUSHAN (Cont 13,14,15,16 - 08,10&amp;11/11/16)</t>
  </si>
  <si>
    <t>Phơi lại kiểm Nafi (13T)</t>
  </si>
  <si>
    <t>Kiểm Nafi</t>
  </si>
  <si>
    <t>Tiền hàng 11/11/16</t>
  </si>
  <si>
    <t>Chi phí xuất hàng  (Cont 5,6 - 19/10/16)</t>
  </si>
  <si>
    <t>Chi phí xuất hàng (Cont đi xe - 31/10/16)</t>
  </si>
  <si>
    <t>Chi phí xuất hàng (Cont 7,8,9,10,11,12 - 31/10/16 &amp; 04/11/16)</t>
  </si>
  <si>
    <t>Chi phí xuất hàng (Cont 13,14,15,16 - 08,10&amp;11/11/16)</t>
  </si>
  <si>
    <t>PHÍ CHUYỂN TIỀN</t>
  </si>
  <si>
    <t>Trả lại (04/11/16)</t>
  </si>
  <si>
    <t>69C-02742</t>
  </si>
  <si>
    <t>51C-60420</t>
  </si>
  <si>
    <t>64C-03511</t>
  </si>
  <si>
    <t>xếp lên cont, mặt bằng</t>
  </si>
  <si>
    <t>Phí báo có tiền về ngân hàng</t>
  </si>
  <si>
    <t>69C-02564</t>
  </si>
  <si>
    <t>64C-02737</t>
  </si>
  <si>
    <t>64C-01518</t>
  </si>
  <si>
    <t>64C-02411</t>
  </si>
  <si>
    <t>Trả lại</t>
  </si>
  <si>
    <t>Tiền hàng 15/11/16</t>
  </si>
  <si>
    <t>Phí rút tiền, chuyển khoản</t>
  </si>
  <si>
    <t>Nguyễn Văn Quốc</t>
  </si>
  <si>
    <t>CXRU1370962</t>
  </si>
  <si>
    <t>TTNU8197846</t>
  </si>
  <si>
    <t>TRTU8199653</t>
  </si>
  <si>
    <t>JXLU5823167</t>
  </si>
  <si>
    <t>ZGL-V149756</t>
  </si>
  <si>
    <t>ZGL-V149757</t>
  </si>
  <si>
    <t>CXRU1486417</t>
  </si>
  <si>
    <t>TCLU1062134</t>
  </si>
  <si>
    <t>DELOS WAVE V.1610N</t>
  </si>
  <si>
    <t>Tiền hàng 22/11/16</t>
  </si>
  <si>
    <t>DNTN Hải Sản Kim Châu</t>
  </si>
  <si>
    <t>Phí tính dư lần trước 15/11/16</t>
  </si>
  <si>
    <t>60C-07761</t>
  </si>
  <si>
    <t>51C-09189</t>
  </si>
  <si>
    <t>60C-27791</t>
  </si>
  <si>
    <t>CHI PHÍ XUAÁT HAØNG - CAÙ CÔM - SHOUSHAN (Cont 17,18,19,20,21,22,23,24 - 16,17,24&amp;25/11/16)</t>
  </si>
  <si>
    <t>Xuất (A.Mạnh)</t>
  </si>
  <si>
    <t>Thái Tuyết Xương</t>
  </si>
  <si>
    <t>Nguyễn Văn Minh Trí</t>
  </si>
  <si>
    <t>Tiền hàng 25/11/16</t>
  </si>
  <si>
    <t>DNTN THỦY ĐỒNG</t>
  </si>
  <si>
    <t>DNTN THỦY SẢN PHƯƠNG MAI</t>
  </si>
  <si>
    <t>BOMAR HAMBURG V.1610N</t>
  </si>
  <si>
    <t>CXRU1491157</t>
  </si>
  <si>
    <t>SZLU9220415</t>
  </si>
  <si>
    <t>CXRU1367969</t>
  </si>
  <si>
    <t>TRIU8696562</t>
  </si>
  <si>
    <t>AA414494</t>
  </si>
  <si>
    <t>AA414410</t>
  </si>
  <si>
    <t>AA414474</t>
  </si>
  <si>
    <t>AA414471</t>
  </si>
  <si>
    <t>An Lạc (LAGI)</t>
  </si>
  <si>
    <t>SAO PAULO V.07/N</t>
  </si>
  <si>
    <t>NORTHERN VIVACITY V.16011N</t>
  </si>
  <si>
    <t>PHILIPPOS - MICHALIS V.22/N</t>
  </si>
  <si>
    <t>PHILIPPOS - MICHALIS V.23/N</t>
  </si>
  <si>
    <t>ZMOU8810620</t>
  </si>
  <si>
    <t>ZMOU8817076</t>
  </si>
  <si>
    <t>ZCSU5827521</t>
  </si>
  <si>
    <t>ZCSU5831291</t>
  </si>
  <si>
    <t>A-153346</t>
  </si>
  <si>
    <t>A-153388</t>
  </si>
  <si>
    <t>A-153334</t>
  </si>
  <si>
    <t>A-153304</t>
  </si>
  <si>
    <t>Tiền hàng 29/11/16</t>
  </si>
  <si>
    <t>86C-02015</t>
  </si>
  <si>
    <t>60C-01696</t>
  </si>
  <si>
    <t>15C-21999</t>
  </si>
  <si>
    <t>64C-02612</t>
  </si>
  <si>
    <t>51C-04055</t>
  </si>
  <si>
    <t>67C-03070</t>
  </si>
  <si>
    <t>69C-01569</t>
  </si>
  <si>
    <t>69C-012165</t>
  </si>
  <si>
    <t xml:space="preserve">Còn lại: </t>
  </si>
  <si>
    <t>69C-02715</t>
  </si>
  <si>
    <t>34C-07657</t>
  </si>
  <si>
    <t>34C-01862</t>
  </si>
  <si>
    <t>17C-07132</t>
  </si>
  <si>
    <t>CHI PHÍ XUAÁT HAØNG - CAÙ CÔM - SHOUSHAN (Cont 25-&gt;28 &amp; 29-&gt;32 - 28 /11 &amp; 02/12/16)</t>
  </si>
  <si>
    <t>Tiền hàng 07/12/16</t>
  </si>
  <si>
    <t>Chi phí xuất hàng (Cont 25-&gt;32)</t>
  </si>
  <si>
    <t>Ứng trước chi phí xuất hàng</t>
  </si>
  <si>
    <t>Tiền hàng 29/11/16 còn lại</t>
  </si>
  <si>
    <t>1T Khô cá chỉ A</t>
  </si>
  <si>
    <t>1T Khô cá chỉ B</t>
  </si>
  <si>
    <t>1T Khô cá ngân A</t>
  </si>
  <si>
    <t>CHI PHÍ XUAÁT HAØNG - CAÙ CÔM - SHOUSHAN (Cont 33-&gt;46  - 7,9&amp;12/12/16)</t>
  </si>
  <si>
    <t>51C-54739</t>
  </si>
  <si>
    <t>51C-79632</t>
  </si>
  <si>
    <t>Kho Toàn Phát (3T-cơm trắng)</t>
  </si>
  <si>
    <t>57L-6009</t>
  </si>
  <si>
    <t>8 Lộc (P.Quốc)</t>
  </si>
  <si>
    <t>XUẤT BỔ SUNG HÓA ĐƠN T11/2016</t>
  </si>
  <si>
    <t>NGÀY HĐ</t>
  </si>
  <si>
    <t>SỐ HĐ</t>
  </si>
  <si>
    <t>NỘI DUNG HĐ</t>
  </si>
  <si>
    <t>TIỀN VAT</t>
  </si>
  <si>
    <t>0000102</t>
  </si>
  <si>
    <t>0000103</t>
  </si>
  <si>
    <t>0000107</t>
  </si>
  <si>
    <t>0000108</t>
  </si>
  <si>
    <t>0000583</t>
  </si>
  <si>
    <t>0000584</t>
  </si>
  <si>
    <t>0000585</t>
  </si>
  <si>
    <t>0000113</t>
  </si>
  <si>
    <t>0000586</t>
  </si>
  <si>
    <t>Thùng carton (50x29,5x19)</t>
  </si>
  <si>
    <t>Thùng carton (50x29,5x19)
Lô hàng ngày 3/11/16</t>
  </si>
  <si>
    <t>Thùng carton (50x29,5x19)
Lô hàng ngày 4/11/16</t>
  </si>
  <si>
    <t>Tên TK: LÊ KIM NGỌC THẢO</t>
  </si>
  <si>
    <t>Số TK: 0501 000 152 179</t>
  </si>
  <si>
    <t>NH Vietcombank - CN Vĩnh Lộc</t>
  </si>
  <si>
    <t>0000563</t>
  </si>
  <si>
    <t>Tiền hàng 13/12/16</t>
  </si>
  <si>
    <t>Chi phí xuất hàng (Cont 33-&gt;46)</t>
  </si>
  <si>
    <t>Trần Cẩm Thi</t>
  </si>
  <si>
    <t>LONG BEACH TRADER V.005E</t>
  </si>
  <si>
    <t>YMLU5294410</t>
  </si>
  <si>
    <t>YMLL856462</t>
  </si>
  <si>
    <t>YMLU5287387</t>
  </si>
  <si>
    <t>YMLL856463</t>
  </si>
  <si>
    <t>YMLU5317007</t>
  </si>
  <si>
    <t>YMLL856461</t>
  </si>
  <si>
    <t>YMLU5282981</t>
  </si>
  <si>
    <t>YMLL856750</t>
  </si>
  <si>
    <t>NORTHERN VIVACITY V.16012N</t>
  </si>
  <si>
    <t>CCLU8591405</t>
  </si>
  <si>
    <t>CCLU8604420</t>
  </si>
  <si>
    <t>CXRU1372034</t>
  </si>
  <si>
    <t>CXRU1595737</t>
  </si>
  <si>
    <t>CCLU8547721</t>
  </si>
  <si>
    <t>CCLU8600929</t>
  </si>
  <si>
    <t>SZLU9681741</t>
  </si>
  <si>
    <t>CBHU2831710</t>
  </si>
  <si>
    <t>TEMU9126037</t>
  </si>
  <si>
    <t>TCLU1118188</t>
  </si>
  <si>
    <t>JXLU5839374</t>
  </si>
  <si>
    <t>ZCSU5860290</t>
  </si>
  <si>
    <t>ZCSU5171135</t>
  </si>
  <si>
    <t>ZCSU5850223</t>
  </si>
  <si>
    <t>BOX ENDEAVOUR V.19/N</t>
  </si>
  <si>
    <t>ZGL-V110986</t>
  </si>
  <si>
    <t>ZGL-V110983</t>
  </si>
  <si>
    <t>ZGL-V110956</t>
  </si>
  <si>
    <t>ZGL-V110987</t>
  </si>
  <si>
    <t>XUẤT BỔ SUNG HÓA ĐƠN 01/12/16  -&gt;  12/12/16</t>
  </si>
  <si>
    <t>0000111</t>
  </si>
  <si>
    <t>0000116</t>
  </si>
  <si>
    <t>0000112</t>
  </si>
  <si>
    <t>0000596</t>
  </si>
  <si>
    <t>0000595</t>
  </si>
  <si>
    <t>0000115</t>
  </si>
  <si>
    <t>0000120</t>
  </si>
  <si>
    <t>0000121</t>
  </si>
  <si>
    <t>0000122</t>
  </si>
  <si>
    <t>0000123</t>
  </si>
  <si>
    <t>0000601</t>
  </si>
  <si>
    <t>TIỀN VAT (10%)</t>
  </si>
  <si>
    <t>CXRU1501002</t>
  </si>
  <si>
    <t>TEMU9263981</t>
  </si>
  <si>
    <t>DFOU6104845</t>
  </si>
  <si>
    <t>CBHU2827659</t>
  </si>
  <si>
    <t>CXRU1032559</t>
  </si>
  <si>
    <t>SZLU9659809</t>
  </si>
  <si>
    <t>DELOS WAVE V.1611N</t>
  </si>
  <si>
    <t>CHI PHÍ XUAÁT HAØNG - CAÙ CÔM - SHOUSHAN (Cont 47-&gt;58  - 16&amp;19/12/16)</t>
  </si>
  <si>
    <t>Chi phí xuất hàng (Cont 47-&gt;58)</t>
  </si>
  <si>
    <t>Đỗ Bé Sáu</t>
  </si>
  <si>
    <t>Lê Thị Thuận</t>
  </si>
  <si>
    <t>61C-13678</t>
  </si>
  <si>
    <t>84L-2389</t>
  </si>
  <si>
    <t>69C-02165</t>
  </si>
  <si>
    <t>79C-04882</t>
  </si>
  <si>
    <t>69C-01465</t>
  </si>
  <si>
    <t>67C-01825</t>
  </si>
  <si>
    <t>69C-6765</t>
  </si>
  <si>
    <t>64C-02713</t>
  </si>
  <si>
    <t>Tiền hàng 21/12/16</t>
  </si>
  <si>
    <t>PHILIPPOS-MICHALIS V.24/N</t>
  </si>
  <si>
    <t>ZCSU5852735</t>
  </si>
  <si>
    <t>ZCSU5877986</t>
  </si>
  <si>
    <t>ZCSU5113885</t>
  </si>
  <si>
    <t>JXLU5106192</t>
  </si>
  <si>
    <t>JXLU5844391</t>
  </si>
  <si>
    <t>ZCSU5833191</t>
  </si>
  <si>
    <t>ZGL-V112731</t>
  </si>
  <si>
    <t>ZGL-V112735</t>
  </si>
  <si>
    <t>ZGL-V112739</t>
  </si>
  <si>
    <t>ZGL-V112736</t>
  </si>
  <si>
    <t>ZGL-V112758</t>
  </si>
  <si>
    <t>ZGL-V112754</t>
  </si>
  <si>
    <t>Bên An Lạc còn giữ tiền tạm ứng ngày 7/12/16 : 500.000.000</t>
  </si>
  <si>
    <t>0000127</t>
  </si>
  <si>
    <t>0000128</t>
  </si>
  <si>
    <t>0000132</t>
  </si>
  <si>
    <t>0000133</t>
  </si>
  <si>
    <t>0000134</t>
  </si>
  <si>
    <t>0000602</t>
  </si>
  <si>
    <t>0000603</t>
  </si>
  <si>
    <t>0000604</t>
  </si>
  <si>
    <t>0000605</t>
  </si>
  <si>
    <t>0000606</t>
  </si>
  <si>
    <t>XUẤT BỔ SUNG HÓA ĐƠN 16&amp;19/12/16 (CONT 47-&gt;58)</t>
  </si>
  <si>
    <t>84l-2389</t>
  </si>
  <si>
    <t>CHI PHÍ XUAÁT HAØNG - CAÙ CÔM - SHOUSHAN (Cont 59-&gt;70  - 23&amp;27/12/16)</t>
  </si>
  <si>
    <t>94C-01551</t>
  </si>
  <si>
    <t>77C-12332</t>
  </si>
  <si>
    <t>79N-1908</t>
  </si>
  <si>
    <t>60C-30253</t>
  </si>
  <si>
    <t>69C-01125</t>
  </si>
  <si>
    <t>86C-07082</t>
  </si>
  <si>
    <t>Tiền hàng 26/12/16</t>
  </si>
  <si>
    <t>Chi phí xuất hàng (Cont 59-&gt;70)</t>
  </si>
  <si>
    <t>Khai Huy</t>
  </si>
  <si>
    <t>CHI PHÍ XUAÁT HAØNG - CAÙ CÔM - SHOUSHAN (Cont 71&amp;72  - 29/12/16)</t>
  </si>
  <si>
    <t>XUẤT BỔ SUNG HÓA ĐƠN 23,27&amp;29/12/16 (CONT 59-&gt;72)</t>
  </si>
  <si>
    <t>0000139</t>
  </si>
  <si>
    <t>0000140</t>
  </si>
  <si>
    <t>0000146</t>
  </si>
  <si>
    <t>0000147</t>
  </si>
  <si>
    <t>0000149</t>
  </si>
  <si>
    <t>0000151</t>
  </si>
  <si>
    <t>0000152</t>
  </si>
  <si>
    <t>0000153</t>
  </si>
  <si>
    <t>0000154</t>
  </si>
  <si>
    <t>0000607</t>
  </si>
  <si>
    <t>0000609</t>
  </si>
  <si>
    <t>0000610</t>
  </si>
  <si>
    <t>0000613</t>
  </si>
  <si>
    <t>0000615</t>
  </si>
  <si>
    <t>0000616</t>
  </si>
  <si>
    <t>BOMAR HAMBURG 1611N</t>
  </si>
  <si>
    <t>CXRU1367608</t>
  </si>
  <si>
    <t>SZLU9669155</t>
  </si>
  <si>
    <t>BMOU9780445</t>
  </si>
  <si>
    <t>CRSU6149554</t>
  </si>
  <si>
    <t>CXRU1026140</t>
  </si>
  <si>
    <t>SZLU9690701</t>
  </si>
  <si>
    <t>An Lạc + Lagi</t>
  </si>
  <si>
    <t>JXLU5840272</t>
  </si>
  <si>
    <t>ZGL-V112681</t>
  </si>
  <si>
    <t>ZCSU5846990</t>
  </si>
  <si>
    <t>ZGL-V112705</t>
  </si>
  <si>
    <t>ZCSU5876871</t>
  </si>
  <si>
    <t>ZGL-V112689</t>
  </si>
  <si>
    <t>ZCSU5866277</t>
  </si>
  <si>
    <t>ZGL-V112700</t>
  </si>
  <si>
    <t>JXLU5964503</t>
  </si>
  <si>
    <t>ZGL-V110908</t>
  </si>
  <si>
    <t>ZCSU5862440</t>
  </si>
  <si>
    <t xml:space="preserve"> ZGL-V110816</t>
  </si>
  <si>
    <t>SAO PAULO V.09/N</t>
  </si>
  <si>
    <t>TEMU9128066</t>
  </si>
  <si>
    <t>CBHU2976117</t>
  </si>
  <si>
    <t>IRENES RESPECT V.1611N</t>
  </si>
  <si>
    <t>Tiền hàng 07/01/16</t>
  </si>
  <si>
    <t>69L-6440</t>
  </si>
  <si>
    <t>51C-45790</t>
  </si>
  <si>
    <t>69C-02186</t>
  </si>
  <si>
    <t>60C-03253</t>
  </si>
  <si>
    <t>54Z-2200</t>
  </si>
  <si>
    <t>69L-7209</t>
  </si>
  <si>
    <t>69C-02049</t>
  </si>
  <si>
    <t>69C-02647 (cơm trắng)</t>
  </si>
  <si>
    <t>60C-04856</t>
  </si>
  <si>
    <r>
      <t xml:space="preserve">CHI PHÍ LƯU KHO - CAÙ CÔM - SHOUSHAN (CONT </t>
    </r>
    <r>
      <rPr>
        <b/>
        <sz val="14"/>
        <rFont val="Times New Roman"/>
        <family val="1"/>
      </rPr>
      <t xml:space="preserve">ngày </t>
    </r>
    <r>
      <rPr>
        <b/>
        <sz val="14"/>
        <rFont val="VNI-Times"/>
      </rPr>
      <t>29/12/16 - 06/01/17)</t>
    </r>
  </si>
  <si>
    <t>Chi phí xuất hàng (Cont 1-&gt;4 năm 2017)</t>
  </si>
  <si>
    <t>Phí lưu kho (cont ngày 29/12/16 - 06/01/17)</t>
  </si>
  <si>
    <t>TỔNG CỘNG TỒN KHO</t>
  </si>
  <si>
    <t>NORTHERN VIVACITY V.16013N</t>
  </si>
  <si>
    <t>SZLU9671701</t>
  </si>
  <si>
    <t>DFOU6136293</t>
  </si>
  <si>
    <t>TEMU9555221</t>
  </si>
  <si>
    <t>TEMU9147600</t>
  </si>
  <si>
    <t>AA234007</t>
  </si>
  <si>
    <t>An Lạc (637T)</t>
  </si>
  <si>
    <t>An Lạc + Lagi +1T</t>
  </si>
  <si>
    <t>Tiền hàng 11/01/16</t>
  </si>
  <si>
    <t>Nguyễn Văn Quý</t>
  </si>
  <si>
    <t>Phí lưu kho</t>
  </si>
  <si>
    <t>Tiền hàng 08/02/17</t>
  </si>
  <si>
    <t>Tiền hàng 13/02/17</t>
  </si>
  <si>
    <t>Nguyễn Thị Ngọc Thanh</t>
  </si>
  <si>
    <t>Nguyễn Thị Thanh Thủy</t>
  </si>
  <si>
    <t>Trần Thanh Hợi</t>
  </si>
  <si>
    <t>Trần Thị Bích Vân</t>
  </si>
  <si>
    <t xml:space="preserve">Tiền chênh lệch: </t>
  </si>
  <si>
    <t>Tiền hàng 16/02/17</t>
  </si>
  <si>
    <t>Nguyễn Thị Cúc</t>
  </si>
  <si>
    <t>Hoàng Thăng Thành</t>
  </si>
  <si>
    <t>Tiền còn lại đợt trước 13/02/17</t>
  </si>
  <si>
    <t>Tiền còn lại đợt trước 08/02/17</t>
  </si>
  <si>
    <t>Tiền còn lại đợt trước 16/02/17</t>
  </si>
  <si>
    <t>Tiền hàng 22/02/17</t>
  </si>
  <si>
    <t>Nguyễn Minh Tâm</t>
  </si>
  <si>
    <t>Tiền hàng 24/02/17</t>
  </si>
  <si>
    <t>Tiền còn lại đợt trước 22/02/17</t>
  </si>
  <si>
    <t>Tiền hàng 19/12/16</t>
  </si>
  <si>
    <t>Tiền hàng 29/12/16</t>
  </si>
  <si>
    <t>THÀNH TIỀN (USD)</t>
  </si>
  <si>
    <t>Tiền hàng 03/03/17</t>
  </si>
  <si>
    <t>Tiền còn lại đợt trước 24/02/17</t>
  </si>
  <si>
    <t>Trả lại 500tr ứng trước</t>
  </si>
  <si>
    <t>LOT A14,4A STREET,HAISON INDUSTRIAL ZONE,DUC HOA DISTRICT,LONG AN PROVINCE,VIETNAM</t>
  </si>
  <si>
    <t>AN LAC SEAFOOD CO.,LTD</t>
  </si>
  <si>
    <t>AGREEMENT</t>
  </si>
  <si>
    <t>Date : 07/03/2017</t>
  </si>
  <si>
    <t>Party A : AN LAC SEAFOOD CO., LTD.</t>
  </si>
  <si>
    <t>Address: Lot A14, 4A Street, Hai Son Industrial Zone, Duc Hoa District, Long An Province, Vietnam.</t>
  </si>
  <si>
    <t>Tel/ Fax: 84-72-3850606 / 84-72-3850608</t>
  </si>
  <si>
    <t>Represented by: Mr. NGUYEN THIEN DUY – Director</t>
  </si>
  <si>
    <t xml:space="preserve">Party B : </t>
  </si>
  <si>
    <t xml:space="preserve">Add. : </t>
  </si>
  <si>
    <t>Tel. :</t>
  </si>
  <si>
    <t>By Mr .  YANG ZHI WEI</t>
  </si>
  <si>
    <t xml:space="preserve">After discussion , it is must be mutually agreed by both parties to sign for agreement as follow : </t>
  </si>
  <si>
    <t>NO.</t>
  </si>
  <si>
    <t>The agreement have valid from the date was signed .</t>
  </si>
  <si>
    <t>The agreement is made into 02 (two) originals in English , each party keeps 01 (one) original with equal value .</t>
  </si>
  <si>
    <t>PARTY A</t>
  </si>
  <si>
    <t>PARTY B</t>
  </si>
  <si>
    <t>đi xe - 31/10/16</t>
  </si>
  <si>
    <t>DATE OF EXPORT</t>
  </si>
  <si>
    <t>EXPORT INFORMATION</t>
  </si>
  <si>
    <t>QUANTITY
(KGS)</t>
  </si>
  <si>
    <t>UNIT PRICE</t>
  </si>
  <si>
    <t>TOTAL</t>
  </si>
  <si>
    <t>PAYMENT</t>
  </si>
  <si>
    <t>DATE</t>
  </si>
  <si>
    <t>BANK CHARGE</t>
  </si>
  <si>
    <t>AMOUNT (USD)</t>
  </si>
  <si>
    <t>AMOUNT (VNĐ)</t>
  </si>
  <si>
    <t>TRANSFER MONEY TO CUSTOMERS</t>
  </si>
  <si>
    <t>CUSTOMER NAME</t>
  </si>
  <si>
    <t>BANKING FEE</t>
  </si>
  <si>
    <t>MONEY TRANSFER</t>
  </si>
  <si>
    <t>NOTE</t>
  </si>
  <si>
    <t>COST OF EXPORT AND STORAGE</t>
  </si>
  <si>
    <t>THEO DÕI HÀNG XUẤT TRUNG QUỐC</t>
  </si>
  <si>
    <t>CHUYỂN KHÁCH HÀNG</t>
  </si>
  <si>
    <t>CHI PHÍ XUẤT HÀNG &amp; LƯU KHO AN LẠC</t>
  </si>
  <si>
    <t>ĐƠN GIÁ (USD)</t>
  </si>
  <si>
    <t>TỔNG TIỀN HÀNG (USD)</t>
  </si>
  <si>
    <t>NGÀY TT</t>
  </si>
  <si>
    <t>PHÍ NHNN TRỪ</t>
  </si>
  <si>
    <t>SỐ TIỀN (USD)</t>
  </si>
  <si>
    <t>THÀNH TIỀN (VNĐ)</t>
  </si>
  <si>
    <t>PHÍ NH TRONG NƯỚC</t>
  </si>
  <si>
    <t>CÒN LẠI (VNĐ)</t>
  </si>
  <si>
    <t>TÊN KH</t>
  </si>
  <si>
    <t>PHÍ NGÂN HÀNG</t>
  </si>
  <si>
    <t>SỐ TIỀN CHUYỂN</t>
  </si>
  <si>
    <t>TIỀN TRUNG QUỐC CÒN LẠI:</t>
  </si>
  <si>
    <t>HÀNG XUẤT TRÊN TỜ KHAI</t>
  </si>
  <si>
    <t>TỔNG TIỀN</t>
  </si>
  <si>
    <t>0000171</t>
  </si>
  <si>
    <t>0000173</t>
  </si>
  <si>
    <t>0000176</t>
  </si>
  <si>
    <t>0000183</t>
  </si>
  <si>
    <t>0000189</t>
  </si>
  <si>
    <t>0000190</t>
  </si>
  <si>
    <t>0000194</t>
  </si>
  <si>
    <t>0000211</t>
  </si>
  <si>
    <t>0000225</t>
  </si>
  <si>
    <t>0000226</t>
  </si>
  <si>
    <t>0000229</t>
  </si>
  <si>
    <t>0000245</t>
  </si>
  <si>
    <t>0000246</t>
  </si>
  <si>
    <t>0000261</t>
  </si>
  <si>
    <t>0000263</t>
  </si>
  <si>
    <t>0000264</t>
  </si>
  <si>
    <t>0000267</t>
  </si>
  <si>
    <t>0000621</t>
  </si>
  <si>
    <t>0000622</t>
  </si>
  <si>
    <t>0000625</t>
  </si>
  <si>
    <t>0000626</t>
  </si>
  <si>
    <t>0000630</t>
  </si>
  <si>
    <t>0000635</t>
  </si>
  <si>
    <t>0000636</t>
  </si>
  <si>
    <t>0000640</t>
  </si>
  <si>
    <t>0000641</t>
  </si>
  <si>
    <t>0000645</t>
  </si>
  <si>
    <t>0000647</t>
  </si>
  <si>
    <t>0000651</t>
  </si>
  <si>
    <t>0000652</t>
  </si>
  <si>
    <t>IRENES RESPECT V.1702N</t>
  </si>
  <si>
    <t>CXRU1495949</t>
  </si>
  <si>
    <t>TEMU9559504</t>
  </si>
  <si>
    <t>CXRU1489191</t>
  </si>
  <si>
    <t>TRIU8795689</t>
  </si>
  <si>
    <t>CCLU8543731</t>
  </si>
  <si>
    <t>SEGU9478073</t>
  </si>
  <si>
    <t>BOMAR HAMBURG V.1703N</t>
  </si>
  <si>
    <t>SEGU9136580</t>
  </si>
  <si>
    <t>CXRU1631330</t>
  </si>
  <si>
    <t>CXRU1633225</t>
  </si>
  <si>
    <t>SZLU9219034</t>
  </si>
  <si>
    <t xml:space="preserve">SZLU9675456 </t>
  </si>
  <si>
    <t>BOX ENDEAVOUR V.24/N</t>
  </si>
  <si>
    <t>ZCSU5832791</t>
  </si>
  <si>
    <t>ZCSU5858498</t>
  </si>
  <si>
    <t>ZCSU5834829</t>
  </si>
  <si>
    <t>JXLU5811588</t>
  </si>
  <si>
    <t>JXLU5874040</t>
  </si>
  <si>
    <t>ZCSU5834407</t>
  </si>
  <si>
    <t>ZGL-V101099</t>
  </si>
  <si>
    <t>ZGL-V117057</t>
  </si>
  <si>
    <t>ZGL-V117043</t>
  </si>
  <si>
    <t>ZGL-V101009</t>
  </si>
  <si>
    <t>ZGL-V101098</t>
  </si>
  <si>
    <t>ZGL-V117013</t>
  </si>
  <si>
    <t>NORTHERN VIVACITY V.17003N</t>
  </si>
</sst>
</file>

<file path=xl/styles.xml><?xml version="1.0" encoding="utf-8"?>
<styleSheet xmlns="http://schemas.openxmlformats.org/spreadsheetml/2006/main">
  <numFmts count="11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_-* #,##0.00_-;\-* #,##0.00_-;_-* &quot;-&quot;??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.0_);_(* \(#,##0.0\);_(* &quot;-&quot;??_);_(@_)"/>
    <numFmt numFmtId="173" formatCode="_(* #,##0.000_);_(* \(#,##0.000\);_(* &quot;-&quot;??_);_(@_)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9"/>
      <name val="VNI-Times"/>
    </font>
    <font>
      <sz val="10"/>
      <name val="VNI-Times"/>
    </font>
    <font>
      <sz val="12"/>
      <name val="VNI-Times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3"/>
      <color theme="0"/>
      <name val="Times New Roman"/>
      <family val="1"/>
    </font>
    <font>
      <sz val="10.5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b/>
      <sz val="36"/>
      <name val="Times New Roman"/>
      <family val="1"/>
    </font>
    <font>
      <sz val="12"/>
      <name val="Arial"/>
      <family val="2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43" fontId="6" fillId="0" borderId="0" applyFont="0" applyFill="0" applyBorder="0" applyAlignment="0" applyProtection="0"/>
    <xf numFmtId="3" fontId="7" fillId="2" borderId="1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2" borderId="1">
      <alignment horizontal="centerContinuous" vertical="center" wrapText="1"/>
    </xf>
    <xf numFmtId="3" fontId="7" fillId="2" borderId="1">
      <alignment horizontal="center" vertical="center" wrapText="1"/>
    </xf>
    <xf numFmtId="2" fontId="6" fillId="0" borderId="0" applyFont="0" applyFill="0" applyBorder="0" applyAlignment="0" applyProtection="0"/>
    <xf numFmtId="0" fontId="11" fillId="0" borderId="9" applyNumberFormat="0" applyAlignment="0" applyProtection="0">
      <alignment horizontal="left" vertical="center"/>
    </xf>
    <xf numFmtId="0" fontId="11" fillId="0" borderId="7">
      <alignment horizontal="left" vertical="center"/>
    </xf>
    <xf numFmtId="3" fontId="7" fillId="0" borderId="10"/>
    <xf numFmtId="3" fontId="12" fillId="0" borderId="11"/>
    <xf numFmtId="3" fontId="7" fillId="0" borderId="1">
      <alignment horizontal="center" vertical="center" wrapText="1"/>
    </xf>
    <xf numFmtId="3" fontId="7" fillId="0" borderId="1">
      <alignment horizontal="centerContinuous" vertical="center"/>
    </xf>
    <xf numFmtId="165" fontId="13" fillId="0" borderId="12"/>
    <xf numFmtId="0" fontId="8" fillId="0" borderId="0"/>
    <xf numFmtId="0" fontId="9" fillId="0" borderId="0"/>
    <xf numFmtId="0" fontId="2" fillId="0" borderId="0"/>
    <xf numFmtId="0" fontId="6" fillId="0" borderId="0"/>
    <xf numFmtId="0" fontId="9" fillId="0" borderId="0"/>
    <xf numFmtId="0" fontId="14" fillId="0" borderId="0">
      <alignment horizontal="centerContinuous"/>
    </xf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6" fillId="0" borderId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/>
    <xf numFmtId="0" fontId="1" fillId="0" borderId="0"/>
  </cellStyleXfs>
  <cellXfs count="381">
    <xf numFmtId="0" fontId="0" fillId="0" borderId="0" xfId="0"/>
    <xf numFmtId="0" fontId="19" fillId="0" borderId="0" xfId="22" applyFont="1" applyAlignment="1">
      <alignment vertical="center"/>
    </xf>
    <xf numFmtId="0" fontId="19" fillId="0" borderId="0" xfId="22" applyFont="1" applyAlignment="1">
      <alignment horizontal="center" vertical="center"/>
    </xf>
    <xf numFmtId="0" fontId="20" fillId="0" borderId="0" xfId="22" applyFont="1" applyAlignment="1">
      <alignment horizontal="center" vertical="center"/>
    </xf>
    <xf numFmtId="0" fontId="21" fillId="0" borderId="0" xfId="22" applyFont="1" applyAlignment="1">
      <alignment vertical="center"/>
    </xf>
    <xf numFmtId="0" fontId="20" fillId="0" borderId="0" xfId="22" applyFont="1" applyAlignment="1">
      <alignment vertical="center"/>
    </xf>
    <xf numFmtId="172" fontId="20" fillId="0" borderId="0" xfId="4" applyNumberFormat="1" applyFont="1" applyAlignment="1">
      <alignment vertical="center"/>
    </xf>
    <xf numFmtId="164" fontId="20" fillId="0" borderId="0" xfId="4" applyNumberFormat="1" applyFont="1" applyAlignment="1">
      <alignment vertical="center"/>
    </xf>
    <xf numFmtId="0" fontId="21" fillId="0" borderId="0" xfId="22" applyFont="1" applyAlignment="1">
      <alignment horizontal="center" vertical="center"/>
    </xf>
    <xf numFmtId="0" fontId="22" fillId="0" borderId="0" xfId="25" applyFont="1" applyAlignment="1">
      <alignment horizontal="center" vertical="center" wrapText="1"/>
    </xf>
    <xf numFmtId="0" fontId="22" fillId="0" borderId="1" xfId="25" applyFont="1" applyBorder="1" applyAlignment="1">
      <alignment horizontal="center" vertical="center" wrapText="1"/>
    </xf>
    <xf numFmtId="172" fontId="22" fillId="0" borderId="1" xfId="3" applyNumberFormat="1" applyFont="1" applyBorder="1" applyAlignment="1">
      <alignment horizontal="center" vertical="center" wrapText="1"/>
    </xf>
    <xf numFmtId="164" fontId="22" fillId="0" borderId="1" xfId="3" applyNumberFormat="1" applyFont="1" applyBorder="1" applyAlignment="1">
      <alignment horizontal="center" vertical="center" wrapText="1"/>
    </xf>
    <xf numFmtId="0" fontId="23" fillId="0" borderId="0" xfId="25" applyFont="1" applyAlignment="1">
      <alignment horizontal="center" vertical="center" wrapText="1"/>
    </xf>
    <xf numFmtId="0" fontId="23" fillId="0" borderId="0" xfId="25" applyFont="1" applyAlignment="1">
      <alignment vertical="center"/>
    </xf>
    <xf numFmtId="0" fontId="22" fillId="0" borderId="3" xfId="25" applyFont="1" applyBorder="1" applyAlignment="1">
      <alignment vertical="center"/>
    </xf>
    <xf numFmtId="172" fontId="23" fillId="0" borderId="3" xfId="3" applyNumberFormat="1" applyFont="1" applyBorder="1" applyAlignment="1">
      <alignment vertical="center"/>
    </xf>
    <xf numFmtId="43" fontId="23" fillId="0" borderId="3" xfId="3" applyFont="1" applyBorder="1" applyAlignment="1">
      <alignment vertical="center"/>
    </xf>
    <xf numFmtId="43" fontId="23" fillId="0" borderId="3" xfId="3" applyNumberFormat="1" applyFont="1" applyBorder="1" applyAlignment="1">
      <alignment vertical="center"/>
    </xf>
    <xf numFmtId="164" fontId="23" fillId="0" borderId="3" xfId="25" applyNumberFormat="1" applyFont="1" applyBorder="1" applyAlignment="1">
      <alignment vertical="center"/>
    </xf>
    <xf numFmtId="0" fontId="23" fillId="0" borderId="5" xfId="25" applyFont="1" applyBorder="1" applyAlignment="1">
      <alignment vertical="center"/>
    </xf>
    <xf numFmtId="172" fontId="23" fillId="0" borderId="5" xfId="3" applyNumberFormat="1" applyFont="1" applyBorder="1" applyAlignment="1">
      <alignment vertical="center"/>
    </xf>
    <xf numFmtId="43" fontId="23" fillId="0" borderId="5" xfId="3" applyFont="1" applyBorder="1" applyAlignment="1">
      <alignment vertical="center"/>
    </xf>
    <xf numFmtId="43" fontId="23" fillId="0" borderId="5" xfId="3" applyNumberFormat="1" applyFont="1" applyBorder="1" applyAlignment="1">
      <alignment vertical="center"/>
    </xf>
    <xf numFmtId="164" fontId="23" fillId="0" borderId="5" xfId="25" applyNumberFormat="1" applyFont="1" applyBorder="1" applyAlignment="1">
      <alignment vertical="center"/>
    </xf>
    <xf numFmtId="0" fontId="22" fillId="0" borderId="0" xfId="25" applyFont="1" applyAlignment="1">
      <alignment vertical="center"/>
    </xf>
    <xf numFmtId="0" fontId="22" fillId="0" borderId="5" xfId="25" applyFont="1" applyBorder="1" applyAlignment="1">
      <alignment vertical="center"/>
    </xf>
    <xf numFmtId="172" fontId="22" fillId="0" borderId="5" xfId="3" applyNumberFormat="1" applyFont="1" applyBorder="1" applyAlignment="1">
      <alignment vertical="center"/>
    </xf>
    <xf numFmtId="43" fontId="22" fillId="0" borderId="5" xfId="3" applyFont="1" applyBorder="1" applyAlignment="1">
      <alignment vertical="center"/>
    </xf>
    <xf numFmtId="43" fontId="22" fillId="0" borderId="5" xfId="3" applyNumberFormat="1" applyFont="1" applyBorder="1" applyAlignment="1">
      <alignment vertical="center"/>
    </xf>
    <xf numFmtId="164" fontId="22" fillId="0" borderId="5" xfId="25" applyNumberFormat="1" applyFont="1" applyBorder="1" applyAlignment="1">
      <alignment vertical="center"/>
    </xf>
    <xf numFmtId="43" fontId="23" fillId="0" borderId="5" xfId="1" applyFont="1" applyBorder="1" applyAlignment="1">
      <alignment vertical="center"/>
    </xf>
    <xf numFmtId="0" fontId="22" fillId="0" borderId="1" xfId="25" applyFont="1" applyBorder="1" applyAlignment="1">
      <alignment vertical="center"/>
    </xf>
    <xf numFmtId="172" fontId="22" fillId="0" borderId="1" xfId="3" applyNumberFormat="1" applyFont="1" applyBorder="1" applyAlignment="1">
      <alignment vertical="center"/>
    </xf>
    <xf numFmtId="43" fontId="23" fillId="0" borderId="0" xfId="1" applyFont="1" applyAlignment="1">
      <alignment vertical="center"/>
    </xf>
    <xf numFmtId="0" fontId="23" fillId="0" borderId="13" xfId="25" applyFont="1" applyBorder="1" applyAlignment="1">
      <alignment vertical="center"/>
    </xf>
    <xf numFmtId="172" fontId="23" fillId="0" borderId="13" xfId="3" applyNumberFormat="1" applyFont="1" applyBorder="1" applyAlignment="1">
      <alignment vertical="center"/>
    </xf>
    <xf numFmtId="43" fontId="23" fillId="0" borderId="13" xfId="3" applyFont="1" applyBorder="1" applyAlignment="1">
      <alignment vertical="center"/>
    </xf>
    <xf numFmtId="43" fontId="23" fillId="0" borderId="13" xfId="3" applyNumberFormat="1" applyFont="1" applyBorder="1" applyAlignment="1">
      <alignment vertical="center"/>
    </xf>
    <xf numFmtId="164" fontId="23" fillId="0" borderId="13" xfId="3" applyNumberFormat="1" applyFont="1" applyBorder="1" applyAlignment="1">
      <alignment vertical="center"/>
    </xf>
    <xf numFmtId="0" fontId="22" fillId="0" borderId="0" xfId="25" applyFont="1" applyBorder="1" applyAlignment="1">
      <alignment vertical="center"/>
    </xf>
    <xf numFmtId="172" fontId="22" fillId="0" borderId="0" xfId="3" applyNumberFormat="1" applyFont="1" applyAlignment="1">
      <alignment vertical="center"/>
    </xf>
    <xf numFmtId="172" fontId="22" fillId="0" borderId="14" xfId="3" applyNumberFormat="1" applyFont="1" applyBorder="1" applyAlignment="1">
      <alignment vertical="center"/>
    </xf>
    <xf numFmtId="43" fontId="22" fillId="0" borderId="0" xfId="3" applyNumberFormat="1" applyFont="1" applyBorder="1" applyAlignment="1">
      <alignment vertical="center"/>
    </xf>
    <xf numFmtId="43" fontId="22" fillId="0" borderId="0" xfId="1" applyFont="1" applyBorder="1" applyAlignment="1">
      <alignment vertical="center"/>
    </xf>
    <xf numFmtId="0" fontId="21" fillId="0" borderId="0" xfId="22" applyFont="1" applyAlignment="1">
      <alignment horizontal="left" vertical="center"/>
    </xf>
    <xf numFmtId="172" fontId="21" fillId="0" borderId="1" xfId="4" applyNumberFormat="1" applyFont="1" applyBorder="1" applyAlignment="1">
      <alignment horizontal="center" vertical="center" wrapText="1"/>
    </xf>
    <xf numFmtId="0" fontId="21" fillId="0" borderId="1" xfId="22" applyFont="1" applyBorder="1" applyAlignment="1">
      <alignment horizontal="center" vertical="center" wrapText="1"/>
    </xf>
    <xf numFmtId="0" fontId="21" fillId="0" borderId="1" xfId="22" applyFont="1" applyBorder="1" applyAlignment="1">
      <alignment horizontal="center" vertical="center"/>
    </xf>
    <xf numFmtId="164" fontId="21" fillId="0" borderId="1" xfId="4" applyNumberFormat="1" applyFont="1" applyBorder="1" applyAlignment="1">
      <alignment horizontal="center" vertical="center" wrapText="1"/>
    </xf>
    <xf numFmtId="0" fontId="23" fillId="0" borderId="12" xfId="22" applyFont="1" applyBorder="1" applyAlignment="1">
      <alignment horizontal="center" vertical="center"/>
    </xf>
    <xf numFmtId="0" fontId="23" fillId="0" borderId="12" xfId="22" applyFont="1" applyBorder="1" applyAlignment="1">
      <alignment vertical="center"/>
    </xf>
    <xf numFmtId="172" fontId="23" fillId="0" borderId="12" xfId="4" applyNumberFormat="1" applyFont="1" applyBorder="1" applyAlignment="1">
      <alignment vertical="center"/>
    </xf>
    <xf numFmtId="164" fontId="23" fillId="0" borderId="12" xfId="4" applyNumberFormat="1" applyFont="1" applyBorder="1" applyAlignment="1">
      <alignment vertical="center"/>
    </xf>
    <xf numFmtId="14" fontId="23" fillId="0" borderId="2" xfId="22" applyNumberFormat="1" applyFont="1" applyBorder="1" applyAlignment="1">
      <alignment horizontal="center" vertical="center"/>
    </xf>
    <xf numFmtId="0" fontId="23" fillId="0" borderId="2" xfId="22" applyFont="1" applyBorder="1" applyAlignment="1">
      <alignment horizontal="left" vertical="center"/>
    </xf>
    <xf numFmtId="0" fontId="23" fillId="0" borderId="2" xfId="22" applyFont="1" applyBorder="1" applyAlignment="1">
      <alignment horizontal="center" vertical="center"/>
    </xf>
    <xf numFmtId="173" fontId="23" fillId="0" borderId="2" xfId="4" applyNumberFormat="1" applyFont="1" applyBorder="1" applyAlignment="1">
      <alignment horizontal="center" vertical="center"/>
    </xf>
    <xf numFmtId="164" fontId="23" fillId="0" borderId="2" xfId="4" applyNumberFormat="1" applyFont="1" applyBorder="1" applyAlignment="1">
      <alignment horizontal="center" vertical="center"/>
    </xf>
    <xf numFmtId="43" fontId="20" fillId="0" borderId="0" xfId="22" applyNumberFormat="1" applyFont="1" applyAlignment="1">
      <alignment vertical="center"/>
    </xf>
    <xf numFmtId="0" fontId="23" fillId="0" borderId="3" xfId="22" applyFont="1" applyBorder="1" applyAlignment="1">
      <alignment horizontal="center" vertical="center"/>
    </xf>
    <xf numFmtId="0" fontId="23" fillId="0" borderId="3" xfId="22" applyFont="1" applyBorder="1" applyAlignment="1">
      <alignment vertical="center"/>
    </xf>
    <xf numFmtId="172" fontId="23" fillId="0" borderId="3" xfId="4" applyNumberFormat="1" applyFont="1" applyBorder="1" applyAlignment="1">
      <alignment vertical="center"/>
    </xf>
    <xf numFmtId="164" fontId="23" fillId="0" borderId="3" xfId="4" applyNumberFormat="1" applyFont="1" applyBorder="1" applyAlignment="1">
      <alignment vertical="center"/>
    </xf>
    <xf numFmtId="14" fontId="23" fillId="0" borderId="3" xfId="22" applyNumberFormat="1" applyFont="1" applyBorder="1" applyAlignment="1">
      <alignment horizontal="center" vertical="center"/>
    </xf>
    <xf numFmtId="173" fontId="23" fillId="0" borderId="3" xfId="4" applyNumberFormat="1" applyFont="1" applyBorder="1" applyAlignment="1">
      <alignment horizontal="center" vertical="center"/>
    </xf>
    <xf numFmtId="14" fontId="23" fillId="0" borderId="13" xfId="22" applyNumberFormat="1" applyFont="1" applyBorder="1" applyAlignment="1">
      <alignment horizontal="center" vertical="center"/>
    </xf>
    <xf numFmtId="0" fontId="23" fillId="0" borderId="13" xfId="22" applyFont="1" applyBorder="1" applyAlignment="1">
      <alignment horizontal="center" vertical="center"/>
    </xf>
    <xf numFmtId="172" fontId="23" fillId="0" borderId="13" xfId="4" applyNumberFormat="1" applyFont="1" applyBorder="1" applyAlignment="1">
      <alignment horizontal="center" vertical="center"/>
    </xf>
    <xf numFmtId="164" fontId="23" fillId="0" borderId="13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vertical="center"/>
    </xf>
    <xf numFmtId="172" fontId="22" fillId="0" borderId="1" xfId="4" applyNumberFormat="1" applyFont="1" applyBorder="1" applyAlignment="1">
      <alignment vertical="center"/>
    </xf>
    <xf numFmtId="164" fontId="22" fillId="0" borderId="1" xfId="4" applyNumberFormat="1" applyFont="1" applyBorder="1" applyAlignment="1">
      <alignment vertical="center"/>
    </xf>
    <xf numFmtId="0" fontId="22" fillId="0" borderId="1" xfId="22" applyFont="1" applyBorder="1" applyAlignment="1">
      <alignment horizontal="center" vertical="center"/>
    </xf>
    <xf numFmtId="164" fontId="22" fillId="0" borderId="1" xfId="4" applyNumberFormat="1" applyFont="1" applyBorder="1" applyAlignment="1">
      <alignment horizontal="center" vertical="center"/>
    </xf>
    <xf numFmtId="43" fontId="20" fillId="0" borderId="0" xfId="22" applyNumberFormat="1" applyFont="1" applyAlignment="1">
      <alignment horizontal="center" vertical="center"/>
    </xf>
    <xf numFmtId="164" fontId="24" fillId="0" borderId="0" xfId="1" applyNumberFormat="1" applyFont="1" applyAlignment="1">
      <alignment horizontal="center" vertical="center"/>
    </xf>
    <xf numFmtId="43" fontId="4" fillId="0" borderId="0" xfId="22" applyNumberFormat="1" applyFont="1" applyAlignment="1">
      <alignment horizontal="center" vertical="center"/>
    </xf>
    <xf numFmtId="0" fontId="23" fillId="0" borderId="13" xfId="22" applyFont="1" applyBorder="1" applyAlignment="1">
      <alignment vertical="center"/>
    </xf>
    <xf numFmtId="172" fontId="23" fillId="0" borderId="13" xfId="4" applyNumberFormat="1" applyFont="1" applyBorder="1" applyAlignment="1">
      <alignment vertical="center"/>
    </xf>
    <xf numFmtId="164" fontId="23" fillId="0" borderId="13" xfId="4" applyNumberFormat="1" applyFont="1" applyBorder="1" applyAlignment="1">
      <alignment vertical="center"/>
    </xf>
    <xf numFmtId="164" fontId="21" fillId="0" borderId="0" xfId="4" applyNumberFormat="1" applyFont="1" applyAlignment="1">
      <alignment vertical="center"/>
    </xf>
    <xf numFmtId="164" fontId="21" fillId="0" borderId="0" xfId="22" applyNumberFormat="1" applyFont="1" applyAlignment="1">
      <alignment vertical="center"/>
    </xf>
    <xf numFmtId="0" fontId="21" fillId="0" borderId="1" xfId="22" applyFont="1" applyBorder="1" applyAlignment="1">
      <alignment vertical="center" wrapText="1"/>
    </xf>
    <xf numFmtId="164" fontId="21" fillId="0" borderId="1" xfId="4" applyNumberFormat="1" applyFont="1" applyBorder="1" applyAlignment="1">
      <alignment vertical="center" wrapText="1"/>
    </xf>
    <xf numFmtId="0" fontId="21" fillId="0" borderId="0" xfId="22" applyFont="1" applyAlignment="1">
      <alignment vertical="center" wrapText="1"/>
    </xf>
    <xf numFmtId="172" fontId="22" fillId="0" borderId="0" xfId="3" applyNumberFormat="1" applyFont="1" applyBorder="1" applyAlignment="1">
      <alignment vertical="center"/>
    </xf>
    <xf numFmtId="0" fontId="19" fillId="0" borderId="0" xfId="22" applyFont="1" applyAlignment="1">
      <alignment vertical="center" wrapText="1"/>
    </xf>
    <xf numFmtId="164" fontId="23" fillId="0" borderId="3" xfId="1" applyNumberFormat="1" applyFont="1" applyBorder="1" applyAlignment="1">
      <alignment horizontal="center" vertical="center"/>
    </xf>
    <xf numFmtId="164" fontId="22" fillId="0" borderId="1" xfId="1" applyNumberFormat="1" applyFont="1" applyBorder="1" applyAlignment="1">
      <alignment horizontal="center" vertical="center"/>
    </xf>
    <xf numFmtId="0" fontId="21" fillId="0" borderId="0" xfId="22" applyFont="1" applyAlignment="1">
      <alignment horizontal="center" vertical="center" wrapText="1"/>
    </xf>
    <xf numFmtId="0" fontId="22" fillId="0" borderId="0" xfId="25" applyFont="1" applyAlignment="1">
      <alignment horizontal="center" vertical="center"/>
    </xf>
    <xf numFmtId="164" fontId="23" fillId="0" borderId="2" xfId="1" applyNumberFormat="1" applyFont="1" applyBorder="1" applyAlignment="1">
      <alignment horizontal="center" vertical="center"/>
    </xf>
    <xf numFmtId="164" fontId="23" fillId="0" borderId="13" xfId="1" applyNumberFormat="1" applyFont="1" applyBorder="1" applyAlignment="1">
      <alignment horizontal="center" vertical="center"/>
    </xf>
    <xf numFmtId="164" fontId="22" fillId="0" borderId="0" xfId="1" applyNumberFormat="1" applyFont="1" applyAlignment="1">
      <alignment vertical="center"/>
    </xf>
    <xf numFmtId="164" fontId="21" fillId="0" borderId="1" xfId="1" applyNumberFormat="1" applyFont="1" applyBorder="1" applyAlignment="1">
      <alignment horizontal="center" vertical="center" wrapText="1"/>
    </xf>
    <xf numFmtId="164" fontId="23" fillId="0" borderId="12" xfId="1" applyNumberFormat="1" applyFont="1" applyBorder="1" applyAlignment="1">
      <alignment vertical="center"/>
    </xf>
    <xf numFmtId="164" fontId="23" fillId="0" borderId="3" xfId="1" applyNumberFormat="1" applyFont="1" applyBorder="1" applyAlignment="1">
      <alignment vertical="center"/>
    </xf>
    <xf numFmtId="164" fontId="22" fillId="0" borderId="1" xfId="1" applyNumberFormat="1" applyFont="1" applyBorder="1" applyAlignment="1">
      <alignment vertical="center"/>
    </xf>
    <xf numFmtId="164" fontId="20" fillId="0" borderId="0" xfId="1" applyNumberFormat="1" applyFont="1" applyAlignment="1">
      <alignment vertical="center"/>
    </xf>
    <xf numFmtId="43" fontId="22" fillId="0" borderId="0" xfId="3" applyNumberFormat="1" applyFont="1" applyBorder="1" applyAlignment="1">
      <alignment horizontal="center" vertical="center"/>
    </xf>
    <xf numFmtId="164" fontId="23" fillId="0" borderId="12" xfId="4" applyNumberFormat="1" applyFont="1" applyBorder="1" applyAlignment="1">
      <alignment horizontal="center" vertical="center"/>
    </xf>
    <xf numFmtId="164" fontId="23" fillId="0" borderId="3" xfId="4" applyNumberFormat="1" applyFont="1" applyBorder="1" applyAlignment="1">
      <alignment horizontal="center" vertical="center"/>
    </xf>
    <xf numFmtId="164" fontId="20" fillId="0" borderId="0" xfId="4" applyNumberFormat="1" applyFont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72" fontId="22" fillId="0" borderId="1" xfId="4" applyNumberFormat="1" applyFont="1" applyBorder="1" applyAlignment="1">
      <alignment horizontal="center" vertical="center" wrapText="1"/>
    </xf>
    <xf numFmtId="164" fontId="22" fillId="0" borderId="1" xfId="4" applyNumberFormat="1" applyFont="1" applyBorder="1" applyAlignment="1">
      <alignment horizontal="center" vertical="center" wrapText="1"/>
    </xf>
    <xf numFmtId="0" fontId="23" fillId="0" borderId="0" xfId="22" applyFont="1" applyAlignment="1">
      <alignment vertical="center"/>
    </xf>
    <xf numFmtId="0" fontId="23" fillId="0" borderId="0" xfId="22" applyFont="1" applyAlignment="1">
      <alignment horizontal="center" vertical="center"/>
    </xf>
    <xf numFmtId="0" fontId="22" fillId="0" borderId="0" xfId="22" applyFont="1" applyBorder="1" applyAlignment="1">
      <alignment vertical="center"/>
    </xf>
    <xf numFmtId="172" fontId="22" fillId="0" borderId="0" xfId="4" applyNumberFormat="1" applyFont="1" applyBorder="1" applyAlignment="1">
      <alignment vertical="center"/>
    </xf>
    <xf numFmtId="164" fontId="22" fillId="0" borderId="0" xfId="4" applyNumberFormat="1" applyFont="1" applyBorder="1" applyAlignment="1">
      <alignment vertical="center"/>
    </xf>
    <xf numFmtId="0" fontId="23" fillId="0" borderId="5" xfId="22" applyFont="1" applyBorder="1" applyAlignment="1">
      <alignment horizontal="center" vertical="center"/>
    </xf>
    <xf numFmtId="164" fontId="23" fillId="0" borderId="5" xfId="4" applyNumberFormat="1" applyFont="1" applyBorder="1" applyAlignment="1">
      <alignment vertical="center"/>
    </xf>
    <xf numFmtId="164" fontId="23" fillId="0" borderId="2" xfId="4" applyNumberFormat="1" applyFont="1" applyBorder="1" applyAlignment="1">
      <alignment vertical="center"/>
    </xf>
    <xf numFmtId="0" fontId="23" fillId="0" borderId="5" xfId="22" applyFont="1" applyBorder="1" applyAlignment="1">
      <alignment vertical="center"/>
    </xf>
    <xf numFmtId="172" fontId="23" fillId="0" borderId="5" xfId="4" applyNumberFormat="1" applyFont="1" applyBorder="1" applyAlignment="1">
      <alignment vertical="center"/>
    </xf>
    <xf numFmtId="164" fontId="23" fillId="0" borderId="0" xfId="22" applyNumberFormat="1" applyFont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5" fillId="0" borderId="0" xfId="22" applyNumberFormat="1" applyFont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73" fontId="22" fillId="0" borderId="1" xfId="1" applyNumberFormat="1" applyFont="1" applyBorder="1" applyAlignment="1">
      <alignment horizontal="center" vertical="center"/>
    </xf>
    <xf numFmtId="164" fontId="20" fillId="0" borderId="0" xfId="22" applyNumberFormat="1" applyFont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0" fontId="26" fillId="0" borderId="3" xfId="0" applyFont="1" applyBorder="1" applyAlignment="1">
      <alignment vertical="center"/>
    </xf>
    <xf numFmtId="0" fontId="22" fillId="0" borderId="1" xfId="22" applyFont="1" applyBorder="1" applyAlignment="1">
      <alignment horizontal="center" vertical="center" wrapText="1"/>
    </xf>
    <xf numFmtId="0" fontId="22" fillId="0" borderId="1" xfId="22" applyFont="1" applyBorder="1" applyAlignment="1">
      <alignment horizontal="center" vertical="center" wrapText="1"/>
    </xf>
    <xf numFmtId="164" fontId="23" fillId="0" borderId="15" xfId="4" applyNumberFormat="1" applyFont="1" applyBorder="1" applyAlignment="1">
      <alignment horizontal="center" vertical="center"/>
    </xf>
    <xf numFmtId="164" fontId="23" fillId="0" borderId="16" xfId="4" applyNumberFormat="1" applyFont="1" applyBorder="1" applyAlignment="1">
      <alignment horizontal="center" vertical="center"/>
    </xf>
    <xf numFmtId="164" fontId="23" fillId="0" borderId="17" xfId="4" applyNumberFormat="1" applyFont="1" applyBorder="1" applyAlignment="1">
      <alignment horizontal="center" vertical="center"/>
    </xf>
    <xf numFmtId="164" fontId="21" fillId="0" borderId="0" xfId="1" applyNumberFormat="1" applyFont="1" applyAlignment="1">
      <alignment vertical="center"/>
    </xf>
    <xf numFmtId="164" fontId="21" fillId="0" borderId="0" xfId="4" applyNumberFormat="1" applyFont="1" applyAlignment="1">
      <alignment horizontal="center" vertical="center"/>
    </xf>
    <xf numFmtId="164" fontId="21" fillId="0" borderId="0" xfId="22" applyNumberFormat="1" applyFont="1" applyAlignment="1">
      <alignment horizontal="center" vertical="center"/>
    </xf>
    <xf numFmtId="164" fontId="23" fillId="0" borderId="15" xfId="4" applyNumberFormat="1" applyFont="1" applyBorder="1" applyAlignment="1">
      <alignment horizontal="center" vertical="center"/>
    </xf>
    <xf numFmtId="164" fontId="23" fillId="0" borderId="16" xfId="4" applyNumberFormat="1" applyFont="1" applyBorder="1" applyAlignment="1">
      <alignment horizontal="center" vertical="center"/>
    </xf>
    <xf numFmtId="164" fontId="23" fillId="0" borderId="17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0" fontId="23" fillId="0" borderId="2" xfId="22" applyFont="1" applyBorder="1" applyAlignment="1">
      <alignment horizontal="center" vertical="center" wrapText="1"/>
    </xf>
    <xf numFmtId="164" fontId="28" fillId="0" borderId="2" xfId="1" applyNumberFormat="1" applyFont="1" applyBorder="1" applyAlignment="1">
      <alignment horizontal="left" vertical="center"/>
    </xf>
    <xf numFmtId="164" fontId="28" fillId="0" borderId="3" xfId="1" applyNumberFormat="1" applyFont="1" applyBorder="1" applyAlignment="1">
      <alignment horizontal="left" vertical="center"/>
    </xf>
    <xf numFmtId="164" fontId="28" fillId="0" borderId="5" xfId="1" applyNumberFormat="1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14" fontId="28" fillId="0" borderId="2" xfId="0" applyNumberFormat="1" applyFont="1" applyBorder="1" applyAlignment="1">
      <alignment horizontal="center" vertical="center"/>
    </xf>
    <xf numFmtId="0" fontId="28" fillId="0" borderId="2" xfId="0" quotePrefix="1" applyFont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8" fillId="0" borderId="3" xfId="0" quotePrefix="1" applyFont="1" applyBorder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2" xfId="0" applyFont="1" applyBorder="1" applyAlignment="1">
      <alignment horizontal="left" vertical="center" wrapText="1"/>
    </xf>
    <xf numFmtId="164" fontId="22" fillId="0" borderId="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0" fontId="22" fillId="0" borderId="1" xfId="22" applyFont="1" applyBorder="1" applyAlignment="1">
      <alignment horizontal="center" vertical="center" wrapText="1"/>
    </xf>
    <xf numFmtId="0" fontId="22" fillId="0" borderId="0" xfId="22" applyFont="1" applyBorder="1" applyAlignment="1">
      <alignment vertical="center"/>
    </xf>
    <xf numFmtId="0" fontId="22" fillId="0" borderId="1" xfId="22" applyFont="1" applyBorder="1" applyAlignment="1">
      <alignment horizontal="center" vertical="center" wrapText="1"/>
    </xf>
    <xf numFmtId="164" fontId="29" fillId="0" borderId="0" xfId="1" applyNumberFormat="1" applyFont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0" fontId="22" fillId="0" borderId="1" xfId="22" applyFont="1" applyBorder="1" applyAlignment="1">
      <alignment horizontal="center" vertical="center" wrapText="1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43" fontId="23" fillId="0" borderId="3" xfId="1" applyFont="1" applyBorder="1" applyAlignment="1">
      <alignment vertical="center"/>
    </xf>
    <xf numFmtId="14" fontId="23" fillId="0" borderId="4" xfId="22" applyNumberFormat="1" applyFont="1" applyBorder="1" applyAlignment="1">
      <alignment horizontal="center" vertical="center"/>
    </xf>
    <xf numFmtId="0" fontId="23" fillId="0" borderId="4" xfId="22" applyFont="1" applyBorder="1" applyAlignment="1">
      <alignment horizontal="center" vertical="center"/>
    </xf>
    <xf numFmtId="164" fontId="23" fillId="0" borderId="4" xfId="1" applyNumberFormat="1" applyFont="1" applyBorder="1" applyAlignment="1">
      <alignment horizontal="center" vertical="center"/>
    </xf>
    <xf numFmtId="164" fontId="23" fillId="0" borderId="4" xfId="4" applyNumberFormat="1" applyFont="1" applyBorder="1" applyAlignment="1">
      <alignment horizontal="center" vertical="center"/>
    </xf>
    <xf numFmtId="164" fontId="22" fillId="0" borderId="0" xfId="1" applyNumberFormat="1" applyFont="1" applyBorder="1" applyAlignment="1">
      <alignment vertical="center"/>
    </xf>
    <xf numFmtId="0" fontId="21" fillId="0" borderId="0" xfId="22" applyFont="1" applyBorder="1" applyAlignment="1">
      <alignment vertical="center" wrapText="1"/>
    </xf>
    <xf numFmtId="164" fontId="21" fillId="0" borderId="0" xfId="1" applyNumberFormat="1" applyFont="1" applyBorder="1" applyAlignment="1">
      <alignment horizontal="center" vertical="center" wrapText="1"/>
    </xf>
    <xf numFmtId="164" fontId="21" fillId="0" borderId="0" xfId="4" applyNumberFormat="1" applyFont="1" applyBorder="1" applyAlignment="1">
      <alignment vertical="center" wrapText="1"/>
    </xf>
    <xf numFmtId="164" fontId="21" fillId="0" borderId="0" xfId="4" applyNumberFormat="1" applyFont="1" applyBorder="1" applyAlignment="1">
      <alignment horizontal="center" vertical="center" wrapText="1"/>
    </xf>
    <xf numFmtId="0" fontId="23" fillId="0" borderId="0" xfId="22" applyFont="1" applyBorder="1" applyAlignment="1">
      <alignment horizontal="center" vertical="center"/>
    </xf>
    <xf numFmtId="0" fontId="23" fillId="0" borderId="0" xfId="22" applyFont="1" applyBorder="1" applyAlignment="1">
      <alignment vertical="center"/>
    </xf>
    <xf numFmtId="164" fontId="23" fillId="0" borderId="0" xfId="1" applyNumberFormat="1" applyFont="1" applyBorder="1" applyAlignment="1">
      <alignment vertical="center"/>
    </xf>
    <xf numFmtId="164" fontId="23" fillId="0" borderId="0" xfId="4" applyNumberFormat="1" applyFont="1" applyBorder="1" applyAlignment="1">
      <alignment vertical="center"/>
    </xf>
    <xf numFmtId="164" fontId="23" fillId="0" borderId="0" xfId="4" applyNumberFormat="1" applyFont="1" applyBorder="1" applyAlignment="1">
      <alignment horizontal="center" vertical="center"/>
    </xf>
    <xf numFmtId="0" fontId="20" fillId="0" borderId="0" xfId="22" applyFont="1" applyBorder="1" applyAlignment="1">
      <alignment vertical="center"/>
    </xf>
    <xf numFmtId="164" fontId="20" fillId="0" borderId="0" xfId="1" applyNumberFormat="1" applyFont="1" applyBorder="1" applyAlignment="1">
      <alignment vertical="center"/>
    </xf>
    <xf numFmtId="164" fontId="20" fillId="0" borderId="0" xfId="4" applyNumberFormat="1" applyFont="1" applyBorder="1" applyAlignment="1">
      <alignment vertical="center"/>
    </xf>
    <xf numFmtId="164" fontId="20" fillId="0" borderId="0" xfId="4" applyNumberFormat="1" applyFont="1" applyBorder="1" applyAlignment="1">
      <alignment horizontal="center" vertical="center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164" fontId="23" fillId="0" borderId="5" xfId="1" applyNumberFormat="1" applyFont="1" applyBorder="1" applyAlignment="1">
      <alignment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4" fontId="28" fillId="0" borderId="2" xfId="1" applyNumberFormat="1" applyFont="1" applyBorder="1" applyAlignment="1">
      <alignment horizontal="center" vertical="center"/>
    </xf>
    <xf numFmtId="43" fontId="28" fillId="0" borderId="2" xfId="1" applyFont="1" applyBorder="1" applyAlignment="1">
      <alignment horizontal="center" vertical="center"/>
    </xf>
    <xf numFmtId="43" fontId="28" fillId="0" borderId="2" xfId="1" applyFont="1" applyBorder="1" applyAlignment="1">
      <alignment horizontal="center" vertical="center"/>
    </xf>
    <xf numFmtId="14" fontId="28" fillId="0" borderId="2" xfId="0" applyNumberFormat="1" applyFont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14" fontId="28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43" fontId="28" fillId="0" borderId="3" xfId="1" applyFont="1" applyBorder="1" applyAlignment="1">
      <alignment horizontal="center" vertical="center"/>
    </xf>
    <xf numFmtId="164" fontId="28" fillId="0" borderId="3" xfId="1" applyNumberFormat="1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4" fontId="28" fillId="0" borderId="5" xfId="0" applyNumberFormat="1" applyFont="1" applyBorder="1" applyAlignment="1">
      <alignment horizontal="center" vertical="center"/>
    </xf>
    <xf numFmtId="164" fontId="28" fillId="0" borderId="4" xfId="1" applyNumberFormat="1" applyFont="1" applyBorder="1" applyAlignment="1">
      <alignment horizontal="center" vertical="center"/>
    </xf>
    <xf numFmtId="43" fontId="28" fillId="0" borderId="4" xfId="1" applyFont="1" applyBorder="1" applyAlignment="1">
      <alignment horizontal="center" vertical="center"/>
    </xf>
    <xf numFmtId="0" fontId="28" fillId="0" borderId="3" xfId="22" applyFont="1" applyBorder="1" applyAlignment="1">
      <alignment vertical="center"/>
    </xf>
    <xf numFmtId="164" fontId="28" fillId="0" borderId="15" xfId="4" applyNumberFormat="1" applyFont="1" applyBorder="1" applyAlignment="1">
      <alignment horizontal="center" vertical="center"/>
    </xf>
    <xf numFmtId="164" fontId="28" fillId="0" borderId="3" xfId="4" applyNumberFormat="1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0" fontId="32" fillId="0" borderId="5" xfId="0" applyFont="1" applyBorder="1" applyAlignment="1">
      <alignment vertical="center"/>
    </xf>
    <xf numFmtId="164" fontId="28" fillId="0" borderId="5" xfId="4" applyNumberFormat="1" applyFont="1" applyBorder="1" applyAlignment="1">
      <alignment vertical="center"/>
    </xf>
    <xf numFmtId="164" fontId="27" fillId="0" borderId="0" xfId="0" applyNumberFormat="1" applyFont="1" applyAlignment="1">
      <alignment vertical="center"/>
    </xf>
    <xf numFmtId="164" fontId="28" fillId="0" borderId="24" xfId="4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vertical="center"/>
    </xf>
    <xf numFmtId="43" fontId="5" fillId="0" borderId="1" xfId="1" applyFont="1" applyBorder="1" applyAlignment="1">
      <alignment vertical="center"/>
    </xf>
    <xf numFmtId="164" fontId="28" fillId="0" borderId="5" xfId="1" applyNumberFormat="1" applyFont="1" applyBorder="1" applyAlignment="1">
      <alignment vertical="center"/>
    </xf>
    <xf numFmtId="0" fontId="28" fillId="0" borderId="2" xfId="22" applyFont="1" applyBorder="1" applyAlignment="1">
      <alignment vertical="center"/>
    </xf>
    <xf numFmtId="164" fontId="20" fillId="0" borderId="0" xfId="1" applyNumberFormat="1" applyFont="1" applyAlignment="1">
      <alignment horizontal="center" vertical="center"/>
    </xf>
    <xf numFmtId="164" fontId="23" fillId="0" borderId="15" xfId="4" applyNumberFormat="1" applyFont="1" applyBorder="1" applyAlignment="1">
      <alignment horizontal="center" vertical="center"/>
    </xf>
    <xf numFmtId="164" fontId="23" fillId="0" borderId="16" xfId="4" applyNumberFormat="1" applyFont="1" applyBorder="1" applyAlignment="1">
      <alignment horizontal="center" vertical="center"/>
    </xf>
    <xf numFmtId="164" fontId="23" fillId="0" borderId="17" xfId="4" applyNumberFormat="1" applyFont="1" applyBorder="1" applyAlignment="1">
      <alignment horizontal="center" vertical="center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22" fillId="0" borderId="1" xfId="22" applyFont="1" applyBorder="1" applyAlignment="1">
      <alignment horizontal="center" vertical="center" wrapText="1"/>
    </xf>
    <xf numFmtId="164" fontId="28" fillId="0" borderId="3" xfId="1" applyNumberFormat="1" applyFont="1" applyBorder="1" applyAlignment="1">
      <alignment horizontal="center" vertical="center"/>
    </xf>
    <xf numFmtId="0" fontId="23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34" fillId="0" borderId="0" xfId="0" applyFont="1"/>
    <xf numFmtId="0" fontId="35" fillId="0" borderId="0" xfId="0" applyFont="1" applyAlignment="1">
      <alignment vertical="center"/>
    </xf>
    <xf numFmtId="164" fontId="23" fillId="0" borderId="0" xfId="1" applyNumberFormat="1" applyFont="1" applyAlignment="1">
      <alignment vertical="center"/>
    </xf>
    <xf numFmtId="164" fontId="22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164" fontId="23" fillId="0" borderId="0" xfId="0" applyNumberFormat="1" applyFont="1" applyAlignment="1">
      <alignment horizontal="center" vertical="center"/>
    </xf>
    <xf numFmtId="43" fontId="28" fillId="0" borderId="4" xfId="1" applyFont="1" applyBorder="1" applyAlignment="1">
      <alignment horizontal="center" vertical="center"/>
    </xf>
    <xf numFmtId="43" fontId="28" fillId="0" borderId="2" xfId="1" applyFont="1" applyBorder="1" applyAlignment="1">
      <alignment horizontal="center" vertical="center"/>
    </xf>
    <xf numFmtId="164" fontId="28" fillId="0" borderId="4" xfId="1" applyNumberFormat="1" applyFont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4" fontId="28" fillId="0" borderId="5" xfId="0" applyNumberFormat="1" applyFont="1" applyBorder="1" applyAlignment="1">
      <alignment horizontal="center" vertical="center"/>
    </xf>
    <xf numFmtId="14" fontId="28" fillId="0" borderId="2" xfId="0" applyNumberFormat="1" applyFont="1" applyBorder="1" applyAlignment="1">
      <alignment horizontal="center" vertical="center"/>
    </xf>
    <xf numFmtId="164" fontId="28" fillId="0" borderId="3" xfId="1" applyNumberFormat="1" applyFont="1" applyBorder="1" applyAlignment="1">
      <alignment horizontal="center" vertical="center"/>
    </xf>
    <xf numFmtId="43" fontId="28" fillId="0" borderId="3" xfId="1" applyFont="1" applyBorder="1" applyAlignment="1">
      <alignment horizontal="center" vertical="center"/>
    </xf>
    <xf numFmtId="14" fontId="28" fillId="0" borderId="3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3" fillId="0" borderId="2" xfId="22" applyFont="1" applyBorder="1" applyAlignment="1">
      <alignment horizontal="left" vertical="center"/>
    </xf>
    <xf numFmtId="0" fontId="19" fillId="0" borderId="0" xfId="22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4" fontId="28" fillId="0" borderId="2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4" fontId="28" fillId="0" borderId="0" xfId="1" applyNumberFormat="1" applyFont="1" applyAlignment="1">
      <alignment vertical="center"/>
    </xf>
    <xf numFmtId="164" fontId="28" fillId="0" borderId="0" xfId="0" applyNumberFormat="1" applyFont="1" applyAlignment="1">
      <alignment vertical="center"/>
    </xf>
    <xf numFmtId="14" fontId="28" fillId="0" borderId="12" xfId="0" applyNumberFormat="1" applyFont="1" applyBorder="1" applyAlignment="1">
      <alignment vertical="center"/>
    </xf>
    <xf numFmtId="43" fontId="28" fillId="0" borderId="12" xfId="1" applyFont="1" applyBorder="1" applyAlignment="1">
      <alignment vertical="center"/>
    </xf>
    <xf numFmtId="164" fontId="28" fillId="0" borderId="12" xfId="1" applyNumberFormat="1" applyFont="1" applyBorder="1" applyAlignment="1">
      <alignment vertical="center"/>
    </xf>
    <xf numFmtId="14" fontId="28" fillId="0" borderId="3" xfId="0" applyNumberFormat="1" applyFont="1" applyBorder="1" applyAlignment="1">
      <alignment vertical="center"/>
    </xf>
    <xf numFmtId="43" fontId="28" fillId="0" borderId="3" xfId="1" applyFont="1" applyBorder="1" applyAlignment="1">
      <alignment vertical="center"/>
    </xf>
    <xf numFmtId="164" fontId="28" fillId="0" borderId="3" xfId="1" applyNumberFormat="1" applyFont="1" applyBorder="1" applyAlignment="1">
      <alignment vertical="center"/>
    </xf>
    <xf numFmtId="14" fontId="28" fillId="0" borderId="13" xfId="0" applyNumberFormat="1" applyFont="1" applyBorder="1" applyAlignment="1">
      <alignment horizontal="center" vertical="center"/>
    </xf>
    <xf numFmtId="43" fontId="28" fillId="0" borderId="13" xfId="1" applyFont="1" applyBorder="1" applyAlignment="1">
      <alignment horizontal="center" vertical="center"/>
    </xf>
    <xf numFmtId="0" fontId="36" fillId="0" borderId="25" xfId="0" applyFont="1" applyBorder="1" applyAlignment="1">
      <alignment vertical="center"/>
    </xf>
    <xf numFmtId="43" fontId="28" fillId="0" borderId="2" xfId="1" applyFont="1" applyBorder="1" applyAlignment="1">
      <alignment horizontal="center" vertical="center"/>
    </xf>
    <xf numFmtId="164" fontId="28" fillId="0" borderId="4" xfId="1" applyNumberFormat="1" applyFont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4" fontId="28" fillId="0" borderId="2" xfId="0" applyNumberFormat="1" applyFont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43" fontId="28" fillId="0" borderId="2" xfId="1" applyFont="1" applyBorder="1" applyAlignment="1">
      <alignment horizontal="center" vertical="center"/>
    </xf>
    <xf numFmtId="14" fontId="28" fillId="0" borderId="3" xfId="0" applyNumberFormat="1" applyFont="1" applyBorder="1" applyAlignment="1">
      <alignment horizontal="center" vertical="center"/>
    </xf>
    <xf numFmtId="14" fontId="28" fillId="0" borderId="3" xfId="0" applyNumberFormat="1" applyFont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43" fontId="28" fillId="0" borderId="2" xfId="1" applyFont="1" applyBorder="1" applyAlignment="1">
      <alignment horizontal="center" vertical="center"/>
    </xf>
    <xf numFmtId="14" fontId="28" fillId="0" borderId="3" xfId="0" applyNumberFormat="1" applyFont="1" applyBorder="1" applyAlignment="1">
      <alignment horizontal="center" vertical="center"/>
    </xf>
    <xf numFmtId="164" fontId="28" fillId="0" borderId="5" xfId="1" applyNumberFormat="1" applyFont="1" applyBorder="1" applyAlignment="1">
      <alignment horizontal="center" vertical="center"/>
    </xf>
    <xf numFmtId="164" fontId="28" fillId="0" borderId="4" xfId="1" applyNumberFormat="1" applyFont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64" fontId="28" fillId="0" borderId="3" xfId="1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43" fontId="28" fillId="0" borderId="2" xfId="1" applyFont="1" applyBorder="1" applyAlignment="1">
      <alignment horizontal="center" vertical="center"/>
    </xf>
    <xf numFmtId="43" fontId="28" fillId="0" borderId="3" xfId="1" applyFont="1" applyBorder="1" applyAlignment="1">
      <alignment horizontal="center" vertical="center"/>
    </xf>
    <xf numFmtId="14" fontId="28" fillId="0" borderId="2" xfId="0" applyNumberFormat="1" applyFont="1" applyBorder="1" applyAlignment="1">
      <alignment horizontal="center" vertical="center"/>
    </xf>
    <xf numFmtId="14" fontId="28" fillId="0" borderId="3" xfId="0" applyNumberFormat="1" applyFont="1" applyBorder="1" applyAlignment="1">
      <alignment horizontal="center" vertical="center"/>
    </xf>
    <xf numFmtId="43" fontId="28" fillId="0" borderId="5" xfId="1" applyFont="1" applyBorder="1" applyAlignment="1">
      <alignment horizontal="center" vertical="center"/>
    </xf>
    <xf numFmtId="43" fontId="28" fillId="0" borderId="4" xfId="1" applyFont="1" applyBorder="1" applyAlignment="1">
      <alignment horizontal="center" vertical="center"/>
    </xf>
    <xf numFmtId="14" fontId="28" fillId="0" borderId="5" xfId="0" applyNumberFormat="1" applyFont="1" applyBorder="1" applyAlignment="1">
      <alignment horizontal="center" vertical="center"/>
    </xf>
    <xf numFmtId="14" fontId="28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22" fillId="0" borderId="6" xfId="4" applyNumberFormat="1" applyFont="1" applyBorder="1" applyAlignment="1">
      <alignment horizontal="center" vertical="center"/>
    </xf>
    <xf numFmtId="164" fontId="22" fillId="0" borderId="7" xfId="4" applyNumberFormat="1" applyFont="1" applyBorder="1" applyAlignment="1">
      <alignment horizontal="center" vertical="center"/>
    </xf>
    <xf numFmtId="164" fontId="22" fillId="0" borderId="8" xfId="4" applyNumberFormat="1" applyFont="1" applyBorder="1" applyAlignment="1">
      <alignment horizontal="center" vertical="center"/>
    </xf>
    <xf numFmtId="164" fontId="23" fillId="0" borderId="15" xfId="4" applyNumberFormat="1" applyFont="1" applyBorder="1" applyAlignment="1">
      <alignment horizontal="center" vertical="center"/>
    </xf>
    <xf numFmtId="164" fontId="23" fillId="0" borderId="16" xfId="4" applyNumberFormat="1" applyFont="1" applyBorder="1" applyAlignment="1">
      <alignment horizontal="center" vertical="center"/>
    </xf>
    <xf numFmtId="164" fontId="23" fillId="0" borderId="17" xfId="4" applyNumberFormat="1" applyFont="1" applyBorder="1" applyAlignment="1">
      <alignment horizontal="center" vertical="center"/>
    </xf>
    <xf numFmtId="164" fontId="22" fillId="0" borderId="6" xfId="4" applyNumberFormat="1" applyFont="1" applyBorder="1" applyAlignment="1">
      <alignment horizontal="center" vertical="center" wrapText="1"/>
    </xf>
    <xf numFmtId="164" fontId="22" fillId="0" borderId="7" xfId="4" applyNumberFormat="1" applyFont="1" applyBorder="1" applyAlignment="1">
      <alignment horizontal="center" vertical="center" wrapText="1"/>
    </xf>
    <xf numFmtId="164" fontId="22" fillId="0" borderId="8" xfId="4" applyNumberFormat="1" applyFont="1" applyBorder="1" applyAlignment="1">
      <alignment horizontal="center" vertical="center" wrapText="1"/>
    </xf>
    <xf numFmtId="0" fontId="19" fillId="0" borderId="0" xfId="22" applyFont="1" applyAlignment="1">
      <alignment horizontal="center" vertical="center"/>
    </xf>
    <xf numFmtId="164" fontId="23" fillId="0" borderId="6" xfId="4" applyNumberFormat="1" applyFont="1" applyBorder="1" applyAlignment="1">
      <alignment horizontal="center" vertical="center"/>
    </xf>
    <xf numFmtId="164" fontId="23" fillId="0" borderId="7" xfId="4" applyNumberFormat="1" applyFont="1" applyBorder="1" applyAlignment="1">
      <alignment horizontal="center" vertical="center"/>
    </xf>
    <xf numFmtId="164" fontId="23" fillId="0" borderId="8" xfId="4" applyNumberFormat="1" applyFont="1" applyBorder="1" applyAlignment="1">
      <alignment horizontal="center" vertical="center"/>
    </xf>
    <xf numFmtId="164" fontId="23" fillId="0" borderId="21" xfId="4" applyNumberFormat="1" applyFont="1" applyBorder="1" applyAlignment="1">
      <alignment horizontal="center" vertical="center"/>
    </xf>
    <xf numFmtId="164" fontId="23" fillId="0" borderId="22" xfId="4" applyNumberFormat="1" applyFont="1" applyBorder="1" applyAlignment="1">
      <alignment horizontal="center" vertical="center"/>
    </xf>
    <xf numFmtId="164" fontId="23" fillId="0" borderId="23" xfId="4" applyNumberFormat="1" applyFont="1" applyBorder="1" applyAlignment="1">
      <alignment horizontal="center" vertical="center"/>
    </xf>
    <xf numFmtId="164" fontId="23" fillId="0" borderId="18" xfId="4" applyNumberFormat="1" applyFont="1" applyBorder="1" applyAlignment="1">
      <alignment horizontal="center" vertical="center"/>
    </xf>
    <xf numFmtId="164" fontId="23" fillId="0" borderId="19" xfId="4" applyNumberFormat="1" applyFont="1" applyBorder="1" applyAlignment="1">
      <alignment horizontal="center" vertical="center"/>
    </xf>
    <xf numFmtId="164" fontId="23" fillId="0" borderId="20" xfId="4" applyNumberFormat="1" applyFont="1" applyBorder="1" applyAlignment="1">
      <alignment horizontal="center" vertical="center"/>
    </xf>
    <xf numFmtId="0" fontId="19" fillId="0" borderId="0" xfId="22" applyFont="1" applyBorder="1" applyAlignment="1">
      <alignment horizontal="center" vertical="center" wrapText="1"/>
    </xf>
    <xf numFmtId="0" fontId="19" fillId="0" borderId="0" xfId="22" applyFont="1" applyAlignment="1">
      <alignment horizontal="center" vertical="center" wrapText="1"/>
    </xf>
    <xf numFmtId="0" fontId="22" fillId="0" borderId="1" xfId="22" applyFont="1" applyBorder="1" applyAlignment="1">
      <alignment horizontal="center" vertical="center" wrapText="1"/>
    </xf>
    <xf numFmtId="0" fontId="23" fillId="0" borderId="2" xfId="22" applyFont="1" applyBorder="1" applyAlignment="1">
      <alignment horizontal="left" vertical="center"/>
    </xf>
    <xf numFmtId="0" fontId="23" fillId="0" borderId="3" xfId="22" applyFont="1" applyBorder="1" applyAlignment="1">
      <alignment horizontal="left" vertical="center"/>
    </xf>
    <xf numFmtId="0" fontId="23" fillId="0" borderId="13" xfId="22" applyFont="1" applyBorder="1" applyAlignment="1">
      <alignment horizontal="left" vertical="center"/>
    </xf>
    <xf numFmtId="0" fontId="23" fillId="0" borderId="1" xfId="22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43" fontId="28" fillId="0" borderId="26" xfId="1" applyFont="1" applyBorder="1" applyAlignment="1">
      <alignment horizontal="center" vertical="center"/>
    </xf>
  </cellXfs>
  <cellStyles count="39">
    <cellStyle name="cg" xfId="2"/>
    <cellStyle name="Comma" xfId="1" builtinId="3"/>
    <cellStyle name="Comma 2" xfId="3"/>
    <cellStyle name="Comma 3" xfId="4"/>
    <cellStyle name="Comma 4" xfId="5"/>
    <cellStyle name="Comma 5" xfId="6"/>
    <cellStyle name="Comma 6" xfId="7"/>
    <cellStyle name="Comma0" xfId="8"/>
    <cellStyle name="Currency0" xfId="9"/>
    <cellStyle name="Date" xfId="10"/>
    <cellStyle name="f1" xfId="11"/>
    <cellStyle name="f2" xfId="12"/>
    <cellStyle name="Fixed" xfId="13"/>
    <cellStyle name="Header1" xfId="14"/>
    <cellStyle name="Header2" xfId="15"/>
    <cellStyle name="k0" xfId="16"/>
    <cellStyle name="k1" xfId="17"/>
    <cellStyle name="k2" xfId="18"/>
    <cellStyle name="k3" xfId="19"/>
    <cellStyle name="moi" xfId="20"/>
    <cellStyle name="Normal" xfId="0" builtinId="0"/>
    <cellStyle name="Normal 2" xfId="21"/>
    <cellStyle name="Normal 3" xfId="22"/>
    <cellStyle name="Normal 4" xfId="23"/>
    <cellStyle name="Normal 4 2" xfId="38"/>
    <cellStyle name="Normal 5" xfId="24"/>
    <cellStyle name="Normal_CHI PHI HANG CHÚ NGUYÊN" xfId="25"/>
    <cellStyle name="TD1" xfId="26"/>
    <cellStyle name="똿뗦먛귟 [0.00]_PRODUCT DETAIL Q1" xfId="27"/>
    <cellStyle name="똿뗦먛귟_PRODUCT DETAIL Q1" xfId="28"/>
    <cellStyle name="믅됞 [0.00]_PRODUCT DETAIL Q1" xfId="29"/>
    <cellStyle name="믅됞_PRODUCT DETAIL Q1" xfId="30"/>
    <cellStyle name="백분율_HOBONG" xfId="31"/>
    <cellStyle name="뷭?_BOOKSHIP" xfId="32"/>
    <cellStyle name="콤마 [0]_1202" xfId="33"/>
    <cellStyle name="콤마_1202" xfId="34"/>
    <cellStyle name="통화 [0]_1202" xfId="35"/>
    <cellStyle name="통화_1202" xfId="36"/>
    <cellStyle name="표준_(정보부문)월별인원계획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190494</xdr:colOff>
      <xdr:row>0</xdr:row>
      <xdr:rowOff>95250</xdr:rowOff>
    </xdr:from>
    <xdr:to>
      <xdr:col>1</xdr:col>
      <xdr:colOff>571494</xdr:colOff>
      <xdr:row>1</xdr:row>
      <xdr:rowOff>142875</xdr:rowOff>
    </xdr:to>
    <xdr:pic>
      <xdr:nvPicPr>
        <xdr:cNvPr id="2" name="Picture 1" descr="LOGO copy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7994" y="95250"/>
          <a:ext cx="381000" cy="280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U109"/>
  <sheetViews>
    <sheetView topLeftCell="A17" zoomScale="90" zoomScaleNormal="90" workbookViewId="0">
      <pane ySplit="2" topLeftCell="A55" activePane="bottomLeft" state="frozen"/>
      <selection activeCell="A19" sqref="A19:XFD19"/>
      <selection pane="bottomLeft" activeCell="A19" sqref="A19:XFD19"/>
    </sheetView>
  </sheetViews>
  <sheetFormatPr defaultColWidth="10.7109375" defaultRowHeight="18" customHeight="1"/>
  <cols>
    <col min="1" max="1" width="4.7109375" customWidth="1"/>
    <col min="2" max="2" width="9.28515625" customWidth="1"/>
    <col min="3" max="3" width="28.7109375" hidden="1" customWidth="1"/>
    <col min="4" max="4" width="13.85546875" hidden="1" customWidth="1"/>
    <col min="5" max="5" width="12.7109375" hidden="1" customWidth="1"/>
    <col min="6" max="6" width="9.85546875" customWidth="1"/>
    <col min="7" max="7" width="6.5703125" customWidth="1"/>
    <col min="8" max="8" width="10.42578125" hidden="1" customWidth="1"/>
    <col min="9" max="9" width="12.140625" customWidth="1"/>
    <col min="10" max="10" width="8.140625" customWidth="1"/>
    <col min="11" max="11" width="7.7109375" customWidth="1"/>
    <col min="12" max="12" width="12" customWidth="1"/>
    <col min="13" max="13" width="8" customWidth="1"/>
    <col min="14" max="14" width="15" customWidth="1"/>
    <col min="15" max="15" width="10.5703125" customWidth="1"/>
    <col min="16" max="16" width="14.85546875" customWidth="1"/>
    <col min="17" max="17" width="22.7109375" customWidth="1"/>
    <col min="18" max="18" width="10.5703125" customWidth="1"/>
    <col min="19" max="19" width="14.85546875" customWidth="1"/>
    <col min="20" max="20" width="13.140625" customWidth="1"/>
    <col min="21" max="21" width="17" customWidth="1"/>
  </cols>
  <sheetData>
    <row r="1" spans="1:21" ht="18" customHeight="1">
      <c r="A1" s="277"/>
      <c r="B1" s="236"/>
      <c r="C1" s="236"/>
      <c r="D1" s="236"/>
      <c r="E1" s="236"/>
      <c r="F1" s="237" t="s">
        <v>416</v>
      </c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</row>
    <row r="2" spans="1:21" ht="18" customHeight="1">
      <c r="A2" s="236"/>
      <c r="B2" s="236"/>
      <c r="C2" s="236"/>
      <c r="D2" s="236"/>
      <c r="E2" s="236"/>
      <c r="F2" s="236" t="s">
        <v>415</v>
      </c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</row>
    <row r="3" spans="1:21" ht="9.75" customHeight="1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</row>
    <row r="4" spans="1:21" ht="35.25" customHeight="1">
      <c r="A4" s="236"/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80" t="s">
        <v>417</v>
      </c>
      <c r="O4" s="236"/>
      <c r="P4" s="236"/>
      <c r="Q4" s="236"/>
      <c r="R4" s="236"/>
      <c r="S4" s="236"/>
      <c r="T4" s="236"/>
      <c r="U4" s="236"/>
    </row>
    <row r="5" spans="1:21" ht="18" customHeight="1">
      <c r="A5" s="236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 t="s">
        <v>418</v>
      </c>
      <c r="T5" s="236"/>
      <c r="U5" s="236"/>
    </row>
    <row r="6" spans="1:21" s="283" customFormat="1" ht="18" customHeight="1">
      <c r="A6" s="281"/>
      <c r="B6" s="281"/>
      <c r="C6" s="281"/>
      <c r="D6" s="281"/>
      <c r="E6" s="281"/>
      <c r="F6" s="282" t="s">
        <v>419</v>
      </c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</row>
    <row r="7" spans="1:21" s="283" customFormat="1" ht="18" customHeight="1">
      <c r="A7" s="281"/>
      <c r="B7" s="281"/>
      <c r="C7" s="281"/>
      <c r="D7" s="281"/>
      <c r="E7" s="281"/>
      <c r="F7" s="281"/>
      <c r="G7" s="281" t="s">
        <v>420</v>
      </c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</row>
    <row r="8" spans="1:21" s="283" customFormat="1" ht="18" customHeight="1">
      <c r="A8" s="281"/>
      <c r="B8" s="281"/>
      <c r="C8" s="281"/>
      <c r="D8" s="281"/>
      <c r="E8" s="281"/>
      <c r="F8" s="281"/>
      <c r="G8" s="281" t="s">
        <v>421</v>
      </c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</row>
    <row r="9" spans="1:21" s="283" customFormat="1" ht="18" customHeight="1">
      <c r="A9" s="281"/>
      <c r="B9" s="281"/>
      <c r="C9" s="281"/>
      <c r="D9" s="281"/>
      <c r="E9" s="281"/>
      <c r="F9" s="281"/>
      <c r="G9" s="282" t="s">
        <v>422</v>
      </c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</row>
    <row r="10" spans="1:21" s="283" customFormat="1" ht="18" customHeight="1">
      <c r="A10" s="281"/>
      <c r="B10" s="281"/>
      <c r="C10" s="281"/>
      <c r="D10" s="281"/>
      <c r="E10" s="281"/>
      <c r="F10" s="282" t="s">
        <v>423</v>
      </c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</row>
    <row r="11" spans="1:21" s="283" customFormat="1" ht="18" customHeight="1">
      <c r="A11" s="281"/>
      <c r="B11" s="281"/>
      <c r="C11" s="281"/>
      <c r="D11" s="281"/>
      <c r="E11" s="281"/>
      <c r="F11" s="282"/>
      <c r="G11" s="281" t="s">
        <v>424</v>
      </c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</row>
    <row r="12" spans="1:21" s="283" customFormat="1" ht="18" customHeight="1">
      <c r="A12" s="281"/>
      <c r="B12" s="281"/>
      <c r="C12" s="281"/>
      <c r="D12" s="281"/>
      <c r="E12" s="281"/>
      <c r="F12" s="282"/>
      <c r="G12" s="281" t="s">
        <v>425</v>
      </c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</row>
    <row r="13" spans="1:21" s="283" customFormat="1" ht="18" customHeight="1">
      <c r="A13" s="281"/>
      <c r="B13" s="281"/>
      <c r="C13" s="281"/>
      <c r="D13" s="281"/>
      <c r="E13" s="281"/>
      <c r="F13" s="282"/>
      <c r="G13" s="282" t="s">
        <v>426</v>
      </c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</row>
    <row r="14" spans="1:21" s="283" customFormat="1" ht="7.5" customHeight="1">
      <c r="A14" s="281"/>
      <c r="B14" s="281"/>
      <c r="C14" s="281"/>
      <c r="D14" s="281"/>
      <c r="E14" s="281"/>
      <c r="F14" s="282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</row>
    <row r="15" spans="1:21" s="283" customFormat="1" ht="18" customHeight="1">
      <c r="A15" s="281"/>
      <c r="B15" s="281"/>
      <c r="C15" s="281"/>
      <c r="D15" s="281"/>
      <c r="E15" s="281"/>
      <c r="F15" s="282" t="s">
        <v>427</v>
      </c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</row>
    <row r="16" spans="1:21" ht="12.75" customHeight="1">
      <c r="A16" s="236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</row>
    <row r="17" spans="1:21" ht="24" customHeight="1">
      <c r="A17" s="337" t="s">
        <v>428</v>
      </c>
      <c r="B17" s="337" t="s">
        <v>434</v>
      </c>
      <c r="C17" s="338" t="s">
        <v>2</v>
      </c>
      <c r="D17" s="338"/>
      <c r="E17" s="338"/>
      <c r="F17" s="338" t="s">
        <v>435</v>
      </c>
      <c r="G17" s="338"/>
      <c r="H17" s="338"/>
      <c r="I17" s="338"/>
      <c r="J17" s="337" t="s">
        <v>439</v>
      </c>
      <c r="K17" s="338"/>
      <c r="L17" s="338"/>
      <c r="M17" s="338"/>
      <c r="N17" s="338"/>
      <c r="O17" s="338"/>
      <c r="P17" s="338"/>
      <c r="Q17" s="337" t="s">
        <v>444</v>
      </c>
      <c r="R17" s="337"/>
      <c r="S17" s="337"/>
      <c r="T17" s="337" t="s">
        <v>449</v>
      </c>
      <c r="U17" s="337" t="s">
        <v>448</v>
      </c>
    </row>
    <row r="18" spans="1:21" s="279" customFormat="1" ht="48.75" customHeight="1">
      <c r="A18" s="337"/>
      <c r="B18" s="337" t="s">
        <v>1</v>
      </c>
      <c r="C18" s="278" t="s">
        <v>4</v>
      </c>
      <c r="D18" s="278" t="s">
        <v>5</v>
      </c>
      <c r="E18" s="278" t="s">
        <v>6</v>
      </c>
      <c r="F18" s="278" t="s">
        <v>436</v>
      </c>
      <c r="G18" s="278" t="s">
        <v>437</v>
      </c>
      <c r="H18" s="278" t="s">
        <v>411</v>
      </c>
      <c r="I18" s="278" t="s">
        <v>438</v>
      </c>
      <c r="J18" s="278" t="s">
        <v>440</v>
      </c>
      <c r="K18" s="278" t="s">
        <v>441</v>
      </c>
      <c r="L18" s="278" t="s">
        <v>442</v>
      </c>
      <c r="M18" s="278" t="s">
        <v>51</v>
      </c>
      <c r="N18" s="278" t="s">
        <v>443</v>
      </c>
      <c r="O18" s="278" t="s">
        <v>446</v>
      </c>
      <c r="P18" s="278" t="s">
        <v>443</v>
      </c>
      <c r="Q18" s="278" t="s">
        <v>445</v>
      </c>
      <c r="R18" s="278" t="s">
        <v>446</v>
      </c>
      <c r="S18" s="278" t="s">
        <v>447</v>
      </c>
      <c r="T18" s="337"/>
      <c r="U18" s="337"/>
    </row>
    <row r="19" spans="1:21" ht="18" customHeight="1">
      <c r="A19" s="144">
        <v>1</v>
      </c>
      <c r="B19" s="151">
        <v>42589</v>
      </c>
      <c r="C19" s="144" t="s">
        <v>10</v>
      </c>
      <c r="D19" s="144" t="s">
        <v>11</v>
      </c>
      <c r="E19" s="144">
        <v>3290158</v>
      </c>
      <c r="F19" s="238">
        <v>26000</v>
      </c>
      <c r="G19" s="239">
        <v>2.85</v>
      </c>
      <c r="H19" s="239">
        <f>F19*G19</f>
        <v>74100</v>
      </c>
      <c r="I19" s="339">
        <f>H19+H20</f>
        <v>148200</v>
      </c>
      <c r="J19" s="341">
        <v>42627</v>
      </c>
      <c r="K19" s="339">
        <f>I19-L19</f>
        <v>12</v>
      </c>
      <c r="L19" s="339">
        <v>148188</v>
      </c>
      <c r="M19" s="333">
        <v>22260</v>
      </c>
      <c r="N19" s="333">
        <f>L19*M19</f>
        <v>3298664880</v>
      </c>
      <c r="O19" s="333">
        <f>2780756/2</f>
        <v>1390378</v>
      </c>
      <c r="P19" s="333">
        <f>N19-O19</f>
        <v>3297274502</v>
      </c>
      <c r="Q19" s="264" t="s">
        <v>54</v>
      </c>
      <c r="R19" s="242">
        <f>S19*0.03%</f>
        <v>425087.69999999995</v>
      </c>
      <c r="S19" s="242">
        <v>1416959000</v>
      </c>
      <c r="T19" s="333">
        <v>202380822</v>
      </c>
      <c r="U19" s="144" t="s">
        <v>108</v>
      </c>
    </row>
    <row r="20" spans="1:21" ht="18" customHeight="1">
      <c r="A20" s="144">
        <v>2</v>
      </c>
      <c r="B20" s="241">
        <v>42589</v>
      </c>
      <c r="C20" s="144" t="s">
        <v>10</v>
      </c>
      <c r="D20" s="243" t="s">
        <v>12</v>
      </c>
      <c r="E20" s="243">
        <v>3290198</v>
      </c>
      <c r="F20" s="242">
        <v>26000</v>
      </c>
      <c r="G20" s="240">
        <v>2.85</v>
      </c>
      <c r="H20" s="240">
        <f t="shared" ref="H20" si="0">F20*G20</f>
        <v>74100</v>
      </c>
      <c r="I20" s="339"/>
      <c r="J20" s="341"/>
      <c r="K20" s="339"/>
      <c r="L20" s="339"/>
      <c r="M20" s="333"/>
      <c r="N20" s="333"/>
      <c r="O20" s="333"/>
      <c r="P20" s="333"/>
      <c r="Q20" s="253" t="s">
        <v>55</v>
      </c>
      <c r="R20" s="242">
        <f t="shared" ref="R20:R21" si="1">S20*0.03%</f>
        <v>426587.39999999997</v>
      </c>
      <c r="S20" s="242">
        <v>1421958000</v>
      </c>
      <c r="T20" s="333"/>
      <c r="U20" s="144"/>
    </row>
    <row r="21" spans="1:21" ht="18" customHeight="1">
      <c r="A21" s="144"/>
      <c r="B21" s="151"/>
      <c r="C21" s="144"/>
      <c r="D21" s="243"/>
      <c r="E21" s="243"/>
      <c r="F21" s="238"/>
      <c r="G21" s="239"/>
      <c r="H21" s="239"/>
      <c r="I21" s="340"/>
      <c r="J21" s="342"/>
      <c r="K21" s="340"/>
      <c r="L21" s="340"/>
      <c r="M21" s="335"/>
      <c r="N21" s="335"/>
      <c r="O21" s="335"/>
      <c r="P21" s="335"/>
      <c r="Q21" s="253" t="s">
        <v>56</v>
      </c>
      <c r="R21" s="242">
        <f t="shared" si="1"/>
        <v>77210.117399999988</v>
      </c>
      <c r="S21" s="242">
        <v>257367058</v>
      </c>
      <c r="T21" s="335"/>
      <c r="U21" s="144" t="s">
        <v>108</v>
      </c>
    </row>
    <row r="22" spans="1:21" ht="18" customHeight="1">
      <c r="A22" s="144">
        <v>3</v>
      </c>
      <c r="B22" s="244">
        <v>42596</v>
      </c>
      <c r="C22" s="243" t="s">
        <v>13</v>
      </c>
      <c r="D22" s="243" t="s">
        <v>14</v>
      </c>
      <c r="E22" s="243">
        <v>3751842</v>
      </c>
      <c r="F22" s="238">
        <v>26000</v>
      </c>
      <c r="G22" s="239">
        <v>2.85</v>
      </c>
      <c r="H22" s="239">
        <f t="shared" ref="H22:H68" si="2">F22*G22</f>
        <v>74100</v>
      </c>
      <c r="I22" s="339">
        <f>H22+H23</f>
        <v>148200</v>
      </c>
      <c r="J22" s="342">
        <v>42633</v>
      </c>
      <c r="K22" s="340">
        <f t="shared" ref="K22" si="3">I22-L22</f>
        <v>12</v>
      </c>
      <c r="L22" s="340">
        <v>148188</v>
      </c>
      <c r="M22" s="335">
        <v>22270</v>
      </c>
      <c r="N22" s="335">
        <f>L22*M22</f>
        <v>3300146760</v>
      </c>
      <c r="O22" s="335">
        <f>2780756/2</f>
        <v>1390378</v>
      </c>
      <c r="P22" s="333">
        <f t="shared" ref="P22" si="4">N22-O22</f>
        <v>3298756382</v>
      </c>
      <c r="Q22" s="253" t="s">
        <v>394</v>
      </c>
      <c r="R22" s="254">
        <v>449876</v>
      </c>
      <c r="S22" s="255">
        <v>1508000000</v>
      </c>
      <c r="T22" s="335"/>
      <c r="U22" s="144" t="s">
        <v>108</v>
      </c>
    </row>
    <row r="23" spans="1:21" ht="18" customHeight="1">
      <c r="A23" s="144">
        <v>4</v>
      </c>
      <c r="B23" s="244">
        <v>42596</v>
      </c>
      <c r="C23" s="243" t="s">
        <v>13</v>
      </c>
      <c r="D23" s="243" t="s">
        <v>15</v>
      </c>
      <c r="E23" s="243">
        <v>3755190</v>
      </c>
      <c r="F23" s="238">
        <v>26000</v>
      </c>
      <c r="G23" s="239">
        <v>2.85</v>
      </c>
      <c r="H23" s="239">
        <f t="shared" si="2"/>
        <v>74100</v>
      </c>
      <c r="I23" s="340"/>
      <c r="J23" s="342"/>
      <c r="K23" s="340"/>
      <c r="L23" s="340"/>
      <c r="M23" s="335"/>
      <c r="N23" s="335"/>
      <c r="O23" s="335"/>
      <c r="P23" s="335"/>
      <c r="Q23" s="253" t="s">
        <v>395</v>
      </c>
      <c r="R23" s="254">
        <v>531976</v>
      </c>
      <c r="S23" s="255">
        <v>1791165000</v>
      </c>
      <c r="T23" s="335"/>
      <c r="U23" s="144" t="s">
        <v>108</v>
      </c>
    </row>
    <row r="24" spans="1:21" ht="18" customHeight="1">
      <c r="A24" s="144">
        <v>5</v>
      </c>
      <c r="B24" s="244">
        <v>42662</v>
      </c>
      <c r="C24" s="243" t="s">
        <v>16</v>
      </c>
      <c r="D24" s="243" t="s">
        <v>17</v>
      </c>
      <c r="E24" s="243" t="s">
        <v>59</v>
      </c>
      <c r="F24" s="238">
        <v>26000</v>
      </c>
      <c r="G24" s="239">
        <v>2.8</v>
      </c>
      <c r="H24" s="239">
        <f t="shared" si="2"/>
        <v>72800</v>
      </c>
      <c r="I24" s="339">
        <f>H24+H25</f>
        <v>145600</v>
      </c>
      <c r="J24" s="342">
        <v>42685</v>
      </c>
      <c r="K24" s="340">
        <f t="shared" ref="K24" si="5">I24-L24</f>
        <v>12</v>
      </c>
      <c r="L24" s="340">
        <v>145588</v>
      </c>
      <c r="M24" s="335">
        <v>22285</v>
      </c>
      <c r="N24" s="335">
        <f t="shared" ref="N24" si="6">L24*M24</f>
        <v>3244428580</v>
      </c>
      <c r="O24" s="335">
        <v>1791144</v>
      </c>
      <c r="P24" s="333">
        <f t="shared" ref="P24" si="7">N24-O24</f>
        <v>3242637436</v>
      </c>
      <c r="Q24" s="253" t="s">
        <v>55</v>
      </c>
      <c r="R24" s="254">
        <v>688392.54</v>
      </c>
      <c r="S24" s="255">
        <v>2086038000</v>
      </c>
      <c r="T24" s="335">
        <v>106334296</v>
      </c>
      <c r="U24" s="144" t="s">
        <v>80</v>
      </c>
    </row>
    <row r="25" spans="1:21" ht="18" customHeight="1">
      <c r="A25" s="144">
        <v>6</v>
      </c>
      <c r="B25" s="244">
        <v>42662</v>
      </c>
      <c r="C25" s="243" t="s">
        <v>16</v>
      </c>
      <c r="D25" s="243" t="s">
        <v>18</v>
      </c>
      <c r="E25" s="243" t="s">
        <v>60</v>
      </c>
      <c r="F25" s="238">
        <v>26000</v>
      </c>
      <c r="G25" s="239">
        <v>2.8</v>
      </c>
      <c r="H25" s="239">
        <f t="shared" si="2"/>
        <v>72800</v>
      </c>
      <c r="I25" s="340"/>
      <c r="J25" s="342"/>
      <c r="K25" s="340"/>
      <c r="L25" s="340"/>
      <c r="M25" s="335"/>
      <c r="N25" s="335"/>
      <c r="O25" s="335"/>
      <c r="P25" s="335"/>
      <c r="Q25" s="253" t="s">
        <v>56</v>
      </c>
      <c r="R25" s="254">
        <v>176854.25586180002</v>
      </c>
      <c r="S25" s="255">
        <v>535745133.20413822</v>
      </c>
      <c r="T25" s="335"/>
      <c r="U25" s="144" t="s">
        <v>81</v>
      </c>
    </row>
    <row r="26" spans="1:21" ht="18" customHeight="1">
      <c r="A26" s="144" t="str">
        <f t="shared" ref="A26" si="8">IF(B26&lt;&gt;"",ROW()-3,"")</f>
        <v/>
      </c>
      <c r="B26" s="244"/>
      <c r="C26" s="243"/>
      <c r="D26" s="243"/>
      <c r="E26" s="243"/>
      <c r="F26" s="238"/>
      <c r="G26" s="239"/>
      <c r="H26" s="239"/>
      <c r="I26" s="343">
        <f>H28+H27</f>
        <v>145600</v>
      </c>
      <c r="J26" s="345">
        <v>42689</v>
      </c>
      <c r="K26" s="343">
        <f t="shared" ref="K26" si="9">I26-L26</f>
        <v>12</v>
      </c>
      <c r="L26" s="343">
        <v>145588</v>
      </c>
      <c r="M26" s="331">
        <v>22290</v>
      </c>
      <c r="N26" s="331">
        <f t="shared" ref="N26" si="10">L26*M26</f>
        <v>3245156520</v>
      </c>
      <c r="O26" s="331">
        <v>1791144</v>
      </c>
      <c r="P26" s="331">
        <f t="shared" ref="P26" si="11">N26-O26</f>
        <v>3243365376</v>
      </c>
      <c r="Q26" s="253" t="s">
        <v>55</v>
      </c>
      <c r="R26" s="254">
        <v>357930</v>
      </c>
      <c r="S26" s="255">
        <v>1084637000</v>
      </c>
      <c r="T26" s="263">
        <v>5087260</v>
      </c>
      <c r="U26" s="144" t="s">
        <v>433</v>
      </c>
    </row>
    <row r="27" spans="1:21" ht="18" customHeight="1">
      <c r="A27" s="144">
        <v>7</v>
      </c>
      <c r="B27" s="244">
        <v>42675</v>
      </c>
      <c r="C27" s="243" t="s">
        <v>61</v>
      </c>
      <c r="D27" s="243" t="s">
        <v>62</v>
      </c>
      <c r="E27" s="243" t="s">
        <v>64</v>
      </c>
      <c r="F27" s="242">
        <v>26000</v>
      </c>
      <c r="G27" s="240">
        <v>2.8</v>
      </c>
      <c r="H27" s="240">
        <f t="shared" ref="H27:H30" si="12">F27*G27</f>
        <v>72800</v>
      </c>
      <c r="I27" s="344"/>
      <c r="J27" s="346"/>
      <c r="K27" s="344"/>
      <c r="L27" s="344"/>
      <c r="M27" s="332"/>
      <c r="N27" s="332"/>
      <c r="O27" s="332"/>
      <c r="P27" s="332"/>
      <c r="Q27" s="253" t="s">
        <v>131</v>
      </c>
      <c r="R27" s="254">
        <v>480480</v>
      </c>
      <c r="S27" s="255">
        <v>1456000000</v>
      </c>
      <c r="T27" s="331">
        <f>300173928</f>
        <v>300173928</v>
      </c>
      <c r="U27" s="144" t="s">
        <v>108</v>
      </c>
    </row>
    <row r="28" spans="1:21" ht="18" customHeight="1">
      <c r="A28" s="144">
        <v>8</v>
      </c>
      <c r="B28" s="244">
        <v>42675</v>
      </c>
      <c r="C28" s="243" t="s">
        <v>61</v>
      </c>
      <c r="D28" s="243" t="s">
        <v>63</v>
      </c>
      <c r="E28" s="243" t="s">
        <v>65</v>
      </c>
      <c r="F28" s="242">
        <v>26000</v>
      </c>
      <c r="G28" s="240">
        <v>2.8</v>
      </c>
      <c r="H28" s="240">
        <f t="shared" si="12"/>
        <v>72800</v>
      </c>
      <c r="I28" s="339"/>
      <c r="J28" s="341"/>
      <c r="K28" s="339"/>
      <c r="L28" s="339"/>
      <c r="M28" s="333"/>
      <c r="N28" s="333"/>
      <c r="O28" s="333"/>
      <c r="P28" s="333"/>
      <c r="Q28" s="253" t="s">
        <v>56</v>
      </c>
      <c r="R28" s="254">
        <v>231033</v>
      </c>
      <c r="S28" s="255">
        <v>699867789</v>
      </c>
      <c r="T28" s="332"/>
      <c r="U28" s="144" t="s">
        <v>81</v>
      </c>
    </row>
    <row r="29" spans="1:21" ht="18" customHeight="1">
      <c r="A29" s="144">
        <v>9</v>
      </c>
      <c r="B29" s="244">
        <v>42678</v>
      </c>
      <c r="C29" s="243" t="s">
        <v>66</v>
      </c>
      <c r="D29" s="150" t="s">
        <v>67</v>
      </c>
      <c r="E29" s="243">
        <v>3679964</v>
      </c>
      <c r="F29" s="238">
        <v>26000</v>
      </c>
      <c r="G29" s="239">
        <v>2.8</v>
      </c>
      <c r="H29" s="239">
        <f t="shared" si="12"/>
        <v>72800</v>
      </c>
      <c r="I29" s="343">
        <f>SUM(H29:H32)</f>
        <v>291200</v>
      </c>
      <c r="J29" s="345">
        <v>42696</v>
      </c>
      <c r="K29" s="343">
        <f>I29-L29</f>
        <v>12</v>
      </c>
      <c r="L29" s="343">
        <v>291188</v>
      </c>
      <c r="M29" s="331">
        <v>22480</v>
      </c>
      <c r="N29" s="331">
        <f>L29*M29</f>
        <v>6545906240</v>
      </c>
      <c r="O29" s="331">
        <v>3582288</v>
      </c>
      <c r="P29" s="331">
        <f>N29-O29</f>
        <v>6542323952</v>
      </c>
      <c r="Q29" s="253" t="s">
        <v>142</v>
      </c>
      <c r="R29" s="254">
        <v>1450020</v>
      </c>
      <c r="S29" s="255">
        <v>4394000000</v>
      </c>
      <c r="T29" s="332"/>
      <c r="U29" s="144" t="s">
        <v>108</v>
      </c>
    </row>
    <row r="30" spans="1:21" ht="18" customHeight="1">
      <c r="A30" s="144">
        <v>10</v>
      </c>
      <c r="B30" s="244">
        <v>42678</v>
      </c>
      <c r="C30" s="243" t="s">
        <v>66</v>
      </c>
      <c r="D30" s="243" t="s">
        <v>68</v>
      </c>
      <c r="E30" s="243">
        <v>3679968</v>
      </c>
      <c r="F30" s="238">
        <v>26000</v>
      </c>
      <c r="G30" s="239">
        <v>2.8</v>
      </c>
      <c r="H30" s="239">
        <f t="shared" si="12"/>
        <v>72800</v>
      </c>
      <c r="I30" s="344"/>
      <c r="J30" s="346"/>
      <c r="K30" s="344"/>
      <c r="L30" s="344"/>
      <c r="M30" s="332"/>
      <c r="N30" s="332"/>
      <c r="O30" s="332"/>
      <c r="P30" s="332"/>
      <c r="Q30" s="253" t="s">
        <v>149</v>
      </c>
      <c r="R30" s="254">
        <v>133243</v>
      </c>
      <c r="S30" s="255">
        <v>403767000</v>
      </c>
      <c r="T30" s="332"/>
      <c r="U30" s="144" t="s">
        <v>108</v>
      </c>
    </row>
    <row r="31" spans="1:21" ht="18" customHeight="1">
      <c r="A31" s="144">
        <v>11</v>
      </c>
      <c r="B31" s="244">
        <v>42678</v>
      </c>
      <c r="C31" s="243" t="s">
        <v>66</v>
      </c>
      <c r="D31" s="245" t="s">
        <v>69</v>
      </c>
      <c r="E31" s="243">
        <v>3679957</v>
      </c>
      <c r="F31" s="238">
        <v>26000</v>
      </c>
      <c r="G31" s="239">
        <v>2.8</v>
      </c>
      <c r="H31" s="239">
        <f t="shared" ref="H31:H32" si="13">F31*G31</f>
        <v>72800</v>
      </c>
      <c r="I31" s="344"/>
      <c r="J31" s="346"/>
      <c r="K31" s="344"/>
      <c r="L31" s="344"/>
      <c r="M31" s="332"/>
      <c r="N31" s="332"/>
      <c r="O31" s="332"/>
      <c r="P31" s="332"/>
      <c r="Q31" s="253" t="s">
        <v>150</v>
      </c>
      <c r="R31" s="254">
        <v>142501</v>
      </c>
      <c r="S31" s="255">
        <v>431821000</v>
      </c>
      <c r="T31" s="332"/>
      <c r="U31" s="144" t="s">
        <v>81</v>
      </c>
    </row>
    <row r="32" spans="1:21" ht="18" customHeight="1">
      <c r="A32" s="144">
        <v>12</v>
      </c>
      <c r="B32" s="244">
        <v>42678</v>
      </c>
      <c r="C32" s="243" t="s">
        <v>66</v>
      </c>
      <c r="D32" s="243" t="s">
        <v>70</v>
      </c>
      <c r="E32" s="243">
        <v>3679951</v>
      </c>
      <c r="F32" s="238">
        <v>26000</v>
      </c>
      <c r="G32" s="239">
        <v>2.8</v>
      </c>
      <c r="H32" s="239">
        <f t="shared" si="13"/>
        <v>72800</v>
      </c>
      <c r="I32" s="339"/>
      <c r="J32" s="341"/>
      <c r="K32" s="339"/>
      <c r="L32" s="339"/>
      <c r="M32" s="333"/>
      <c r="N32" s="333"/>
      <c r="O32" s="333"/>
      <c r="P32" s="333"/>
      <c r="Q32" s="253" t="s">
        <v>56</v>
      </c>
      <c r="R32" s="254">
        <v>298421</v>
      </c>
      <c r="S32" s="255">
        <v>904008247</v>
      </c>
      <c r="T32" s="333"/>
      <c r="U32" s="144" t="s">
        <v>81</v>
      </c>
    </row>
    <row r="33" spans="1:21" ht="18" customHeight="1">
      <c r="A33" s="144">
        <v>13</v>
      </c>
      <c r="B33" s="244">
        <v>42682</v>
      </c>
      <c r="C33" s="243" t="s">
        <v>166</v>
      </c>
      <c r="D33" s="243" t="s">
        <v>71</v>
      </c>
      <c r="E33" s="243" t="s">
        <v>73</v>
      </c>
      <c r="F33" s="238">
        <v>26000</v>
      </c>
      <c r="G33" s="239">
        <v>2.8</v>
      </c>
      <c r="H33" s="239">
        <f t="shared" ref="H33:H34" si="14">F33*G33</f>
        <v>72800</v>
      </c>
      <c r="I33" s="343">
        <f>H33+H34</f>
        <v>145600</v>
      </c>
      <c r="J33" s="345">
        <v>42699</v>
      </c>
      <c r="K33" s="343">
        <f>I33-L33</f>
        <v>12</v>
      </c>
      <c r="L33" s="343">
        <v>145588</v>
      </c>
      <c r="M33" s="331">
        <v>22660</v>
      </c>
      <c r="N33" s="331">
        <f t="shared" ref="N33:N37" si="15">L33*M33</f>
        <v>3299024080</v>
      </c>
      <c r="O33" s="331">
        <v>1819968</v>
      </c>
      <c r="P33" s="331">
        <f t="shared" ref="P33:P37" si="16">N33-O33</f>
        <v>3297204112</v>
      </c>
      <c r="Q33" s="256" t="s">
        <v>152</v>
      </c>
      <c r="R33" s="254">
        <v>475585</v>
      </c>
      <c r="S33" s="255">
        <v>1441167000</v>
      </c>
      <c r="T33" s="335">
        <v>210184716</v>
      </c>
      <c r="U33" s="144" t="s">
        <v>108</v>
      </c>
    </row>
    <row r="34" spans="1:21" ht="18" customHeight="1">
      <c r="A34" s="144">
        <v>14</v>
      </c>
      <c r="B34" s="244">
        <v>42682</v>
      </c>
      <c r="C34" s="243" t="s">
        <v>166</v>
      </c>
      <c r="D34" s="243" t="s">
        <v>72</v>
      </c>
      <c r="E34" s="243" t="s">
        <v>74</v>
      </c>
      <c r="F34" s="238">
        <v>26000</v>
      </c>
      <c r="G34" s="239">
        <v>2.8</v>
      </c>
      <c r="H34" s="239">
        <f t="shared" si="14"/>
        <v>72800</v>
      </c>
      <c r="I34" s="344"/>
      <c r="J34" s="346"/>
      <c r="K34" s="344"/>
      <c r="L34" s="344"/>
      <c r="M34" s="332"/>
      <c r="N34" s="332"/>
      <c r="O34" s="332"/>
      <c r="P34" s="332"/>
      <c r="Q34" s="256" t="s">
        <v>153</v>
      </c>
      <c r="R34" s="254">
        <v>178679</v>
      </c>
      <c r="S34" s="255">
        <v>541450000</v>
      </c>
      <c r="T34" s="335"/>
      <c r="U34" s="144" t="s">
        <v>108</v>
      </c>
    </row>
    <row r="35" spans="1:21" ht="18" customHeight="1">
      <c r="A35" s="144"/>
      <c r="B35" s="244"/>
      <c r="C35" s="243"/>
      <c r="D35" s="243"/>
      <c r="E35" s="243"/>
      <c r="F35" s="242"/>
      <c r="G35" s="240"/>
      <c r="H35" s="240"/>
      <c r="I35" s="344"/>
      <c r="J35" s="346"/>
      <c r="K35" s="344"/>
      <c r="L35" s="344"/>
      <c r="M35" s="332"/>
      <c r="N35" s="332"/>
      <c r="O35" s="332"/>
      <c r="P35" s="332"/>
      <c r="Q35" s="253" t="s">
        <v>55</v>
      </c>
      <c r="R35" s="254">
        <v>351889</v>
      </c>
      <c r="S35" s="255">
        <v>1066331000</v>
      </c>
      <c r="T35" s="335"/>
      <c r="U35" s="144"/>
    </row>
    <row r="36" spans="1:21" ht="18" customHeight="1">
      <c r="A36" s="144"/>
      <c r="B36" s="244"/>
      <c r="C36" s="243"/>
      <c r="D36" s="243"/>
      <c r="E36" s="243"/>
      <c r="F36" s="242"/>
      <c r="G36" s="240"/>
      <c r="H36" s="240"/>
      <c r="I36" s="339"/>
      <c r="J36" s="341"/>
      <c r="K36" s="339"/>
      <c r="L36" s="339"/>
      <c r="M36" s="333"/>
      <c r="N36" s="333"/>
      <c r="O36" s="333"/>
      <c r="P36" s="333"/>
      <c r="Q36" s="253" t="s">
        <v>56</v>
      </c>
      <c r="R36" s="254">
        <v>81592</v>
      </c>
      <c r="S36" s="255">
        <v>247168367</v>
      </c>
      <c r="T36" s="335"/>
      <c r="U36" s="144"/>
    </row>
    <row r="37" spans="1:21" ht="18" customHeight="1">
      <c r="A37" s="144">
        <v>15</v>
      </c>
      <c r="B37" s="244">
        <v>42684</v>
      </c>
      <c r="C37" s="243" t="s">
        <v>165</v>
      </c>
      <c r="D37" s="243" t="s">
        <v>132</v>
      </c>
      <c r="E37" s="243">
        <v>3756229</v>
      </c>
      <c r="F37" s="238">
        <v>26000</v>
      </c>
      <c r="G37" s="239">
        <v>2.8</v>
      </c>
      <c r="H37" s="239">
        <f t="shared" si="2"/>
        <v>72800</v>
      </c>
      <c r="I37" s="339">
        <f>H37+H38</f>
        <v>145600</v>
      </c>
      <c r="J37" s="341">
        <v>42703</v>
      </c>
      <c r="K37" s="340">
        <f>I37-L37</f>
        <v>12</v>
      </c>
      <c r="L37" s="340">
        <v>145588</v>
      </c>
      <c r="M37" s="331">
        <v>22620</v>
      </c>
      <c r="N37" s="335">
        <f t="shared" si="15"/>
        <v>3293200560</v>
      </c>
      <c r="O37" s="335">
        <v>1825573</v>
      </c>
      <c r="P37" s="333">
        <f t="shared" si="16"/>
        <v>3291374987</v>
      </c>
      <c r="Q37" s="256" t="s">
        <v>152</v>
      </c>
      <c r="R37" s="254">
        <v>497640</v>
      </c>
      <c r="S37" s="255">
        <v>1508000000</v>
      </c>
      <c r="T37" s="335"/>
      <c r="U37" s="144" t="s">
        <v>108</v>
      </c>
    </row>
    <row r="38" spans="1:21" ht="18" customHeight="1">
      <c r="A38" s="144">
        <v>16</v>
      </c>
      <c r="B38" s="244">
        <v>42685</v>
      </c>
      <c r="C38" s="243" t="s">
        <v>165</v>
      </c>
      <c r="D38" s="243" t="s">
        <v>133</v>
      </c>
      <c r="E38" s="243">
        <v>3756225</v>
      </c>
      <c r="F38" s="238">
        <v>26000</v>
      </c>
      <c r="G38" s="239">
        <v>2.8</v>
      </c>
      <c r="H38" s="239">
        <f t="shared" si="2"/>
        <v>72800</v>
      </c>
      <c r="I38" s="340"/>
      <c r="J38" s="342"/>
      <c r="K38" s="340"/>
      <c r="L38" s="340"/>
      <c r="M38" s="333"/>
      <c r="N38" s="335"/>
      <c r="O38" s="335"/>
      <c r="P38" s="335"/>
      <c r="Q38" s="253" t="s">
        <v>142</v>
      </c>
      <c r="R38" s="254">
        <v>552453</v>
      </c>
      <c r="S38" s="255">
        <v>1674100000</v>
      </c>
      <c r="T38" s="335"/>
      <c r="U38" s="144" t="s">
        <v>108</v>
      </c>
    </row>
    <row r="39" spans="1:21" ht="18" customHeight="1">
      <c r="A39" s="144">
        <v>17</v>
      </c>
      <c r="B39" s="244">
        <v>42690</v>
      </c>
      <c r="C39" s="243" t="s">
        <v>164</v>
      </c>
      <c r="D39" s="243" t="s">
        <v>134</v>
      </c>
      <c r="E39" s="243" t="s">
        <v>136</v>
      </c>
      <c r="F39" s="238">
        <v>26000</v>
      </c>
      <c r="G39" s="239">
        <v>2.8</v>
      </c>
      <c r="H39" s="239">
        <f t="shared" si="2"/>
        <v>72800</v>
      </c>
      <c r="I39" s="343">
        <f>SUM(H39:H42)</f>
        <v>291200</v>
      </c>
      <c r="J39" s="345">
        <v>42711</v>
      </c>
      <c r="K39" s="343">
        <f>I39-L39</f>
        <v>12</v>
      </c>
      <c r="L39" s="343">
        <v>291188</v>
      </c>
      <c r="M39" s="331">
        <v>22650</v>
      </c>
      <c r="N39" s="331">
        <f>L39*M39</f>
        <v>6595408200</v>
      </c>
      <c r="O39" s="331">
        <v>3651146</v>
      </c>
      <c r="P39" s="331">
        <f>N39-O39</f>
        <v>6591757054</v>
      </c>
      <c r="Q39" s="253" t="s">
        <v>142</v>
      </c>
      <c r="R39" s="254">
        <v>963198</v>
      </c>
      <c r="S39" s="255">
        <v>2918780500</v>
      </c>
      <c r="T39" s="335">
        <v>408498824</v>
      </c>
      <c r="U39" s="144" t="s">
        <v>108</v>
      </c>
    </row>
    <row r="40" spans="1:21" ht="18" customHeight="1">
      <c r="A40" s="144">
        <v>18</v>
      </c>
      <c r="B40" s="244">
        <v>42690</v>
      </c>
      <c r="C40" s="243" t="s">
        <v>164</v>
      </c>
      <c r="D40" s="243" t="s">
        <v>135</v>
      </c>
      <c r="E40" s="243" t="s">
        <v>137</v>
      </c>
      <c r="F40" s="238">
        <v>26000</v>
      </c>
      <c r="G40" s="239">
        <v>2.8</v>
      </c>
      <c r="H40" s="239">
        <f t="shared" si="2"/>
        <v>72800</v>
      </c>
      <c r="I40" s="344"/>
      <c r="J40" s="346"/>
      <c r="K40" s="344"/>
      <c r="L40" s="344"/>
      <c r="M40" s="332"/>
      <c r="N40" s="332"/>
      <c r="O40" s="332"/>
      <c r="P40" s="332"/>
      <c r="Q40" s="256" t="s">
        <v>152</v>
      </c>
      <c r="R40" s="254">
        <v>602224</v>
      </c>
      <c r="S40" s="255">
        <v>1824920500</v>
      </c>
      <c r="T40" s="335"/>
      <c r="U40" s="144" t="s">
        <v>108</v>
      </c>
    </row>
    <row r="41" spans="1:21" ht="18" customHeight="1">
      <c r="A41" s="144">
        <v>19</v>
      </c>
      <c r="B41" s="244">
        <v>42691</v>
      </c>
      <c r="C41" s="243" t="s">
        <v>140</v>
      </c>
      <c r="D41" s="243" t="s">
        <v>138</v>
      </c>
      <c r="E41" s="243">
        <v>3756238</v>
      </c>
      <c r="F41" s="238">
        <v>26000</v>
      </c>
      <c r="G41" s="239">
        <v>2.8</v>
      </c>
      <c r="H41" s="239">
        <f t="shared" si="2"/>
        <v>72800</v>
      </c>
      <c r="I41" s="344"/>
      <c r="J41" s="346"/>
      <c r="K41" s="344"/>
      <c r="L41" s="344"/>
      <c r="M41" s="332"/>
      <c r="N41" s="332"/>
      <c r="O41" s="332"/>
      <c r="P41" s="332"/>
      <c r="Q41" s="256" t="s">
        <v>153</v>
      </c>
      <c r="R41" s="254">
        <v>182381</v>
      </c>
      <c r="S41" s="255">
        <v>552669000</v>
      </c>
      <c r="T41" s="335"/>
      <c r="U41" s="144" t="s">
        <v>108</v>
      </c>
    </row>
    <row r="42" spans="1:21" ht="18" customHeight="1">
      <c r="A42" s="144">
        <v>20</v>
      </c>
      <c r="B42" s="244">
        <v>42691</v>
      </c>
      <c r="C42" s="243" t="s">
        <v>140</v>
      </c>
      <c r="D42" s="243" t="s">
        <v>139</v>
      </c>
      <c r="E42" s="243">
        <v>3743082</v>
      </c>
      <c r="F42" s="238">
        <v>26000</v>
      </c>
      <c r="G42" s="239">
        <v>2.8</v>
      </c>
      <c r="H42" s="239">
        <f t="shared" si="2"/>
        <v>72800</v>
      </c>
      <c r="I42" s="339"/>
      <c r="J42" s="341"/>
      <c r="K42" s="339"/>
      <c r="L42" s="339"/>
      <c r="M42" s="333"/>
      <c r="N42" s="333"/>
      <c r="O42" s="333"/>
      <c r="P42" s="333"/>
      <c r="Q42" s="253" t="s">
        <v>56</v>
      </c>
      <c r="R42" s="254">
        <v>224782.55613005161</v>
      </c>
      <c r="S42" s="255">
        <v>480934478.44387001</v>
      </c>
      <c r="T42" s="335"/>
      <c r="U42" s="144" t="s">
        <v>108</v>
      </c>
    </row>
    <row r="43" spans="1:21" ht="18" customHeight="1">
      <c r="A43" s="144">
        <v>21</v>
      </c>
      <c r="B43" s="244">
        <v>42699</v>
      </c>
      <c r="C43" s="243" t="s">
        <v>154</v>
      </c>
      <c r="D43" s="243" t="s">
        <v>155</v>
      </c>
      <c r="E43" s="243" t="s">
        <v>159</v>
      </c>
      <c r="F43" s="238">
        <v>26000</v>
      </c>
      <c r="G43" s="239">
        <v>2.8</v>
      </c>
      <c r="H43" s="239">
        <f t="shared" ref="H43:H45" si="17">F43*G43</f>
        <v>72800</v>
      </c>
      <c r="I43" s="343">
        <f>SUM(H43:H47)</f>
        <v>291200</v>
      </c>
      <c r="J43" s="345">
        <v>42717</v>
      </c>
      <c r="K43" s="343">
        <f>I43-L43</f>
        <v>12</v>
      </c>
      <c r="L43" s="343">
        <v>291188</v>
      </c>
      <c r="M43" s="331">
        <v>22620</v>
      </c>
      <c r="N43" s="331">
        <f>L43*M43</f>
        <v>6586672560</v>
      </c>
      <c r="O43" s="331">
        <v>3651146</v>
      </c>
      <c r="P43" s="331">
        <f t="shared" ref="P43" si="18">N43-O43</f>
        <v>6583021414</v>
      </c>
      <c r="Q43" s="253" t="s">
        <v>142</v>
      </c>
      <c r="R43" s="254">
        <v>476190</v>
      </c>
      <c r="S43" s="255">
        <v>1443000000</v>
      </c>
      <c r="T43" s="335"/>
      <c r="U43" s="144" t="s">
        <v>163</v>
      </c>
    </row>
    <row r="44" spans="1:21" ht="18" customHeight="1">
      <c r="A44" s="144">
        <v>22</v>
      </c>
      <c r="B44" s="244">
        <v>42699</v>
      </c>
      <c r="C44" s="243" t="s">
        <v>154</v>
      </c>
      <c r="D44" s="243" t="s">
        <v>156</v>
      </c>
      <c r="E44" s="243" t="s">
        <v>160</v>
      </c>
      <c r="F44" s="238">
        <v>26000</v>
      </c>
      <c r="G44" s="239">
        <v>2.8</v>
      </c>
      <c r="H44" s="239">
        <f t="shared" si="17"/>
        <v>72800</v>
      </c>
      <c r="I44" s="344"/>
      <c r="J44" s="346"/>
      <c r="K44" s="344"/>
      <c r="L44" s="344"/>
      <c r="M44" s="332"/>
      <c r="N44" s="332"/>
      <c r="O44" s="332"/>
      <c r="P44" s="332"/>
      <c r="Q44" s="256" t="s">
        <v>152</v>
      </c>
      <c r="R44" s="254">
        <v>321557</v>
      </c>
      <c r="S44" s="255">
        <v>974415000</v>
      </c>
      <c r="T44" s="335"/>
      <c r="U44" s="144" t="s">
        <v>163</v>
      </c>
    </row>
    <row r="45" spans="1:21" ht="18" customHeight="1">
      <c r="A45" s="144">
        <v>23</v>
      </c>
      <c r="B45" s="244">
        <v>42699</v>
      </c>
      <c r="C45" s="243" t="s">
        <v>154</v>
      </c>
      <c r="D45" s="243" t="s">
        <v>157</v>
      </c>
      <c r="E45" s="243" t="s">
        <v>161</v>
      </c>
      <c r="F45" s="238">
        <v>26000</v>
      </c>
      <c r="G45" s="239">
        <v>2.8</v>
      </c>
      <c r="H45" s="239">
        <f t="shared" si="17"/>
        <v>72800</v>
      </c>
      <c r="I45" s="344"/>
      <c r="J45" s="346"/>
      <c r="K45" s="344"/>
      <c r="L45" s="344"/>
      <c r="M45" s="332"/>
      <c r="N45" s="332"/>
      <c r="O45" s="332"/>
      <c r="P45" s="332"/>
      <c r="Q45" s="256" t="s">
        <v>149</v>
      </c>
      <c r="R45" s="254">
        <v>155513</v>
      </c>
      <c r="S45" s="255">
        <v>471250000</v>
      </c>
      <c r="T45" s="335"/>
      <c r="U45" s="144" t="s">
        <v>108</v>
      </c>
    </row>
    <row r="46" spans="1:21" ht="18" customHeight="1">
      <c r="A46" s="144">
        <v>24</v>
      </c>
      <c r="B46" s="244">
        <v>42699</v>
      </c>
      <c r="C46" s="243" t="s">
        <v>154</v>
      </c>
      <c r="D46" s="243" t="s">
        <v>158</v>
      </c>
      <c r="E46" s="243" t="s">
        <v>162</v>
      </c>
      <c r="F46" s="242">
        <v>26000</v>
      </c>
      <c r="G46" s="240">
        <v>2.8</v>
      </c>
      <c r="H46" s="240">
        <f t="shared" ref="H46" si="19">F46*G46</f>
        <v>72800</v>
      </c>
      <c r="I46" s="344"/>
      <c r="J46" s="346"/>
      <c r="K46" s="344"/>
      <c r="L46" s="344"/>
      <c r="M46" s="332"/>
      <c r="N46" s="332"/>
      <c r="O46" s="332"/>
      <c r="P46" s="332"/>
      <c r="Q46" s="256" t="s">
        <v>227</v>
      </c>
      <c r="R46" s="254">
        <v>97190</v>
      </c>
      <c r="S46" s="255">
        <v>294515000</v>
      </c>
      <c r="T46" s="335"/>
      <c r="U46" s="144"/>
    </row>
    <row r="47" spans="1:21" ht="18" customHeight="1">
      <c r="A47" s="144"/>
      <c r="B47" s="244"/>
      <c r="C47" s="243"/>
      <c r="D47" s="243"/>
      <c r="E47" s="243"/>
      <c r="F47" s="238"/>
      <c r="G47" s="239"/>
      <c r="H47" s="239"/>
      <c r="I47" s="339"/>
      <c r="J47" s="341"/>
      <c r="K47" s="339"/>
      <c r="L47" s="339"/>
      <c r="M47" s="333"/>
      <c r="N47" s="333"/>
      <c r="O47" s="333"/>
      <c r="P47" s="333"/>
      <c r="Q47" s="253" t="s">
        <v>56</v>
      </c>
      <c r="R47" s="254">
        <v>897991</v>
      </c>
      <c r="S47" s="255">
        <v>2721185000</v>
      </c>
      <c r="T47" s="335"/>
      <c r="U47" s="144" t="s">
        <v>108</v>
      </c>
    </row>
    <row r="48" spans="1:21" ht="18" customHeight="1">
      <c r="A48" s="144">
        <v>25</v>
      </c>
      <c r="B48" s="244">
        <v>42702</v>
      </c>
      <c r="C48" s="243" t="s">
        <v>167</v>
      </c>
      <c r="D48" s="243" t="s">
        <v>168</v>
      </c>
      <c r="E48" s="243" t="s">
        <v>172</v>
      </c>
      <c r="F48" s="238">
        <v>26000</v>
      </c>
      <c r="G48" s="239">
        <v>2.8</v>
      </c>
      <c r="H48" s="239">
        <f t="shared" ref="H48:H50" si="20">F48*G48</f>
        <v>72800</v>
      </c>
      <c r="I48" s="343">
        <f>SUM(H48:H53)</f>
        <v>291200</v>
      </c>
      <c r="J48" s="345">
        <v>42723</v>
      </c>
      <c r="K48" s="343">
        <f>I48-L48</f>
        <v>117</v>
      </c>
      <c r="L48" s="343">
        <v>291083</v>
      </c>
      <c r="M48" s="331">
        <v>22620</v>
      </c>
      <c r="N48" s="331">
        <f>L48*M48</f>
        <v>6584297460</v>
      </c>
      <c r="O48" s="331"/>
      <c r="P48" s="331">
        <f t="shared" ref="P48" si="21">N48-O48</f>
        <v>6584297460</v>
      </c>
      <c r="Q48" s="253" t="s">
        <v>142</v>
      </c>
      <c r="R48" s="254">
        <v>577777</v>
      </c>
      <c r="S48" s="255">
        <v>1050504000</v>
      </c>
      <c r="T48" s="335">
        <v>420704884</v>
      </c>
      <c r="U48" s="144" t="s">
        <v>163</v>
      </c>
    </row>
    <row r="49" spans="1:21" ht="18" customHeight="1">
      <c r="A49" s="144">
        <v>26</v>
      </c>
      <c r="B49" s="244">
        <v>42702</v>
      </c>
      <c r="C49" s="243" t="s">
        <v>167</v>
      </c>
      <c r="D49" s="243" t="s">
        <v>169</v>
      </c>
      <c r="E49" s="243" t="s">
        <v>173</v>
      </c>
      <c r="F49" s="238">
        <v>26000</v>
      </c>
      <c r="G49" s="239">
        <v>2.8</v>
      </c>
      <c r="H49" s="239">
        <f t="shared" si="20"/>
        <v>72800</v>
      </c>
      <c r="I49" s="344"/>
      <c r="J49" s="346"/>
      <c r="K49" s="344"/>
      <c r="L49" s="344"/>
      <c r="M49" s="332"/>
      <c r="N49" s="332"/>
      <c r="O49" s="332"/>
      <c r="P49" s="332"/>
      <c r="Q49" s="256" t="s">
        <v>149</v>
      </c>
      <c r="R49" s="254">
        <v>158498</v>
      </c>
      <c r="S49" s="255">
        <v>480298000</v>
      </c>
      <c r="T49" s="335"/>
      <c r="U49" s="144" t="s">
        <v>108</v>
      </c>
    </row>
    <row r="50" spans="1:21" ht="18" customHeight="1">
      <c r="A50" s="144">
        <v>27</v>
      </c>
      <c r="B50" s="244">
        <v>42702</v>
      </c>
      <c r="C50" s="243" t="s">
        <v>167</v>
      </c>
      <c r="D50" s="243" t="s">
        <v>170</v>
      </c>
      <c r="E50" s="243" t="s">
        <v>174</v>
      </c>
      <c r="F50" s="238">
        <v>26000</v>
      </c>
      <c r="G50" s="239">
        <v>2.8</v>
      </c>
      <c r="H50" s="239">
        <f t="shared" si="20"/>
        <v>72800</v>
      </c>
      <c r="I50" s="344"/>
      <c r="J50" s="346"/>
      <c r="K50" s="344"/>
      <c r="L50" s="344"/>
      <c r="M50" s="332"/>
      <c r="N50" s="332"/>
      <c r="O50" s="332"/>
      <c r="P50" s="332"/>
      <c r="Q50" s="256" t="s">
        <v>279</v>
      </c>
      <c r="R50" s="254">
        <v>221450</v>
      </c>
      <c r="S50" s="255">
        <v>671060000</v>
      </c>
      <c r="T50" s="335"/>
      <c r="U50" s="144" t="s">
        <v>81</v>
      </c>
    </row>
    <row r="51" spans="1:21" ht="18" customHeight="1">
      <c r="A51" s="144">
        <v>28</v>
      </c>
      <c r="B51" s="244">
        <v>42702</v>
      </c>
      <c r="C51" s="243" t="s">
        <v>167</v>
      </c>
      <c r="D51" s="243" t="s">
        <v>171</v>
      </c>
      <c r="E51" s="243" t="s">
        <v>175</v>
      </c>
      <c r="F51" s="242">
        <v>26000</v>
      </c>
      <c r="G51" s="240">
        <v>2.8</v>
      </c>
      <c r="H51" s="240">
        <f t="shared" ref="H51" si="22">F51*G51</f>
        <v>72800</v>
      </c>
      <c r="I51" s="344"/>
      <c r="J51" s="346"/>
      <c r="K51" s="344"/>
      <c r="L51" s="344"/>
      <c r="M51" s="332"/>
      <c r="N51" s="332"/>
      <c r="O51" s="332"/>
      <c r="P51" s="332"/>
      <c r="Q51" s="256" t="s">
        <v>55</v>
      </c>
      <c r="R51" s="254">
        <v>701499</v>
      </c>
      <c r="S51" s="255">
        <v>2125756000</v>
      </c>
      <c r="T51" s="335"/>
      <c r="U51" s="144"/>
    </row>
    <row r="52" spans="1:21" ht="18" customHeight="1">
      <c r="A52" s="144"/>
      <c r="B52" s="244"/>
      <c r="C52" s="243"/>
      <c r="D52" s="243"/>
      <c r="E52" s="243"/>
      <c r="F52" s="242"/>
      <c r="G52" s="240"/>
      <c r="H52" s="240"/>
      <c r="I52" s="344"/>
      <c r="J52" s="346"/>
      <c r="K52" s="344"/>
      <c r="L52" s="344"/>
      <c r="M52" s="332"/>
      <c r="N52" s="332"/>
      <c r="O52" s="332"/>
      <c r="P52" s="332"/>
      <c r="Q52" s="256" t="s">
        <v>280</v>
      </c>
      <c r="R52" s="254">
        <v>141021</v>
      </c>
      <c r="S52" s="255">
        <v>427336000</v>
      </c>
      <c r="T52" s="335"/>
      <c r="U52" s="144"/>
    </row>
    <row r="53" spans="1:21" ht="18" customHeight="1">
      <c r="A53" s="144"/>
      <c r="B53" s="244"/>
      <c r="C53" s="243"/>
      <c r="D53" s="243"/>
      <c r="E53" s="243"/>
      <c r="F53" s="238"/>
      <c r="G53" s="239"/>
      <c r="H53" s="239"/>
      <c r="I53" s="339"/>
      <c r="J53" s="341"/>
      <c r="K53" s="339"/>
      <c r="L53" s="339"/>
      <c r="M53" s="333"/>
      <c r="N53" s="333"/>
      <c r="O53" s="333"/>
      <c r="P53" s="333"/>
      <c r="Q53" s="253" t="s">
        <v>56</v>
      </c>
      <c r="R53" s="254">
        <v>412914</v>
      </c>
      <c r="S53" s="255">
        <v>1251254000</v>
      </c>
      <c r="T53" s="335"/>
      <c r="U53" s="144" t="s">
        <v>81</v>
      </c>
    </row>
    <row r="54" spans="1:21" ht="18" customHeight="1">
      <c r="A54" s="144">
        <v>29</v>
      </c>
      <c r="B54" s="244">
        <v>42706</v>
      </c>
      <c r="C54" s="243" t="s">
        <v>228</v>
      </c>
      <c r="D54" s="245" t="s">
        <v>229</v>
      </c>
      <c r="E54" s="243" t="s">
        <v>230</v>
      </c>
      <c r="F54" s="238">
        <v>26000</v>
      </c>
      <c r="G54" s="239">
        <v>2.8</v>
      </c>
      <c r="H54" s="246">
        <f>F54*G54</f>
        <v>72800</v>
      </c>
      <c r="I54" s="343">
        <f>SUM(H54:H57)</f>
        <v>281840</v>
      </c>
      <c r="J54" s="345">
        <v>42725</v>
      </c>
      <c r="K54" s="343">
        <f>I54-L54</f>
        <v>117</v>
      </c>
      <c r="L54" s="343">
        <v>281723</v>
      </c>
      <c r="M54" s="331">
        <v>22650</v>
      </c>
      <c r="N54" s="331">
        <f>L54*M54</f>
        <v>6381025950</v>
      </c>
      <c r="O54" s="331"/>
      <c r="P54" s="331">
        <f t="shared" ref="P54" si="23">N54-O54</f>
        <v>6381025950</v>
      </c>
      <c r="Q54" s="253" t="s">
        <v>142</v>
      </c>
      <c r="R54" s="254">
        <v>812812</v>
      </c>
      <c r="S54" s="255">
        <v>1477840000</v>
      </c>
      <c r="T54" s="335"/>
      <c r="U54" s="144" t="s">
        <v>163</v>
      </c>
    </row>
    <row r="55" spans="1:21" ht="18" customHeight="1">
      <c r="A55" s="144">
        <v>30</v>
      </c>
      <c r="B55" s="244">
        <v>42706</v>
      </c>
      <c r="C55" s="243" t="s">
        <v>228</v>
      </c>
      <c r="D55" s="243" t="s">
        <v>231</v>
      </c>
      <c r="E55" s="243" t="s">
        <v>232</v>
      </c>
      <c r="F55" s="238">
        <v>26000</v>
      </c>
      <c r="G55" s="239">
        <v>2.68</v>
      </c>
      <c r="H55" s="246">
        <f>F55*G55</f>
        <v>69680</v>
      </c>
      <c r="I55" s="344"/>
      <c r="J55" s="346"/>
      <c r="K55" s="344"/>
      <c r="L55" s="344"/>
      <c r="M55" s="332"/>
      <c r="N55" s="332"/>
      <c r="O55" s="332"/>
      <c r="P55" s="332"/>
      <c r="Q55" s="256" t="s">
        <v>152</v>
      </c>
      <c r="R55" s="254">
        <v>482346</v>
      </c>
      <c r="S55" s="255">
        <v>876993000</v>
      </c>
      <c r="T55" s="335"/>
      <c r="U55" s="144" t="s">
        <v>163</v>
      </c>
    </row>
    <row r="56" spans="1:21" ht="18" customHeight="1">
      <c r="A56" s="144">
        <v>31</v>
      </c>
      <c r="B56" s="244">
        <v>42706</v>
      </c>
      <c r="C56" s="243" t="s">
        <v>228</v>
      </c>
      <c r="D56" s="243" t="s">
        <v>233</v>
      </c>
      <c r="E56" s="243" t="s">
        <v>234</v>
      </c>
      <c r="F56" s="238">
        <v>26000</v>
      </c>
      <c r="G56" s="239">
        <v>2.68</v>
      </c>
      <c r="H56" s="246">
        <f>F56*G56</f>
        <v>69680</v>
      </c>
      <c r="I56" s="344"/>
      <c r="J56" s="346"/>
      <c r="K56" s="344"/>
      <c r="L56" s="344"/>
      <c r="M56" s="332"/>
      <c r="N56" s="332"/>
      <c r="O56" s="332"/>
      <c r="P56" s="332"/>
      <c r="Q56" s="256" t="s">
        <v>131</v>
      </c>
      <c r="R56" s="254">
        <v>984083</v>
      </c>
      <c r="S56" s="255">
        <v>2982070000</v>
      </c>
      <c r="T56" s="335"/>
      <c r="U56" s="144" t="s">
        <v>163</v>
      </c>
    </row>
    <row r="57" spans="1:21" ht="18" customHeight="1">
      <c r="A57" s="144">
        <v>32</v>
      </c>
      <c r="B57" s="244">
        <v>42706</v>
      </c>
      <c r="C57" s="243" t="s">
        <v>228</v>
      </c>
      <c r="D57" s="243" t="s">
        <v>235</v>
      </c>
      <c r="E57" s="243" t="s">
        <v>236</v>
      </c>
      <c r="F57" s="238">
        <v>26000</v>
      </c>
      <c r="G57" s="239">
        <v>2.68</v>
      </c>
      <c r="H57" s="246">
        <f>F57*G57</f>
        <v>69680</v>
      </c>
      <c r="I57" s="339"/>
      <c r="J57" s="341"/>
      <c r="K57" s="339"/>
      <c r="L57" s="339"/>
      <c r="M57" s="333"/>
      <c r="N57" s="333"/>
      <c r="O57" s="333"/>
      <c r="P57" s="333"/>
      <c r="Q57" s="253" t="s">
        <v>56</v>
      </c>
      <c r="R57" s="254">
        <v>343695</v>
      </c>
      <c r="S57" s="255">
        <v>1041500000</v>
      </c>
      <c r="T57" s="335"/>
      <c r="U57" s="144" t="s">
        <v>108</v>
      </c>
    </row>
    <row r="58" spans="1:21" ht="18" customHeight="1">
      <c r="A58" s="144">
        <v>33</v>
      </c>
      <c r="B58" s="244">
        <v>42711</v>
      </c>
      <c r="C58" s="243" t="s">
        <v>237</v>
      </c>
      <c r="D58" s="243" t="s">
        <v>238</v>
      </c>
      <c r="E58" s="243">
        <v>4852784</v>
      </c>
      <c r="F58" s="238">
        <v>26351</v>
      </c>
      <c r="G58" s="239">
        <v>2.68</v>
      </c>
      <c r="H58" s="246">
        <f t="shared" ref="H58:H61" si="24">F58*G58</f>
        <v>70620.680000000008</v>
      </c>
      <c r="I58" s="343">
        <f>SUM(H58:H61)</f>
        <v>282482.72000000003</v>
      </c>
      <c r="J58" s="345">
        <v>42730</v>
      </c>
      <c r="K58" s="343">
        <f>I58-L58</f>
        <v>117.00000000005821</v>
      </c>
      <c r="L58" s="343">
        <v>282365.71999999997</v>
      </c>
      <c r="M58" s="331">
        <v>22650</v>
      </c>
      <c r="N58" s="331">
        <f>L58*M58</f>
        <v>6395583557.999999</v>
      </c>
      <c r="O58" s="331"/>
      <c r="P58" s="331">
        <f t="shared" ref="P58" si="25">N58-O58</f>
        <v>6395583557.999999</v>
      </c>
      <c r="Q58" s="253" t="s">
        <v>142</v>
      </c>
      <c r="R58" s="254">
        <v>120120</v>
      </c>
      <c r="S58" s="255">
        <v>218400000</v>
      </c>
      <c r="T58" s="335">
        <v>676708340</v>
      </c>
      <c r="U58" s="144" t="s">
        <v>163</v>
      </c>
    </row>
    <row r="59" spans="1:21" ht="18" customHeight="1">
      <c r="A59" s="144">
        <v>34</v>
      </c>
      <c r="B59" s="244">
        <v>42711</v>
      </c>
      <c r="C59" s="243" t="s">
        <v>237</v>
      </c>
      <c r="D59" s="243" t="s">
        <v>239</v>
      </c>
      <c r="E59" s="243">
        <v>4852733</v>
      </c>
      <c r="F59" s="238">
        <v>26351</v>
      </c>
      <c r="G59" s="239">
        <v>2.68</v>
      </c>
      <c r="H59" s="246">
        <f t="shared" si="24"/>
        <v>70620.680000000008</v>
      </c>
      <c r="I59" s="344"/>
      <c r="J59" s="346"/>
      <c r="K59" s="344"/>
      <c r="L59" s="344"/>
      <c r="M59" s="332"/>
      <c r="N59" s="332"/>
      <c r="O59" s="332"/>
      <c r="P59" s="332"/>
      <c r="Q59" s="256" t="s">
        <v>325</v>
      </c>
      <c r="R59" s="254">
        <v>15246</v>
      </c>
      <c r="S59" s="255">
        <v>27720000</v>
      </c>
      <c r="T59" s="335"/>
      <c r="U59" s="144" t="s">
        <v>163</v>
      </c>
    </row>
    <row r="60" spans="1:21" ht="18" customHeight="1">
      <c r="A60" s="144">
        <v>35</v>
      </c>
      <c r="B60" s="244">
        <v>42711</v>
      </c>
      <c r="C60" s="243" t="s">
        <v>237</v>
      </c>
      <c r="D60" s="243" t="s">
        <v>240</v>
      </c>
      <c r="E60" s="243">
        <v>4852701</v>
      </c>
      <c r="F60" s="238">
        <v>26351</v>
      </c>
      <c r="G60" s="239">
        <v>2.68</v>
      </c>
      <c r="H60" s="246">
        <f t="shared" si="24"/>
        <v>70620.680000000008</v>
      </c>
      <c r="I60" s="344"/>
      <c r="J60" s="346"/>
      <c r="K60" s="344"/>
      <c r="L60" s="344"/>
      <c r="M60" s="332"/>
      <c r="N60" s="332"/>
      <c r="O60" s="332"/>
      <c r="P60" s="332"/>
      <c r="Q60" s="256" t="s">
        <v>131</v>
      </c>
      <c r="R60" s="254">
        <v>647657</v>
      </c>
      <c r="S60" s="255">
        <v>1177559000</v>
      </c>
      <c r="T60" s="335"/>
      <c r="U60" s="144" t="s">
        <v>163</v>
      </c>
    </row>
    <row r="61" spans="1:21" ht="18" customHeight="1">
      <c r="A61" s="144">
        <v>36</v>
      </c>
      <c r="B61" s="244">
        <v>42711</v>
      </c>
      <c r="C61" s="243" t="s">
        <v>237</v>
      </c>
      <c r="D61" s="243" t="s">
        <v>241</v>
      </c>
      <c r="E61" s="243">
        <v>4852777</v>
      </c>
      <c r="F61" s="238">
        <v>26351</v>
      </c>
      <c r="G61" s="239">
        <v>2.68</v>
      </c>
      <c r="H61" s="246">
        <f t="shared" si="24"/>
        <v>70620.680000000008</v>
      </c>
      <c r="I61" s="339"/>
      <c r="J61" s="341"/>
      <c r="K61" s="339"/>
      <c r="L61" s="339"/>
      <c r="M61" s="333"/>
      <c r="N61" s="333"/>
      <c r="O61" s="333"/>
      <c r="P61" s="333"/>
      <c r="Q61" s="253" t="s">
        <v>56</v>
      </c>
      <c r="R61" s="254">
        <v>2403113</v>
      </c>
      <c r="S61" s="255">
        <v>4369297000</v>
      </c>
      <c r="T61" s="335"/>
      <c r="U61" s="144" t="s">
        <v>108</v>
      </c>
    </row>
    <row r="62" spans="1:21" ht="18" customHeight="1">
      <c r="A62" s="144">
        <v>37</v>
      </c>
      <c r="B62" s="244">
        <v>42713</v>
      </c>
      <c r="C62" s="243" t="s">
        <v>237</v>
      </c>
      <c r="D62" s="243" t="s">
        <v>242</v>
      </c>
      <c r="E62" s="243">
        <v>4865726</v>
      </c>
      <c r="F62" s="238">
        <v>26351</v>
      </c>
      <c r="G62" s="239">
        <v>2.68</v>
      </c>
      <c r="H62" s="246">
        <f t="shared" ref="H62:H65" si="26">F62*G62</f>
        <v>70620.680000000008</v>
      </c>
      <c r="I62" s="343">
        <f>H62+H63</f>
        <v>144200.68</v>
      </c>
      <c r="J62" s="345">
        <v>42742</v>
      </c>
      <c r="K62" s="343">
        <f>I62-L62</f>
        <v>12</v>
      </c>
      <c r="L62" s="343">
        <v>144188.68</v>
      </c>
      <c r="M62" s="331">
        <v>22480</v>
      </c>
      <c r="N62" s="335">
        <f t="shared" ref="N62" si="27">L62*M62</f>
        <v>3241361526.3999996</v>
      </c>
      <c r="O62" s="331">
        <v>1825573</v>
      </c>
      <c r="P62" s="333">
        <f t="shared" ref="P62" si="28">N62-O62</f>
        <v>3239535953.3999996</v>
      </c>
      <c r="Q62" s="253" t="s">
        <v>142</v>
      </c>
      <c r="R62" s="254">
        <v>296150</v>
      </c>
      <c r="S62" s="255">
        <v>329056000</v>
      </c>
      <c r="T62" s="335"/>
      <c r="U62" s="243" t="s">
        <v>108</v>
      </c>
    </row>
    <row r="63" spans="1:21" ht="18" customHeight="1">
      <c r="A63" s="144">
        <v>38</v>
      </c>
      <c r="B63" s="244">
        <v>42713</v>
      </c>
      <c r="C63" s="243" t="s">
        <v>237</v>
      </c>
      <c r="D63" s="243" t="s">
        <v>243</v>
      </c>
      <c r="E63" s="243">
        <v>4852764</v>
      </c>
      <c r="F63" s="247">
        <v>26000</v>
      </c>
      <c r="G63" s="246">
        <v>2.83</v>
      </c>
      <c r="H63" s="246">
        <f t="shared" si="26"/>
        <v>73580</v>
      </c>
      <c r="I63" s="339"/>
      <c r="J63" s="341"/>
      <c r="K63" s="339"/>
      <c r="L63" s="339"/>
      <c r="M63" s="333"/>
      <c r="N63" s="335"/>
      <c r="O63" s="333"/>
      <c r="P63" s="335"/>
      <c r="Q63" s="253" t="s">
        <v>56</v>
      </c>
      <c r="R63" s="254">
        <v>2422361</v>
      </c>
      <c r="S63" s="255">
        <v>2691512000</v>
      </c>
      <c r="T63" s="335"/>
      <c r="U63" s="243" t="s">
        <v>81</v>
      </c>
    </row>
    <row r="64" spans="1:21" ht="18" customHeight="1">
      <c r="A64" s="144">
        <v>39</v>
      </c>
      <c r="B64" s="244">
        <v>42713</v>
      </c>
      <c r="C64" s="243" t="s">
        <v>237</v>
      </c>
      <c r="D64" s="243" t="s">
        <v>244</v>
      </c>
      <c r="E64" s="243">
        <v>4849737</v>
      </c>
      <c r="F64" s="247">
        <v>26000</v>
      </c>
      <c r="G64" s="246">
        <v>2.83</v>
      </c>
      <c r="H64" s="246">
        <f t="shared" si="26"/>
        <v>73580</v>
      </c>
      <c r="I64" s="343">
        <f>SUM(H64:H67)</f>
        <v>294320</v>
      </c>
      <c r="J64" s="345">
        <v>42733</v>
      </c>
      <c r="K64" s="343">
        <f>I64-L64</f>
        <v>12</v>
      </c>
      <c r="L64" s="343">
        <v>294308</v>
      </c>
      <c r="M64" s="331">
        <v>22650</v>
      </c>
      <c r="N64" s="331">
        <f>L64*M64</f>
        <v>6666076200</v>
      </c>
      <c r="O64" s="331">
        <v>3651146</v>
      </c>
      <c r="P64" s="331">
        <f t="shared" ref="P64" si="29">N64-O64</f>
        <v>6662425054</v>
      </c>
      <c r="Q64" s="253" t="s">
        <v>142</v>
      </c>
      <c r="R64" s="254">
        <v>820069</v>
      </c>
      <c r="S64" s="255">
        <v>1491035000</v>
      </c>
      <c r="T64" s="335"/>
      <c r="U64" s="243" t="s">
        <v>81</v>
      </c>
    </row>
    <row r="65" spans="1:21" ht="18" customHeight="1">
      <c r="A65" s="144">
        <v>40</v>
      </c>
      <c r="B65" s="244">
        <v>42713</v>
      </c>
      <c r="C65" s="243" t="s">
        <v>237</v>
      </c>
      <c r="D65" s="243" t="s">
        <v>245</v>
      </c>
      <c r="E65" s="243">
        <v>4852756</v>
      </c>
      <c r="F65" s="247">
        <v>26000</v>
      </c>
      <c r="G65" s="246">
        <v>2.83</v>
      </c>
      <c r="H65" s="246">
        <f t="shared" si="26"/>
        <v>73580</v>
      </c>
      <c r="I65" s="344"/>
      <c r="J65" s="346"/>
      <c r="K65" s="344"/>
      <c r="L65" s="344"/>
      <c r="M65" s="332"/>
      <c r="N65" s="332"/>
      <c r="O65" s="332"/>
      <c r="P65" s="332"/>
      <c r="Q65" s="253" t="s">
        <v>56</v>
      </c>
      <c r="R65" s="254">
        <v>2786095</v>
      </c>
      <c r="S65" s="255">
        <v>5065628000</v>
      </c>
      <c r="T65" s="335"/>
      <c r="U65" s="243" t="s">
        <v>81</v>
      </c>
    </row>
    <row r="66" spans="1:21" ht="18" customHeight="1">
      <c r="A66" s="144">
        <v>41</v>
      </c>
      <c r="B66" s="244">
        <v>42713</v>
      </c>
      <c r="C66" s="243" t="s">
        <v>237</v>
      </c>
      <c r="D66" s="243" t="s">
        <v>246</v>
      </c>
      <c r="E66" s="243">
        <v>4852789</v>
      </c>
      <c r="F66" s="247">
        <v>26000</v>
      </c>
      <c r="G66" s="246">
        <v>2.83</v>
      </c>
      <c r="H66" s="246">
        <f t="shared" si="2"/>
        <v>73580</v>
      </c>
      <c r="I66" s="344"/>
      <c r="J66" s="346"/>
      <c r="K66" s="344"/>
      <c r="L66" s="344"/>
      <c r="M66" s="332"/>
      <c r="N66" s="332"/>
      <c r="O66" s="332"/>
      <c r="P66" s="332"/>
      <c r="Q66" s="247"/>
      <c r="R66" s="247"/>
      <c r="S66" s="247"/>
      <c r="T66" s="335"/>
      <c r="U66" s="243" t="s">
        <v>81</v>
      </c>
    </row>
    <row r="67" spans="1:21" ht="18" customHeight="1">
      <c r="A67" s="144">
        <v>42</v>
      </c>
      <c r="B67" s="244">
        <v>42713</v>
      </c>
      <c r="C67" s="243" t="s">
        <v>237</v>
      </c>
      <c r="D67" s="243" t="s">
        <v>247</v>
      </c>
      <c r="E67" s="243">
        <v>4862786</v>
      </c>
      <c r="F67" s="247">
        <v>26000</v>
      </c>
      <c r="G67" s="246">
        <v>2.83</v>
      </c>
      <c r="H67" s="246">
        <f t="shared" si="2"/>
        <v>73580</v>
      </c>
      <c r="I67" s="339"/>
      <c r="J67" s="341"/>
      <c r="K67" s="339"/>
      <c r="L67" s="339"/>
      <c r="M67" s="333"/>
      <c r="N67" s="333"/>
      <c r="O67" s="333"/>
      <c r="P67" s="333"/>
      <c r="Q67" s="247"/>
      <c r="R67" s="247"/>
      <c r="S67" s="247"/>
      <c r="T67" s="335"/>
      <c r="U67" s="243" t="s">
        <v>81</v>
      </c>
    </row>
    <row r="68" spans="1:21" ht="18" customHeight="1">
      <c r="A68" s="144">
        <v>43</v>
      </c>
      <c r="B68" s="244">
        <v>42716</v>
      </c>
      <c r="C68" s="243" t="s">
        <v>252</v>
      </c>
      <c r="D68" s="243" t="s">
        <v>248</v>
      </c>
      <c r="E68" s="243" t="s">
        <v>253</v>
      </c>
      <c r="F68" s="247">
        <v>26000</v>
      </c>
      <c r="G68" s="246">
        <v>2.83</v>
      </c>
      <c r="H68" s="246">
        <f t="shared" si="2"/>
        <v>73580</v>
      </c>
      <c r="I68" s="343">
        <f>SUM(H68:H71)</f>
        <v>294320</v>
      </c>
      <c r="J68" s="345">
        <v>42746</v>
      </c>
      <c r="K68" s="343">
        <f>I68-L68</f>
        <v>12</v>
      </c>
      <c r="L68" s="343">
        <v>294308</v>
      </c>
      <c r="M68" s="331">
        <v>22465</v>
      </c>
      <c r="N68" s="331">
        <f>L68*M68</f>
        <v>6611629220</v>
      </c>
      <c r="O68" s="331">
        <v>3651146</v>
      </c>
      <c r="P68" s="331">
        <f t="shared" ref="P68" si="30">N68-O68</f>
        <v>6607978074</v>
      </c>
      <c r="Q68" s="256" t="s">
        <v>55</v>
      </c>
      <c r="R68" s="254">
        <v>889727</v>
      </c>
      <c r="S68" s="255">
        <v>988585000</v>
      </c>
      <c r="T68" s="335"/>
      <c r="U68" s="144" t="s">
        <v>163</v>
      </c>
    </row>
    <row r="69" spans="1:21" ht="18" customHeight="1">
      <c r="A69" s="144">
        <v>44</v>
      </c>
      <c r="B69" s="244">
        <v>42716</v>
      </c>
      <c r="C69" s="243" t="s">
        <v>252</v>
      </c>
      <c r="D69" s="243" t="s">
        <v>249</v>
      </c>
      <c r="E69" s="243" t="s">
        <v>254</v>
      </c>
      <c r="F69" s="247">
        <v>26000</v>
      </c>
      <c r="G69" s="246">
        <v>2.83</v>
      </c>
      <c r="H69" s="246">
        <f t="shared" ref="H69:H101" si="31">F69*G69</f>
        <v>73580</v>
      </c>
      <c r="I69" s="344"/>
      <c r="J69" s="346"/>
      <c r="K69" s="344"/>
      <c r="L69" s="344"/>
      <c r="M69" s="332"/>
      <c r="N69" s="332"/>
      <c r="O69" s="332"/>
      <c r="P69" s="332"/>
      <c r="Q69" s="253" t="s">
        <v>390</v>
      </c>
      <c r="R69" s="254">
        <v>851458</v>
      </c>
      <c r="S69" s="255">
        <v>946064000</v>
      </c>
      <c r="T69" s="335"/>
      <c r="U69" s="144" t="s">
        <v>163</v>
      </c>
    </row>
    <row r="70" spans="1:21" ht="18" customHeight="1">
      <c r="A70" s="144">
        <v>45</v>
      </c>
      <c r="B70" s="244">
        <v>42716</v>
      </c>
      <c r="C70" s="243" t="s">
        <v>252</v>
      </c>
      <c r="D70" s="243" t="s">
        <v>250</v>
      </c>
      <c r="E70" s="243" t="s">
        <v>255</v>
      </c>
      <c r="F70" s="247">
        <v>26000</v>
      </c>
      <c r="G70" s="246">
        <v>2.83</v>
      </c>
      <c r="H70" s="246">
        <f t="shared" si="31"/>
        <v>73580</v>
      </c>
      <c r="I70" s="344"/>
      <c r="J70" s="346"/>
      <c r="K70" s="344"/>
      <c r="L70" s="344"/>
      <c r="M70" s="332"/>
      <c r="N70" s="332"/>
      <c r="O70" s="332"/>
      <c r="P70" s="332"/>
      <c r="Q70" s="253" t="s">
        <v>56</v>
      </c>
      <c r="R70" s="254">
        <v>4198989</v>
      </c>
      <c r="S70" s="255">
        <v>4665543000</v>
      </c>
      <c r="T70" s="335"/>
      <c r="U70" s="144" t="s">
        <v>81</v>
      </c>
    </row>
    <row r="71" spans="1:21" ht="18" customHeight="1">
      <c r="A71" s="144">
        <v>46</v>
      </c>
      <c r="B71" s="244">
        <v>42716</v>
      </c>
      <c r="C71" s="243" t="s">
        <v>252</v>
      </c>
      <c r="D71" s="243" t="s">
        <v>251</v>
      </c>
      <c r="E71" s="243" t="s">
        <v>256</v>
      </c>
      <c r="F71" s="247">
        <v>26000</v>
      </c>
      <c r="G71" s="246">
        <v>2.83</v>
      </c>
      <c r="H71" s="246">
        <f t="shared" si="31"/>
        <v>73580</v>
      </c>
      <c r="I71" s="339"/>
      <c r="J71" s="341"/>
      <c r="K71" s="339"/>
      <c r="L71" s="339"/>
      <c r="M71" s="333"/>
      <c r="N71" s="333"/>
      <c r="O71" s="333"/>
      <c r="P71" s="333"/>
      <c r="Q71" s="242"/>
      <c r="R71" s="242"/>
      <c r="S71" s="242"/>
      <c r="T71" s="335"/>
      <c r="U71" s="144" t="s">
        <v>81</v>
      </c>
    </row>
    <row r="72" spans="1:21" ht="18" customHeight="1">
      <c r="A72" s="144">
        <v>47</v>
      </c>
      <c r="B72" s="244">
        <v>42720</v>
      </c>
      <c r="C72" s="243" t="s">
        <v>276</v>
      </c>
      <c r="D72" s="248" t="s">
        <v>270</v>
      </c>
      <c r="E72" s="248">
        <v>4844165</v>
      </c>
      <c r="F72" s="247">
        <v>26000</v>
      </c>
      <c r="G72" s="246">
        <v>2.83</v>
      </c>
      <c r="H72" s="246">
        <f t="shared" ref="H72:H82" si="32">F72*G72</f>
        <v>73580</v>
      </c>
      <c r="I72" s="343">
        <f>SUM(H72:H77)</f>
        <v>441480</v>
      </c>
      <c r="J72" s="345">
        <v>42782</v>
      </c>
      <c r="K72" s="343">
        <f>I72-L72</f>
        <v>12</v>
      </c>
      <c r="L72" s="343">
        <v>441468</v>
      </c>
      <c r="M72" s="331">
        <v>22570</v>
      </c>
      <c r="N72" s="331">
        <f>L72*M72</f>
        <v>9963932760</v>
      </c>
      <c r="O72" s="331">
        <v>3250000</v>
      </c>
      <c r="P72" s="331">
        <f>N72-O72</f>
        <v>9960682760</v>
      </c>
      <c r="Q72" s="253" t="s">
        <v>131</v>
      </c>
      <c r="R72" s="254">
        <v>1100000</v>
      </c>
      <c r="S72" s="255">
        <v>1697000000</v>
      </c>
      <c r="T72" s="335">
        <v>575924500</v>
      </c>
      <c r="U72" s="144" t="s">
        <v>108</v>
      </c>
    </row>
    <row r="73" spans="1:21" ht="18" customHeight="1">
      <c r="A73" s="144">
        <v>48</v>
      </c>
      <c r="B73" s="244">
        <v>42720</v>
      </c>
      <c r="C73" s="243" t="s">
        <v>276</v>
      </c>
      <c r="D73" s="248" t="s">
        <v>271</v>
      </c>
      <c r="E73" s="248">
        <v>4844162</v>
      </c>
      <c r="F73" s="247">
        <v>26000</v>
      </c>
      <c r="G73" s="246">
        <v>2.83</v>
      </c>
      <c r="H73" s="246">
        <f t="shared" si="32"/>
        <v>73580</v>
      </c>
      <c r="I73" s="344"/>
      <c r="J73" s="346"/>
      <c r="K73" s="344"/>
      <c r="L73" s="344"/>
      <c r="M73" s="332"/>
      <c r="N73" s="332"/>
      <c r="O73" s="332"/>
      <c r="P73" s="332"/>
      <c r="Q73" s="253" t="s">
        <v>396</v>
      </c>
      <c r="R73" s="254">
        <v>1100000</v>
      </c>
      <c r="S73" s="255">
        <v>1697000000</v>
      </c>
      <c r="T73" s="335"/>
      <c r="U73" s="144" t="s">
        <v>81</v>
      </c>
    </row>
    <row r="74" spans="1:21" ht="18" customHeight="1">
      <c r="A74" s="144">
        <v>49</v>
      </c>
      <c r="B74" s="244">
        <v>42720</v>
      </c>
      <c r="C74" s="243" t="s">
        <v>276</v>
      </c>
      <c r="D74" s="243" t="s">
        <v>272</v>
      </c>
      <c r="E74" s="248">
        <v>4844167</v>
      </c>
      <c r="F74" s="247">
        <v>26000</v>
      </c>
      <c r="G74" s="246">
        <v>2.83</v>
      </c>
      <c r="H74" s="246">
        <f t="shared" si="32"/>
        <v>73580</v>
      </c>
      <c r="I74" s="344"/>
      <c r="J74" s="346"/>
      <c r="K74" s="344"/>
      <c r="L74" s="344"/>
      <c r="M74" s="332"/>
      <c r="N74" s="332"/>
      <c r="O74" s="332"/>
      <c r="P74" s="332"/>
      <c r="Q74" s="253" t="s">
        <v>395</v>
      </c>
      <c r="R74" s="254">
        <v>1100000</v>
      </c>
      <c r="S74" s="255">
        <v>1696000000</v>
      </c>
      <c r="T74" s="335"/>
      <c r="U74" s="144" t="s">
        <v>81</v>
      </c>
    </row>
    <row r="75" spans="1:21" ht="18" customHeight="1">
      <c r="A75" s="144">
        <v>50</v>
      </c>
      <c r="B75" s="244">
        <v>42720</v>
      </c>
      <c r="C75" s="243" t="s">
        <v>276</v>
      </c>
      <c r="D75" s="248" t="s">
        <v>273</v>
      </c>
      <c r="E75" s="248">
        <v>4855088</v>
      </c>
      <c r="F75" s="247">
        <v>26000</v>
      </c>
      <c r="G75" s="246">
        <v>2.83</v>
      </c>
      <c r="H75" s="246">
        <f t="shared" si="32"/>
        <v>73580</v>
      </c>
      <c r="I75" s="344"/>
      <c r="J75" s="346"/>
      <c r="K75" s="344"/>
      <c r="L75" s="344"/>
      <c r="M75" s="332"/>
      <c r="N75" s="332"/>
      <c r="O75" s="332"/>
      <c r="P75" s="332"/>
      <c r="Q75" s="253" t="s">
        <v>400</v>
      </c>
      <c r="R75" s="254">
        <v>1100000</v>
      </c>
      <c r="S75" s="255">
        <v>1696000000</v>
      </c>
      <c r="T75" s="335"/>
      <c r="U75" s="144" t="s">
        <v>81</v>
      </c>
    </row>
    <row r="76" spans="1:21" ht="18" customHeight="1">
      <c r="A76" s="144">
        <v>51</v>
      </c>
      <c r="B76" s="244">
        <v>42720</v>
      </c>
      <c r="C76" s="243" t="s">
        <v>276</v>
      </c>
      <c r="D76" s="248" t="s">
        <v>274</v>
      </c>
      <c r="E76" s="248">
        <v>4844166</v>
      </c>
      <c r="F76" s="247">
        <v>26000</v>
      </c>
      <c r="G76" s="246">
        <v>2.83</v>
      </c>
      <c r="H76" s="246">
        <f t="shared" si="32"/>
        <v>73580</v>
      </c>
      <c r="I76" s="344"/>
      <c r="J76" s="346"/>
      <c r="K76" s="344"/>
      <c r="L76" s="344"/>
      <c r="M76" s="332"/>
      <c r="N76" s="332"/>
      <c r="O76" s="332"/>
      <c r="P76" s="332"/>
      <c r="Q76" s="256" t="s">
        <v>401</v>
      </c>
      <c r="R76" s="254">
        <v>1100000</v>
      </c>
      <c r="S76" s="255">
        <v>1696000000</v>
      </c>
      <c r="T76" s="335"/>
      <c r="U76" s="144" t="s">
        <v>108</v>
      </c>
    </row>
    <row r="77" spans="1:21" ht="18" customHeight="1">
      <c r="A77" s="144">
        <v>52</v>
      </c>
      <c r="B77" s="244">
        <v>42720</v>
      </c>
      <c r="C77" s="243" t="s">
        <v>276</v>
      </c>
      <c r="D77" s="248" t="s">
        <v>275</v>
      </c>
      <c r="E77" s="248">
        <v>4844102</v>
      </c>
      <c r="F77" s="247">
        <v>26000</v>
      </c>
      <c r="G77" s="246">
        <v>2.83</v>
      </c>
      <c r="H77" s="246">
        <f t="shared" si="32"/>
        <v>73580</v>
      </c>
      <c r="I77" s="339"/>
      <c r="J77" s="341"/>
      <c r="K77" s="339"/>
      <c r="L77" s="339"/>
      <c r="M77" s="333"/>
      <c r="N77" s="333"/>
      <c r="O77" s="333"/>
      <c r="P77" s="333"/>
      <c r="Q77" s="257" t="s">
        <v>394</v>
      </c>
      <c r="R77" s="254">
        <v>1100000</v>
      </c>
      <c r="S77" s="255">
        <v>1696000000</v>
      </c>
      <c r="T77" s="335"/>
      <c r="U77" s="144" t="s">
        <v>81</v>
      </c>
    </row>
    <row r="78" spans="1:21" ht="18" customHeight="1">
      <c r="A78" s="144">
        <v>53</v>
      </c>
      <c r="B78" s="244">
        <v>42723</v>
      </c>
      <c r="C78" s="243" t="s">
        <v>290</v>
      </c>
      <c r="D78" s="243" t="s">
        <v>291</v>
      </c>
      <c r="E78" s="243" t="s">
        <v>297</v>
      </c>
      <c r="F78" s="247">
        <f>2030*13</f>
        <v>26390</v>
      </c>
      <c r="G78" s="246">
        <v>2.83</v>
      </c>
      <c r="H78" s="246">
        <f t="shared" si="32"/>
        <v>74683.7</v>
      </c>
      <c r="I78" s="340">
        <f>H78+H79</f>
        <v>149367.4</v>
      </c>
      <c r="J78" s="342">
        <v>42774</v>
      </c>
      <c r="K78" s="340">
        <f>I78-L78</f>
        <v>12</v>
      </c>
      <c r="L78" s="340">
        <v>149355.4</v>
      </c>
      <c r="M78" s="331">
        <v>22520</v>
      </c>
      <c r="N78" s="335">
        <f t="shared" ref="N78" si="33">L78*M78</f>
        <v>3363483608</v>
      </c>
      <c r="O78" s="335">
        <v>1861474</v>
      </c>
      <c r="P78" s="333">
        <f t="shared" ref="P78" si="34">N78-O78</f>
        <v>3361622134</v>
      </c>
      <c r="Q78" s="253" t="s">
        <v>142</v>
      </c>
      <c r="R78" s="254">
        <v>1175650</v>
      </c>
      <c r="S78" s="255">
        <v>1679500000</v>
      </c>
      <c r="T78" s="335"/>
      <c r="U78" s="144" t="s">
        <v>81</v>
      </c>
    </row>
    <row r="79" spans="1:21" ht="18" customHeight="1">
      <c r="A79" s="144">
        <v>54</v>
      </c>
      <c r="B79" s="244">
        <v>42723</v>
      </c>
      <c r="C79" s="243" t="s">
        <v>290</v>
      </c>
      <c r="D79" s="243" t="s">
        <v>292</v>
      </c>
      <c r="E79" s="243" t="s">
        <v>298</v>
      </c>
      <c r="F79" s="247">
        <f t="shared" ref="F79:F101" si="35">2030*13</f>
        <v>26390</v>
      </c>
      <c r="G79" s="246">
        <v>2.83</v>
      </c>
      <c r="H79" s="246">
        <f t="shared" si="32"/>
        <v>74683.7</v>
      </c>
      <c r="I79" s="340"/>
      <c r="J79" s="342"/>
      <c r="K79" s="340"/>
      <c r="L79" s="340"/>
      <c r="M79" s="333"/>
      <c r="N79" s="335"/>
      <c r="O79" s="335"/>
      <c r="P79" s="335"/>
      <c r="Q79" s="256" t="s">
        <v>152</v>
      </c>
      <c r="R79" s="254">
        <v>1175650</v>
      </c>
      <c r="S79" s="255">
        <v>1679500000</v>
      </c>
      <c r="T79" s="335"/>
      <c r="U79" s="144" t="s">
        <v>81</v>
      </c>
    </row>
    <row r="80" spans="1:21" ht="18" customHeight="1">
      <c r="A80" s="144">
        <v>55</v>
      </c>
      <c r="B80" s="244">
        <v>42723</v>
      </c>
      <c r="C80" s="243" t="s">
        <v>290</v>
      </c>
      <c r="D80" s="243" t="s">
        <v>293</v>
      </c>
      <c r="E80" s="243" t="s">
        <v>299</v>
      </c>
      <c r="F80" s="247">
        <f t="shared" si="35"/>
        <v>26390</v>
      </c>
      <c r="G80" s="246">
        <v>2.83</v>
      </c>
      <c r="H80" s="246">
        <f t="shared" si="32"/>
        <v>74683.7</v>
      </c>
      <c r="I80" s="343">
        <f>SUM(H80:H85)</f>
        <v>448102.2</v>
      </c>
      <c r="J80" s="345">
        <v>42788</v>
      </c>
      <c r="K80" s="343">
        <f>I80-L80</f>
        <v>122</v>
      </c>
      <c r="L80" s="343">
        <v>447980.2</v>
      </c>
      <c r="M80" s="331">
        <v>22620</v>
      </c>
      <c r="N80" s="331">
        <f>L80*M80</f>
        <v>10133312124</v>
      </c>
      <c r="O80" s="331"/>
      <c r="P80" s="331">
        <f>N80-O80</f>
        <v>10133312124</v>
      </c>
      <c r="Q80" s="253" t="s">
        <v>396</v>
      </c>
      <c r="R80" s="254">
        <v>1100000</v>
      </c>
      <c r="S80" s="255">
        <v>2110891000</v>
      </c>
      <c r="T80" s="335"/>
      <c r="U80" s="144" t="s">
        <v>108</v>
      </c>
    </row>
    <row r="81" spans="1:21" ht="18" customHeight="1">
      <c r="A81" s="144">
        <v>56</v>
      </c>
      <c r="B81" s="244">
        <v>42723</v>
      </c>
      <c r="C81" s="243" t="s">
        <v>290</v>
      </c>
      <c r="D81" s="243" t="s">
        <v>294</v>
      </c>
      <c r="E81" s="243" t="s">
        <v>300</v>
      </c>
      <c r="F81" s="247">
        <f t="shared" si="35"/>
        <v>26390</v>
      </c>
      <c r="G81" s="246">
        <v>2.83</v>
      </c>
      <c r="H81" s="246">
        <f t="shared" si="32"/>
        <v>74683.7</v>
      </c>
      <c r="I81" s="344"/>
      <c r="J81" s="346"/>
      <c r="K81" s="344"/>
      <c r="L81" s="344"/>
      <c r="M81" s="332"/>
      <c r="N81" s="332"/>
      <c r="O81" s="332"/>
      <c r="P81" s="332"/>
      <c r="Q81" s="253" t="s">
        <v>395</v>
      </c>
      <c r="R81" s="254">
        <v>1100000</v>
      </c>
      <c r="S81" s="255">
        <v>1238708500</v>
      </c>
      <c r="T81" s="335"/>
      <c r="U81" s="144" t="s">
        <v>81</v>
      </c>
    </row>
    <row r="82" spans="1:21" ht="18" customHeight="1">
      <c r="A82" s="144">
        <v>57</v>
      </c>
      <c r="B82" s="244">
        <v>42723</v>
      </c>
      <c r="C82" s="243" t="s">
        <v>290</v>
      </c>
      <c r="D82" s="243" t="s">
        <v>295</v>
      </c>
      <c r="E82" s="243" t="s">
        <v>301</v>
      </c>
      <c r="F82" s="247">
        <f t="shared" si="35"/>
        <v>26390</v>
      </c>
      <c r="G82" s="246">
        <v>2.83</v>
      </c>
      <c r="H82" s="246">
        <f t="shared" si="32"/>
        <v>74683.7</v>
      </c>
      <c r="I82" s="344"/>
      <c r="J82" s="346"/>
      <c r="K82" s="344"/>
      <c r="L82" s="344"/>
      <c r="M82" s="332"/>
      <c r="N82" s="332"/>
      <c r="O82" s="332"/>
      <c r="P82" s="332"/>
      <c r="Q82" s="253" t="s">
        <v>131</v>
      </c>
      <c r="R82" s="254">
        <v>1100000</v>
      </c>
      <c r="S82" s="255">
        <v>1473180000</v>
      </c>
      <c r="T82" s="335"/>
      <c r="U82" s="144" t="s">
        <v>108</v>
      </c>
    </row>
    <row r="83" spans="1:21" ht="18" customHeight="1">
      <c r="A83" s="144">
        <v>58</v>
      </c>
      <c r="B83" s="244">
        <v>42723</v>
      </c>
      <c r="C83" s="243" t="s">
        <v>290</v>
      </c>
      <c r="D83" s="243" t="s">
        <v>296</v>
      </c>
      <c r="E83" s="243" t="s">
        <v>302</v>
      </c>
      <c r="F83" s="247">
        <f t="shared" si="35"/>
        <v>26390</v>
      </c>
      <c r="G83" s="246">
        <v>2.83</v>
      </c>
      <c r="H83" s="246">
        <f t="shared" si="31"/>
        <v>74683.7</v>
      </c>
      <c r="I83" s="344"/>
      <c r="J83" s="346"/>
      <c r="K83" s="344"/>
      <c r="L83" s="344"/>
      <c r="M83" s="332"/>
      <c r="N83" s="332"/>
      <c r="O83" s="332"/>
      <c r="P83" s="332"/>
      <c r="Q83" s="253" t="s">
        <v>406</v>
      </c>
      <c r="R83" s="254">
        <v>1100000</v>
      </c>
      <c r="S83" s="255">
        <v>1552320000</v>
      </c>
      <c r="T83" s="335"/>
      <c r="U83" s="144" t="s">
        <v>81</v>
      </c>
    </row>
    <row r="84" spans="1:21" ht="18" customHeight="1">
      <c r="A84" s="144">
        <v>59</v>
      </c>
      <c r="B84" s="244">
        <v>42726</v>
      </c>
      <c r="C84" s="243" t="s">
        <v>343</v>
      </c>
      <c r="D84" s="243" t="s">
        <v>344</v>
      </c>
      <c r="E84" s="243">
        <v>4839799</v>
      </c>
      <c r="F84" s="247">
        <f t="shared" si="35"/>
        <v>26390</v>
      </c>
      <c r="G84" s="246">
        <v>2.83</v>
      </c>
      <c r="H84" s="246">
        <f t="shared" si="31"/>
        <v>74683.7</v>
      </c>
      <c r="I84" s="344"/>
      <c r="J84" s="346"/>
      <c r="K84" s="344"/>
      <c r="L84" s="344"/>
      <c r="M84" s="332"/>
      <c r="N84" s="332"/>
      <c r="O84" s="332"/>
      <c r="P84" s="332"/>
      <c r="Q84" s="253" t="s">
        <v>400</v>
      </c>
      <c r="R84" s="254">
        <v>1100000</v>
      </c>
      <c r="S84" s="255">
        <v>1329812000</v>
      </c>
      <c r="T84" s="331">
        <v>596770925</v>
      </c>
      <c r="U84" s="144" t="s">
        <v>163</v>
      </c>
    </row>
    <row r="85" spans="1:21" ht="18" customHeight="1">
      <c r="A85" s="144">
        <v>60</v>
      </c>
      <c r="B85" s="244">
        <v>42726</v>
      </c>
      <c r="C85" s="243" t="s">
        <v>343</v>
      </c>
      <c r="D85" s="243" t="s">
        <v>345</v>
      </c>
      <c r="E85" s="243">
        <v>4839863</v>
      </c>
      <c r="F85" s="247">
        <f t="shared" si="35"/>
        <v>26390</v>
      </c>
      <c r="G85" s="246">
        <v>2.83</v>
      </c>
      <c r="H85" s="246">
        <f t="shared" si="31"/>
        <v>74683.7</v>
      </c>
      <c r="I85" s="339"/>
      <c r="J85" s="341"/>
      <c r="K85" s="339"/>
      <c r="L85" s="339"/>
      <c r="M85" s="333"/>
      <c r="N85" s="333"/>
      <c r="O85" s="333"/>
      <c r="P85" s="333"/>
      <c r="Q85" s="257" t="s">
        <v>394</v>
      </c>
      <c r="R85" s="260">
        <v>1100000</v>
      </c>
      <c r="S85" s="258">
        <v>2251300000</v>
      </c>
      <c r="T85" s="332"/>
      <c r="U85" s="144" t="s">
        <v>163</v>
      </c>
    </row>
    <row r="86" spans="1:21" ht="18" customHeight="1">
      <c r="A86" s="144">
        <v>61</v>
      </c>
      <c r="B86" s="244">
        <v>42727</v>
      </c>
      <c r="C86" s="243" t="s">
        <v>343</v>
      </c>
      <c r="D86" s="243" t="s">
        <v>346</v>
      </c>
      <c r="E86" s="243">
        <v>4839808</v>
      </c>
      <c r="F86" s="247">
        <f t="shared" si="35"/>
        <v>26390</v>
      </c>
      <c r="G86" s="246">
        <v>2.83</v>
      </c>
      <c r="H86" s="246">
        <f t="shared" si="31"/>
        <v>74683.7</v>
      </c>
      <c r="I86" s="343">
        <f>SUM(H86:H91)</f>
        <v>450241.68</v>
      </c>
      <c r="J86" s="345">
        <v>42790</v>
      </c>
      <c r="K86" s="343">
        <f>I86-L86</f>
        <v>12</v>
      </c>
      <c r="L86" s="343">
        <v>450229.68</v>
      </c>
      <c r="M86" s="331">
        <v>22620</v>
      </c>
      <c r="N86" s="331">
        <f>L86*M86</f>
        <v>10184195361.6</v>
      </c>
      <c r="O86" s="331">
        <v>2514600</v>
      </c>
      <c r="P86" s="331">
        <f t="shared" ref="P86" si="36">N86-O86</f>
        <v>10181680761.6</v>
      </c>
      <c r="Q86" s="61" t="s">
        <v>396</v>
      </c>
      <c r="R86" s="247">
        <v>1100000</v>
      </c>
      <c r="S86" s="255">
        <v>2809419000</v>
      </c>
      <c r="T86" s="332"/>
      <c r="U86" s="144" t="s">
        <v>163</v>
      </c>
    </row>
    <row r="87" spans="1:21" ht="18" customHeight="1">
      <c r="A87" s="144">
        <v>62</v>
      </c>
      <c r="B87" s="244">
        <v>42727</v>
      </c>
      <c r="C87" s="243" t="s">
        <v>343</v>
      </c>
      <c r="D87" s="243" t="s">
        <v>347</v>
      </c>
      <c r="E87" s="243">
        <v>4839819</v>
      </c>
      <c r="F87" s="247">
        <f t="shared" si="35"/>
        <v>26390</v>
      </c>
      <c r="G87" s="246">
        <v>2.83</v>
      </c>
      <c r="H87" s="246">
        <f t="shared" si="31"/>
        <v>74683.7</v>
      </c>
      <c r="I87" s="344"/>
      <c r="J87" s="346"/>
      <c r="K87" s="344"/>
      <c r="L87" s="344"/>
      <c r="M87" s="332"/>
      <c r="N87" s="332"/>
      <c r="O87" s="332"/>
      <c r="P87" s="332"/>
      <c r="Q87" s="61" t="s">
        <v>395</v>
      </c>
      <c r="R87" s="247">
        <v>550000</v>
      </c>
      <c r="S87" s="255">
        <v>1000000000</v>
      </c>
      <c r="T87" s="332"/>
      <c r="U87" s="144" t="s">
        <v>350</v>
      </c>
    </row>
    <row r="88" spans="1:21" ht="18" customHeight="1">
      <c r="A88" s="144">
        <v>63</v>
      </c>
      <c r="B88" s="244">
        <v>42727</v>
      </c>
      <c r="C88" s="243" t="s">
        <v>343</v>
      </c>
      <c r="D88" s="243" t="s">
        <v>348</v>
      </c>
      <c r="E88" s="243">
        <v>4839726</v>
      </c>
      <c r="F88" s="247">
        <f t="shared" si="35"/>
        <v>26390</v>
      </c>
      <c r="G88" s="246">
        <v>2.83</v>
      </c>
      <c r="H88" s="246">
        <f t="shared" si="31"/>
        <v>74683.7</v>
      </c>
      <c r="I88" s="344"/>
      <c r="J88" s="346"/>
      <c r="K88" s="344"/>
      <c r="L88" s="344"/>
      <c r="M88" s="332"/>
      <c r="N88" s="332"/>
      <c r="O88" s="332"/>
      <c r="P88" s="332"/>
      <c r="Q88" s="61" t="s">
        <v>400</v>
      </c>
      <c r="R88" s="247">
        <v>825000</v>
      </c>
      <c r="S88" s="255">
        <v>1500000000</v>
      </c>
      <c r="T88" s="332"/>
      <c r="U88" s="144" t="s">
        <v>108</v>
      </c>
    </row>
    <row r="89" spans="1:21" ht="18" customHeight="1">
      <c r="A89" s="144">
        <v>64</v>
      </c>
      <c r="B89" s="244">
        <v>42727</v>
      </c>
      <c r="C89" s="243" t="s">
        <v>343</v>
      </c>
      <c r="D89" s="243" t="s">
        <v>349</v>
      </c>
      <c r="E89" s="243">
        <v>4839755</v>
      </c>
      <c r="F89" s="247">
        <f>1939*14</f>
        <v>27146</v>
      </c>
      <c r="G89" s="246">
        <v>2.83</v>
      </c>
      <c r="H89" s="246">
        <f t="shared" si="31"/>
        <v>76823.180000000008</v>
      </c>
      <c r="I89" s="344"/>
      <c r="J89" s="346"/>
      <c r="K89" s="344"/>
      <c r="L89" s="344"/>
      <c r="M89" s="332"/>
      <c r="N89" s="332"/>
      <c r="O89" s="332"/>
      <c r="P89" s="332"/>
      <c r="Q89" s="220" t="s">
        <v>394</v>
      </c>
      <c r="R89" s="247">
        <v>1100000</v>
      </c>
      <c r="S89" s="255">
        <v>4443756000</v>
      </c>
      <c r="T89" s="332"/>
      <c r="U89" s="144" t="s">
        <v>81</v>
      </c>
    </row>
    <row r="90" spans="1:21" ht="18" customHeight="1">
      <c r="A90" s="144">
        <v>65</v>
      </c>
      <c r="B90" s="244">
        <v>42730</v>
      </c>
      <c r="C90" s="243" t="s">
        <v>363</v>
      </c>
      <c r="D90" s="243" t="s">
        <v>351</v>
      </c>
      <c r="E90" s="243" t="s">
        <v>352</v>
      </c>
      <c r="F90" s="247">
        <f t="shared" si="35"/>
        <v>26390</v>
      </c>
      <c r="G90" s="246">
        <v>2.83</v>
      </c>
      <c r="H90" s="246">
        <f t="shared" si="31"/>
        <v>74683.7</v>
      </c>
      <c r="I90" s="344"/>
      <c r="J90" s="346"/>
      <c r="K90" s="344"/>
      <c r="L90" s="344"/>
      <c r="M90" s="332"/>
      <c r="N90" s="332"/>
      <c r="O90" s="332"/>
      <c r="P90" s="332"/>
      <c r="Q90" s="61" t="s">
        <v>56</v>
      </c>
      <c r="R90" s="247">
        <v>324500</v>
      </c>
      <c r="S90" s="255">
        <v>590000000</v>
      </c>
      <c r="T90" s="332"/>
      <c r="U90" s="144" t="s">
        <v>108</v>
      </c>
    </row>
    <row r="91" spans="1:21" ht="18" customHeight="1">
      <c r="A91" s="144">
        <v>66</v>
      </c>
      <c r="B91" s="244">
        <v>42730</v>
      </c>
      <c r="C91" s="243" t="s">
        <v>363</v>
      </c>
      <c r="D91" s="243" t="s">
        <v>353</v>
      </c>
      <c r="E91" s="243" t="s">
        <v>354</v>
      </c>
      <c r="F91" s="247">
        <f t="shared" si="35"/>
        <v>26390</v>
      </c>
      <c r="G91" s="246">
        <v>2.83</v>
      </c>
      <c r="H91" s="246">
        <f t="shared" si="31"/>
        <v>74683.7</v>
      </c>
      <c r="I91" s="339"/>
      <c r="J91" s="341"/>
      <c r="K91" s="339"/>
      <c r="L91" s="339"/>
      <c r="M91" s="333"/>
      <c r="N91" s="333"/>
      <c r="O91" s="333"/>
      <c r="P91" s="333"/>
      <c r="Q91" s="247"/>
      <c r="R91" s="247"/>
      <c r="S91" s="247"/>
      <c r="T91" s="332"/>
      <c r="U91" s="144" t="s">
        <v>108</v>
      </c>
    </row>
    <row r="92" spans="1:21" ht="18" customHeight="1">
      <c r="A92" s="144">
        <v>67</v>
      </c>
      <c r="B92" s="244">
        <v>42731</v>
      </c>
      <c r="C92" s="243" t="s">
        <v>363</v>
      </c>
      <c r="D92" s="243" t="s">
        <v>355</v>
      </c>
      <c r="E92" s="243" t="s">
        <v>356</v>
      </c>
      <c r="F92" s="247">
        <f t="shared" si="35"/>
        <v>26390</v>
      </c>
      <c r="G92" s="246">
        <v>2.83</v>
      </c>
      <c r="H92" s="246">
        <f t="shared" si="31"/>
        <v>74683.7</v>
      </c>
      <c r="I92" s="343">
        <f>SUM(H92:H97)</f>
        <v>448102.2</v>
      </c>
      <c r="J92" s="345">
        <v>42797</v>
      </c>
      <c r="K92" s="343">
        <f>I92-L92</f>
        <v>12</v>
      </c>
      <c r="L92" s="343">
        <v>448090.2</v>
      </c>
      <c r="M92" s="331">
        <v>22650</v>
      </c>
      <c r="N92" s="331">
        <f>L92*M92</f>
        <v>10149243030</v>
      </c>
      <c r="O92" s="331">
        <v>2514600</v>
      </c>
      <c r="P92" s="331">
        <f t="shared" ref="P92" si="37">N92-O92</f>
        <v>10146728430</v>
      </c>
      <c r="Q92" s="139" t="s">
        <v>397</v>
      </c>
      <c r="R92" s="247">
        <v>1100000</v>
      </c>
      <c r="S92" s="247">
        <v>1950000000</v>
      </c>
      <c r="T92" s="332"/>
      <c r="U92" s="144" t="s">
        <v>81</v>
      </c>
    </row>
    <row r="93" spans="1:21" ht="18" customHeight="1">
      <c r="A93" s="144">
        <v>68</v>
      </c>
      <c r="B93" s="244">
        <v>42730</v>
      </c>
      <c r="C93" s="243" t="s">
        <v>363</v>
      </c>
      <c r="D93" s="243" t="s">
        <v>357</v>
      </c>
      <c r="E93" s="243" t="s">
        <v>358</v>
      </c>
      <c r="F93" s="247">
        <f t="shared" si="35"/>
        <v>26390</v>
      </c>
      <c r="G93" s="246">
        <v>2.83</v>
      </c>
      <c r="H93" s="246">
        <f t="shared" si="31"/>
        <v>74683.7</v>
      </c>
      <c r="I93" s="344"/>
      <c r="J93" s="346"/>
      <c r="K93" s="344"/>
      <c r="L93" s="344"/>
      <c r="M93" s="332"/>
      <c r="N93" s="332"/>
      <c r="O93" s="332"/>
      <c r="P93" s="332"/>
      <c r="Q93" s="139" t="s">
        <v>395</v>
      </c>
      <c r="R93" s="276">
        <v>770000</v>
      </c>
      <c r="S93" s="247">
        <v>1000000000</v>
      </c>
      <c r="T93" s="332"/>
      <c r="U93" s="144" t="s">
        <v>81</v>
      </c>
    </row>
    <row r="94" spans="1:21" ht="18" customHeight="1">
      <c r="A94" s="144">
        <v>69</v>
      </c>
      <c r="B94" s="244">
        <v>42730</v>
      </c>
      <c r="C94" s="243" t="s">
        <v>363</v>
      </c>
      <c r="D94" s="243" t="s">
        <v>359</v>
      </c>
      <c r="E94" s="243" t="s">
        <v>360</v>
      </c>
      <c r="F94" s="247">
        <f t="shared" si="35"/>
        <v>26390</v>
      </c>
      <c r="G94" s="246">
        <v>2.83</v>
      </c>
      <c r="H94" s="246">
        <f t="shared" si="31"/>
        <v>74683.7</v>
      </c>
      <c r="I94" s="344"/>
      <c r="J94" s="346"/>
      <c r="K94" s="344"/>
      <c r="L94" s="344"/>
      <c r="M94" s="332"/>
      <c r="N94" s="332"/>
      <c r="O94" s="332"/>
      <c r="P94" s="332"/>
      <c r="Q94" s="139" t="s">
        <v>400</v>
      </c>
      <c r="R94" s="276">
        <v>1100000</v>
      </c>
      <c r="S94" s="247">
        <v>1500000000</v>
      </c>
      <c r="T94" s="332"/>
      <c r="U94" s="144" t="s">
        <v>81</v>
      </c>
    </row>
    <row r="95" spans="1:21" ht="18" customHeight="1">
      <c r="A95" s="144">
        <v>70</v>
      </c>
      <c r="B95" s="244">
        <v>42731</v>
      </c>
      <c r="C95" s="243" t="s">
        <v>363</v>
      </c>
      <c r="D95" s="243" t="s">
        <v>361</v>
      </c>
      <c r="E95" s="243" t="s">
        <v>362</v>
      </c>
      <c r="F95" s="247">
        <f t="shared" si="35"/>
        <v>26390</v>
      </c>
      <c r="G95" s="246">
        <v>2.83</v>
      </c>
      <c r="H95" s="246">
        <f t="shared" si="31"/>
        <v>74683.7</v>
      </c>
      <c r="I95" s="344"/>
      <c r="J95" s="346"/>
      <c r="K95" s="344"/>
      <c r="L95" s="344"/>
      <c r="M95" s="332"/>
      <c r="N95" s="332"/>
      <c r="O95" s="332"/>
      <c r="P95" s="332"/>
      <c r="Q95" s="139" t="s">
        <v>394</v>
      </c>
      <c r="R95" s="276">
        <v>1100000</v>
      </c>
      <c r="S95" s="247">
        <v>1955000000</v>
      </c>
      <c r="T95" s="333"/>
      <c r="U95" s="144" t="s">
        <v>108</v>
      </c>
    </row>
    <row r="96" spans="1:21" ht="18" customHeight="1">
      <c r="A96" s="144">
        <v>71</v>
      </c>
      <c r="B96" s="244">
        <v>42733</v>
      </c>
      <c r="C96" s="243" t="s">
        <v>366</v>
      </c>
      <c r="D96" s="243" t="s">
        <v>364</v>
      </c>
      <c r="E96" s="243">
        <v>4854276</v>
      </c>
      <c r="F96" s="247">
        <f t="shared" si="35"/>
        <v>26390</v>
      </c>
      <c r="G96" s="246">
        <v>2.83</v>
      </c>
      <c r="H96" s="246">
        <f t="shared" si="31"/>
        <v>74683.7</v>
      </c>
      <c r="I96" s="344"/>
      <c r="J96" s="346"/>
      <c r="K96" s="344"/>
      <c r="L96" s="344"/>
      <c r="M96" s="332"/>
      <c r="N96" s="332"/>
      <c r="O96" s="332"/>
      <c r="P96" s="332"/>
      <c r="Q96" s="139" t="s">
        <v>55</v>
      </c>
      <c r="R96" s="276">
        <v>1100000</v>
      </c>
      <c r="S96" s="247">
        <v>2245072000</v>
      </c>
      <c r="T96" s="331">
        <v>101101100</v>
      </c>
      <c r="U96" s="144" t="s">
        <v>108</v>
      </c>
    </row>
    <row r="97" spans="1:21" ht="18" customHeight="1">
      <c r="A97" s="144">
        <v>72</v>
      </c>
      <c r="B97" s="244">
        <v>42733</v>
      </c>
      <c r="C97" s="243" t="s">
        <v>366</v>
      </c>
      <c r="D97" s="243" t="s">
        <v>365</v>
      </c>
      <c r="E97" s="243">
        <v>3743346</v>
      </c>
      <c r="F97" s="247">
        <f t="shared" si="35"/>
        <v>26390</v>
      </c>
      <c r="G97" s="246">
        <v>2.83</v>
      </c>
      <c r="H97" s="246">
        <f t="shared" si="31"/>
        <v>74683.7</v>
      </c>
      <c r="I97" s="339"/>
      <c r="J97" s="341"/>
      <c r="K97" s="339"/>
      <c r="L97" s="339"/>
      <c r="M97" s="333"/>
      <c r="N97" s="333"/>
      <c r="O97" s="333"/>
      <c r="P97" s="333"/>
      <c r="Q97" s="139" t="s">
        <v>56</v>
      </c>
      <c r="R97" s="276">
        <v>1100000</v>
      </c>
      <c r="S97" s="247">
        <v>1998400000</v>
      </c>
      <c r="T97" s="333"/>
      <c r="U97" s="144" t="s">
        <v>163</v>
      </c>
    </row>
    <row r="98" spans="1:21" ht="18" customHeight="1">
      <c r="A98" s="144">
        <v>73</v>
      </c>
      <c r="B98" s="244">
        <v>42741</v>
      </c>
      <c r="C98" s="243" t="s">
        <v>381</v>
      </c>
      <c r="D98" s="243" t="s">
        <v>382</v>
      </c>
      <c r="E98" s="243">
        <v>4863596</v>
      </c>
      <c r="F98" s="247">
        <f t="shared" si="35"/>
        <v>26390</v>
      </c>
      <c r="G98" s="246">
        <v>2.63</v>
      </c>
      <c r="H98" s="246">
        <f t="shared" si="31"/>
        <v>69405.7</v>
      </c>
      <c r="I98" s="343">
        <f>SUM(H98:H101)</f>
        <v>277622.8</v>
      </c>
      <c r="J98" s="345">
        <v>42779</v>
      </c>
      <c r="K98" s="343">
        <f>I98-L98</f>
        <v>12</v>
      </c>
      <c r="L98" s="343">
        <v>277610.8</v>
      </c>
      <c r="M98" s="331">
        <v>22520</v>
      </c>
      <c r="N98" s="331">
        <f>L98*M98</f>
        <v>6251795216</v>
      </c>
      <c r="O98" s="331">
        <v>2899200</v>
      </c>
      <c r="P98" s="331">
        <f t="shared" ref="P98" si="38">N98-O98</f>
        <v>6248896016</v>
      </c>
      <c r="Q98" s="253" t="s">
        <v>394</v>
      </c>
      <c r="R98" s="254">
        <v>1339135</v>
      </c>
      <c r="S98" s="255">
        <v>1487928000</v>
      </c>
      <c r="T98" s="331">
        <v>216247040</v>
      </c>
      <c r="U98" s="144" t="s">
        <v>108</v>
      </c>
    </row>
    <row r="99" spans="1:21" ht="18" customHeight="1">
      <c r="A99" s="144">
        <v>74</v>
      </c>
      <c r="B99" s="244">
        <v>42741</v>
      </c>
      <c r="C99" s="243" t="s">
        <v>381</v>
      </c>
      <c r="D99" s="243" t="s">
        <v>383</v>
      </c>
      <c r="E99" s="243">
        <v>4854231</v>
      </c>
      <c r="F99" s="247">
        <f t="shared" si="35"/>
        <v>26390</v>
      </c>
      <c r="G99" s="246">
        <v>2.63</v>
      </c>
      <c r="H99" s="246">
        <f t="shared" si="31"/>
        <v>69405.7</v>
      </c>
      <c r="I99" s="344"/>
      <c r="J99" s="346"/>
      <c r="K99" s="344"/>
      <c r="L99" s="344"/>
      <c r="M99" s="332"/>
      <c r="N99" s="332"/>
      <c r="O99" s="332"/>
      <c r="P99" s="332"/>
      <c r="Q99" s="253" t="s">
        <v>395</v>
      </c>
      <c r="R99" s="254">
        <v>1367145</v>
      </c>
      <c r="S99" s="255">
        <v>1519050000</v>
      </c>
      <c r="T99" s="332"/>
      <c r="U99" s="144" t="s">
        <v>388</v>
      </c>
    </row>
    <row r="100" spans="1:21" ht="18.75" customHeight="1">
      <c r="A100" s="144">
        <v>75</v>
      </c>
      <c r="B100" s="244">
        <v>42741</v>
      </c>
      <c r="C100" s="243" t="s">
        <v>381</v>
      </c>
      <c r="D100" s="243" t="s">
        <v>384</v>
      </c>
      <c r="E100" s="243">
        <v>4854203</v>
      </c>
      <c r="F100" s="247">
        <f t="shared" si="35"/>
        <v>26390</v>
      </c>
      <c r="G100" s="246">
        <v>2.63</v>
      </c>
      <c r="H100" s="246">
        <f t="shared" si="31"/>
        <v>69405.7</v>
      </c>
      <c r="I100" s="344"/>
      <c r="J100" s="346"/>
      <c r="K100" s="344"/>
      <c r="L100" s="344"/>
      <c r="M100" s="332"/>
      <c r="N100" s="332"/>
      <c r="O100" s="332"/>
      <c r="P100" s="332"/>
      <c r="Q100" s="253" t="s">
        <v>396</v>
      </c>
      <c r="R100" s="254">
        <v>1360476</v>
      </c>
      <c r="S100" s="255">
        <v>1511640000</v>
      </c>
      <c r="T100" s="332"/>
      <c r="U100" s="144" t="s">
        <v>387</v>
      </c>
    </row>
    <row r="101" spans="1:21" ht="18.75" customHeight="1">
      <c r="A101" s="144">
        <v>76</v>
      </c>
      <c r="B101" s="244">
        <v>42741</v>
      </c>
      <c r="C101" s="243" t="s">
        <v>381</v>
      </c>
      <c r="D101" s="243" t="s">
        <v>385</v>
      </c>
      <c r="E101" s="243" t="s">
        <v>386</v>
      </c>
      <c r="F101" s="247">
        <f t="shared" si="35"/>
        <v>26390</v>
      </c>
      <c r="G101" s="246">
        <v>2.63</v>
      </c>
      <c r="H101" s="246">
        <f t="shared" si="31"/>
        <v>69405.7</v>
      </c>
      <c r="I101" s="339"/>
      <c r="J101" s="341"/>
      <c r="K101" s="339"/>
      <c r="L101" s="339"/>
      <c r="M101" s="333"/>
      <c r="N101" s="333"/>
      <c r="O101" s="333"/>
      <c r="P101" s="333"/>
      <c r="Q101" s="253" t="s">
        <v>397</v>
      </c>
      <c r="R101" s="254">
        <v>1348542</v>
      </c>
      <c r="S101" s="255">
        <v>1498380000</v>
      </c>
      <c r="T101" s="333"/>
      <c r="U101" s="144" t="s">
        <v>81</v>
      </c>
    </row>
    <row r="102" spans="1:21" ht="18.75" customHeight="1">
      <c r="A102" s="249"/>
      <c r="B102" s="250"/>
      <c r="C102" s="148"/>
      <c r="D102" s="148"/>
      <c r="E102" s="148"/>
      <c r="F102" s="251"/>
      <c r="G102" s="252"/>
      <c r="H102" s="252"/>
      <c r="I102" s="252"/>
      <c r="J102" s="244"/>
      <c r="K102" s="151"/>
      <c r="L102" s="239"/>
      <c r="M102" s="252"/>
      <c r="N102" s="252"/>
      <c r="O102" s="252"/>
      <c r="P102" s="252"/>
      <c r="Q102" s="252"/>
      <c r="R102" s="252"/>
      <c r="S102" s="252"/>
      <c r="T102" s="252"/>
      <c r="U102" s="249"/>
    </row>
    <row r="103" spans="1:21" ht="18.75" customHeight="1">
      <c r="A103" s="347" t="s">
        <v>19</v>
      </c>
      <c r="B103" s="348"/>
      <c r="C103" s="348"/>
      <c r="D103" s="348"/>
      <c r="E103" s="349"/>
      <c r="F103" s="261">
        <f>SUM(F19:F102)</f>
        <v>1987871</v>
      </c>
      <c r="G103" s="262"/>
      <c r="H103" s="262"/>
      <c r="I103" s="262">
        <f>SUM(I19:I102)</f>
        <v>5555679.6799999997</v>
      </c>
      <c r="J103" s="262"/>
      <c r="K103" s="261">
        <f>SUM(K19:K102)</f>
        <v>677.00000000005821</v>
      </c>
      <c r="L103" s="262">
        <f>SUM(L19:L102)</f>
        <v>5555002.6799999997</v>
      </c>
      <c r="M103" s="262"/>
      <c r="N103" s="261">
        <f>SUM(N19:N102)</f>
        <v>125334544394</v>
      </c>
      <c r="O103" s="261">
        <f>SUM(O19:O102)</f>
        <v>43060904</v>
      </c>
      <c r="P103" s="261">
        <f>SUM(P19:P102)</f>
        <v>125291483490</v>
      </c>
      <c r="Q103" s="261"/>
      <c r="R103" s="261">
        <f>SUM(R19:R102)</f>
        <v>63351654.569391854</v>
      </c>
      <c r="S103" s="261">
        <f>SUM(S19:S102)</f>
        <v>121408085572.64801</v>
      </c>
      <c r="T103" s="261">
        <f>SUM(T19:T102)</f>
        <v>3820116635</v>
      </c>
      <c r="U103" s="262"/>
    </row>
    <row r="104" spans="1:21" ht="18.75" customHeight="1">
      <c r="A104" s="237"/>
      <c r="B104" s="237"/>
      <c r="C104" s="237"/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334"/>
      <c r="O104" s="334"/>
      <c r="P104" s="334"/>
      <c r="Q104" s="259"/>
      <c r="R104" s="259"/>
      <c r="S104" s="259"/>
      <c r="T104" s="336"/>
      <c r="U104" s="336"/>
    </row>
    <row r="105" spans="1:21" s="283" customFormat="1" ht="18.75" customHeight="1">
      <c r="A105" s="284"/>
      <c r="B105" s="281"/>
      <c r="C105" s="281"/>
      <c r="D105" s="281"/>
      <c r="E105" s="281"/>
      <c r="F105" s="284" t="s">
        <v>429</v>
      </c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5"/>
      <c r="R105" s="285"/>
      <c r="S105" s="285"/>
      <c r="T105" s="286"/>
      <c r="U105" s="286"/>
    </row>
    <row r="106" spans="1:21" s="283" customFormat="1" ht="18.75" customHeight="1">
      <c r="A106" s="281"/>
      <c r="B106" s="281"/>
      <c r="C106" s="281"/>
      <c r="D106" s="281"/>
      <c r="E106" s="281"/>
      <c r="F106" s="282" t="s">
        <v>430</v>
      </c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5"/>
      <c r="R106" s="285"/>
      <c r="S106" s="285"/>
      <c r="T106" s="286"/>
      <c r="U106" s="286"/>
    </row>
    <row r="107" spans="1:21" s="283" customFormat="1" ht="18" customHeight="1">
      <c r="A107" s="282"/>
      <c r="B107" s="282"/>
      <c r="C107" s="282"/>
      <c r="D107" s="282"/>
      <c r="E107" s="282"/>
      <c r="F107" s="287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7"/>
      <c r="T107" s="282"/>
      <c r="U107" s="286"/>
    </row>
    <row r="108" spans="1:21" s="283" customFormat="1" ht="18" customHeight="1">
      <c r="A108" s="288"/>
      <c r="B108" s="288"/>
      <c r="C108" s="288"/>
      <c r="D108" s="288"/>
      <c r="E108" s="288"/>
      <c r="F108" s="288"/>
      <c r="G108" s="288"/>
      <c r="H108" s="288"/>
      <c r="I108" s="289" t="s">
        <v>431</v>
      </c>
      <c r="J108" s="288"/>
      <c r="K108" s="288"/>
      <c r="L108" s="288"/>
      <c r="M108" s="288"/>
      <c r="N108" s="288"/>
      <c r="O108" s="288"/>
      <c r="P108" s="288"/>
      <c r="Q108" s="288"/>
      <c r="R108" s="288"/>
      <c r="S108" s="287" t="s">
        <v>432</v>
      </c>
      <c r="T108" s="288"/>
      <c r="U108" s="290"/>
    </row>
    <row r="109" spans="1:21" s="283" customFormat="1" ht="18" customHeight="1"/>
  </sheetData>
  <mergeCells count="190">
    <mergeCell ref="T27:T32"/>
    <mergeCell ref="F17:I17"/>
    <mergeCell ref="Q17:S17"/>
    <mergeCell ref="J26:J28"/>
    <mergeCell ref="I26:I28"/>
    <mergeCell ref="K26:K28"/>
    <mergeCell ref="L26:L28"/>
    <mergeCell ref="M26:M28"/>
    <mergeCell ref="N26:N28"/>
    <mergeCell ref="O26:O28"/>
    <mergeCell ref="P26:P28"/>
    <mergeCell ref="M22:M23"/>
    <mergeCell ref="O22:O23"/>
    <mergeCell ref="P22:P23"/>
    <mergeCell ref="M24:M25"/>
    <mergeCell ref="O24:O25"/>
    <mergeCell ref="P24:P25"/>
    <mergeCell ref="I24:I25"/>
    <mergeCell ref="T24:T25"/>
    <mergeCell ref="N19:N21"/>
    <mergeCell ref="N22:N23"/>
    <mergeCell ref="N24:N25"/>
    <mergeCell ref="J17:P17"/>
    <mergeCell ref="M19:M21"/>
    <mergeCell ref="A103:E103"/>
    <mergeCell ref="L62:L63"/>
    <mergeCell ref="J98:J101"/>
    <mergeCell ref="L98:L101"/>
    <mergeCell ref="J43:J47"/>
    <mergeCell ref="L43:L47"/>
    <mergeCell ref="J54:J57"/>
    <mergeCell ref="L54:L57"/>
    <mergeCell ref="J48:J53"/>
    <mergeCell ref="J72:J77"/>
    <mergeCell ref="I98:I101"/>
    <mergeCell ref="J86:J91"/>
    <mergeCell ref="L86:L91"/>
    <mergeCell ref="J80:J85"/>
    <mergeCell ref="L80:L85"/>
    <mergeCell ref="I92:I97"/>
    <mergeCell ref="I48:I53"/>
    <mergeCell ref="I54:I57"/>
    <mergeCell ref="I58:I61"/>
    <mergeCell ref="I62:I63"/>
    <mergeCell ref="J92:J97"/>
    <mergeCell ref="K92:K97"/>
    <mergeCell ref="L92:L97"/>
    <mergeCell ref="K68:K71"/>
    <mergeCell ref="K33:K36"/>
    <mergeCell ref="L33:L36"/>
    <mergeCell ref="I37:I38"/>
    <mergeCell ref="I39:I42"/>
    <mergeCell ref="I33:I36"/>
    <mergeCell ref="J33:J36"/>
    <mergeCell ref="K37:K38"/>
    <mergeCell ref="K39:K42"/>
    <mergeCell ref="I29:I32"/>
    <mergeCell ref="J29:J32"/>
    <mergeCell ref="L24:L25"/>
    <mergeCell ref="K72:K77"/>
    <mergeCell ref="K78:K79"/>
    <mergeCell ref="K80:K85"/>
    <mergeCell ref="J64:J67"/>
    <mergeCell ref="L48:L53"/>
    <mergeCell ref="J78:J79"/>
    <mergeCell ref="L78:L79"/>
    <mergeCell ref="J58:J61"/>
    <mergeCell ref="L58:L61"/>
    <mergeCell ref="L68:L71"/>
    <mergeCell ref="J68:J71"/>
    <mergeCell ref="K48:K53"/>
    <mergeCell ref="K54:K57"/>
    <mergeCell ref="K58:K61"/>
    <mergeCell ref="K62:K63"/>
    <mergeCell ref="K64:K67"/>
    <mergeCell ref="L64:L67"/>
    <mergeCell ref="J62:J63"/>
    <mergeCell ref="J37:J38"/>
    <mergeCell ref="L37:L38"/>
    <mergeCell ref="J39:J42"/>
    <mergeCell ref="L29:L32"/>
    <mergeCell ref="K29:K32"/>
    <mergeCell ref="K98:K101"/>
    <mergeCell ref="L39:L42"/>
    <mergeCell ref="M64:M67"/>
    <mergeCell ref="M98:M101"/>
    <mergeCell ref="I64:I67"/>
    <mergeCell ref="I43:I47"/>
    <mergeCell ref="K43:K47"/>
    <mergeCell ref="M39:M42"/>
    <mergeCell ref="I72:I77"/>
    <mergeCell ref="I78:I79"/>
    <mergeCell ref="L72:L77"/>
    <mergeCell ref="I68:I71"/>
    <mergeCell ref="O98:O101"/>
    <mergeCell ref="P98:P101"/>
    <mergeCell ref="K24:K25"/>
    <mergeCell ref="N92:N97"/>
    <mergeCell ref="N98:N101"/>
    <mergeCell ref="M80:M85"/>
    <mergeCell ref="O80:O85"/>
    <mergeCell ref="P80:P85"/>
    <mergeCell ref="M86:M91"/>
    <mergeCell ref="O86:O91"/>
    <mergeCell ref="P86:P91"/>
    <mergeCell ref="N80:N85"/>
    <mergeCell ref="N86:N91"/>
    <mergeCell ref="M33:M36"/>
    <mergeCell ref="N33:N36"/>
    <mergeCell ref="O33:O36"/>
    <mergeCell ref="P33:P36"/>
    <mergeCell ref="M58:M61"/>
    <mergeCell ref="O58:O61"/>
    <mergeCell ref="P58:P61"/>
    <mergeCell ref="N29:N32"/>
    <mergeCell ref="M29:M32"/>
    <mergeCell ref="O29:O32"/>
    <mergeCell ref="P29:P32"/>
    <mergeCell ref="M92:M97"/>
    <mergeCell ref="O92:O97"/>
    <mergeCell ref="P92:P97"/>
    <mergeCell ref="T96:T97"/>
    <mergeCell ref="O19:O21"/>
    <mergeCell ref="P19:P21"/>
    <mergeCell ref="U17:U18"/>
    <mergeCell ref="A17:A18"/>
    <mergeCell ref="B17:B18"/>
    <mergeCell ref="C17:E17"/>
    <mergeCell ref="T17:T18"/>
    <mergeCell ref="T19:T23"/>
    <mergeCell ref="K19:K21"/>
    <mergeCell ref="K22:K23"/>
    <mergeCell ref="I19:I21"/>
    <mergeCell ref="I22:I23"/>
    <mergeCell ref="J19:J21"/>
    <mergeCell ref="J22:J23"/>
    <mergeCell ref="L19:L21"/>
    <mergeCell ref="L22:L23"/>
    <mergeCell ref="K86:K91"/>
    <mergeCell ref="I80:I85"/>
    <mergeCell ref="I86:I91"/>
    <mergeCell ref="J24:J25"/>
    <mergeCell ref="P39:P42"/>
    <mergeCell ref="M43:M47"/>
    <mergeCell ref="M37:M38"/>
    <mergeCell ref="O37:O38"/>
    <mergeCell ref="N62:N63"/>
    <mergeCell ref="M48:M53"/>
    <mergeCell ref="M62:M63"/>
    <mergeCell ref="O62:O63"/>
    <mergeCell ref="T84:T95"/>
    <mergeCell ref="M72:M77"/>
    <mergeCell ref="O72:O77"/>
    <mergeCell ref="P72:P77"/>
    <mergeCell ref="M78:M79"/>
    <mergeCell ref="O78:O79"/>
    <mergeCell ref="P78:P79"/>
    <mergeCell ref="O48:O53"/>
    <mergeCell ref="P48:P53"/>
    <mergeCell ref="M54:M57"/>
    <mergeCell ref="P64:P67"/>
    <mergeCell ref="M68:M71"/>
    <mergeCell ref="O68:O71"/>
    <mergeCell ref="P68:P71"/>
    <mergeCell ref="N64:N67"/>
    <mergeCell ref="N68:N71"/>
    <mergeCell ref="T98:T101"/>
    <mergeCell ref="N104:P104"/>
    <mergeCell ref="T33:T38"/>
    <mergeCell ref="T39:T47"/>
    <mergeCell ref="T48:T57"/>
    <mergeCell ref="T58:T71"/>
    <mergeCell ref="T72:T83"/>
    <mergeCell ref="T104:U104"/>
    <mergeCell ref="O43:O47"/>
    <mergeCell ref="P43:P47"/>
    <mergeCell ref="N39:N42"/>
    <mergeCell ref="N43:N47"/>
    <mergeCell ref="N72:N77"/>
    <mergeCell ref="N78:N79"/>
    <mergeCell ref="O54:O57"/>
    <mergeCell ref="P54:P57"/>
    <mergeCell ref="N48:N53"/>
    <mergeCell ref="N54:N57"/>
    <mergeCell ref="P37:P38"/>
    <mergeCell ref="N37:N38"/>
    <mergeCell ref="P62:P63"/>
    <mergeCell ref="N58:N61"/>
    <mergeCell ref="O64:O67"/>
    <mergeCell ref="O39:O42"/>
  </mergeCells>
  <pageMargins left="0.16" right="0.16" top="0.11" bottom="0.16" header="0.3" footer="0.16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O508"/>
  <sheetViews>
    <sheetView topLeftCell="A447" zoomScale="90" zoomScaleNormal="90" workbookViewId="0">
      <selection activeCell="A19" sqref="A19:XFD19"/>
    </sheetView>
  </sheetViews>
  <sheetFormatPr defaultRowHeight="16.5"/>
  <cols>
    <col min="1" max="1" width="5.5703125" style="5" customWidth="1"/>
    <col min="2" max="2" width="29.28515625" style="5" customWidth="1"/>
    <col min="3" max="3" width="12.5703125" style="99" customWidth="1"/>
    <col min="4" max="4" width="12.42578125" style="7" customWidth="1"/>
    <col min="5" max="5" width="16.28515625" style="103" customWidth="1"/>
    <col min="6" max="6" width="2" style="5" customWidth="1"/>
    <col min="7" max="7" width="9.7109375" style="3" customWidth="1"/>
    <col min="8" max="8" width="6.28515625" style="3" customWidth="1"/>
    <col min="9" max="9" width="18.85546875" style="3" customWidth="1"/>
    <col min="10" max="10" width="9" style="3" customWidth="1"/>
    <col min="11" max="12" width="9.85546875" style="3" customWidth="1"/>
    <col min="13" max="13" width="11.140625" style="3" customWidth="1"/>
    <col min="14" max="14" width="13.28515625" style="3" customWidth="1"/>
    <col min="15" max="16384" width="9.140625" style="5"/>
  </cols>
  <sheetData>
    <row r="1" spans="1:15" ht="43.5" customHeight="1">
      <c r="A1" s="370" t="s">
        <v>77</v>
      </c>
      <c r="B1" s="370"/>
      <c r="C1" s="370"/>
      <c r="D1" s="370"/>
      <c r="E1" s="370"/>
      <c r="F1" s="87"/>
      <c r="G1" s="2"/>
      <c r="H1" s="2"/>
    </row>
    <row r="2" spans="1:15" s="25" customFormat="1" ht="17.25" customHeight="1">
      <c r="B2" s="40"/>
      <c r="C2" s="94"/>
      <c r="D2" s="86"/>
      <c r="E2" s="100"/>
      <c r="F2" s="44"/>
      <c r="G2" s="45" t="s">
        <v>29</v>
      </c>
      <c r="I2" s="91"/>
    </row>
    <row r="3" spans="1:15" s="90" customFormat="1" ht="36.75" customHeight="1">
      <c r="A3" s="47" t="s">
        <v>0</v>
      </c>
      <c r="B3" s="47" t="s">
        <v>21</v>
      </c>
      <c r="C3" s="95" t="s">
        <v>7</v>
      </c>
      <c r="D3" s="49" t="s">
        <v>8</v>
      </c>
      <c r="E3" s="49" t="s">
        <v>9</v>
      </c>
      <c r="G3" s="47" t="s">
        <v>30</v>
      </c>
      <c r="H3" s="47" t="s">
        <v>31</v>
      </c>
      <c r="I3" s="47" t="s">
        <v>103</v>
      </c>
      <c r="J3" s="47" t="s">
        <v>32</v>
      </c>
      <c r="K3" s="47" t="s">
        <v>83</v>
      </c>
      <c r="L3" s="46" t="s">
        <v>33</v>
      </c>
      <c r="M3" s="49" t="s">
        <v>106</v>
      </c>
      <c r="N3" s="49" t="s">
        <v>9</v>
      </c>
    </row>
    <row r="4" spans="1:15" ht="20.25" customHeight="1">
      <c r="A4" s="50">
        <f>ROW()-3</f>
        <v>1</v>
      </c>
      <c r="B4" s="51" t="s">
        <v>35</v>
      </c>
      <c r="C4" s="96">
        <v>52000</v>
      </c>
      <c r="D4" s="53">
        <v>300</v>
      </c>
      <c r="E4" s="101">
        <f t="shared" ref="E4:E15" si="0">C4*D4</f>
        <v>15600000</v>
      </c>
      <c r="G4" s="64">
        <v>42594</v>
      </c>
      <c r="H4" s="64"/>
      <c r="I4" s="56" t="s">
        <v>104</v>
      </c>
      <c r="J4" s="56" t="str">
        <f>IF(H4&lt;&gt;"",H4-G4+1,"")</f>
        <v/>
      </c>
      <c r="K4" s="56">
        <v>20</v>
      </c>
      <c r="L4" s="88">
        <f t="shared" ref="L4:L9" si="1">K4*13</f>
        <v>260</v>
      </c>
      <c r="M4" s="58"/>
      <c r="N4" s="58" t="str">
        <f>IF(J4&lt;&gt;"",M4*L4*J4/1000,"")</f>
        <v/>
      </c>
      <c r="O4" s="59"/>
    </row>
    <row r="5" spans="1:15" ht="20.25" customHeight="1">
      <c r="A5" s="60">
        <f t="shared" ref="A5:A15" si="2">ROW()-3</f>
        <v>2</v>
      </c>
      <c r="B5" s="61" t="s">
        <v>37</v>
      </c>
      <c r="C5" s="97">
        <v>2</v>
      </c>
      <c r="D5" s="63">
        <v>2000000</v>
      </c>
      <c r="E5" s="102">
        <f t="shared" si="0"/>
        <v>4000000</v>
      </c>
      <c r="G5" s="64">
        <v>42594</v>
      </c>
      <c r="H5" s="64"/>
      <c r="I5" s="56" t="s">
        <v>105</v>
      </c>
      <c r="J5" s="56" t="str">
        <f t="shared" ref="J5:J15" si="3">IF(H5&lt;&gt;"",H5-G5+1,"")</f>
        <v/>
      </c>
      <c r="K5" s="56">
        <v>8</v>
      </c>
      <c r="L5" s="88">
        <f t="shared" si="1"/>
        <v>104</v>
      </c>
      <c r="M5" s="58"/>
      <c r="N5" s="58" t="str">
        <f t="shared" ref="N5:N15" si="4">IF(J5&lt;&gt;"",M5*L5*J5/1000,"")</f>
        <v/>
      </c>
      <c r="O5" s="59"/>
    </row>
    <row r="6" spans="1:15" ht="20.25" customHeight="1">
      <c r="A6" s="60">
        <f t="shared" si="2"/>
        <v>3</v>
      </c>
      <c r="B6" s="61" t="s">
        <v>38</v>
      </c>
      <c r="C6" s="97">
        <v>2</v>
      </c>
      <c r="D6" s="63">
        <v>2000000</v>
      </c>
      <c r="E6" s="102">
        <f t="shared" si="0"/>
        <v>4000000</v>
      </c>
      <c r="G6" s="64"/>
      <c r="H6" s="64"/>
      <c r="I6" s="56" t="s">
        <v>111</v>
      </c>
      <c r="J6" s="56" t="str">
        <f t="shared" si="3"/>
        <v/>
      </c>
      <c r="K6" s="56">
        <v>-8</v>
      </c>
      <c r="L6" s="88">
        <f t="shared" si="1"/>
        <v>-104</v>
      </c>
      <c r="M6" s="58"/>
      <c r="N6" s="58" t="str">
        <f t="shared" si="4"/>
        <v/>
      </c>
      <c r="O6" s="59"/>
    </row>
    <row r="7" spans="1:15" ht="20.25" customHeight="1">
      <c r="A7" s="60">
        <f t="shared" si="2"/>
        <v>4</v>
      </c>
      <c r="B7" s="61" t="s">
        <v>39</v>
      </c>
      <c r="C7" s="97">
        <v>2</v>
      </c>
      <c r="D7" s="63">
        <v>600000</v>
      </c>
      <c r="E7" s="102">
        <f t="shared" si="0"/>
        <v>1200000</v>
      </c>
      <c r="G7" s="64">
        <v>42710</v>
      </c>
      <c r="H7" s="64"/>
      <c r="I7" s="137" t="s">
        <v>201</v>
      </c>
      <c r="J7" s="56" t="str">
        <f t="shared" si="3"/>
        <v/>
      </c>
      <c r="K7" s="56">
        <v>3</v>
      </c>
      <c r="L7" s="88">
        <f t="shared" si="1"/>
        <v>39</v>
      </c>
      <c r="M7" s="58"/>
      <c r="N7" s="58" t="str">
        <f t="shared" si="4"/>
        <v/>
      </c>
      <c r="O7" s="59"/>
    </row>
    <row r="8" spans="1:15" ht="20.25" customHeight="1">
      <c r="A8" s="60">
        <f t="shared" si="2"/>
        <v>5</v>
      </c>
      <c r="B8" s="61" t="s">
        <v>75</v>
      </c>
      <c r="C8" s="97">
        <v>2</v>
      </c>
      <c r="D8" s="63">
        <v>16725000</v>
      </c>
      <c r="E8" s="102">
        <f>C8*D8</f>
        <v>33450000</v>
      </c>
      <c r="G8" s="64">
        <v>42737</v>
      </c>
      <c r="H8" s="64"/>
      <c r="I8" s="56" t="s">
        <v>375</v>
      </c>
      <c r="J8" s="56"/>
      <c r="K8" s="56">
        <v>11</v>
      </c>
      <c r="L8" s="88">
        <f t="shared" si="1"/>
        <v>143</v>
      </c>
      <c r="M8" s="58"/>
      <c r="N8" s="58" t="str">
        <f t="shared" si="4"/>
        <v/>
      </c>
      <c r="O8" s="59"/>
    </row>
    <row r="9" spans="1:15" ht="20.25" customHeight="1">
      <c r="A9" s="60">
        <f t="shared" si="2"/>
        <v>6</v>
      </c>
      <c r="B9" s="61" t="s">
        <v>41</v>
      </c>
      <c r="C9" s="97">
        <v>2</v>
      </c>
      <c r="D9" s="63">
        <v>7378778</v>
      </c>
      <c r="E9" s="102">
        <f t="shared" si="0"/>
        <v>14757556</v>
      </c>
      <c r="G9" s="64"/>
      <c r="H9" s="64"/>
      <c r="I9" s="56"/>
      <c r="J9" s="56" t="str">
        <f t="shared" si="3"/>
        <v/>
      </c>
      <c r="K9" s="56"/>
      <c r="L9" s="88">
        <f t="shared" si="1"/>
        <v>0</v>
      </c>
      <c r="M9" s="58"/>
      <c r="N9" s="58" t="str">
        <f t="shared" si="4"/>
        <v/>
      </c>
      <c r="O9" s="59"/>
    </row>
    <row r="10" spans="1:15" ht="20.25" customHeight="1">
      <c r="A10" s="60">
        <f t="shared" si="2"/>
        <v>7</v>
      </c>
      <c r="B10" s="61" t="s">
        <v>76</v>
      </c>
      <c r="C10" s="97">
        <v>1</v>
      </c>
      <c r="D10" s="63">
        <v>13466740</v>
      </c>
      <c r="E10" s="102">
        <f t="shared" si="0"/>
        <v>13466740</v>
      </c>
      <c r="G10" s="64"/>
      <c r="H10" s="64"/>
      <c r="I10" s="56"/>
      <c r="J10" s="56" t="str">
        <f t="shared" si="3"/>
        <v/>
      </c>
      <c r="K10" s="56"/>
      <c r="L10" s="88"/>
      <c r="M10" s="58"/>
      <c r="N10" s="58" t="str">
        <f t="shared" si="4"/>
        <v/>
      </c>
      <c r="O10" s="59"/>
    </row>
    <row r="11" spans="1:15" ht="20.25" customHeight="1">
      <c r="A11" s="60">
        <f t="shared" si="2"/>
        <v>8</v>
      </c>
      <c r="B11" s="61" t="s">
        <v>107</v>
      </c>
      <c r="C11" s="97">
        <v>1</v>
      </c>
      <c r="D11" s="63">
        <v>5600000</v>
      </c>
      <c r="E11" s="102">
        <f t="shared" si="0"/>
        <v>5600000</v>
      </c>
      <c r="G11" s="64"/>
      <c r="H11" s="64"/>
      <c r="I11" s="56"/>
      <c r="J11" s="56" t="str">
        <f t="shared" si="3"/>
        <v/>
      </c>
      <c r="K11" s="56"/>
      <c r="L11" s="88"/>
      <c r="M11" s="58"/>
      <c r="N11" s="58" t="str">
        <f t="shared" si="4"/>
        <v/>
      </c>
      <c r="O11" s="59"/>
    </row>
    <row r="12" spans="1:15" ht="20.25" customHeight="1">
      <c r="A12" s="60">
        <f t="shared" si="2"/>
        <v>9</v>
      </c>
      <c r="B12" s="61" t="s">
        <v>43</v>
      </c>
      <c r="C12" s="97">
        <v>2</v>
      </c>
      <c r="D12" s="63">
        <f>88*22500</f>
        <v>1980000</v>
      </c>
      <c r="E12" s="102">
        <f t="shared" si="0"/>
        <v>3960000</v>
      </c>
      <c r="G12" s="64"/>
      <c r="H12" s="64"/>
      <c r="I12" s="56"/>
      <c r="J12" s="56" t="str">
        <f t="shared" si="3"/>
        <v/>
      </c>
      <c r="K12" s="56"/>
      <c r="L12" s="88"/>
      <c r="M12" s="58"/>
      <c r="N12" s="58" t="str">
        <f t="shared" si="4"/>
        <v/>
      </c>
      <c r="O12" s="59"/>
    </row>
    <row r="13" spans="1:15" ht="20.25" customHeight="1">
      <c r="A13" s="60">
        <f t="shared" si="2"/>
        <v>10</v>
      </c>
      <c r="B13" s="61" t="s">
        <v>44</v>
      </c>
      <c r="C13" s="97">
        <v>2</v>
      </c>
      <c r="D13" s="63">
        <v>1350000</v>
      </c>
      <c r="E13" s="102">
        <f t="shared" si="0"/>
        <v>2700000</v>
      </c>
      <c r="G13" s="64"/>
      <c r="H13" s="64"/>
      <c r="I13" s="56"/>
      <c r="J13" s="56" t="str">
        <f t="shared" si="3"/>
        <v/>
      </c>
      <c r="K13" s="56"/>
      <c r="L13" s="88"/>
      <c r="M13" s="58"/>
      <c r="N13" s="58" t="str">
        <f t="shared" si="4"/>
        <v/>
      </c>
      <c r="O13" s="59"/>
    </row>
    <row r="14" spans="1:15" ht="20.25" customHeight="1">
      <c r="A14" s="60">
        <f t="shared" si="2"/>
        <v>11</v>
      </c>
      <c r="B14" s="61" t="s">
        <v>79</v>
      </c>
      <c r="C14" s="97">
        <v>2</v>
      </c>
      <c r="D14" s="63">
        <v>2500000</v>
      </c>
      <c r="E14" s="102">
        <f t="shared" si="0"/>
        <v>5000000</v>
      </c>
      <c r="G14" s="64"/>
      <c r="H14" s="64"/>
      <c r="I14" s="56"/>
      <c r="J14" s="56" t="str">
        <f t="shared" si="3"/>
        <v/>
      </c>
      <c r="K14" s="56"/>
      <c r="L14" s="88"/>
      <c r="M14" s="58"/>
      <c r="N14" s="58" t="str">
        <f t="shared" si="4"/>
        <v/>
      </c>
      <c r="O14" s="59"/>
    </row>
    <row r="15" spans="1:15" ht="20.25" customHeight="1">
      <c r="A15" s="60">
        <f t="shared" si="2"/>
        <v>12</v>
      </c>
      <c r="B15" s="61" t="s">
        <v>45</v>
      </c>
      <c r="C15" s="97">
        <v>52</v>
      </c>
      <c r="D15" s="63">
        <v>50000</v>
      </c>
      <c r="E15" s="102">
        <f t="shared" si="0"/>
        <v>2600000</v>
      </c>
      <c r="G15" s="64"/>
      <c r="H15" s="64"/>
      <c r="I15" s="56"/>
      <c r="J15" s="56" t="str">
        <f t="shared" si="3"/>
        <v/>
      </c>
      <c r="K15" s="56"/>
      <c r="L15" s="88"/>
      <c r="M15" s="58"/>
      <c r="N15" s="58" t="str">
        <f t="shared" si="4"/>
        <v/>
      </c>
      <c r="O15" s="59"/>
    </row>
    <row r="16" spans="1:15" ht="8.25" customHeight="1">
      <c r="A16" s="60"/>
      <c r="B16" s="61"/>
      <c r="C16" s="97"/>
      <c r="D16" s="63"/>
      <c r="E16" s="102"/>
      <c r="G16" s="64"/>
      <c r="H16" s="64"/>
      <c r="I16" s="56"/>
      <c r="J16" s="56"/>
      <c r="K16" s="56"/>
      <c r="L16" s="88"/>
      <c r="M16" s="58"/>
      <c r="N16" s="58"/>
    </row>
    <row r="17" spans="1:15" ht="20.25" customHeight="1">
      <c r="A17" s="70"/>
      <c r="B17" s="70" t="s">
        <v>48</v>
      </c>
      <c r="C17" s="98"/>
      <c r="D17" s="72"/>
      <c r="E17" s="74">
        <f>SUM(E4:E16)</f>
        <v>106334296</v>
      </c>
      <c r="F17" s="4"/>
      <c r="G17" s="73"/>
      <c r="H17" s="73"/>
      <c r="I17" s="73" t="s">
        <v>48</v>
      </c>
      <c r="J17" s="73"/>
      <c r="K17" s="89">
        <f>SUM(K4:K16)</f>
        <v>34</v>
      </c>
      <c r="L17" s="89">
        <f t="shared" ref="L17" si="5">SUM(L4:L16)</f>
        <v>442</v>
      </c>
      <c r="M17" s="89"/>
      <c r="N17" s="74">
        <f>SUM(N4:N16)</f>
        <v>0</v>
      </c>
    </row>
    <row r="18" spans="1:15" ht="9" customHeight="1">
      <c r="G18" s="5"/>
      <c r="H18" s="5"/>
      <c r="J18" s="5"/>
      <c r="K18" s="5"/>
      <c r="L18" s="5"/>
      <c r="M18" s="5"/>
      <c r="N18" s="5"/>
    </row>
    <row r="19" spans="1:15" s="3" customFormat="1">
      <c r="A19" s="5"/>
      <c r="B19" s="5"/>
      <c r="C19" s="99"/>
      <c r="D19" s="7" t="s">
        <v>49</v>
      </c>
      <c r="E19" s="103">
        <f>E17/C4</f>
        <v>2044.8903076923077</v>
      </c>
      <c r="F19" s="5"/>
      <c r="G19" s="5"/>
      <c r="H19" s="5"/>
      <c r="J19" s="5"/>
      <c r="K19" s="5"/>
      <c r="L19" s="5"/>
      <c r="M19" s="5"/>
      <c r="N19" s="5"/>
    </row>
    <row r="21" spans="1:15" ht="43.5" customHeight="1">
      <c r="A21" s="370" t="s">
        <v>97</v>
      </c>
      <c r="B21" s="370"/>
      <c r="C21" s="370"/>
      <c r="D21" s="370"/>
      <c r="E21" s="370"/>
      <c r="F21" s="87"/>
      <c r="G21" s="2"/>
      <c r="H21" s="2"/>
    </row>
    <row r="22" spans="1:15" s="25" customFormat="1" ht="17.25" customHeight="1">
      <c r="B22" s="40"/>
      <c r="C22" s="94"/>
      <c r="D22" s="86"/>
      <c r="E22" s="100"/>
      <c r="F22" s="44"/>
      <c r="G22" s="45" t="s">
        <v>29</v>
      </c>
      <c r="I22" s="91"/>
    </row>
    <row r="23" spans="1:15" s="85" customFormat="1" ht="36.75" customHeight="1">
      <c r="A23" s="83" t="s">
        <v>0</v>
      </c>
      <c r="B23" s="83" t="s">
        <v>21</v>
      </c>
      <c r="C23" s="95" t="s">
        <v>7</v>
      </c>
      <c r="D23" s="84" t="s">
        <v>8</v>
      </c>
      <c r="E23" s="49" t="s">
        <v>9</v>
      </c>
      <c r="G23" s="47" t="s">
        <v>30</v>
      </c>
      <c r="H23" s="47" t="s">
        <v>31</v>
      </c>
      <c r="I23" s="47" t="s">
        <v>103</v>
      </c>
      <c r="J23" s="47" t="s">
        <v>32</v>
      </c>
      <c r="K23" s="47" t="s">
        <v>83</v>
      </c>
      <c r="L23" s="46" t="s">
        <v>33</v>
      </c>
      <c r="M23" s="49" t="s">
        <v>106</v>
      </c>
      <c r="N23" s="49" t="s">
        <v>9</v>
      </c>
    </row>
    <row r="24" spans="1:15" ht="19.5" customHeight="1">
      <c r="A24" s="60">
        <f>ROW()-23</f>
        <v>1</v>
      </c>
      <c r="B24" s="61" t="s">
        <v>45</v>
      </c>
      <c r="C24" s="97">
        <f>L28</f>
        <v>26260</v>
      </c>
      <c r="D24" s="63">
        <v>50</v>
      </c>
      <c r="E24" s="102">
        <f t="shared" ref="E24" si="6">C24*D24</f>
        <v>1313000</v>
      </c>
      <c r="G24" s="64">
        <v>42672</v>
      </c>
      <c r="H24" s="64">
        <v>42674</v>
      </c>
      <c r="I24" s="56" t="s">
        <v>87</v>
      </c>
      <c r="J24" s="56">
        <f>IF(H24&lt;&gt;"",H24-G24+1,"")</f>
        <v>3</v>
      </c>
      <c r="K24" s="56">
        <f>443-8</f>
        <v>435</v>
      </c>
      <c r="L24" s="88">
        <f t="shared" ref="L24:L26" si="7">K24*13</f>
        <v>5655</v>
      </c>
      <c r="M24" s="58">
        <v>20000</v>
      </c>
      <c r="N24" s="58">
        <f>IF(J24&lt;&gt;"",M24*L24*J24/1000,"")</f>
        <v>339300</v>
      </c>
      <c r="O24" s="59"/>
    </row>
    <row r="25" spans="1:15" ht="19.5" customHeight="1">
      <c r="A25" s="60">
        <f t="shared" ref="A25:A26" si="8">ROW()-23</f>
        <v>2</v>
      </c>
      <c r="B25" s="61" t="s">
        <v>122</v>
      </c>
      <c r="C25" s="97">
        <v>1</v>
      </c>
      <c r="D25" s="63">
        <v>2500000</v>
      </c>
      <c r="E25" s="102">
        <f t="shared" ref="E25" si="9">C25*D25</f>
        <v>2500000</v>
      </c>
      <c r="G25" s="64">
        <v>42672</v>
      </c>
      <c r="H25" s="64">
        <v>42674</v>
      </c>
      <c r="I25" s="56" t="s">
        <v>88</v>
      </c>
      <c r="J25" s="56">
        <f t="shared" ref="J25:J26" si="10">IF(H25&lt;&gt;"",H25-G25+1,"")</f>
        <v>3</v>
      </c>
      <c r="K25" s="56">
        <v>426</v>
      </c>
      <c r="L25" s="88">
        <f t="shared" si="7"/>
        <v>5538</v>
      </c>
      <c r="M25" s="58">
        <v>20000</v>
      </c>
      <c r="N25" s="58">
        <f t="shared" ref="N25:N26" si="11">IF(J25&lt;&gt;"",M25*L25*J25/1000,"")</f>
        <v>332280</v>
      </c>
      <c r="O25" s="59"/>
    </row>
    <row r="26" spans="1:15" ht="19.5" customHeight="1">
      <c r="A26" s="60">
        <f t="shared" si="8"/>
        <v>3</v>
      </c>
      <c r="B26" s="61" t="s">
        <v>46</v>
      </c>
      <c r="C26" s="97"/>
      <c r="D26" s="63"/>
      <c r="E26" s="102">
        <f>N28</f>
        <v>1274260</v>
      </c>
      <c r="G26" s="64">
        <v>42673</v>
      </c>
      <c r="H26" s="64">
        <v>42674</v>
      </c>
      <c r="I26" s="56" t="s">
        <v>89</v>
      </c>
      <c r="J26" s="56">
        <f t="shared" si="10"/>
        <v>2</v>
      </c>
      <c r="K26" s="56">
        <v>1159</v>
      </c>
      <c r="L26" s="88">
        <f t="shared" si="7"/>
        <v>15067</v>
      </c>
      <c r="M26" s="58">
        <v>20000</v>
      </c>
      <c r="N26" s="58">
        <f t="shared" si="11"/>
        <v>602680</v>
      </c>
      <c r="O26" s="59"/>
    </row>
    <row r="27" spans="1:15" ht="9.75" customHeight="1">
      <c r="A27" s="60"/>
      <c r="B27" s="61"/>
      <c r="C27" s="97"/>
      <c r="D27" s="63"/>
      <c r="E27" s="102"/>
      <c r="G27" s="66"/>
      <c r="H27" s="66"/>
      <c r="I27" s="67"/>
      <c r="J27" s="67"/>
      <c r="K27" s="67"/>
      <c r="L27" s="68"/>
      <c r="M27" s="69"/>
      <c r="N27" s="69"/>
    </row>
    <row r="28" spans="1:15" ht="19.5" customHeight="1">
      <c r="A28" s="70"/>
      <c r="B28" s="70" t="s">
        <v>48</v>
      </c>
      <c r="C28" s="98"/>
      <c r="D28" s="72"/>
      <c r="E28" s="74">
        <f>SUM(E24:E27)</f>
        <v>5087260</v>
      </c>
      <c r="F28" s="4"/>
      <c r="G28" s="73"/>
      <c r="H28" s="73"/>
      <c r="I28" s="73" t="s">
        <v>48</v>
      </c>
      <c r="J28" s="73"/>
      <c r="K28" s="89">
        <f>SUM(K24:K27)</f>
        <v>2020</v>
      </c>
      <c r="L28" s="89">
        <f>SUM(L24:L27)</f>
        <v>26260</v>
      </c>
      <c r="M28" s="74"/>
      <c r="N28" s="74">
        <f>SUM(N24:N27)</f>
        <v>1274260</v>
      </c>
    </row>
    <row r="29" spans="1:15" ht="8.25" customHeight="1"/>
    <row r="30" spans="1:15" s="3" customFormat="1">
      <c r="A30" s="5"/>
      <c r="B30" s="5"/>
      <c r="C30" s="99"/>
      <c r="D30" s="7" t="s">
        <v>49</v>
      </c>
      <c r="E30" s="103">
        <f>E28/C24</f>
        <v>193.72658035034272</v>
      </c>
      <c r="F30" s="5"/>
    </row>
    <row r="31" spans="1:15" ht="26.25" customHeight="1"/>
    <row r="32" spans="1:15" ht="43.5" customHeight="1">
      <c r="A32" s="370" t="s">
        <v>78</v>
      </c>
      <c r="B32" s="370"/>
      <c r="C32" s="370"/>
      <c r="D32" s="370"/>
      <c r="E32" s="370"/>
      <c r="F32" s="87"/>
      <c r="G32" s="2"/>
      <c r="H32" s="2"/>
    </row>
    <row r="33" spans="1:15" s="25" customFormat="1" ht="17.25" customHeight="1">
      <c r="B33" s="40"/>
      <c r="C33" s="94"/>
      <c r="D33" s="86"/>
      <c r="E33" s="100"/>
      <c r="F33" s="44"/>
      <c r="G33" s="45" t="s">
        <v>29</v>
      </c>
      <c r="I33" s="91"/>
    </row>
    <row r="34" spans="1:15" s="85" customFormat="1" ht="36.75" customHeight="1">
      <c r="A34" s="83" t="s">
        <v>0</v>
      </c>
      <c r="B34" s="83" t="s">
        <v>21</v>
      </c>
      <c r="C34" s="95" t="s">
        <v>7</v>
      </c>
      <c r="D34" s="84" t="s">
        <v>8</v>
      </c>
      <c r="E34" s="49" t="s">
        <v>9</v>
      </c>
      <c r="G34" s="47" t="s">
        <v>30</v>
      </c>
      <c r="H34" s="47" t="s">
        <v>31</v>
      </c>
      <c r="I34" s="47" t="s">
        <v>103</v>
      </c>
      <c r="J34" s="47" t="s">
        <v>32</v>
      </c>
      <c r="K34" s="47" t="s">
        <v>83</v>
      </c>
      <c r="L34" s="46" t="s">
        <v>33</v>
      </c>
      <c r="M34" s="49" t="s">
        <v>106</v>
      </c>
      <c r="N34" s="49" t="s">
        <v>9</v>
      </c>
    </row>
    <row r="35" spans="1:15" ht="18.75" customHeight="1">
      <c r="A35" s="60">
        <f>ROW()-34</f>
        <v>1</v>
      </c>
      <c r="B35" s="51" t="s">
        <v>35</v>
      </c>
      <c r="C35" s="96">
        <f>26000*6</f>
        <v>156000</v>
      </c>
      <c r="D35" s="53">
        <v>300</v>
      </c>
      <c r="E35" s="101">
        <f t="shared" ref="E35:E38" si="12">C35*D35</f>
        <v>46800000</v>
      </c>
      <c r="G35" s="64">
        <v>42668</v>
      </c>
      <c r="H35" s="64">
        <v>42673</v>
      </c>
      <c r="I35" s="56" t="s">
        <v>84</v>
      </c>
      <c r="J35" s="56">
        <f>IF(H35&lt;&gt;"",H35-G35+1,"")</f>
        <v>6</v>
      </c>
      <c r="K35" s="56">
        <v>220</v>
      </c>
      <c r="L35" s="88">
        <f>K35*13</f>
        <v>2860</v>
      </c>
      <c r="M35" s="58">
        <v>20000</v>
      </c>
      <c r="N35" s="58">
        <f>IF(J35&lt;&gt;"",M35*L35*J35/1000,"")</f>
        <v>343200</v>
      </c>
      <c r="O35" s="59"/>
    </row>
    <row r="36" spans="1:15" ht="18.75" customHeight="1">
      <c r="A36" s="60">
        <f t="shared" ref="A36:A46" si="13">ROW()-34</f>
        <v>2</v>
      </c>
      <c r="B36" s="61" t="s">
        <v>37</v>
      </c>
      <c r="C36" s="97">
        <v>6</v>
      </c>
      <c r="D36" s="63">
        <v>2000000</v>
      </c>
      <c r="E36" s="102">
        <f t="shared" si="12"/>
        <v>12000000</v>
      </c>
      <c r="G36" s="64">
        <v>42670</v>
      </c>
      <c r="H36" s="64">
        <v>42673</v>
      </c>
      <c r="I36" s="56" t="s">
        <v>84</v>
      </c>
      <c r="J36" s="56">
        <f t="shared" ref="J36:J49" si="14">IF(H36&lt;&gt;"",H36-G36+1,"")</f>
        <v>4</v>
      </c>
      <c r="K36" s="56">
        <v>419</v>
      </c>
      <c r="L36" s="88">
        <f t="shared" ref="L36:L40" si="15">K36*13</f>
        <v>5447</v>
      </c>
      <c r="M36" s="58">
        <v>20000</v>
      </c>
      <c r="N36" s="58">
        <f t="shared" ref="N36:N49" si="16">IF(J36&lt;&gt;"",M36*L36*J36/1000,"")</f>
        <v>435760</v>
      </c>
      <c r="O36" s="59"/>
    </row>
    <row r="37" spans="1:15" ht="18.75" customHeight="1">
      <c r="A37" s="60">
        <f t="shared" si="13"/>
        <v>3</v>
      </c>
      <c r="B37" s="61" t="s">
        <v>38</v>
      </c>
      <c r="C37" s="97">
        <v>6</v>
      </c>
      <c r="D37" s="63">
        <v>2000000</v>
      </c>
      <c r="E37" s="102">
        <f t="shared" si="12"/>
        <v>12000000</v>
      </c>
      <c r="G37" s="64">
        <v>42671</v>
      </c>
      <c r="H37" s="64">
        <v>42673</v>
      </c>
      <c r="I37" s="56" t="s">
        <v>85</v>
      </c>
      <c r="J37" s="56">
        <f t="shared" si="14"/>
        <v>3</v>
      </c>
      <c r="K37" s="56">
        <v>445</v>
      </c>
      <c r="L37" s="88">
        <f t="shared" si="15"/>
        <v>5785</v>
      </c>
      <c r="M37" s="58">
        <v>20000</v>
      </c>
      <c r="N37" s="58">
        <f t="shared" si="16"/>
        <v>347100</v>
      </c>
      <c r="O37" s="59"/>
    </row>
    <row r="38" spans="1:15" ht="18.75" customHeight="1">
      <c r="A38" s="60">
        <f t="shared" si="13"/>
        <v>4</v>
      </c>
      <c r="B38" s="61" t="s">
        <v>39</v>
      </c>
      <c r="C38" s="97">
        <v>6</v>
      </c>
      <c r="D38" s="63">
        <v>600000</v>
      </c>
      <c r="E38" s="102">
        <f t="shared" si="12"/>
        <v>3600000</v>
      </c>
      <c r="G38" s="64">
        <v>42672</v>
      </c>
      <c r="H38" s="64">
        <v>42673</v>
      </c>
      <c r="I38" s="56" t="s">
        <v>86</v>
      </c>
      <c r="J38" s="56">
        <f t="shared" si="14"/>
        <v>2</v>
      </c>
      <c r="K38" s="56">
        <v>398</v>
      </c>
      <c r="L38" s="88">
        <f t="shared" si="15"/>
        <v>5174</v>
      </c>
      <c r="M38" s="58">
        <v>20000</v>
      </c>
      <c r="N38" s="58">
        <f t="shared" si="16"/>
        <v>206960</v>
      </c>
      <c r="O38" s="59"/>
    </row>
    <row r="39" spans="1:15" ht="18.75" customHeight="1">
      <c r="A39" s="60">
        <f t="shared" si="13"/>
        <v>5</v>
      </c>
      <c r="B39" s="61" t="s">
        <v>75</v>
      </c>
      <c r="C39" s="97">
        <v>6</v>
      </c>
      <c r="D39" s="63">
        <v>16725000</v>
      </c>
      <c r="E39" s="102">
        <f>C39*D39</f>
        <v>100350000</v>
      </c>
      <c r="G39" s="64">
        <v>42672</v>
      </c>
      <c r="H39" s="64">
        <v>42673</v>
      </c>
      <c r="I39" s="56" t="s">
        <v>84</v>
      </c>
      <c r="J39" s="56">
        <f t="shared" si="14"/>
        <v>2</v>
      </c>
      <c r="K39" s="56">
        <v>510</v>
      </c>
      <c r="L39" s="88">
        <f t="shared" si="15"/>
        <v>6630</v>
      </c>
      <c r="M39" s="58">
        <v>20000</v>
      </c>
      <c r="N39" s="58">
        <f t="shared" si="16"/>
        <v>265200</v>
      </c>
      <c r="O39" s="59"/>
    </row>
    <row r="40" spans="1:15" ht="18.75" customHeight="1">
      <c r="A40" s="60">
        <f t="shared" si="13"/>
        <v>6</v>
      </c>
      <c r="B40" s="61" t="s">
        <v>41</v>
      </c>
      <c r="C40" s="97">
        <v>6</v>
      </c>
      <c r="D40" s="63">
        <v>7378778</v>
      </c>
      <c r="E40" s="102">
        <f t="shared" ref="E40:E42" si="17">C40*D40</f>
        <v>44272668</v>
      </c>
      <c r="G40" s="64">
        <v>42672</v>
      </c>
      <c r="H40" s="64">
        <v>42673</v>
      </c>
      <c r="I40" s="56" t="s">
        <v>87</v>
      </c>
      <c r="J40" s="56">
        <f t="shared" si="14"/>
        <v>2</v>
      </c>
      <c r="K40" s="56">
        <v>8</v>
      </c>
      <c r="L40" s="88">
        <f t="shared" si="15"/>
        <v>104</v>
      </c>
      <c r="M40" s="58">
        <v>20000</v>
      </c>
      <c r="N40" s="58">
        <f t="shared" si="16"/>
        <v>4160</v>
      </c>
      <c r="O40" s="59"/>
    </row>
    <row r="41" spans="1:15" ht="18.75" customHeight="1">
      <c r="A41" s="60">
        <f t="shared" si="13"/>
        <v>7</v>
      </c>
      <c r="B41" s="61" t="s">
        <v>42</v>
      </c>
      <c r="C41" s="97">
        <v>6</v>
      </c>
      <c r="D41" s="63">
        <v>5600000</v>
      </c>
      <c r="E41" s="102">
        <f t="shared" si="17"/>
        <v>33600000</v>
      </c>
      <c r="G41" s="64">
        <v>42673</v>
      </c>
      <c r="H41" s="64">
        <v>42677</v>
      </c>
      <c r="I41" s="56" t="s">
        <v>89</v>
      </c>
      <c r="J41" s="56">
        <f t="shared" si="14"/>
        <v>5</v>
      </c>
      <c r="K41" s="56">
        <v>841</v>
      </c>
      <c r="L41" s="88">
        <f t="shared" ref="L41:L49" si="18">K41*13</f>
        <v>10933</v>
      </c>
      <c r="M41" s="58">
        <v>20000</v>
      </c>
      <c r="N41" s="58">
        <f t="shared" si="16"/>
        <v>1093300</v>
      </c>
      <c r="O41" s="59"/>
    </row>
    <row r="42" spans="1:15" ht="18.75" customHeight="1">
      <c r="A42" s="60">
        <f t="shared" si="13"/>
        <v>8</v>
      </c>
      <c r="B42" s="61" t="s">
        <v>43</v>
      </c>
      <c r="C42" s="97">
        <v>6</v>
      </c>
      <c r="D42" s="63">
        <f>88*22500</f>
        <v>1980000</v>
      </c>
      <c r="E42" s="102">
        <f t="shared" si="17"/>
        <v>11880000</v>
      </c>
      <c r="G42" s="64">
        <v>42674</v>
      </c>
      <c r="H42" s="64">
        <v>42677</v>
      </c>
      <c r="I42" s="56" t="s">
        <v>88</v>
      </c>
      <c r="J42" s="56">
        <f t="shared" si="14"/>
        <v>4</v>
      </c>
      <c r="K42" s="56">
        <v>385</v>
      </c>
      <c r="L42" s="88">
        <f t="shared" si="18"/>
        <v>5005</v>
      </c>
      <c r="M42" s="58">
        <v>20000</v>
      </c>
      <c r="N42" s="58">
        <f t="shared" si="16"/>
        <v>400400</v>
      </c>
      <c r="O42" s="59"/>
    </row>
    <row r="43" spans="1:15" ht="18.75" customHeight="1">
      <c r="A43" s="60">
        <f t="shared" si="13"/>
        <v>9</v>
      </c>
      <c r="B43" s="61" t="s">
        <v>44</v>
      </c>
      <c r="C43" s="97">
        <v>6</v>
      </c>
      <c r="D43" s="63">
        <v>1350000</v>
      </c>
      <c r="E43" s="102">
        <f>C43*D43</f>
        <v>8100000</v>
      </c>
      <c r="G43" s="64">
        <v>42674</v>
      </c>
      <c r="H43" s="64">
        <v>42677</v>
      </c>
      <c r="I43" s="56" t="s">
        <v>101</v>
      </c>
      <c r="J43" s="56">
        <f t="shared" si="14"/>
        <v>4</v>
      </c>
      <c r="K43" s="56">
        <v>370</v>
      </c>
      <c r="L43" s="88">
        <f t="shared" si="18"/>
        <v>4810</v>
      </c>
      <c r="M43" s="58">
        <v>20000</v>
      </c>
      <c r="N43" s="58">
        <f t="shared" si="16"/>
        <v>384800</v>
      </c>
      <c r="O43" s="59"/>
    </row>
    <row r="44" spans="1:15" ht="18.75" customHeight="1">
      <c r="A44" s="60">
        <f t="shared" si="13"/>
        <v>10</v>
      </c>
      <c r="B44" s="61" t="s">
        <v>79</v>
      </c>
      <c r="C44" s="97">
        <v>6</v>
      </c>
      <c r="D44" s="63">
        <v>2500000</v>
      </c>
      <c r="E44" s="102">
        <f t="shared" ref="E44" si="19">C44*D44</f>
        <v>15000000</v>
      </c>
      <c r="G44" s="64">
        <v>42674</v>
      </c>
      <c r="H44" s="64">
        <v>42677</v>
      </c>
      <c r="I44" s="56" t="s">
        <v>102</v>
      </c>
      <c r="J44" s="56">
        <f t="shared" si="14"/>
        <v>4</v>
      </c>
      <c r="K44" s="56">
        <v>445</v>
      </c>
      <c r="L44" s="88">
        <f t="shared" si="18"/>
        <v>5785</v>
      </c>
      <c r="M44" s="58">
        <v>20000</v>
      </c>
      <c r="N44" s="58">
        <f t="shared" si="16"/>
        <v>462800</v>
      </c>
      <c r="O44" s="59"/>
    </row>
    <row r="45" spans="1:15" ht="18.75" customHeight="1">
      <c r="A45" s="60">
        <f t="shared" si="13"/>
        <v>11</v>
      </c>
      <c r="B45" s="61" t="s">
        <v>45</v>
      </c>
      <c r="C45" s="97">
        <v>156</v>
      </c>
      <c r="D45" s="63">
        <v>50000</v>
      </c>
      <c r="E45" s="102">
        <f>C45*D45</f>
        <v>7800000</v>
      </c>
      <c r="G45" s="64">
        <v>42675</v>
      </c>
      <c r="H45" s="64">
        <v>42677</v>
      </c>
      <c r="I45" s="56" t="s">
        <v>90</v>
      </c>
      <c r="J45" s="56">
        <f t="shared" si="14"/>
        <v>3</v>
      </c>
      <c r="K45" s="56">
        <v>612</v>
      </c>
      <c r="L45" s="88">
        <f t="shared" si="18"/>
        <v>7956</v>
      </c>
      <c r="M45" s="58">
        <v>20000</v>
      </c>
      <c r="N45" s="58">
        <f t="shared" si="16"/>
        <v>477360</v>
      </c>
      <c r="O45" s="59"/>
    </row>
    <row r="46" spans="1:15" ht="18.75" customHeight="1">
      <c r="A46" s="60">
        <f t="shared" si="13"/>
        <v>12</v>
      </c>
      <c r="B46" s="61" t="s">
        <v>46</v>
      </c>
      <c r="C46" s="97"/>
      <c r="D46" s="63"/>
      <c r="E46" s="102">
        <f>N51</f>
        <v>4771260</v>
      </c>
      <c r="G46" s="64">
        <v>42677</v>
      </c>
      <c r="H46" s="64">
        <v>42677</v>
      </c>
      <c r="I46" s="56" t="s">
        <v>91</v>
      </c>
      <c r="J46" s="56">
        <f t="shared" si="14"/>
        <v>1</v>
      </c>
      <c r="K46" s="56">
        <v>370</v>
      </c>
      <c r="L46" s="88">
        <f t="shared" si="18"/>
        <v>4810</v>
      </c>
      <c r="M46" s="58">
        <v>20000</v>
      </c>
      <c r="N46" s="58">
        <f t="shared" si="16"/>
        <v>96200</v>
      </c>
      <c r="O46" s="59"/>
    </row>
    <row r="47" spans="1:15" ht="18.75" customHeight="1">
      <c r="A47" s="60"/>
      <c r="B47" s="61"/>
      <c r="C47" s="97"/>
      <c r="D47" s="63"/>
      <c r="E47" s="102"/>
      <c r="G47" s="64">
        <v>42677</v>
      </c>
      <c r="H47" s="64">
        <v>42677</v>
      </c>
      <c r="I47" s="56" t="s">
        <v>92</v>
      </c>
      <c r="J47" s="56">
        <f t="shared" si="14"/>
        <v>1</v>
      </c>
      <c r="K47" s="56">
        <v>442</v>
      </c>
      <c r="L47" s="88">
        <f t="shared" si="18"/>
        <v>5746</v>
      </c>
      <c r="M47" s="58">
        <v>20000</v>
      </c>
      <c r="N47" s="58">
        <f t="shared" si="16"/>
        <v>114920</v>
      </c>
      <c r="O47" s="59"/>
    </row>
    <row r="48" spans="1:15" ht="18.75" customHeight="1">
      <c r="A48" s="60"/>
      <c r="B48" s="61"/>
      <c r="C48" s="97"/>
      <c r="D48" s="63"/>
      <c r="E48" s="102"/>
      <c r="G48" s="64">
        <v>42677</v>
      </c>
      <c r="H48" s="64">
        <v>42677</v>
      </c>
      <c r="I48" s="56" t="s">
        <v>93</v>
      </c>
      <c r="J48" s="56">
        <f t="shared" si="14"/>
        <v>1</v>
      </c>
      <c r="K48" s="56">
        <v>384</v>
      </c>
      <c r="L48" s="88">
        <f t="shared" si="18"/>
        <v>4992</v>
      </c>
      <c r="M48" s="58">
        <v>20000</v>
      </c>
      <c r="N48" s="58">
        <f t="shared" si="16"/>
        <v>99840</v>
      </c>
      <c r="O48" s="59"/>
    </row>
    <row r="49" spans="1:15" ht="18.75" customHeight="1">
      <c r="A49" s="60"/>
      <c r="B49" s="61"/>
      <c r="C49" s="97"/>
      <c r="D49" s="63"/>
      <c r="E49" s="102"/>
      <c r="G49" s="64">
        <v>42677</v>
      </c>
      <c r="H49" s="64">
        <v>42677</v>
      </c>
      <c r="I49" s="56" t="s">
        <v>89</v>
      </c>
      <c r="J49" s="56">
        <f t="shared" si="14"/>
        <v>1</v>
      </c>
      <c r="K49" s="56">
        <v>151</v>
      </c>
      <c r="L49" s="88">
        <f t="shared" si="18"/>
        <v>1963</v>
      </c>
      <c r="M49" s="58">
        <v>20000</v>
      </c>
      <c r="N49" s="58">
        <f t="shared" si="16"/>
        <v>39260</v>
      </c>
      <c r="O49" s="59"/>
    </row>
    <row r="50" spans="1:15" ht="11.25" customHeight="1">
      <c r="A50" s="60"/>
      <c r="B50" s="61"/>
      <c r="C50" s="97"/>
      <c r="D50" s="63"/>
      <c r="E50" s="102"/>
      <c r="G50" s="66"/>
      <c r="H50" s="66"/>
      <c r="I50" s="67"/>
      <c r="J50" s="67"/>
      <c r="K50" s="67"/>
      <c r="L50" s="68"/>
      <c r="M50" s="69"/>
      <c r="N50" s="69"/>
    </row>
    <row r="51" spans="1:15" ht="20.25" customHeight="1">
      <c r="A51" s="70"/>
      <c r="B51" s="70" t="s">
        <v>48</v>
      </c>
      <c r="C51" s="98"/>
      <c r="D51" s="72"/>
      <c r="E51" s="74">
        <f>SUM(E35:E50)</f>
        <v>300173928</v>
      </c>
      <c r="F51" s="4"/>
      <c r="G51" s="73"/>
      <c r="H51" s="73"/>
      <c r="I51" s="73" t="s">
        <v>48</v>
      </c>
      <c r="J51" s="73"/>
      <c r="K51" s="89">
        <f>SUM(K35:K50)</f>
        <v>6000</v>
      </c>
      <c r="L51" s="89">
        <f t="shared" ref="L51" si="20">SUM(L35:L50)</f>
        <v>78000</v>
      </c>
      <c r="M51" s="89"/>
      <c r="N51" s="74">
        <f>SUM(N35:N50)</f>
        <v>4771260</v>
      </c>
    </row>
    <row r="52" spans="1:15" ht="6" customHeight="1"/>
    <row r="53" spans="1:15" s="3" customFormat="1">
      <c r="A53" s="5"/>
      <c r="B53" s="5"/>
      <c r="C53" s="99"/>
      <c r="D53" s="7" t="s">
        <v>49</v>
      </c>
      <c r="E53" s="103">
        <f>E51/C35</f>
        <v>1924.1918461538462</v>
      </c>
      <c r="F53" s="5"/>
    </row>
    <row r="55" spans="1:15" ht="43.5" customHeight="1">
      <c r="A55" s="370" t="s">
        <v>109</v>
      </c>
      <c r="B55" s="370"/>
      <c r="C55" s="370"/>
      <c r="D55" s="370"/>
      <c r="E55" s="370"/>
      <c r="F55" s="87"/>
      <c r="G55" s="2"/>
      <c r="H55" s="2"/>
    </row>
    <row r="56" spans="1:15" s="25" customFormat="1" ht="17.25" customHeight="1">
      <c r="B56" s="40"/>
      <c r="C56" s="94"/>
      <c r="D56" s="86"/>
      <c r="E56" s="100"/>
      <c r="F56" s="44"/>
      <c r="G56" s="45" t="s">
        <v>29</v>
      </c>
      <c r="I56" s="91"/>
    </row>
    <row r="57" spans="1:15" s="85" customFormat="1" ht="36.75" customHeight="1">
      <c r="A57" s="83" t="s">
        <v>0</v>
      </c>
      <c r="B57" s="83" t="s">
        <v>21</v>
      </c>
      <c r="C57" s="95" t="s">
        <v>7</v>
      </c>
      <c r="D57" s="84" t="s">
        <v>8</v>
      </c>
      <c r="E57" s="49" t="s">
        <v>9</v>
      </c>
      <c r="G57" s="47" t="s">
        <v>30</v>
      </c>
      <c r="H57" s="47" t="s">
        <v>31</v>
      </c>
      <c r="I57" s="47" t="s">
        <v>103</v>
      </c>
      <c r="J57" s="47" t="s">
        <v>32</v>
      </c>
      <c r="K57" s="47" t="s">
        <v>83</v>
      </c>
      <c r="L57" s="46" t="s">
        <v>33</v>
      </c>
      <c r="M57" s="49" t="s">
        <v>106</v>
      </c>
      <c r="N57" s="49" t="s">
        <v>9</v>
      </c>
    </row>
    <row r="58" spans="1:15" ht="18.75" customHeight="1">
      <c r="A58" s="60">
        <f>ROW()-57</f>
        <v>1</v>
      </c>
      <c r="B58" s="51" t="s">
        <v>35</v>
      </c>
      <c r="C58" s="96">
        <f>52000*2</f>
        <v>104000</v>
      </c>
      <c r="D58" s="53">
        <v>300</v>
      </c>
      <c r="E58" s="101">
        <f t="shared" ref="E58:E61" si="21">C58*D58</f>
        <v>31200000</v>
      </c>
      <c r="G58" s="64">
        <v>42677</v>
      </c>
      <c r="H58" s="64">
        <v>42682</v>
      </c>
      <c r="I58" s="56" t="s">
        <v>89</v>
      </c>
      <c r="J58" s="56">
        <f>IF(H58&lt;&gt;"",H58-G58+1,"")</f>
        <v>6</v>
      </c>
      <c r="K58" s="56">
        <f>2000-151</f>
        <v>1849</v>
      </c>
      <c r="L58" s="88">
        <f t="shared" ref="L58:L70" si="22">K58*13</f>
        <v>24037</v>
      </c>
      <c r="M58" s="58">
        <v>20000</v>
      </c>
      <c r="N58" s="58">
        <f>IF(J58&lt;&gt;"",M58*L58*J58/1000,"")</f>
        <v>2884440</v>
      </c>
      <c r="O58" s="59"/>
    </row>
    <row r="59" spans="1:15" ht="18.75" customHeight="1">
      <c r="A59" s="60">
        <f t="shared" ref="A59:A70" si="23">ROW()-57</f>
        <v>2</v>
      </c>
      <c r="B59" s="61" t="s">
        <v>37</v>
      </c>
      <c r="C59" s="97">
        <v>4</v>
      </c>
      <c r="D59" s="63">
        <v>2000000</v>
      </c>
      <c r="E59" s="102">
        <f t="shared" si="21"/>
        <v>8000000</v>
      </c>
      <c r="G59" s="64">
        <v>42678</v>
      </c>
      <c r="H59" s="64">
        <v>42682</v>
      </c>
      <c r="I59" s="56" t="s">
        <v>88</v>
      </c>
      <c r="J59" s="56">
        <f t="shared" ref="J59:J70" si="24">IF(H59&lt;&gt;"",H59-G59+1,"")</f>
        <v>5</v>
      </c>
      <c r="K59" s="56">
        <v>430</v>
      </c>
      <c r="L59" s="88">
        <f t="shared" si="22"/>
        <v>5590</v>
      </c>
      <c r="M59" s="58">
        <v>20000</v>
      </c>
      <c r="N59" s="58">
        <f t="shared" ref="N59:N70" si="25">IF(J59&lt;&gt;"",M59*L59*J59/1000,"")</f>
        <v>559000</v>
      </c>
      <c r="O59" s="59"/>
    </row>
    <row r="60" spans="1:15" ht="18.75" customHeight="1">
      <c r="A60" s="60">
        <f t="shared" si="23"/>
        <v>3</v>
      </c>
      <c r="B60" s="61" t="s">
        <v>38</v>
      </c>
      <c r="C60" s="97">
        <v>4</v>
      </c>
      <c r="D60" s="63">
        <v>2000000</v>
      </c>
      <c r="E60" s="102">
        <f t="shared" si="21"/>
        <v>8000000</v>
      </c>
      <c r="G60" s="64">
        <v>42679</v>
      </c>
      <c r="H60" s="64">
        <v>42682</v>
      </c>
      <c r="I60" s="56" t="s">
        <v>91</v>
      </c>
      <c r="J60" s="56">
        <f t="shared" si="24"/>
        <v>4</v>
      </c>
      <c r="K60" s="56">
        <v>370</v>
      </c>
      <c r="L60" s="88">
        <f t="shared" si="22"/>
        <v>4810</v>
      </c>
      <c r="M60" s="58">
        <v>20000</v>
      </c>
      <c r="N60" s="58">
        <f t="shared" si="25"/>
        <v>384800</v>
      </c>
      <c r="O60" s="59"/>
    </row>
    <row r="61" spans="1:15" ht="18.75" customHeight="1">
      <c r="A61" s="60">
        <f t="shared" si="23"/>
        <v>4</v>
      </c>
      <c r="B61" s="61" t="s">
        <v>39</v>
      </c>
      <c r="C61" s="97">
        <v>4</v>
      </c>
      <c r="D61" s="63">
        <v>600000</v>
      </c>
      <c r="E61" s="102">
        <f t="shared" si="21"/>
        <v>2400000</v>
      </c>
      <c r="G61" s="64">
        <v>42679</v>
      </c>
      <c r="H61" s="64">
        <v>42682</v>
      </c>
      <c r="I61" s="56" t="s">
        <v>94</v>
      </c>
      <c r="J61" s="56">
        <f t="shared" si="24"/>
        <v>4</v>
      </c>
      <c r="K61" s="56">
        <v>445</v>
      </c>
      <c r="L61" s="88">
        <f t="shared" si="22"/>
        <v>5785</v>
      </c>
      <c r="M61" s="58">
        <v>20000</v>
      </c>
      <c r="N61" s="58">
        <f t="shared" si="25"/>
        <v>462800</v>
      </c>
      <c r="O61" s="59"/>
    </row>
    <row r="62" spans="1:15" ht="18.75" customHeight="1">
      <c r="A62" s="60">
        <f t="shared" si="23"/>
        <v>5</v>
      </c>
      <c r="B62" s="61" t="s">
        <v>75</v>
      </c>
      <c r="C62" s="97">
        <v>4</v>
      </c>
      <c r="D62" s="63">
        <v>16725000</v>
      </c>
      <c r="E62" s="102">
        <f>C62*D62</f>
        <v>66900000</v>
      </c>
      <c r="G62" s="64">
        <v>42679</v>
      </c>
      <c r="H62" s="64">
        <v>42682</v>
      </c>
      <c r="I62" s="56" t="s">
        <v>95</v>
      </c>
      <c r="J62" s="56">
        <f t="shared" si="24"/>
        <v>4</v>
      </c>
      <c r="K62" s="56">
        <v>541</v>
      </c>
      <c r="L62" s="88">
        <f t="shared" si="22"/>
        <v>7033</v>
      </c>
      <c r="M62" s="58">
        <v>20000</v>
      </c>
      <c r="N62" s="58">
        <f t="shared" si="25"/>
        <v>562640</v>
      </c>
      <c r="O62" s="59"/>
    </row>
    <row r="63" spans="1:15" ht="18.75" customHeight="1">
      <c r="A63" s="60">
        <f t="shared" si="23"/>
        <v>6</v>
      </c>
      <c r="B63" s="61" t="s">
        <v>41</v>
      </c>
      <c r="C63" s="97">
        <v>4</v>
      </c>
      <c r="D63" s="63">
        <v>7378778</v>
      </c>
      <c r="E63" s="102">
        <f t="shared" ref="E63:E65" si="26">C63*D63</f>
        <v>29515112</v>
      </c>
      <c r="G63" s="64">
        <v>42679</v>
      </c>
      <c r="H63" s="64">
        <v>42682</v>
      </c>
      <c r="I63" s="56" t="s">
        <v>86</v>
      </c>
      <c r="J63" s="56">
        <f t="shared" si="24"/>
        <v>4</v>
      </c>
      <c r="K63" s="56">
        <f>520-155</f>
        <v>365</v>
      </c>
      <c r="L63" s="88">
        <f t="shared" si="22"/>
        <v>4745</v>
      </c>
      <c r="M63" s="58">
        <v>20000</v>
      </c>
      <c r="N63" s="58">
        <f t="shared" si="25"/>
        <v>379600</v>
      </c>
      <c r="O63" s="59"/>
    </row>
    <row r="64" spans="1:15" ht="18.75" customHeight="1">
      <c r="A64" s="60">
        <f t="shared" si="23"/>
        <v>7</v>
      </c>
      <c r="B64" s="61" t="s">
        <v>42</v>
      </c>
      <c r="C64" s="97">
        <v>4</v>
      </c>
      <c r="D64" s="63">
        <v>5600000</v>
      </c>
      <c r="E64" s="102">
        <f t="shared" si="26"/>
        <v>22400000</v>
      </c>
      <c r="G64" s="64">
        <v>42679</v>
      </c>
      <c r="H64" s="64">
        <v>42684</v>
      </c>
      <c r="I64" s="56" t="s">
        <v>96</v>
      </c>
      <c r="J64" s="56">
        <f t="shared" si="24"/>
        <v>6</v>
      </c>
      <c r="K64" s="56">
        <v>2000</v>
      </c>
      <c r="L64" s="88">
        <f t="shared" si="22"/>
        <v>26000</v>
      </c>
      <c r="M64" s="58">
        <v>20000</v>
      </c>
      <c r="N64" s="58">
        <f t="shared" si="25"/>
        <v>3120000</v>
      </c>
      <c r="O64" s="59"/>
    </row>
    <row r="65" spans="1:15" ht="18.75" customHeight="1">
      <c r="A65" s="60">
        <f t="shared" si="23"/>
        <v>8</v>
      </c>
      <c r="B65" s="61" t="s">
        <v>43</v>
      </c>
      <c r="C65" s="97">
        <v>4</v>
      </c>
      <c r="D65" s="63">
        <f>88*22500</f>
        <v>1980000</v>
      </c>
      <c r="E65" s="102">
        <f t="shared" si="26"/>
        <v>7920000</v>
      </c>
      <c r="G65" s="64">
        <v>42679</v>
      </c>
      <c r="H65" s="64">
        <v>42685</v>
      </c>
      <c r="I65" s="56" t="s">
        <v>86</v>
      </c>
      <c r="J65" s="56">
        <f t="shared" si="24"/>
        <v>7</v>
      </c>
      <c r="K65" s="56">
        <v>155</v>
      </c>
      <c r="L65" s="88">
        <f t="shared" si="22"/>
        <v>2015</v>
      </c>
      <c r="M65" s="58">
        <v>20000</v>
      </c>
      <c r="N65" s="58">
        <f t="shared" si="25"/>
        <v>282100</v>
      </c>
      <c r="O65" s="59"/>
    </row>
    <row r="66" spans="1:15" ht="18.75" customHeight="1">
      <c r="A66" s="60">
        <f t="shared" si="23"/>
        <v>9</v>
      </c>
      <c r="B66" s="61" t="s">
        <v>44</v>
      </c>
      <c r="C66" s="97">
        <v>4</v>
      </c>
      <c r="D66" s="63">
        <v>1350000</v>
      </c>
      <c r="E66" s="102">
        <f>C66*D66</f>
        <v>5400000</v>
      </c>
      <c r="G66" s="64">
        <v>42679</v>
      </c>
      <c r="H66" s="64">
        <v>42685</v>
      </c>
      <c r="I66" s="56" t="s">
        <v>90</v>
      </c>
      <c r="J66" s="56">
        <f t="shared" si="24"/>
        <v>7</v>
      </c>
      <c r="K66" s="56">
        <v>507</v>
      </c>
      <c r="L66" s="88">
        <f t="shared" si="22"/>
        <v>6591</v>
      </c>
      <c r="M66" s="58">
        <v>20000</v>
      </c>
      <c r="N66" s="58">
        <f t="shared" si="25"/>
        <v>922740</v>
      </c>
      <c r="O66" s="59"/>
    </row>
    <row r="67" spans="1:15" ht="18.75" customHeight="1">
      <c r="A67" s="60">
        <f t="shared" si="23"/>
        <v>10</v>
      </c>
      <c r="B67" s="61" t="s">
        <v>79</v>
      </c>
      <c r="C67" s="97">
        <v>4</v>
      </c>
      <c r="D67" s="63">
        <v>2500000</v>
      </c>
      <c r="E67" s="102">
        <f t="shared" ref="E67" si="27">C67*D67</f>
        <v>10000000</v>
      </c>
      <c r="G67" s="64">
        <v>42680</v>
      </c>
      <c r="H67" s="64">
        <v>42685</v>
      </c>
      <c r="I67" s="56" t="s">
        <v>98</v>
      </c>
      <c r="J67" s="56">
        <f t="shared" si="24"/>
        <v>6</v>
      </c>
      <c r="K67" s="56">
        <v>300</v>
      </c>
      <c r="L67" s="88">
        <f t="shared" si="22"/>
        <v>3900</v>
      </c>
      <c r="M67" s="58">
        <v>20000</v>
      </c>
      <c r="N67" s="58">
        <f t="shared" si="25"/>
        <v>468000</v>
      </c>
      <c r="O67" s="59"/>
    </row>
    <row r="68" spans="1:15" ht="18.75" customHeight="1">
      <c r="A68" s="60">
        <f t="shared" si="23"/>
        <v>11</v>
      </c>
      <c r="B68" s="61" t="s">
        <v>45</v>
      </c>
      <c r="C68" s="97">
        <v>104</v>
      </c>
      <c r="D68" s="63">
        <v>50000</v>
      </c>
      <c r="E68" s="102">
        <f>C68*D68</f>
        <v>5200000</v>
      </c>
      <c r="G68" s="64">
        <v>42680</v>
      </c>
      <c r="H68" s="64">
        <v>42685</v>
      </c>
      <c r="I68" s="56" t="s">
        <v>84</v>
      </c>
      <c r="J68" s="56">
        <f t="shared" si="24"/>
        <v>6</v>
      </c>
      <c r="K68" s="56">
        <f>332-13</f>
        <v>319</v>
      </c>
      <c r="L68" s="88">
        <f t="shared" si="22"/>
        <v>4147</v>
      </c>
      <c r="M68" s="58">
        <v>20000</v>
      </c>
      <c r="N68" s="58">
        <f t="shared" si="25"/>
        <v>497640</v>
      </c>
      <c r="O68" s="59"/>
    </row>
    <row r="69" spans="1:15" ht="18.75" customHeight="1">
      <c r="A69" s="60">
        <f t="shared" si="23"/>
        <v>12</v>
      </c>
      <c r="B69" s="61" t="s">
        <v>46</v>
      </c>
      <c r="C69" s="97"/>
      <c r="D69" s="63"/>
      <c r="E69" s="102">
        <f>N73</f>
        <v>11458460</v>
      </c>
      <c r="G69" s="64">
        <v>42681</v>
      </c>
      <c r="H69" s="64">
        <v>42685</v>
      </c>
      <c r="I69" s="56" t="s">
        <v>110</v>
      </c>
      <c r="J69" s="56">
        <f t="shared" si="24"/>
        <v>5</v>
      </c>
      <c r="K69" s="56">
        <v>11</v>
      </c>
      <c r="L69" s="88">
        <f t="shared" si="22"/>
        <v>143</v>
      </c>
      <c r="M69" s="58">
        <v>20000</v>
      </c>
      <c r="N69" s="58">
        <f t="shared" si="25"/>
        <v>14300</v>
      </c>
      <c r="O69" s="59"/>
    </row>
    <row r="70" spans="1:15" ht="18.75" customHeight="1">
      <c r="A70" s="60">
        <f t="shared" si="23"/>
        <v>13</v>
      </c>
      <c r="B70" s="61" t="s">
        <v>123</v>
      </c>
      <c r="C70" s="97"/>
      <c r="D70" s="63"/>
      <c r="E70" s="102">
        <v>1791144</v>
      </c>
      <c r="G70" s="64">
        <v>42681</v>
      </c>
      <c r="H70" s="64">
        <v>42685</v>
      </c>
      <c r="I70" s="56" t="s">
        <v>99</v>
      </c>
      <c r="J70" s="56">
        <f t="shared" si="24"/>
        <v>5</v>
      </c>
      <c r="K70" s="56">
        <f>2000-1292</f>
        <v>708</v>
      </c>
      <c r="L70" s="88">
        <f t="shared" si="22"/>
        <v>9204</v>
      </c>
      <c r="M70" s="58">
        <v>20000</v>
      </c>
      <c r="N70" s="58">
        <f t="shared" si="25"/>
        <v>920400</v>
      </c>
      <c r="O70" s="59"/>
    </row>
    <row r="71" spans="1:15" ht="18.75" customHeight="1">
      <c r="A71" s="60"/>
      <c r="B71" s="61"/>
      <c r="C71" s="97"/>
      <c r="D71" s="63"/>
      <c r="E71" s="102"/>
      <c r="G71" s="64"/>
      <c r="H71" s="64"/>
      <c r="I71" s="56"/>
      <c r="J71" s="56"/>
      <c r="K71" s="56"/>
      <c r="L71" s="88"/>
      <c r="M71" s="58"/>
      <c r="N71" s="58"/>
      <c r="O71" s="59"/>
    </row>
    <row r="72" spans="1:15" ht="8.25" customHeight="1">
      <c r="A72" s="60"/>
      <c r="B72" s="61"/>
      <c r="C72" s="97"/>
      <c r="D72" s="63"/>
      <c r="E72" s="102"/>
      <c r="G72" s="64"/>
      <c r="H72" s="64"/>
      <c r="I72" s="56"/>
      <c r="J72" s="56"/>
      <c r="K72" s="56"/>
      <c r="L72" s="88"/>
      <c r="M72" s="58"/>
      <c r="N72" s="58"/>
    </row>
    <row r="73" spans="1:15" ht="18.75" customHeight="1">
      <c r="A73" s="70"/>
      <c r="B73" s="70" t="s">
        <v>48</v>
      </c>
      <c r="C73" s="98"/>
      <c r="D73" s="72"/>
      <c r="E73" s="74">
        <f>SUM(E58:E72)</f>
        <v>210184716</v>
      </c>
      <c r="F73" s="4"/>
      <c r="G73" s="73"/>
      <c r="H73" s="73"/>
      <c r="I73" s="73" t="s">
        <v>48</v>
      </c>
      <c r="J73" s="73"/>
      <c r="K73" s="89">
        <f>SUM(K58:K72)</f>
        <v>8000</v>
      </c>
      <c r="L73" s="89">
        <f>SUM(L58:L72)</f>
        <v>104000</v>
      </c>
      <c r="M73" s="89"/>
      <c r="N73" s="74">
        <f>SUM(N58:N72)</f>
        <v>11458460</v>
      </c>
    </row>
    <row r="74" spans="1:15" ht="5.25" customHeight="1"/>
    <row r="75" spans="1:15" s="3" customFormat="1">
      <c r="A75" s="5"/>
      <c r="B75" s="5"/>
      <c r="C75" s="99"/>
      <c r="D75" s="7" t="s">
        <v>49</v>
      </c>
      <c r="E75" s="103">
        <f>E73/C58</f>
        <v>2021.0068846153847</v>
      </c>
      <c r="F75" s="5"/>
    </row>
    <row r="77" spans="1:15" s="107" customFormat="1" ht="25.5" customHeight="1">
      <c r="A77" s="73" t="s">
        <v>0</v>
      </c>
      <c r="B77" s="371" t="s">
        <v>21</v>
      </c>
      <c r="C77" s="371"/>
      <c r="D77" s="371"/>
      <c r="E77" s="106" t="s">
        <v>9</v>
      </c>
      <c r="G77" s="108"/>
      <c r="H77" s="108"/>
      <c r="I77" s="108"/>
      <c r="J77" s="108"/>
      <c r="K77" s="108"/>
      <c r="L77" s="108"/>
      <c r="M77" s="108"/>
      <c r="N77" s="108"/>
    </row>
    <row r="78" spans="1:15" s="107" customFormat="1" ht="16.5" customHeight="1">
      <c r="A78" s="56">
        <v>1</v>
      </c>
      <c r="B78" s="372" t="s">
        <v>113</v>
      </c>
      <c r="C78" s="372"/>
      <c r="D78" s="372"/>
      <c r="E78" s="114">
        <f>E17</f>
        <v>106334296</v>
      </c>
      <c r="G78" s="108"/>
      <c r="H78" s="108"/>
      <c r="I78" s="108"/>
      <c r="J78" s="108"/>
      <c r="K78" s="108"/>
      <c r="L78" s="108"/>
      <c r="M78" s="108"/>
      <c r="N78" s="108"/>
    </row>
    <row r="79" spans="1:15" s="107" customFormat="1" ht="16.5" customHeight="1">
      <c r="A79" s="60">
        <v>2</v>
      </c>
      <c r="B79" s="373" t="s">
        <v>114</v>
      </c>
      <c r="C79" s="373"/>
      <c r="D79" s="373"/>
      <c r="E79" s="63">
        <f>E28</f>
        <v>5087260</v>
      </c>
      <c r="G79" s="108"/>
      <c r="H79" s="108"/>
      <c r="I79" s="108"/>
      <c r="J79" s="108"/>
      <c r="K79" s="108"/>
      <c r="L79" s="108"/>
      <c r="M79" s="108"/>
      <c r="N79" s="108"/>
    </row>
    <row r="80" spans="1:15" s="107" customFormat="1" ht="16.5" customHeight="1">
      <c r="A80" s="60">
        <v>3</v>
      </c>
      <c r="B80" s="373" t="s">
        <v>115</v>
      </c>
      <c r="C80" s="373"/>
      <c r="D80" s="373"/>
      <c r="E80" s="63">
        <f>E51</f>
        <v>300173928</v>
      </c>
      <c r="G80" s="108"/>
      <c r="H80" s="108"/>
      <c r="I80" s="108"/>
      <c r="J80" s="108"/>
      <c r="K80" s="108"/>
      <c r="L80" s="108"/>
      <c r="M80" s="108"/>
      <c r="N80" s="108"/>
    </row>
    <row r="81" spans="1:14" s="107" customFormat="1" ht="16.5" customHeight="1">
      <c r="A81" s="60">
        <v>4</v>
      </c>
      <c r="B81" s="373" t="s">
        <v>116</v>
      </c>
      <c r="C81" s="373"/>
      <c r="D81" s="373"/>
      <c r="E81" s="63">
        <f>E73</f>
        <v>210184716</v>
      </c>
      <c r="G81" s="108"/>
      <c r="H81" s="108"/>
      <c r="I81" s="108"/>
      <c r="J81" s="108"/>
      <c r="K81" s="108"/>
      <c r="L81" s="108"/>
      <c r="M81" s="108"/>
      <c r="N81" s="108"/>
    </row>
    <row r="82" spans="1:14" s="107" customFormat="1" ht="10.5" customHeight="1">
      <c r="A82" s="67"/>
      <c r="B82" s="374"/>
      <c r="C82" s="374"/>
      <c r="D82" s="374"/>
      <c r="E82" s="80"/>
      <c r="G82" s="108"/>
      <c r="H82" s="108"/>
      <c r="I82" s="108"/>
      <c r="J82" s="108"/>
      <c r="K82" s="108"/>
      <c r="L82" s="108"/>
      <c r="M82" s="108"/>
      <c r="N82" s="108"/>
    </row>
    <row r="83" spans="1:14" s="107" customFormat="1" ht="16.5" customHeight="1">
      <c r="A83" s="70"/>
      <c r="B83" s="375" t="s">
        <v>57</v>
      </c>
      <c r="C83" s="375"/>
      <c r="D83" s="375"/>
      <c r="E83" s="72">
        <f>SUM(E78:E82)</f>
        <v>621780200</v>
      </c>
      <c r="G83" s="108"/>
      <c r="H83" s="108"/>
      <c r="I83" s="117"/>
      <c r="J83" s="108"/>
      <c r="K83" s="108"/>
      <c r="L83" s="108"/>
      <c r="M83" s="108"/>
      <c r="N83" s="108"/>
    </row>
    <row r="84" spans="1:14">
      <c r="I84" s="119">
        <f>E90-E83-F87-I87</f>
        <v>535921987.46000004</v>
      </c>
    </row>
    <row r="85" spans="1:14" ht="31.5" customHeight="1">
      <c r="A85" s="73" t="s">
        <v>0</v>
      </c>
      <c r="B85" s="104" t="s">
        <v>21</v>
      </c>
      <c r="C85" s="105" t="s">
        <v>50</v>
      </c>
      <c r="D85" s="106" t="s">
        <v>51</v>
      </c>
      <c r="E85" s="106" t="s">
        <v>9</v>
      </c>
      <c r="F85" s="356" t="s">
        <v>117</v>
      </c>
      <c r="G85" s="357"/>
      <c r="H85" s="358"/>
      <c r="I85" s="106" t="s">
        <v>52</v>
      </c>
    </row>
    <row r="86" spans="1:14">
      <c r="A86" s="60">
        <v>1</v>
      </c>
      <c r="B86" s="61" t="s">
        <v>112</v>
      </c>
      <c r="C86" s="63">
        <v>145588</v>
      </c>
      <c r="D86" s="63">
        <v>22285</v>
      </c>
      <c r="E86" s="63">
        <f>C86*D86</f>
        <v>3244428580</v>
      </c>
      <c r="F86" s="353"/>
      <c r="G86" s="354"/>
      <c r="H86" s="355"/>
      <c r="I86" s="63"/>
    </row>
    <row r="87" spans="1:14">
      <c r="A87" s="60">
        <v>2</v>
      </c>
      <c r="B87" s="61" t="s">
        <v>55</v>
      </c>
      <c r="C87" s="62"/>
      <c r="D87" s="63"/>
      <c r="E87" s="63">
        <f t="shared" ref="E87" si="28">C87*D87</f>
        <v>0</v>
      </c>
      <c r="F87" s="353">
        <f>I87*0.033%</f>
        <v>688392.54</v>
      </c>
      <c r="G87" s="354"/>
      <c r="H87" s="355"/>
      <c r="I87" s="63">
        <v>2086038000</v>
      </c>
    </row>
    <row r="88" spans="1:14">
      <c r="A88" s="60">
        <v>3</v>
      </c>
      <c r="B88" s="61" t="s">
        <v>56</v>
      </c>
      <c r="C88" s="62"/>
      <c r="D88" s="63"/>
      <c r="E88" s="63">
        <f>C88*D88</f>
        <v>0</v>
      </c>
      <c r="F88" s="353">
        <f>I84*0.033%</f>
        <v>176854.25586180002</v>
      </c>
      <c r="G88" s="354"/>
      <c r="H88" s="355"/>
      <c r="I88" s="63">
        <f>I84-F88</f>
        <v>535745133.20413822</v>
      </c>
    </row>
    <row r="89" spans="1:14" ht="6" customHeight="1">
      <c r="A89" s="112"/>
      <c r="B89" s="115"/>
      <c r="C89" s="116"/>
      <c r="D89" s="113"/>
      <c r="E89" s="113"/>
      <c r="F89" s="366"/>
      <c r="G89" s="367"/>
      <c r="H89" s="368"/>
      <c r="I89" s="113"/>
    </row>
    <row r="90" spans="1:14">
      <c r="A90" s="70"/>
      <c r="B90" s="70" t="s">
        <v>57</v>
      </c>
      <c r="C90" s="71"/>
      <c r="D90" s="72"/>
      <c r="E90" s="72">
        <f>SUM(E86:E89)</f>
        <v>3244428580</v>
      </c>
      <c r="F90" s="350">
        <f>SUM(F86:H89)</f>
        <v>865246.79586180008</v>
      </c>
      <c r="G90" s="351"/>
      <c r="H90" s="352"/>
      <c r="I90" s="72">
        <f>SUM(I86:I89)</f>
        <v>2621783133.2041383</v>
      </c>
    </row>
    <row r="91" spans="1:14">
      <c r="A91" s="109"/>
      <c r="B91" s="109"/>
      <c r="C91" s="110"/>
      <c r="D91" s="111"/>
      <c r="E91" s="111"/>
    </row>
    <row r="92" spans="1:14" ht="31.5" customHeight="1">
      <c r="A92" s="73" t="s">
        <v>0</v>
      </c>
      <c r="B92" s="118" t="s">
        <v>21</v>
      </c>
      <c r="C92" s="105" t="s">
        <v>50</v>
      </c>
      <c r="D92" s="106" t="s">
        <v>51</v>
      </c>
      <c r="E92" s="106" t="s">
        <v>9</v>
      </c>
      <c r="F92" s="356" t="s">
        <v>117</v>
      </c>
      <c r="G92" s="357"/>
      <c r="H92" s="358"/>
      <c r="I92" s="106" t="s">
        <v>52</v>
      </c>
    </row>
    <row r="93" spans="1:14">
      <c r="A93" s="60">
        <v>1</v>
      </c>
      <c r="B93" s="61" t="s">
        <v>129</v>
      </c>
      <c r="C93" s="63">
        <v>145588</v>
      </c>
      <c r="D93" s="63">
        <v>22290</v>
      </c>
      <c r="E93" s="63">
        <f>C93*D93</f>
        <v>3245156520</v>
      </c>
      <c r="F93" s="363"/>
      <c r="G93" s="364"/>
      <c r="H93" s="365"/>
      <c r="I93" s="63"/>
    </row>
    <row r="94" spans="1:14">
      <c r="A94" s="60">
        <v>2</v>
      </c>
      <c r="B94" s="61" t="s">
        <v>123</v>
      </c>
      <c r="C94" s="63"/>
      <c r="D94" s="63"/>
      <c r="E94" s="63"/>
      <c r="F94" s="353">
        <v>1791144</v>
      </c>
      <c r="G94" s="354"/>
      <c r="H94" s="355"/>
      <c r="I94" s="63"/>
    </row>
    <row r="95" spans="1:14">
      <c r="A95" s="60">
        <v>3</v>
      </c>
      <c r="B95" s="61" t="s">
        <v>130</v>
      </c>
      <c r="C95" s="63"/>
      <c r="D95" s="63"/>
      <c r="E95" s="63">
        <f t="shared" ref="E95" si="29">C95*D95</f>
        <v>0</v>
      </c>
      <c r="F95" s="353"/>
      <c r="G95" s="354"/>
      <c r="H95" s="355"/>
      <c r="I95" s="63"/>
    </row>
    <row r="96" spans="1:14">
      <c r="A96" s="60">
        <v>4</v>
      </c>
      <c r="B96" s="61" t="s">
        <v>55</v>
      </c>
      <c r="C96" s="62"/>
      <c r="D96" s="63"/>
      <c r="E96" s="63">
        <f t="shared" ref="E96:E97" si="30">C96*D96</f>
        <v>0</v>
      </c>
      <c r="F96" s="353">
        <v>357930</v>
      </c>
      <c r="G96" s="354"/>
      <c r="H96" s="355"/>
      <c r="I96" s="63">
        <v>1084637000</v>
      </c>
    </row>
    <row r="97" spans="1:15">
      <c r="A97" s="60">
        <v>5</v>
      </c>
      <c r="B97" s="61" t="s">
        <v>131</v>
      </c>
      <c r="C97" s="62"/>
      <c r="D97" s="63"/>
      <c r="E97" s="63">
        <f t="shared" si="30"/>
        <v>0</v>
      </c>
      <c r="F97" s="353">
        <v>480480</v>
      </c>
      <c r="G97" s="354"/>
      <c r="H97" s="355"/>
      <c r="I97" s="63">
        <v>1456000000</v>
      </c>
    </row>
    <row r="98" spans="1:15">
      <c r="A98" s="60">
        <v>6</v>
      </c>
      <c r="B98" s="61" t="s">
        <v>56</v>
      </c>
      <c r="C98" s="62"/>
      <c r="D98" s="63"/>
      <c r="E98" s="63">
        <f>C98*D98</f>
        <v>0</v>
      </c>
      <c r="F98" s="353">
        <v>231033</v>
      </c>
      <c r="G98" s="354"/>
      <c r="H98" s="355"/>
      <c r="I98" s="63">
        <f>I101-F98</f>
        <v>699867789</v>
      </c>
    </row>
    <row r="99" spans="1:15" ht="6" customHeight="1">
      <c r="A99" s="112"/>
      <c r="B99" s="115"/>
      <c r="C99" s="116"/>
      <c r="D99" s="113"/>
      <c r="E99" s="113"/>
      <c r="F99" s="366"/>
      <c r="G99" s="367"/>
      <c r="H99" s="368"/>
      <c r="I99" s="113"/>
    </row>
    <row r="100" spans="1:15">
      <c r="A100" s="70"/>
      <c r="B100" s="70" t="s">
        <v>57</v>
      </c>
      <c r="C100" s="71"/>
      <c r="D100" s="72"/>
      <c r="E100" s="72">
        <f>SUM(E93:E99)</f>
        <v>3245156520</v>
      </c>
      <c r="F100" s="350">
        <f>SUM(F93:H99)</f>
        <v>2860587</v>
      </c>
      <c r="G100" s="351"/>
      <c r="H100" s="352"/>
      <c r="I100" s="72">
        <f>SUM(I93:I99)</f>
        <v>3240504789</v>
      </c>
    </row>
    <row r="101" spans="1:15">
      <c r="A101" s="109"/>
      <c r="B101" s="109"/>
      <c r="C101" s="110"/>
      <c r="D101" s="111"/>
      <c r="E101" s="111"/>
      <c r="I101" s="119">
        <v>700098822</v>
      </c>
    </row>
    <row r="102" spans="1:15">
      <c r="A102" s="109"/>
      <c r="B102" s="109"/>
      <c r="C102" s="110"/>
      <c r="D102" s="111"/>
      <c r="E102" s="111"/>
      <c r="I102" s="122"/>
    </row>
    <row r="103" spans="1:15">
      <c r="A103" s="109"/>
      <c r="B103" s="109"/>
      <c r="C103" s="110"/>
      <c r="D103" s="111"/>
      <c r="E103" s="111"/>
    </row>
    <row r="104" spans="1:15">
      <c r="A104" s="109"/>
      <c r="B104" s="109"/>
      <c r="C104" s="110"/>
      <c r="D104" s="111"/>
      <c r="E104" s="111"/>
    </row>
    <row r="105" spans="1:15" ht="43.5" customHeight="1">
      <c r="A105" s="370" t="s">
        <v>147</v>
      </c>
      <c r="B105" s="370"/>
      <c r="C105" s="370"/>
      <c r="D105" s="370"/>
      <c r="E105" s="370"/>
      <c r="F105" s="87"/>
      <c r="G105" s="2"/>
      <c r="H105" s="2"/>
    </row>
    <row r="106" spans="1:15" s="25" customFormat="1" ht="17.25" customHeight="1">
      <c r="B106" s="40"/>
      <c r="C106" s="94"/>
      <c r="D106" s="86"/>
      <c r="E106" s="100"/>
      <c r="F106" s="44"/>
      <c r="G106" s="45" t="s">
        <v>29</v>
      </c>
      <c r="I106" s="91"/>
    </row>
    <row r="107" spans="1:15" s="85" customFormat="1" ht="36.75" customHeight="1">
      <c r="A107" s="83" t="s">
        <v>0</v>
      </c>
      <c r="B107" s="83" t="s">
        <v>21</v>
      </c>
      <c r="C107" s="95" t="s">
        <v>7</v>
      </c>
      <c r="D107" s="84" t="s">
        <v>8</v>
      </c>
      <c r="E107" s="49" t="s">
        <v>9</v>
      </c>
      <c r="G107" s="47" t="s">
        <v>30</v>
      </c>
      <c r="H107" s="47" t="s">
        <v>31</v>
      </c>
      <c r="I107" s="47" t="s">
        <v>103</v>
      </c>
      <c r="J107" s="47" t="s">
        <v>32</v>
      </c>
      <c r="K107" s="47" t="s">
        <v>83</v>
      </c>
      <c r="L107" s="46" t="s">
        <v>33</v>
      </c>
      <c r="M107" s="49" t="s">
        <v>106</v>
      </c>
      <c r="N107" s="49" t="s">
        <v>9</v>
      </c>
    </row>
    <row r="108" spans="1:15" ht="18.75" customHeight="1">
      <c r="A108" s="60">
        <f>ROW()-77</f>
        <v>31</v>
      </c>
      <c r="B108" s="51" t="s">
        <v>35</v>
      </c>
      <c r="C108" s="96">
        <f>26000*8</f>
        <v>208000</v>
      </c>
      <c r="D108" s="53">
        <v>300</v>
      </c>
      <c r="E108" s="101">
        <f t="shared" ref="E108:E111" si="31">C108*D108</f>
        <v>62400000</v>
      </c>
      <c r="G108" s="64">
        <v>42681</v>
      </c>
      <c r="H108" s="64">
        <v>42690</v>
      </c>
      <c r="I108" s="56" t="s">
        <v>99</v>
      </c>
      <c r="J108" s="56">
        <f t="shared" ref="J108:J111" si="32">IF(H108&lt;&gt;"",H108-G108+1,"")</f>
        <v>10</v>
      </c>
      <c r="K108" s="56">
        <v>1292</v>
      </c>
      <c r="L108" s="88">
        <f t="shared" ref="L108:L111" si="33">K108*13</f>
        <v>16796</v>
      </c>
      <c r="M108" s="58">
        <v>20000</v>
      </c>
      <c r="N108" s="58">
        <f t="shared" ref="N108:N122" si="34">IF(J108&lt;&gt;"",M108*L108*J108/1000,"")</f>
        <v>3359200</v>
      </c>
      <c r="O108" s="59"/>
    </row>
    <row r="109" spans="1:15" ht="18.75" customHeight="1">
      <c r="A109" s="60">
        <f t="shared" ref="A109:A119" si="35">ROW()-77</f>
        <v>32</v>
      </c>
      <c r="B109" s="61" t="s">
        <v>37</v>
      </c>
      <c r="C109" s="97">
        <v>8</v>
      </c>
      <c r="D109" s="63">
        <v>2000000</v>
      </c>
      <c r="E109" s="102">
        <f t="shared" si="31"/>
        <v>16000000</v>
      </c>
      <c r="G109" s="64">
        <v>42682</v>
      </c>
      <c r="H109" s="64">
        <v>42690</v>
      </c>
      <c r="I109" s="56" t="s">
        <v>86</v>
      </c>
      <c r="J109" s="56">
        <f t="shared" si="32"/>
        <v>9</v>
      </c>
      <c r="K109" s="56">
        <v>246</v>
      </c>
      <c r="L109" s="88">
        <f t="shared" si="33"/>
        <v>3198</v>
      </c>
      <c r="M109" s="58">
        <v>20000</v>
      </c>
      <c r="N109" s="58">
        <f t="shared" si="34"/>
        <v>575640</v>
      </c>
      <c r="O109" s="59"/>
    </row>
    <row r="110" spans="1:15" ht="18.75" customHeight="1">
      <c r="A110" s="60">
        <f t="shared" si="35"/>
        <v>33</v>
      </c>
      <c r="B110" s="61" t="s">
        <v>38</v>
      </c>
      <c r="C110" s="97">
        <v>8</v>
      </c>
      <c r="D110" s="63">
        <v>2000000</v>
      </c>
      <c r="E110" s="102">
        <f t="shared" si="31"/>
        <v>16000000</v>
      </c>
      <c r="G110" s="64">
        <v>42682</v>
      </c>
      <c r="H110" s="64">
        <v>42690</v>
      </c>
      <c r="I110" s="56" t="s">
        <v>100</v>
      </c>
      <c r="J110" s="56">
        <f t="shared" si="32"/>
        <v>9</v>
      </c>
      <c r="K110" s="56">
        <v>443</v>
      </c>
      <c r="L110" s="88">
        <f t="shared" si="33"/>
        <v>5759</v>
      </c>
      <c r="M110" s="58">
        <v>20000</v>
      </c>
      <c r="N110" s="58">
        <f t="shared" si="34"/>
        <v>1036620</v>
      </c>
      <c r="O110" s="59"/>
    </row>
    <row r="111" spans="1:15" ht="18.75" customHeight="1">
      <c r="A111" s="60">
        <f t="shared" si="35"/>
        <v>34</v>
      </c>
      <c r="B111" s="61" t="s">
        <v>39</v>
      </c>
      <c r="C111" s="97">
        <v>8</v>
      </c>
      <c r="D111" s="63">
        <v>600000</v>
      </c>
      <c r="E111" s="102">
        <f t="shared" si="31"/>
        <v>4800000</v>
      </c>
      <c r="G111" s="64">
        <v>42683</v>
      </c>
      <c r="H111" s="64">
        <v>42690</v>
      </c>
      <c r="I111" s="56" t="s">
        <v>101</v>
      </c>
      <c r="J111" s="56">
        <f t="shared" si="32"/>
        <v>8</v>
      </c>
      <c r="K111" s="56">
        <f>184-165</f>
        <v>19</v>
      </c>
      <c r="L111" s="88">
        <f t="shared" si="33"/>
        <v>247</v>
      </c>
      <c r="M111" s="58">
        <v>20000</v>
      </c>
      <c r="N111" s="58">
        <f t="shared" si="34"/>
        <v>39520</v>
      </c>
      <c r="O111" s="59"/>
    </row>
    <row r="112" spans="1:15" ht="18.75" customHeight="1">
      <c r="A112" s="60">
        <f t="shared" si="35"/>
        <v>35</v>
      </c>
      <c r="B112" s="61" t="s">
        <v>75</v>
      </c>
      <c r="C112" s="97">
        <v>8</v>
      </c>
      <c r="D112" s="63">
        <f>750*D129</f>
        <v>16860000</v>
      </c>
      <c r="E112" s="102">
        <f>C112*D112</f>
        <v>134880000</v>
      </c>
      <c r="G112" s="64">
        <v>42690</v>
      </c>
      <c r="H112" s="64">
        <v>42690</v>
      </c>
      <c r="I112" s="56" t="s">
        <v>144</v>
      </c>
      <c r="J112" s="56">
        <f>IF(H112&lt;&gt;"",H112-G112,"")</f>
        <v>0</v>
      </c>
      <c r="K112" s="56">
        <v>2000</v>
      </c>
      <c r="L112" s="88">
        <f t="shared" ref="L112:L116" si="36">K112*13</f>
        <v>26000</v>
      </c>
      <c r="M112" s="58">
        <v>20000</v>
      </c>
      <c r="N112" s="58">
        <f t="shared" si="34"/>
        <v>0</v>
      </c>
      <c r="O112" s="59"/>
    </row>
    <row r="113" spans="1:15" ht="18.75" customHeight="1">
      <c r="A113" s="60">
        <f t="shared" si="35"/>
        <v>36</v>
      </c>
      <c r="B113" s="61" t="s">
        <v>41</v>
      </c>
      <c r="C113" s="97">
        <v>8</v>
      </c>
      <c r="D113" s="63">
        <v>7378778</v>
      </c>
      <c r="E113" s="102">
        <f t="shared" ref="E113:E115" si="37">C113*D113</f>
        <v>59030224</v>
      </c>
      <c r="G113" s="64">
        <v>42691</v>
      </c>
      <c r="H113" s="64">
        <v>42691</v>
      </c>
      <c r="I113" s="56" t="s">
        <v>145</v>
      </c>
      <c r="J113" s="56">
        <f t="shared" ref="J113:J117" si="38">IF(H113&lt;&gt;"",H113-G113,"")</f>
        <v>0</v>
      </c>
      <c r="K113" s="56">
        <v>2000</v>
      </c>
      <c r="L113" s="88">
        <f t="shared" si="36"/>
        <v>26000</v>
      </c>
      <c r="M113" s="58">
        <v>20000</v>
      </c>
      <c r="N113" s="58">
        <f t="shared" si="34"/>
        <v>0</v>
      </c>
      <c r="O113" s="59"/>
    </row>
    <row r="114" spans="1:15" ht="18.75" customHeight="1">
      <c r="A114" s="60">
        <f t="shared" si="35"/>
        <v>37</v>
      </c>
      <c r="B114" s="61" t="s">
        <v>42</v>
      </c>
      <c r="C114" s="97">
        <v>8</v>
      </c>
      <c r="D114" s="63">
        <v>5600000</v>
      </c>
      <c r="E114" s="102">
        <f t="shared" si="37"/>
        <v>44800000</v>
      </c>
      <c r="G114" s="64">
        <v>42691</v>
      </c>
      <c r="H114" s="64">
        <v>42691</v>
      </c>
      <c r="I114" s="56" t="s">
        <v>146</v>
      </c>
      <c r="J114" s="56">
        <f t="shared" si="38"/>
        <v>0</v>
      </c>
      <c r="K114" s="56">
        <v>2000</v>
      </c>
      <c r="L114" s="88">
        <f t="shared" si="36"/>
        <v>26000</v>
      </c>
      <c r="M114" s="58">
        <v>20000</v>
      </c>
      <c r="N114" s="58">
        <f t="shared" si="34"/>
        <v>0</v>
      </c>
      <c r="O114" s="59"/>
    </row>
    <row r="115" spans="1:15" ht="18.75" customHeight="1">
      <c r="A115" s="60">
        <f t="shared" si="35"/>
        <v>38</v>
      </c>
      <c r="B115" s="61" t="s">
        <v>43</v>
      </c>
      <c r="C115" s="97">
        <v>8</v>
      </c>
      <c r="D115" s="63">
        <f>88*22500</f>
        <v>1980000</v>
      </c>
      <c r="E115" s="102">
        <f t="shared" si="37"/>
        <v>15840000</v>
      </c>
      <c r="G115" s="64">
        <v>42698</v>
      </c>
      <c r="H115" s="64">
        <v>42698</v>
      </c>
      <c r="I115" s="56" t="s">
        <v>177</v>
      </c>
      <c r="J115" s="56">
        <f t="shared" si="38"/>
        <v>0</v>
      </c>
      <c r="K115" s="56">
        <v>1999</v>
      </c>
      <c r="L115" s="88">
        <f t="shared" si="36"/>
        <v>25987</v>
      </c>
      <c r="M115" s="58">
        <v>20000</v>
      </c>
      <c r="N115" s="58">
        <f t="shared" si="34"/>
        <v>0</v>
      </c>
      <c r="O115" s="59"/>
    </row>
    <row r="116" spans="1:15" ht="18.75" customHeight="1">
      <c r="A116" s="60">
        <f t="shared" si="35"/>
        <v>39</v>
      </c>
      <c r="B116" s="61" t="s">
        <v>44</v>
      </c>
      <c r="C116" s="97">
        <v>8</v>
      </c>
      <c r="D116" s="63">
        <v>1350000</v>
      </c>
      <c r="E116" s="102">
        <f>C116*D116</f>
        <v>10800000</v>
      </c>
      <c r="G116" s="64">
        <v>42698</v>
      </c>
      <c r="H116" s="64">
        <v>42698</v>
      </c>
      <c r="I116" s="56" t="s">
        <v>178</v>
      </c>
      <c r="J116" s="56">
        <f t="shared" si="38"/>
        <v>0</v>
      </c>
      <c r="K116" s="56">
        <v>2000</v>
      </c>
      <c r="L116" s="88">
        <f t="shared" si="36"/>
        <v>26000</v>
      </c>
      <c r="M116" s="58">
        <v>20000</v>
      </c>
      <c r="N116" s="58">
        <f t="shared" si="34"/>
        <v>0</v>
      </c>
      <c r="O116" s="59"/>
    </row>
    <row r="117" spans="1:15" ht="18.75" customHeight="1">
      <c r="A117" s="60">
        <f t="shared" si="35"/>
        <v>40</v>
      </c>
      <c r="B117" s="61" t="s">
        <v>79</v>
      </c>
      <c r="C117" s="97">
        <v>8</v>
      </c>
      <c r="D117" s="63">
        <v>2500000</v>
      </c>
      <c r="E117" s="102">
        <f t="shared" ref="E117" si="39">C117*D117</f>
        <v>20000000</v>
      </c>
      <c r="G117" s="64">
        <v>42702</v>
      </c>
      <c r="H117" s="64">
        <v>42702</v>
      </c>
      <c r="I117" s="56" t="s">
        <v>179</v>
      </c>
      <c r="J117" s="56">
        <f t="shared" si="38"/>
        <v>0</v>
      </c>
      <c r="K117" s="56">
        <v>2000</v>
      </c>
      <c r="L117" s="88">
        <f t="shared" ref="L117" si="40">K117*13</f>
        <v>26000</v>
      </c>
      <c r="M117" s="58">
        <v>20000</v>
      </c>
      <c r="N117" s="58">
        <f t="shared" si="34"/>
        <v>0</v>
      </c>
      <c r="O117" s="59"/>
    </row>
    <row r="118" spans="1:15" ht="18.75" customHeight="1">
      <c r="A118" s="60">
        <f t="shared" si="35"/>
        <v>41</v>
      </c>
      <c r="B118" s="61" t="s">
        <v>45</v>
      </c>
      <c r="C118" s="97">
        <v>208</v>
      </c>
      <c r="D118" s="63">
        <v>50000</v>
      </c>
      <c r="E118" s="102">
        <f>C118*D118</f>
        <v>10400000</v>
      </c>
      <c r="G118" s="64">
        <v>42683</v>
      </c>
      <c r="H118" s="64">
        <v>42699</v>
      </c>
      <c r="I118" s="56" t="s">
        <v>101</v>
      </c>
      <c r="J118" s="56">
        <f t="shared" ref="J118:J122" si="41">IF(H118&lt;&gt;"",H118-G118+1,"")</f>
        <v>17</v>
      </c>
      <c r="K118" s="56">
        <v>165</v>
      </c>
      <c r="L118" s="88">
        <f t="shared" ref="L118:L122" si="42">K118*13</f>
        <v>2145</v>
      </c>
      <c r="M118" s="58">
        <v>20000</v>
      </c>
      <c r="N118" s="58">
        <f t="shared" si="34"/>
        <v>729300</v>
      </c>
      <c r="O118" s="59"/>
    </row>
    <row r="119" spans="1:15" ht="18.75" customHeight="1">
      <c r="A119" s="60">
        <f t="shared" si="35"/>
        <v>42</v>
      </c>
      <c r="B119" s="61" t="s">
        <v>46</v>
      </c>
      <c r="C119" s="97"/>
      <c r="D119" s="63"/>
      <c r="E119" s="102">
        <f>N124</f>
        <v>13548600</v>
      </c>
      <c r="G119" s="64">
        <v>42684</v>
      </c>
      <c r="H119" s="64">
        <v>42699</v>
      </c>
      <c r="I119" s="56" t="s">
        <v>84</v>
      </c>
      <c r="J119" s="56">
        <f t="shared" si="41"/>
        <v>16</v>
      </c>
      <c r="K119" s="56">
        <v>510</v>
      </c>
      <c r="L119" s="88">
        <f t="shared" si="42"/>
        <v>6630</v>
      </c>
      <c r="M119" s="58">
        <v>20000</v>
      </c>
      <c r="N119" s="58">
        <f t="shared" si="34"/>
        <v>2121600</v>
      </c>
      <c r="O119" s="59"/>
    </row>
    <row r="120" spans="1:15" ht="18.75" customHeight="1">
      <c r="A120" s="60"/>
      <c r="B120" s="61"/>
      <c r="C120" s="97"/>
      <c r="D120" s="63"/>
      <c r="E120" s="102"/>
      <c r="G120" s="64"/>
      <c r="H120" s="64"/>
      <c r="I120" s="56" t="s">
        <v>118</v>
      </c>
      <c r="J120" s="56" t="str">
        <f t="shared" si="41"/>
        <v/>
      </c>
      <c r="K120" s="56">
        <v>-41</v>
      </c>
      <c r="L120" s="88">
        <f t="shared" si="42"/>
        <v>-533</v>
      </c>
      <c r="M120" s="58">
        <v>20000</v>
      </c>
      <c r="N120" s="58" t="str">
        <f t="shared" si="34"/>
        <v/>
      </c>
      <c r="O120" s="59"/>
    </row>
    <row r="121" spans="1:15" ht="18.75" customHeight="1">
      <c r="A121" s="60"/>
      <c r="B121" s="61"/>
      <c r="C121" s="97"/>
      <c r="D121" s="63"/>
      <c r="E121" s="102"/>
      <c r="G121" s="64">
        <v>42684</v>
      </c>
      <c r="H121" s="64">
        <v>42699</v>
      </c>
      <c r="I121" s="56" t="s">
        <v>119</v>
      </c>
      <c r="J121" s="56">
        <f t="shared" si="41"/>
        <v>16</v>
      </c>
      <c r="K121" s="56">
        <v>605</v>
      </c>
      <c r="L121" s="88">
        <f t="shared" si="42"/>
        <v>7865</v>
      </c>
      <c r="M121" s="58">
        <v>20000</v>
      </c>
      <c r="N121" s="58">
        <f t="shared" si="34"/>
        <v>2516800</v>
      </c>
      <c r="O121" s="59"/>
    </row>
    <row r="122" spans="1:15" ht="18.75" customHeight="1">
      <c r="A122" s="60"/>
      <c r="B122" s="61"/>
      <c r="C122" s="97"/>
      <c r="D122" s="63"/>
      <c r="E122" s="102"/>
      <c r="G122" s="64">
        <v>42684</v>
      </c>
      <c r="H122" s="64">
        <v>42699</v>
      </c>
      <c r="I122" s="56" t="s">
        <v>120</v>
      </c>
      <c r="J122" s="56">
        <f t="shared" si="41"/>
        <v>16</v>
      </c>
      <c r="K122" s="56">
        <f>800-38</f>
        <v>762</v>
      </c>
      <c r="L122" s="88">
        <f t="shared" si="42"/>
        <v>9906</v>
      </c>
      <c r="M122" s="58">
        <v>20000</v>
      </c>
      <c r="N122" s="58">
        <f t="shared" si="34"/>
        <v>3169920</v>
      </c>
      <c r="O122" s="59"/>
    </row>
    <row r="123" spans="1:15" ht="7.5" customHeight="1">
      <c r="A123" s="60"/>
      <c r="B123" s="61"/>
      <c r="C123" s="97"/>
      <c r="D123" s="63"/>
      <c r="E123" s="102"/>
      <c r="G123" s="66"/>
      <c r="H123" s="66"/>
      <c r="I123" s="67"/>
      <c r="J123" s="67"/>
      <c r="K123" s="67"/>
      <c r="L123" s="68"/>
      <c r="M123" s="69"/>
      <c r="N123" s="69"/>
    </row>
    <row r="124" spans="1:15" ht="18.75" customHeight="1">
      <c r="A124" s="70"/>
      <c r="B124" s="70" t="s">
        <v>48</v>
      </c>
      <c r="C124" s="98"/>
      <c r="D124" s="72"/>
      <c r="E124" s="74">
        <f>SUM(E108:E123)</f>
        <v>408498824</v>
      </c>
      <c r="F124" s="4"/>
      <c r="G124" s="73"/>
      <c r="H124" s="73"/>
      <c r="I124" s="73" t="s">
        <v>48</v>
      </c>
      <c r="J124" s="73"/>
      <c r="K124" s="89">
        <f>SUM(K108:K123)</f>
        <v>16000</v>
      </c>
      <c r="L124" s="89">
        <f>SUM(L108:L123)</f>
        <v>208000</v>
      </c>
      <c r="M124" s="89"/>
      <c r="N124" s="74">
        <f>SUM(N108:N123)</f>
        <v>13548600</v>
      </c>
    </row>
    <row r="125" spans="1:15" ht="7.5" customHeight="1"/>
    <row r="126" spans="1:15" s="3" customFormat="1">
      <c r="A126" s="5"/>
      <c r="B126" s="5"/>
      <c r="C126" s="99"/>
      <c r="D126" s="7" t="s">
        <v>49</v>
      </c>
      <c r="E126" s="103">
        <f>E124/C108</f>
        <v>1963.9366538461538</v>
      </c>
      <c r="F126" s="5"/>
    </row>
    <row r="128" spans="1:15" ht="31.5" customHeight="1">
      <c r="A128" s="73" t="s">
        <v>0</v>
      </c>
      <c r="B128" s="120" t="s">
        <v>21</v>
      </c>
      <c r="C128" s="105" t="s">
        <v>50</v>
      </c>
      <c r="D128" s="106" t="s">
        <v>51</v>
      </c>
      <c r="E128" s="106" t="s">
        <v>9</v>
      </c>
      <c r="F128" s="356" t="s">
        <v>117</v>
      </c>
      <c r="G128" s="357"/>
      <c r="H128" s="358"/>
      <c r="I128" s="106" t="s">
        <v>52</v>
      </c>
    </row>
    <row r="129" spans="1:9">
      <c r="A129" s="60">
        <v>1</v>
      </c>
      <c r="B129" s="61" t="s">
        <v>141</v>
      </c>
      <c r="C129" s="97">
        <v>291188</v>
      </c>
      <c r="D129" s="63">
        <v>22480</v>
      </c>
      <c r="E129" s="63">
        <f>C129*D129</f>
        <v>6545906240</v>
      </c>
      <c r="F129" s="353"/>
      <c r="G129" s="354"/>
      <c r="H129" s="355"/>
      <c r="I129" s="63"/>
    </row>
    <row r="130" spans="1:9">
      <c r="A130" s="60">
        <v>2</v>
      </c>
      <c r="B130" s="61" t="s">
        <v>123</v>
      </c>
      <c r="C130" s="97"/>
      <c r="D130" s="63"/>
      <c r="E130" s="63"/>
      <c r="F130" s="353">
        <f>F94*2</f>
        <v>3582288</v>
      </c>
      <c r="G130" s="354"/>
      <c r="H130" s="355"/>
      <c r="I130" s="63"/>
    </row>
    <row r="131" spans="1:9">
      <c r="A131" s="60">
        <v>3</v>
      </c>
      <c r="B131" s="61" t="s">
        <v>143</v>
      </c>
      <c r="C131" s="63"/>
      <c r="D131" s="63"/>
      <c r="E131" s="63"/>
      <c r="F131" s="353">
        <v>-1791144</v>
      </c>
      <c r="G131" s="354"/>
      <c r="H131" s="355"/>
      <c r="I131" s="63"/>
    </row>
    <row r="132" spans="1:9">
      <c r="A132" s="60">
        <v>4</v>
      </c>
      <c r="B132" s="61" t="s">
        <v>142</v>
      </c>
      <c r="C132" s="63"/>
      <c r="D132" s="63"/>
      <c r="E132" s="63">
        <f t="shared" ref="E132:E134" si="43">C132*D132</f>
        <v>0</v>
      </c>
      <c r="F132" s="353">
        <f>ROUND(I132*0.033%,0)</f>
        <v>1450020</v>
      </c>
      <c r="G132" s="354"/>
      <c r="H132" s="355"/>
      <c r="I132" s="63">
        <v>4394000000</v>
      </c>
    </row>
    <row r="133" spans="1:9">
      <c r="A133" s="60">
        <v>5</v>
      </c>
      <c r="B133" s="61" t="s">
        <v>149</v>
      </c>
      <c r="C133" s="62"/>
      <c r="D133" s="63"/>
      <c r="E133" s="63">
        <f t="shared" si="43"/>
        <v>0</v>
      </c>
      <c r="F133" s="353">
        <f>ROUND(I133*0.033%,0)</f>
        <v>133243</v>
      </c>
      <c r="G133" s="354"/>
      <c r="H133" s="355"/>
      <c r="I133" s="63">
        <v>403767000</v>
      </c>
    </row>
    <row r="134" spans="1:9">
      <c r="A134" s="60">
        <v>6</v>
      </c>
      <c r="B134" s="61" t="s">
        <v>150</v>
      </c>
      <c r="C134" s="62"/>
      <c r="D134" s="63"/>
      <c r="E134" s="63">
        <f t="shared" si="43"/>
        <v>0</v>
      </c>
      <c r="F134" s="353">
        <f t="shared" ref="F134" si="44">ROUND(I134*0.033%,0)</f>
        <v>142501</v>
      </c>
      <c r="G134" s="354"/>
      <c r="H134" s="355"/>
      <c r="I134" s="63">
        <v>431821000</v>
      </c>
    </row>
    <row r="135" spans="1:9">
      <c r="A135" s="60">
        <v>7</v>
      </c>
      <c r="B135" s="61" t="s">
        <v>56</v>
      </c>
      <c r="C135" s="62"/>
      <c r="D135" s="63"/>
      <c r="E135" s="63">
        <f>C135*D135</f>
        <v>0</v>
      </c>
      <c r="F135" s="353">
        <v>298421</v>
      </c>
      <c r="G135" s="354"/>
      <c r="H135" s="355"/>
      <c r="I135" s="63">
        <v>904008247</v>
      </c>
    </row>
    <row r="136" spans="1:9" ht="6" customHeight="1">
      <c r="A136" s="112"/>
      <c r="B136" s="115"/>
      <c r="C136" s="116"/>
      <c r="D136" s="113"/>
      <c r="E136" s="113"/>
      <c r="F136" s="366"/>
      <c r="G136" s="367"/>
      <c r="H136" s="368"/>
      <c r="I136" s="113"/>
    </row>
    <row r="137" spans="1:9">
      <c r="A137" s="70"/>
      <c r="B137" s="70" t="s">
        <v>57</v>
      </c>
      <c r="C137" s="71"/>
      <c r="D137" s="72"/>
      <c r="E137" s="72">
        <f>SUM(E129:E136)</f>
        <v>6545906240</v>
      </c>
      <c r="F137" s="350">
        <f>SUM(F129:H136)</f>
        <v>3815329</v>
      </c>
      <c r="G137" s="351"/>
      <c r="H137" s="352"/>
      <c r="I137" s="72">
        <f>SUM(I129:I136)</f>
        <v>6133596247</v>
      </c>
    </row>
    <row r="139" spans="1:9" ht="31.5" customHeight="1">
      <c r="A139" s="73" t="s">
        <v>0</v>
      </c>
      <c r="B139" s="123" t="s">
        <v>21</v>
      </c>
      <c r="C139" s="105" t="s">
        <v>50</v>
      </c>
      <c r="D139" s="106" t="s">
        <v>51</v>
      </c>
      <c r="E139" s="106" t="s">
        <v>9</v>
      </c>
      <c r="F139" s="356" t="s">
        <v>117</v>
      </c>
      <c r="G139" s="357"/>
      <c r="H139" s="358"/>
      <c r="I139" s="106" t="s">
        <v>52</v>
      </c>
    </row>
    <row r="140" spans="1:9">
      <c r="A140" s="60">
        <v>1</v>
      </c>
      <c r="B140" s="61" t="s">
        <v>151</v>
      </c>
      <c r="C140" s="97">
        <v>145588</v>
      </c>
      <c r="D140" s="63">
        <v>22660</v>
      </c>
      <c r="E140" s="63">
        <f>C140*D140</f>
        <v>3299024080</v>
      </c>
      <c r="F140" s="353"/>
      <c r="G140" s="354"/>
      <c r="H140" s="355"/>
      <c r="I140" s="63"/>
    </row>
    <row r="141" spans="1:9">
      <c r="A141" s="60">
        <v>2</v>
      </c>
      <c r="B141" s="61" t="s">
        <v>123</v>
      </c>
      <c r="C141" s="97"/>
      <c r="D141" s="63"/>
      <c r="E141" s="63"/>
      <c r="F141" s="353">
        <v>1819968</v>
      </c>
      <c r="G141" s="354"/>
      <c r="H141" s="355"/>
      <c r="I141" s="63"/>
    </row>
    <row r="142" spans="1:9">
      <c r="A142" s="60">
        <v>4</v>
      </c>
      <c r="B142" s="124" t="s">
        <v>152</v>
      </c>
      <c r="C142" s="63"/>
      <c r="D142" s="63"/>
      <c r="E142" s="63">
        <f t="shared" ref="E142:E144" si="45">C142*D142</f>
        <v>0</v>
      </c>
      <c r="F142" s="353">
        <f>ROUND(I142*0.033%,0)</f>
        <v>475585</v>
      </c>
      <c r="G142" s="354"/>
      <c r="H142" s="355"/>
      <c r="I142" s="63">
        <v>1441167000</v>
      </c>
    </row>
    <row r="143" spans="1:9">
      <c r="A143" s="60">
        <v>5</v>
      </c>
      <c r="B143" s="124" t="s">
        <v>153</v>
      </c>
      <c r="C143" s="62"/>
      <c r="D143" s="63"/>
      <c r="E143" s="63">
        <f t="shared" si="45"/>
        <v>0</v>
      </c>
      <c r="F143" s="353">
        <f>ROUND(I143*0.033%,0)</f>
        <v>178679</v>
      </c>
      <c r="G143" s="354"/>
      <c r="H143" s="355"/>
      <c r="I143" s="63">
        <v>541450000</v>
      </c>
    </row>
    <row r="144" spans="1:9">
      <c r="A144" s="60">
        <v>6</v>
      </c>
      <c r="B144" s="61" t="s">
        <v>55</v>
      </c>
      <c r="C144" s="62"/>
      <c r="D144" s="63"/>
      <c r="E144" s="63">
        <f t="shared" si="45"/>
        <v>0</v>
      </c>
      <c r="F144" s="353">
        <f t="shared" ref="F144" si="46">ROUND(I144*0.033%,0)</f>
        <v>351889</v>
      </c>
      <c r="G144" s="354"/>
      <c r="H144" s="355"/>
      <c r="I144" s="63">
        <v>1066331000</v>
      </c>
    </row>
    <row r="145" spans="1:15">
      <c r="A145" s="60">
        <v>7</v>
      </c>
      <c r="B145" s="61" t="s">
        <v>56</v>
      </c>
      <c r="C145" s="62"/>
      <c r="D145" s="63"/>
      <c r="E145" s="63">
        <f>C145*D145</f>
        <v>0</v>
      </c>
      <c r="F145" s="353">
        <v>81592</v>
      </c>
      <c r="G145" s="354"/>
      <c r="H145" s="355"/>
      <c r="I145" s="63">
        <v>247168367</v>
      </c>
    </row>
    <row r="146" spans="1:15" ht="6" customHeight="1">
      <c r="A146" s="112"/>
      <c r="B146" s="115"/>
      <c r="C146" s="116"/>
      <c r="D146" s="113"/>
      <c r="E146" s="113"/>
      <c r="F146" s="366"/>
      <c r="G146" s="367"/>
      <c r="H146" s="368"/>
      <c r="I146" s="113"/>
    </row>
    <row r="147" spans="1:15">
      <c r="A147" s="70"/>
      <c r="B147" s="70" t="s">
        <v>57</v>
      </c>
      <c r="C147" s="71"/>
      <c r="D147" s="72"/>
      <c r="E147" s="72">
        <f>SUM(E140:E146)</f>
        <v>3299024080</v>
      </c>
      <c r="F147" s="350">
        <f>SUM(F140:H146)</f>
        <v>2907713</v>
      </c>
      <c r="G147" s="351"/>
      <c r="H147" s="352"/>
      <c r="I147" s="72">
        <f>SUM(I140:I146)</f>
        <v>3296116367</v>
      </c>
    </row>
    <row r="148" spans="1:15" ht="18" customHeight="1">
      <c r="I148" s="122"/>
    </row>
    <row r="149" spans="1:15">
      <c r="I149" s="122"/>
    </row>
    <row r="150" spans="1:15" ht="43.5" customHeight="1">
      <c r="A150" s="370" t="s">
        <v>190</v>
      </c>
      <c r="B150" s="370"/>
      <c r="C150" s="370"/>
      <c r="D150" s="370"/>
      <c r="E150" s="370"/>
      <c r="F150" s="87"/>
      <c r="G150" s="2"/>
      <c r="H150" s="2"/>
    </row>
    <row r="151" spans="1:15" s="25" customFormat="1" ht="17.25" customHeight="1">
      <c r="B151" s="40"/>
      <c r="C151" s="94"/>
      <c r="D151" s="86"/>
      <c r="E151" s="100"/>
      <c r="F151" s="44"/>
      <c r="G151" s="45" t="s">
        <v>29</v>
      </c>
      <c r="I151" s="91"/>
    </row>
    <row r="152" spans="1:15" s="85" customFormat="1" ht="36.75" customHeight="1">
      <c r="A152" s="83" t="s">
        <v>0</v>
      </c>
      <c r="B152" s="83" t="s">
        <v>21</v>
      </c>
      <c r="C152" s="95" t="s">
        <v>7</v>
      </c>
      <c r="D152" s="84" t="s">
        <v>8</v>
      </c>
      <c r="E152" s="49" t="s">
        <v>9</v>
      </c>
      <c r="G152" s="47" t="s">
        <v>30</v>
      </c>
      <c r="H152" s="47" t="s">
        <v>31</v>
      </c>
      <c r="I152" s="47" t="s">
        <v>103</v>
      </c>
      <c r="J152" s="47" t="s">
        <v>32</v>
      </c>
      <c r="K152" s="47" t="s">
        <v>83</v>
      </c>
      <c r="L152" s="46" t="s">
        <v>33</v>
      </c>
      <c r="M152" s="49" t="s">
        <v>106</v>
      </c>
      <c r="N152" s="49" t="s">
        <v>9</v>
      </c>
    </row>
    <row r="153" spans="1:15" ht="18.75" customHeight="1">
      <c r="A153" s="60">
        <f>ROW()-152</f>
        <v>1</v>
      </c>
      <c r="B153" s="51" t="s">
        <v>35</v>
      </c>
      <c r="C153" s="96">
        <v>208000</v>
      </c>
      <c r="D153" s="53">
        <v>300</v>
      </c>
      <c r="E153" s="101">
        <f t="shared" ref="E153:E156" si="47">C153*D153</f>
        <v>62400000</v>
      </c>
      <c r="G153" s="64">
        <v>42684</v>
      </c>
      <c r="H153" s="64">
        <v>42702</v>
      </c>
      <c r="I153" s="56" t="s">
        <v>120</v>
      </c>
      <c r="J153" s="56">
        <f t="shared" ref="J153:J163" si="48">IF(H153&lt;&gt;"",H153-G153+1,"")</f>
        <v>19</v>
      </c>
      <c r="K153" s="56">
        <v>38</v>
      </c>
      <c r="L153" s="88">
        <f t="shared" ref="L153:L164" si="49">K153*13</f>
        <v>494</v>
      </c>
      <c r="M153" s="58">
        <v>20000</v>
      </c>
      <c r="N153" s="58">
        <f t="shared" ref="N153:N164" si="50">IF(J153&lt;&gt;"",M153*L153*J153/1000,"")</f>
        <v>187720</v>
      </c>
      <c r="O153" s="59"/>
    </row>
    <row r="154" spans="1:15" ht="18.75" customHeight="1">
      <c r="A154" s="60">
        <f t="shared" ref="A154:A167" si="51">ROW()-152</f>
        <v>2</v>
      </c>
      <c r="B154" s="61" t="s">
        <v>37</v>
      </c>
      <c r="C154" s="97">
        <v>8</v>
      </c>
      <c r="D154" s="63">
        <v>2000000</v>
      </c>
      <c r="E154" s="102">
        <f t="shared" si="47"/>
        <v>16000000</v>
      </c>
      <c r="G154" s="64">
        <v>42684</v>
      </c>
      <c r="H154" s="64">
        <v>42702</v>
      </c>
      <c r="I154" s="56" t="s">
        <v>121</v>
      </c>
      <c r="J154" s="56">
        <f t="shared" si="48"/>
        <v>19</v>
      </c>
      <c r="K154" s="56">
        <v>400</v>
      </c>
      <c r="L154" s="88">
        <f t="shared" si="49"/>
        <v>5200</v>
      </c>
      <c r="M154" s="58">
        <v>20000</v>
      </c>
      <c r="N154" s="58">
        <f t="shared" si="50"/>
        <v>1976000</v>
      </c>
      <c r="O154" s="59"/>
    </row>
    <row r="155" spans="1:15" ht="18.75" customHeight="1">
      <c r="A155" s="60">
        <f t="shared" si="51"/>
        <v>3</v>
      </c>
      <c r="B155" s="61" t="s">
        <v>38</v>
      </c>
      <c r="C155" s="97">
        <v>8</v>
      </c>
      <c r="D155" s="63">
        <v>2000000</v>
      </c>
      <c r="E155" s="102">
        <f t="shared" si="47"/>
        <v>16000000</v>
      </c>
      <c r="G155" s="64">
        <v>42685</v>
      </c>
      <c r="H155" s="64">
        <v>42702</v>
      </c>
      <c r="I155" s="56" t="s">
        <v>124</v>
      </c>
      <c r="J155" s="56">
        <f t="shared" si="48"/>
        <v>18</v>
      </c>
      <c r="K155" s="56">
        <v>445</v>
      </c>
      <c r="L155" s="88">
        <f t="shared" si="49"/>
        <v>5785</v>
      </c>
      <c r="M155" s="58">
        <v>20000</v>
      </c>
      <c r="N155" s="58">
        <f t="shared" si="50"/>
        <v>2082600</v>
      </c>
      <c r="O155" s="59"/>
    </row>
    <row r="156" spans="1:15" ht="18.75" customHeight="1">
      <c r="A156" s="60">
        <f t="shared" si="51"/>
        <v>4</v>
      </c>
      <c r="B156" s="61" t="s">
        <v>39</v>
      </c>
      <c r="C156" s="97">
        <v>8</v>
      </c>
      <c r="D156" s="63">
        <v>600000</v>
      </c>
      <c r="E156" s="102">
        <f t="shared" si="47"/>
        <v>4800000</v>
      </c>
      <c r="G156" s="64"/>
      <c r="H156" s="64"/>
      <c r="I156" s="56" t="s">
        <v>128</v>
      </c>
      <c r="J156" s="56" t="str">
        <f t="shared" si="48"/>
        <v/>
      </c>
      <c r="K156" s="56">
        <v>-11</v>
      </c>
      <c r="L156" s="88">
        <f t="shared" si="49"/>
        <v>-143</v>
      </c>
      <c r="M156" s="58"/>
      <c r="N156" s="58" t="str">
        <f t="shared" si="50"/>
        <v/>
      </c>
      <c r="O156" s="59"/>
    </row>
    <row r="157" spans="1:15" ht="18.75" customHeight="1">
      <c r="A157" s="60">
        <f t="shared" si="51"/>
        <v>5</v>
      </c>
      <c r="B157" s="61" t="s">
        <v>75</v>
      </c>
      <c r="C157" s="97">
        <v>8</v>
      </c>
      <c r="D157" s="63">
        <f>750*22600</f>
        <v>16950000</v>
      </c>
      <c r="E157" s="102">
        <f>C157*D157</f>
        <v>135600000</v>
      </c>
      <c r="G157" s="64">
        <v>42685</v>
      </c>
      <c r="H157" s="64">
        <v>42702</v>
      </c>
      <c r="I157" s="56" t="s">
        <v>87</v>
      </c>
      <c r="J157" s="56">
        <f t="shared" si="48"/>
        <v>18</v>
      </c>
      <c r="K157" s="56">
        <v>505</v>
      </c>
      <c r="L157" s="88">
        <f t="shared" si="49"/>
        <v>6565</v>
      </c>
      <c r="M157" s="58">
        <v>20000</v>
      </c>
      <c r="N157" s="58">
        <f t="shared" si="50"/>
        <v>2363400</v>
      </c>
      <c r="O157" s="59"/>
    </row>
    <row r="158" spans="1:15" ht="18.75" customHeight="1">
      <c r="A158" s="60">
        <f t="shared" si="51"/>
        <v>6</v>
      </c>
      <c r="B158" s="61" t="s">
        <v>41</v>
      </c>
      <c r="C158" s="97">
        <v>8</v>
      </c>
      <c r="D158" s="63">
        <v>7378778</v>
      </c>
      <c r="E158" s="102">
        <f t="shared" ref="E158:E160" si="52">C158*D158</f>
        <v>59030224</v>
      </c>
      <c r="G158" s="64">
        <v>42685</v>
      </c>
      <c r="H158" s="64">
        <v>42702</v>
      </c>
      <c r="I158" s="56" t="s">
        <v>125</v>
      </c>
      <c r="J158" s="56">
        <f t="shared" si="48"/>
        <v>18</v>
      </c>
      <c r="K158" s="56">
        <v>353</v>
      </c>
      <c r="L158" s="88">
        <f t="shared" si="49"/>
        <v>4589</v>
      </c>
      <c r="M158" s="58">
        <v>20000</v>
      </c>
      <c r="N158" s="58">
        <f t="shared" si="50"/>
        <v>1652040</v>
      </c>
      <c r="O158" s="59"/>
    </row>
    <row r="159" spans="1:15" ht="18.75" customHeight="1">
      <c r="A159" s="60">
        <f t="shared" si="51"/>
        <v>7</v>
      </c>
      <c r="B159" s="61" t="s">
        <v>42</v>
      </c>
      <c r="C159" s="97">
        <v>8</v>
      </c>
      <c r="D159" s="63">
        <v>5600000</v>
      </c>
      <c r="E159" s="102">
        <f t="shared" si="52"/>
        <v>44800000</v>
      </c>
      <c r="G159" s="64">
        <v>42685</v>
      </c>
      <c r="H159" s="64">
        <v>42702</v>
      </c>
      <c r="I159" s="56" t="s">
        <v>126</v>
      </c>
      <c r="J159" s="56">
        <f t="shared" si="48"/>
        <v>18</v>
      </c>
      <c r="K159" s="56">
        <f>900</f>
        <v>900</v>
      </c>
      <c r="L159" s="88">
        <f t="shared" si="49"/>
        <v>11700</v>
      </c>
      <c r="M159" s="58">
        <v>20000</v>
      </c>
      <c r="N159" s="58">
        <f t="shared" si="50"/>
        <v>4212000</v>
      </c>
      <c r="O159" s="59"/>
    </row>
    <row r="160" spans="1:15" ht="18.75" customHeight="1">
      <c r="A160" s="60">
        <f t="shared" si="51"/>
        <v>8</v>
      </c>
      <c r="B160" s="61" t="s">
        <v>43</v>
      </c>
      <c r="C160" s="97">
        <v>8</v>
      </c>
      <c r="D160" s="63">
        <f>88*22500</f>
        <v>1980000</v>
      </c>
      <c r="E160" s="102">
        <f t="shared" si="52"/>
        <v>15840000</v>
      </c>
      <c r="G160" s="64">
        <v>42685</v>
      </c>
      <c r="H160" s="64">
        <v>42702</v>
      </c>
      <c r="I160" s="56" t="s">
        <v>127</v>
      </c>
      <c r="J160" s="56">
        <f t="shared" si="48"/>
        <v>18</v>
      </c>
      <c r="K160" s="56">
        <v>900</v>
      </c>
      <c r="L160" s="88">
        <f t="shared" si="49"/>
        <v>11700</v>
      </c>
      <c r="M160" s="58">
        <v>20000</v>
      </c>
      <c r="N160" s="58">
        <f t="shared" si="50"/>
        <v>4212000</v>
      </c>
      <c r="O160" s="59"/>
    </row>
    <row r="161" spans="1:15" ht="18.75" customHeight="1">
      <c r="A161" s="60">
        <f t="shared" si="51"/>
        <v>9</v>
      </c>
      <c r="B161" s="61" t="s">
        <v>44</v>
      </c>
      <c r="C161" s="97">
        <v>8</v>
      </c>
      <c r="D161" s="63">
        <v>1350000</v>
      </c>
      <c r="E161" s="102">
        <f>C161*D161</f>
        <v>10800000</v>
      </c>
      <c r="G161" s="64">
        <v>42688</v>
      </c>
      <c r="H161" s="64">
        <v>42702</v>
      </c>
      <c r="I161" s="56" t="s">
        <v>87</v>
      </c>
      <c r="J161" s="56">
        <f t="shared" si="48"/>
        <v>15</v>
      </c>
      <c r="K161" s="56">
        <v>404</v>
      </c>
      <c r="L161" s="88">
        <f t="shared" si="49"/>
        <v>5252</v>
      </c>
      <c r="M161" s="58">
        <v>20000</v>
      </c>
      <c r="N161" s="58">
        <f t="shared" si="50"/>
        <v>1575600</v>
      </c>
      <c r="O161" s="59"/>
    </row>
    <row r="162" spans="1:15" ht="18.75" customHeight="1">
      <c r="A162" s="60">
        <f t="shared" si="51"/>
        <v>10</v>
      </c>
      <c r="B162" s="61" t="s">
        <v>79</v>
      </c>
      <c r="C162" s="97">
        <v>8</v>
      </c>
      <c r="D162" s="63">
        <v>2500000</v>
      </c>
      <c r="E162" s="102">
        <f t="shared" ref="E162" si="53">C162*D162</f>
        <v>20000000</v>
      </c>
      <c r="G162" s="64">
        <v>42693</v>
      </c>
      <c r="H162" s="64"/>
      <c r="I162" s="56" t="s">
        <v>148</v>
      </c>
      <c r="J162" s="56" t="str">
        <f t="shared" si="48"/>
        <v/>
      </c>
      <c r="K162" s="56">
        <v>-34</v>
      </c>
      <c r="L162" s="88">
        <f t="shared" si="49"/>
        <v>-442</v>
      </c>
      <c r="M162" s="58"/>
      <c r="N162" s="58" t="str">
        <f t="shared" si="50"/>
        <v/>
      </c>
      <c r="O162" s="59"/>
    </row>
    <row r="163" spans="1:15" ht="18.75" customHeight="1">
      <c r="A163" s="60">
        <f t="shared" si="51"/>
        <v>11</v>
      </c>
      <c r="B163" s="61" t="s">
        <v>45</v>
      </c>
      <c r="C163" s="97">
        <v>208</v>
      </c>
      <c r="D163" s="63">
        <v>50000</v>
      </c>
      <c r="E163" s="102">
        <f>C163*D163</f>
        <v>10400000</v>
      </c>
      <c r="G163" s="64">
        <v>42699</v>
      </c>
      <c r="H163" s="64">
        <v>42702</v>
      </c>
      <c r="I163" s="56" t="s">
        <v>91</v>
      </c>
      <c r="J163" s="56">
        <f t="shared" si="48"/>
        <v>4</v>
      </c>
      <c r="K163" s="56">
        <v>100</v>
      </c>
      <c r="L163" s="88">
        <f t="shared" si="49"/>
        <v>1300</v>
      </c>
      <c r="M163" s="58">
        <v>20000</v>
      </c>
      <c r="N163" s="58">
        <f t="shared" si="50"/>
        <v>104000</v>
      </c>
      <c r="O163" s="59"/>
    </row>
    <row r="164" spans="1:15" ht="18.75" customHeight="1">
      <c r="A164" s="60">
        <f t="shared" si="51"/>
        <v>12</v>
      </c>
      <c r="B164" s="61" t="s">
        <v>195</v>
      </c>
      <c r="C164" s="97">
        <v>10</v>
      </c>
      <c r="D164" s="63">
        <v>140000</v>
      </c>
      <c r="E164" s="102">
        <f>C164*D164</f>
        <v>1400000</v>
      </c>
      <c r="G164" s="64">
        <v>42705</v>
      </c>
      <c r="H164" s="64">
        <v>42705</v>
      </c>
      <c r="I164" s="56" t="s">
        <v>187</v>
      </c>
      <c r="J164" s="56">
        <f>IF(H164&lt;&gt;"",H164-G164,"")</f>
        <v>0</v>
      </c>
      <c r="K164" s="56">
        <v>2000</v>
      </c>
      <c r="L164" s="88">
        <f t="shared" si="49"/>
        <v>26000</v>
      </c>
      <c r="M164" s="58">
        <v>20000</v>
      </c>
      <c r="N164" s="58">
        <f t="shared" si="50"/>
        <v>0</v>
      </c>
      <c r="O164" s="59"/>
    </row>
    <row r="165" spans="1:15" ht="18.75" customHeight="1">
      <c r="A165" s="60">
        <f t="shared" si="51"/>
        <v>13</v>
      </c>
      <c r="B165" s="61" t="s">
        <v>196</v>
      </c>
      <c r="C165" s="97">
        <v>10</v>
      </c>
      <c r="D165" s="63">
        <v>110000</v>
      </c>
      <c r="E165" s="102">
        <f t="shared" ref="E165:E166" si="54">C165*D165</f>
        <v>1100000</v>
      </c>
      <c r="G165" s="64">
        <v>42705</v>
      </c>
      <c r="H165" s="64">
        <v>42705</v>
      </c>
      <c r="I165" s="56" t="s">
        <v>188</v>
      </c>
      <c r="J165" s="56">
        <f t="shared" ref="J165:J166" si="55">IF(H165&lt;&gt;"",H165-G165,"")</f>
        <v>0</v>
      </c>
      <c r="K165" s="56">
        <v>2000</v>
      </c>
      <c r="L165" s="88">
        <f t="shared" ref="L165:L171" si="56">K165*13</f>
        <v>26000</v>
      </c>
      <c r="M165" s="58">
        <v>20000</v>
      </c>
      <c r="N165" s="58">
        <f t="shared" ref="N165:N171" si="57">IF(J165&lt;&gt;"",M165*L165*J165/1000,"")</f>
        <v>0</v>
      </c>
      <c r="O165" s="59"/>
    </row>
    <row r="166" spans="1:15" ht="18.75" customHeight="1">
      <c r="A166" s="60">
        <f t="shared" si="51"/>
        <v>14</v>
      </c>
      <c r="B166" s="61" t="s">
        <v>197</v>
      </c>
      <c r="C166" s="97">
        <v>10</v>
      </c>
      <c r="D166" s="63">
        <v>110000</v>
      </c>
      <c r="E166" s="102">
        <f t="shared" si="54"/>
        <v>1100000</v>
      </c>
      <c r="G166" s="64">
        <v>42705</v>
      </c>
      <c r="H166" s="64">
        <v>42705</v>
      </c>
      <c r="I166" s="56" t="s">
        <v>189</v>
      </c>
      <c r="J166" s="56">
        <f t="shared" si="55"/>
        <v>0</v>
      </c>
      <c r="K166" s="56">
        <v>1999</v>
      </c>
      <c r="L166" s="88">
        <f t="shared" si="56"/>
        <v>25987</v>
      </c>
      <c r="M166" s="58">
        <v>20000</v>
      </c>
      <c r="N166" s="58">
        <f t="shared" si="57"/>
        <v>0</v>
      </c>
      <c r="O166" s="59"/>
    </row>
    <row r="167" spans="1:15" ht="18.75" customHeight="1">
      <c r="A167" s="60">
        <f t="shared" si="51"/>
        <v>15</v>
      </c>
      <c r="B167" s="61" t="s">
        <v>46</v>
      </c>
      <c r="C167" s="97"/>
      <c r="D167" s="63"/>
      <c r="E167" s="102">
        <f>N173</f>
        <v>21434660</v>
      </c>
      <c r="G167" s="64">
        <v>42699</v>
      </c>
      <c r="H167" s="64">
        <v>42706</v>
      </c>
      <c r="I167" s="56" t="s">
        <v>91</v>
      </c>
      <c r="J167" s="56">
        <f t="shared" ref="J167:J171" si="58">IF(H167&lt;&gt;"",H167-G167+1,"")</f>
        <v>8</v>
      </c>
      <c r="K167" s="56">
        <v>200</v>
      </c>
      <c r="L167" s="88">
        <f t="shared" si="56"/>
        <v>2600</v>
      </c>
      <c r="M167" s="58">
        <v>20000</v>
      </c>
      <c r="N167" s="58">
        <f t="shared" si="57"/>
        <v>416000</v>
      </c>
      <c r="O167" s="59"/>
    </row>
    <row r="168" spans="1:15" ht="18.75" customHeight="1">
      <c r="A168" s="60"/>
      <c r="B168" s="61"/>
      <c r="C168" s="97"/>
      <c r="D168" s="63"/>
      <c r="E168" s="102"/>
      <c r="G168" s="64">
        <v>42699</v>
      </c>
      <c r="H168" s="64">
        <v>42706</v>
      </c>
      <c r="I168" s="56" t="s">
        <v>84</v>
      </c>
      <c r="J168" s="56">
        <f t="shared" si="58"/>
        <v>8</v>
      </c>
      <c r="K168" s="56">
        <v>400</v>
      </c>
      <c r="L168" s="88">
        <f t="shared" si="56"/>
        <v>5200</v>
      </c>
      <c r="M168" s="58">
        <v>20000</v>
      </c>
      <c r="N168" s="58">
        <f t="shared" si="57"/>
        <v>832000</v>
      </c>
      <c r="O168" s="59"/>
    </row>
    <row r="169" spans="1:15" ht="18.75" customHeight="1">
      <c r="A169" s="60"/>
      <c r="B169" s="61"/>
      <c r="C169" s="97"/>
      <c r="D169" s="63"/>
      <c r="E169" s="102"/>
      <c r="G169" s="64">
        <v>42702</v>
      </c>
      <c r="H169" s="64">
        <v>42706</v>
      </c>
      <c r="I169" s="56" t="s">
        <v>86</v>
      </c>
      <c r="J169" s="56">
        <f t="shared" si="58"/>
        <v>5</v>
      </c>
      <c r="K169" s="56">
        <v>413</v>
      </c>
      <c r="L169" s="88">
        <f t="shared" si="56"/>
        <v>5369</v>
      </c>
      <c r="M169" s="58">
        <v>20000</v>
      </c>
      <c r="N169" s="58">
        <f t="shared" si="57"/>
        <v>536900</v>
      </c>
      <c r="O169" s="59"/>
    </row>
    <row r="170" spans="1:15" ht="18.75" customHeight="1">
      <c r="A170" s="60"/>
      <c r="B170" s="61"/>
      <c r="C170" s="97"/>
      <c r="D170" s="63"/>
      <c r="E170" s="102"/>
      <c r="G170" s="64">
        <v>42702</v>
      </c>
      <c r="H170" s="64">
        <v>42706</v>
      </c>
      <c r="I170" s="56" t="s">
        <v>180</v>
      </c>
      <c r="J170" s="56">
        <f t="shared" si="58"/>
        <v>5</v>
      </c>
      <c r="K170" s="56">
        <v>418</v>
      </c>
      <c r="L170" s="88">
        <f t="shared" si="56"/>
        <v>5434</v>
      </c>
      <c r="M170" s="58">
        <v>20000</v>
      </c>
      <c r="N170" s="58">
        <f t="shared" si="57"/>
        <v>543400</v>
      </c>
      <c r="O170" s="59"/>
    </row>
    <row r="171" spans="1:15" ht="18.75" customHeight="1">
      <c r="A171" s="60"/>
      <c r="B171" s="61"/>
      <c r="C171" s="97"/>
      <c r="D171" s="63"/>
      <c r="E171" s="102"/>
      <c r="G171" s="64">
        <v>42702</v>
      </c>
      <c r="H171" s="64">
        <v>42706</v>
      </c>
      <c r="I171" s="56" t="s">
        <v>181</v>
      </c>
      <c r="J171" s="56">
        <f t="shared" si="58"/>
        <v>5</v>
      </c>
      <c r="K171" s="56">
        <f>582-12</f>
        <v>570</v>
      </c>
      <c r="L171" s="88">
        <f t="shared" si="56"/>
        <v>7410</v>
      </c>
      <c r="M171" s="58">
        <v>20000</v>
      </c>
      <c r="N171" s="58">
        <f t="shared" si="57"/>
        <v>741000</v>
      </c>
      <c r="O171" s="59"/>
    </row>
    <row r="172" spans="1:15" ht="7.5" customHeight="1">
      <c r="A172" s="60"/>
      <c r="B172" s="61"/>
      <c r="C172" s="97"/>
      <c r="D172" s="63"/>
      <c r="E172" s="102"/>
      <c r="G172" s="66"/>
      <c r="H172" s="66"/>
      <c r="I172" s="67"/>
      <c r="J172" s="67"/>
      <c r="K172" s="67"/>
      <c r="L172" s="68"/>
      <c r="M172" s="69"/>
      <c r="N172" s="69"/>
    </row>
    <row r="173" spans="1:15" ht="18.75" customHeight="1">
      <c r="A173" s="70"/>
      <c r="B173" s="70" t="s">
        <v>48</v>
      </c>
      <c r="C173" s="98"/>
      <c r="D173" s="72"/>
      <c r="E173" s="74">
        <f>SUM(E153:E172)</f>
        <v>420704884</v>
      </c>
      <c r="F173" s="4"/>
      <c r="G173" s="73"/>
      <c r="H173" s="73"/>
      <c r="I173" s="73" t="s">
        <v>48</v>
      </c>
      <c r="J173" s="73"/>
      <c r="K173" s="89">
        <f>SUM(K153:K172)</f>
        <v>12000</v>
      </c>
      <c r="L173" s="89">
        <f>SUM(L153:L172)</f>
        <v>156000</v>
      </c>
      <c r="M173" s="89"/>
      <c r="N173" s="74">
        <f>SUM(N153:N172)</f>
        <v>21434660</v>
      </c>
    </row>
    <row r="174" spans="1:15" ht="7.5" customHeight="1"/>
    <row r="175" spans="1:15" s="3" customFormat="1">
      <c r="A175" s="5"/>
      <c r="B175" s="5"/>
      <c r="C175" s="99"/>
      <c r="D175" s="7" t="s">
        <v>49</v>
      </c>
      <c r="E175" s="103">
        <f>E173/C153</f>
        <v>2022.6196346153847</v>
      </c>
      <c r="F175" s="5"/>
    </row>
    <row r="177" spans="1:14" ht="31.5" customHeight="1">
      <c r="A177" s="73" t="s">
        <v>0</v>
      </c>
      <c r="B177" s="125" t="s">
        <v>21</v>
      </c>
      <c r="C177" s="105" t="s">
        <v>50</v>
      </c>
      <c r="D177" s="106" t="s">
        <v>51</v>
      </c>
      <c r="E177" s="106" t="s">
        <v>9</v>
      </c>
      <c r="F177" s="356" t="s">
        <v>117</v>
      </c>
      <c r="G177" s="357"/>
      <c r="H177" s="358"/>
      <c r="I177" s="106" t="s">
        <v>52</v>
      </c>
    </row>
    <row r="178" spans="1:14">
      <c r="A178" s="60">
        <v>1</v>
      </c>
      <c r="B178" s="61" t="s">
        <v>176</v>
      </c>
      <c r="C178" s="97">
        <v>145588</v>
      </c>
      <c r="D178" s="63">
        <v>22620</v>
      </c>
      <c r="E178" s="63">
        <f>C178*D178</f>
        <v>3293200560</v>
      </c>
      <c r="F178" s="353"/>
      <c r="G178" s="354"/>
      <c r="H178" s="355"/>
      <c r="I178" s="63"/>
    </row>
    <row r="179" spans="1:14">
      <c r="A179" s="60">
        <v>2</v>
      </c>
      <c r="B179" s="61" t="s">
        <v>123</v>
      </c>
      <c r="C179" s="97"/>
      <c r="D179" s="63"/>
      <c r="E179" s="63"/>
      <c r="F179" s="353">
        <v>1825573</v>
      </c>
      <c r="G179" s="354"/>
      <c r="H179" s="355"/>
      <c r="I179" s="63"/>
    </row>
    <row r="180" spans="1:14">
      <c r="A180" s="60">
        <v>3</v>
      </c>
      <c r="B180" s="124" t="s">
        <v>152</v>
      </c>
      <c r="C180" s="63"/>
      <c r="D180" s="63"/>
      <c r="E180" s="63">
        <f t="shared" ref="E180:E181" si="59">C180*D180</f>
        <v>0</v>
      </c>
      <c r="F180" s="353">
        <f>ROUND(I180*0.033%,0)</f>
        <v>497640</v>
      </c>
      <c r="G180" s="354"/>
      <c r="H180" s="355"/>
      <c r="I180" s="63">
        <v>1508000000</v>
      </c>
    </row>
    <row r="181" spans="1:14">
      <c r="A181" s="60">
        <v>4</v>
      </c>
      <c r="B181" s="61" t="s">
        <v>142</v>
      </c>
      <c r="C181" s="62"/>
      <c r="D181" s="63"/>
      <c r="E181" s="63">
        <f t="shared" si="59"/>
        <v>0</v>
      </c>
      <c r="F181" s="353">
        <f>ROUND(I181*0.033%,0)</f>
        <v>552453</v>
      </c>
      <c r="G181" s="354"/>
      <c r="H181" s="355"/>
      <c r="I181" s="63">
        <v>1674100000</v>
      </c>
    </row>
    <row r="182" spans="1:14">
      <c r="A182" s="60">
        <v>5</v>
      </c>
      <c r="B182" s="61" t="s">
        <v>56</v>
      </c>
      <c r="C182" s="62"/>
      <c r="D182" s="63"/>
      <c r="E182" s="63">
        <f>C182*D182</f>
        <v>0</v>
      </c>
      <c r="F182" s="353"/>
      <c r="G182" s="354"/>
      <c r="H182" s="355"/>
      <c r="I182" s="63"/>
    </row>
    <row r="183" spans="1:14" ht="6" customHeight="1">
      <c r="A183" s="112"/>
      <c r="B183" s="115"/>
      <c r="C183" s="116"/>
      <c r="D183" s="113"/>
      <c r="E183" s="113"/>
      <c r="F183" s="366"/>
      <c r="G183" s="367"/>
      <c r="H183" s="368"/>
      <c r="I183" s="113"/>
    </row>
    <row r="184" spans="1:14">
      <c r="A184" s="70"/>
      <c r="B184" s="70" t="s">
        <v>57</v>
      </c>
      <c r="C184" s="71"/>
      <c r="D184" s="72"/>
      <c r="E184" s="72">
        <f>SUM(E178:E183)</f>
        <v>3293200560</v>
      </c>
      <c r="F184" s="350">
        <f>SUM(F178:H183)</f>
        <v>2875666</v>
      </c>
      <c r="G184" s="351"/>
      <c r="H184" s="352"/>
      <c r="I184" s="72">
        <f>SUM(I178:I183)</f>
        <v>3182100000</v>
      </c>
    </row>
    <row r="185" spans="1:14" ht="6.75" customHeight="1">
      <c r="I185" s="122"/>
    </row>
    <row r="186" spans="1:14" s="4" customFormat="1">
      <c r="C186" s="130"/>
      <c r="D186" s="81"/>
      <c r="E186" s="131"/>
      <c r="G186" s="8" t="s">
        <v>185</v>
      </c>
      <c r="H186" s="8"/>
      <c r="I186" s="132">
        <f>E184-F184-I184</f>
        <v>108224894</v>
      </c>
      <c r="J186" s="8"/>
      <c r="K186" s="8"/>
      <c r="L186" s="8"/>
      <c r="M186" s="8"/>
      <c r="N186" s="8"/>
    </row>
    <row r="187" spans="1:14" s="4" customFormat="1">
      <c r="C187" s="130"/>
      <c r="D187" s="81"/>
      <c r="E187" s="131"/>
      <c r="G187" s="8"/>
      <c r="H187" s="8"/>
      <c r="I187" s="132"/>
      <c r="J187" s="8"/>
      <c r="K187" s="8"/>
      <c r="L187" s="8"/>
      <c r="M187" s="8"/>
      <c r="N187" s="8"/>
    </row>
    <row r="188" spans="1:14" ht="31.5" customHeight="1">
      <c r="A188" s="73" t="s">
        <v>0</v>
      </c>
      <c r="B188" s="126" t="s">
        <v>21</v>
      </c>
      <c r="C188" s="105" t="s">
        <v>50</v>
      </c>
      <c r="D188" s="106" t="s">
        <v>51</v>
      </c>
      <c r="E188" s="106" t="s">
        <v>9</v>
      </c>
      <c r="F188" s="356" t="s">
        <v>117</v>
      </c>
      <c r="G188" s="357"/>
      <c r="H188" s="358"/>
      <c r="I188" s="106" t="s">
        <v>52</v>
      </c>
    </row>
    <row r="189" spans="1:14">
      <c r="A189" s="60">
        <v>1</v>
      </c>
      <c r="B189" s="61" t="s">
        <v>191</v>
      </c>
      <c r="C189" s="97">
        <v>291188</v>
      </c>
      <c r="D189" s="63">
        <v>22650</v>
      </c>
      <c r="E189" s="63">
        <f>C189*D189</f>
        <v>6595408200</v>
      </c>
      <c r="F189" s="353"/>
      <c r="G189" s="354"/>
      <c r="H189" s="355"/>
      <c r="I189" s="63"/>
    </row>
    <row r="190" spans="1:14">
      <c r="A190" s="60">
        <v>2</v>
      </c>
      <c r="B190" s="61" t="s">
        <v>194</v>
      </c>
      <c r="C190" s="97"/>
      <c r="D190" s="63"/>
      <c r="E190" s="63">
        <f>E184-I184-F184</f>
        <v>108224894</v>
      </c>
      <c r="F190" s="353"/>
      <c r="G190" s="354"/>
      <c r="H190" s="355"/>
      <c r="I190" s="63"/>
    </row>
    <row r="191" spans="1:14">
      <c r="A191" s="60">
        <v>3</v>
      </c>
      <c r="B191" s="61" t="s">
        <v>123</v>
      </c>
      <c r="C191" s="97"/>
      <c r="D191" s="63"/>
      <c r="E191" s="63"/>
      <c r="F191" s="353">
        <f>1825573*2</f>
        <v>3651146</v>
      </c>
      <c r="G191" s="354"/>
      <c r="H191" s="355"/>
      <c r="I191" s="63"/>
    </row>
    <row r="192" spans="1:14">
      <c r="A192" s="60">
        <v>4</v>
      </c>
      <c r="B192" s="61" t="s">
        <v>192</v>
      </c>
      <c r="C192" s="97"/>
      <c r="D192" s="63"/>
      <c r="E192" s="63"/>
      <c r="F192" s="127"/>
      <c r="G192" s="128"/>
      <c r="H192" s="129"/>
      <c r="I192" s="63">
        <f>E173</f>
        <v>420704884</v>
      </c>
    </row>
    <row r="193" spans="1:15">
      <c r="A193" s="60">
        <v>5</v>
      </c>
      <c r="B193" s="61" t="s">
        <v>193</v>
      </c>
      <c r="C193" s="97"/>
      <c r="D193" s="63"/>
      <c r="E193" s="63"/>
      <c r="F193" s="127"/>
      <c r="G193" s="128"/>
      <c r="H193" s="129"/>
      <c r="I193" s="63">
        <v>500000000</v>
      </c>
    </row>
    <row r="194" spans="1:15">
      <c r="A194" s="60">
        <v>6</v>
      </c>
      <c r="B194" s="61" t="s">
        <v>142</v>
      </c>
      <c r="C194" s="63"/>
      <c r="D194" s="63"/>
      <c r="E194" s="63">
        <f t="shared" ref="E194:E195" si="60">C194*D194</f>
        <v>0</v>
      </c>
      <c r="F194" s="353">
        <f>ROUND(I194*0.033%,0)</f>
        <v>963198</v>
      </c>
      <c r="G194" s="354"/>
      <c r="H194" s="355"/>
      <c r="I194" s="63">
        <f>2918480500+300000</f>
        <v>2918780500</v>
      </c>
    </row>
    <row r="195" spans="1:15">
      <c r="A195" s="60">
        <v>7</v>
      </c>
      <c r="B195" s="124" t="s">
        <v>152</v>
      </c>
      <c r="C195" s="62"/>
      <c r="D195" s="63"/>
      <c r="E195" s="63">
        <f t="shared" si="60"/>
        <v>0</v>
      </c>
      <c r="F195" s="353">
        <f>ROUND(I195*0.033%,0)</f>
        <v>602224</v>
      </c>
      <c r="G195" s="354"/>
      <c r="H195" s="355"/>
      <c r="I195" s="63">
        <v>1824920500</v>
      </c>
    </row>
    <row r="196" spans="1:15">
      <c r="A196" s="60">
        <v>8</v>
      </c>
      <c r="B196" s="124" t="s">
        <v>153</v>
      </c>
      <c r="C196" s="62"/>
      <c r="D196" s="63"/>
      <c r="E196" s="63"/>
      <c r="F196" s="353">
        <f>ROUND(I196*0.033%,0)</f>
        <v>182381</v>
      </c>
      <c r="G196" s="354"/>
      <c r="H196" s="355"/>
      <c r="I196" s="63">
        <v>552669000</v>
      </c>
    </row>
    <row r="197" spans="1:15">
      <c r="A197" s="60">
        <v>9</v>
      </c>
      <c r="B197" s="61" t="s">
        <v>56</v>
      </c>
      <c r="C197" s="62"/>
      <c r="D197" s="63"/>
      <c r="E197" s="63">
        <f>C197*D197</f>
        <v>0</v>
      </c>
      <c r="F197" s="353">
        <v>224782.55613005161</v>
      </c>
      <c r="G197" s="354"/>
      <c r="H197" s="355"/>
      <c r="I197" s="63">
        <v>480934478.44387001</v>
      </c>
    </row>
    <row r="198" spans="1:15" ht="6" customHeight="1">
      <c r="A198" s="112"/>
      <c r="B198" s="115"/>
      <c r="C198" s="116"/>
      <c r="D198" s="113"/>
      <c r="E198" s="113"/>
      <c r="F198" s="366"/>
      <c r="G198" s="367"/>
      <c r="H198" s="368"/>
      <c r="I198" s="113"/>
    </row>
    <row r="199" spans="1:15">
      <c r="A199" s="70"/>
      <c r="B199" s="70" t="s">
        <v>57</v>
      </c>
      <c r="C199" s="71"/>
      <c r="D199" s="72"/>
      <c r="E199" s="72">
        <f>SUM(E189:E198)</f>
        <v>6703633094</v>
      </c>
      <c r="F199" s="350">
        <f>SUM(F189:H198)</f>
        <v>5623731.5561300516</v>
      </c>
      <c r="G199" s="351"/>
      <c r="H199" s="352"/>
      <c r="I199" s="72">
        <f>SUM(I189:I198)</f>
        <v>6698009362.4438696</v>
      </c>
    </row>
    <row r="200" spans="1:15" ht="6.75" customHeight="1">
      <c r="I200" s="122"/>
    </row>
    <row r="201" spans="1:15" s="4" customFormat="1">
      <c r="C201" s="130"/>
      <c r="D201" s="81"/>
      <c r="E201" s="131"/>
      <c r="G201" s="8"/>
      <c r="H201" s="8"/>
      <c r="I201" s="132"/>
      <c r="J201" s="8"/>
      <c r="K201" s="8"/>
      <c r="L201" s="8"/>
      <c r="M201" s="8"/>
      <c r="N201" s="8"/>
    </row>
    <row r="202" spans="1:15" s="4" customFormat="1">
      <c r="C202" s="130"/>
      <c r="D202" s="81"/>
      <c r="E202" s="131"/>
      <c r="G202" s="8"/>
      <c r="H202" s="8"/>
      <c r="I202" s="132"/>
      <c r="J202" s="8"/>
      <c r="K202" s="8"/>
      <c r="L202" s="8"/>
      <c r="M202" s="8"/>
      <c r="N202" s="8"/>
    </row>
    <row r="205" spans="1:15" ht="43.5" customHeight="1">
      <c r="A205" s="370" t="s">
        <v>198</v>
      </c>
      <c r="B205" s="370"/>
      <c r="C205" s="370"/>
      <c r="D205" s="370"/>
      <c r="E205" s="370"/>
      <c r="F205" s="87"/>
      <c r="G205" s="2"/>
      <c r="H205" s="2"/>
    </row>
    <row r="206" spans="1:15" s="25" customFormat="1" ht="17.25" customHeight="1">
      <c r="B206" s="40"/>
      <c r="C206" s="94"/>
      <c r="D206" s="86"/>
      <c r="E206" s="100"/>
      <c r="F206" s="44"/>
      <c r="G206" s="45" t="s">
        <v>29</v>
      </c>
      <c r="I206" s="91"/>
    </row>
    <row r="207" spans="1:15" s="85" customFormat="1" ht="36.75" customHeight="1">
      <c r="A207" s="83" t="s">
        <v>0</v>
      </c>
      <c r="B207" s="83" t="s">
        <v>21</v>
      </c>
      <c r="C207" s="95" t="s">
        <v>7</v>
      </c>
      <c r="D207" s="84" t="s">
        <v>8</v>
      </c>
      <c r="E207" s="49" t="s">
        <v>9</v>
      </c>
      <c r="G207" s="47" t="s">
        <v>30</v>
      </c>
      <c r="H207" s="47" t="s">
        <v>31</v>
      </c>
      <c r="I207" s="47" t="s">
        <v>103</v>
      </c>
      <c r="J207" s="47" t="s">
        <v>32</v>
      </c>
      <c r="K207" s="47" t="s">
        <v>83</v>
      </c>
      <c r="L207" s="46" t="s">
        <v>33</v>
      </c>
      <c r="M207" s="49" t="s">
        <v>106</v>
      </c>
      <c r="N207" s="49" t="s">
        <v>9</v>
      </c>
    </row>
    <row r="208" spans="1:15" ht="18.75" customHeight="1">
      <c r="A208" s="60">
        <f>ROW()-207</f>
        <v>1</v>
      </c>
      <c r="B208" s="51" t="s">
        <v>35</v>
      </c>
      <c r="C208" s="96">
        <v>365755</v>
      </c>
      <c r="D208" s="53">
        <v>300</v>
      </c>
      <c r="E208" s="101">
        <f t="shared" ref="E208:E211" si="61">C208*D208</f>
        <v>109726500</v>
      </c>
      <c r="G208" s="64">
        <v>42710</v>
      </c>
      <c r="H208" s="64">
        <v>42710</v>
      </c>
      <c r="I208" s="56" t="s">
        <v>199</v>
      </c>
      <c r="J208" s="56"/>
      <c r="K208" s="56">
        <v>2027</v>
      </c>
      <c r="L208" s="88">
        <f t="shared" ref="L208:L218" si="62">K208*13</f>
        <v>26351</v>
      </c>
      <c r="M208" s="58">
        <v>20000</v>
      </c>
      <c r="N208" s="58" t="str">
        <f t="shared" ref="N208:N220" si="63">IF(J208&lt;&gt;"",M208*L208*J208/1000,"")</f>
        <v/>
      </c>
      <c r="O208" s="59"/>
    </row>
    <row r="209" spans="1:15" ht="18.75" customHeight="1">
      <c r="A209" s="60">
        <f t="shared" ref="A209:A218" si="64">ROW()-207</f>
        <v>2</v>
      </c>
      <c r="B209" s="61" t="s">
        <v>37</v>
      </c>
      <c r="C209" s="97">
        <v>14</v>
      </c>
      <c r="D209" s="63">
        <v>2000000</v>
      </c>
      <c r="E209" s="102">
        <f t="shared" si="61"/>
        <v>28000000</v>
      </c>
      <c r="G209" s="64">
        <v>42710</v>
      </c>
      <c r="H209" s="64">
        <v>42710</v>
      </c>
      <c r="I209" s="56" t="s">
        <v>200</v>
      </c>
      <c r="J209" s="56"/>
      <c r="K209" s="56">
        <v>2027</v>
      </c>
      <c r="L209" s="88">
        <f t="shared" si="62"/>
        <v>26351</v>
      </c>
      <c r="M209" s="58">
        <v>20000</v>
      </c>
      <c r="N209" s="58" t="str">
        <f t="shared" si="63"/>
        <v/>
      </c>
      <c r="O209" s="59"/>
    </row>
    <row r="210" spans="1:15" ht="18.75" customHeight="1">
      <c r="A210" s="60">
        <f t="shared" si="64"/>
        <v>3</v>
      </c>
      <c r="B210" s="61" t="s">
        <v>38</v>
      </c>
      <c r="C210" s="97">
        <v>14</v>
      </c>
      <c r="D210" s="63">
        <v>2000000</v>
      </c>
      <c r="E210" s="102">
        <f t="shared" si="61"/>
        <v>28000000</v>
      </c>
      <c r="G210" s="64">
        <v>42711</v>
      </c>
      <c r="H210" s="64">
        <v>42711</v>
      </c>
      <c r="I210" s="56" t="s">
        <v>202</v>
      </c>
      <c r="J210" s="56"/>
      <c r="K210" s="56">
        <v>2027</v>
      </c>
      <c r="L210" s="88">
        <f t="shared" si="62"/>
        <v>26351</v>
      </c>
      <c r="M210" s="58">
        <v>20000</v>
      </c>
      <c r="N210" s="58" t="str">
        <f t="shared" si="63"/>
        <v/>
      </c>
      <c r="O210" s="59"/>
    </row>
    <row r="211" spans="1:15" ht="18.75" customHeight="1">
      <c r="A211" s="60">
        <f t="shared" si="64"/>
        <v>4</v>
      </c>
      <c r="B211" s="61" t="s">
        <v>39</v>
      </c>
      <c r="C211" s="97">
        <v>14</v>
      </c>
      <c r="D211" s="63">
        <v>600000</v>
      </c>
      <c r="E211" s="102">
        <f t="shared" si="61"/>
        <v>8400000</v>
      </c>
      <c r="G211" s="64">
        <v>42702</v>
      </c>
      <c r="H211" s="64">
        <v>42711</v>
      </c>
      <c r="I211" s="56" t="s">
        <v>181</v>
      </c>
      <c r="J211" s="56">
        <f t="shared" ref="J211:J218" si="65">IF(H211&lt;&gt;"",H211-G211+1,"")</f>
        <v>10</v>
      </c>
      <c r="K211" s="56">
        <v>12</v>
      </c>
      <c r="L211" s="88">
        <f t="shared" si="62"/>
        <v>156</v>
      </c>
      <c r="M211" s="58">
        <v>20000</v>
      </c>
      <c r="N211" s="58">
        <f t="shared" si="63"/>
        <v>31200</v>
      </c>
      <c r="O211" s="59"/>
    </row>
    <row r="212" spans="1:15" ht="18.75" customHeight="1">
      <c r="A212" s="60">
        <f t="shared" si="64"/>
        <v>5</v>
      </c>
      <c r="B212" s="61" t="s">
        <v>75</v>
      </c>
      <c r="C212" s="97">
        <v>14</v>
      </c>
      <c r="D212" s="63">
        <v>16725000</v>
      </c>
      <c r="E212" s="102">
        <f>C212*D212</f>
        <v>234150000</v>
      </c>
      <c r="G212" s="64">
        <v>42702</v>
      </c>
      <c r="H212" s="64">
        <v>42711</v>
      </c>
      <c r="I212" s="56" t="s">
        <v>100</v>
      </c>
      <c r="J212" s="56">
        <f t="shared" si="65"/>
        <v>10</v>
      </c>
      <c r="K212" s="56">
        <v>500</v>
      </c>
      <c r="L212" s="88">
        <f t="shared" si="62"/>
        <v>6500</v>
      </c>
      <c r="M212" s="58">
        <v>20000</v>
      </c>
      <c r="N212" s="58">
        <f t="shared" si="63"/>
        <v>1300000</v>
      </c>
      <c r="O212" s="59"/>
    </row>
    <row r="213" spans="1:15" ht="18.75" customHeight="1">
      <c r="A213" s="60">
        <f t="shared" si="64"/>
        <v>6</v>
      </c>
      <c r="B213" s="61" t="s">
        <v>41</v>
      </c>
      <c r="C213" s="97">
        <v>14</v>
      </c>
      <c r="D213" s="63">
        <v>9358000</v>
      </c>
      <c r="E213" s="102">
        <f t="shared" ref="E213:E214" si="66">C213*D213</f>
        <v>131012000</v>
      </c>
      <c r="G213" s="64">
        <v>42702</v>
      </c>
      <c r="H213" s="64">
        <v>42711</v>
      </c>
      <c r="I213" s="56" t="s">
        <v>182</v>
      </c>
      <c r="J213" s="56">
        <f t="shared" si="65"/>
        <v>10</v>
      </c>
      <c r="K213" s="56">
        <v>500</v>
      </c>
      <c r="L213" s="88">
        <f t="shared" si="62"/>
        <v>6500</v>
      </c>
      <c r="M213" s="58">
        <v>20000</v>
      </c>
      <c r="N213" s="58">
        <f t="shared" si="63"/>
        <v>1300000</v>
      </c>
      <c r="O213" s="59"/>
    </row>
    <row r="214" spans="1:15" ht="18.75" customHeight="1">
      <c r="A214" s="60">
        <f t="shared" si="64"/>
        <v>7</v>
      </c>
      <c r="B214" s="61" t="s">
        <v>42</v>
      </c>
      <c r="C214" s="97">
        <v>14</v>
      </c>
      <c r="D214" s="63">
        <v>5600000</v>
      </c>
      <c r="E214" s="102">
        <f t="shared" si="66"/>
        <v>78400000</v>
      </c>
      <c r="G214" s="64">
        <v>42702</v>
      </c>
      <c r="H214" s="64">
        <v>42711</v>
      </c>
      <c r="I214" s="56" t="s">
        <v>183</v>
      </c>
      <c r="J214" s="56">
        <f t="shared" si="65"/>
        <v>10</v>
      </c>
      <c r="K214" s="56">
        <v>810</v>
      </c>
      <c r="L214" s="88">
        <f t="shared" si="62"/>
        <v>10530</v>
      </c>
      <c r="M214" s="58">
        <v>20000</v>
      </c>
      <c r="N214" s="58">
        <f t="shared" si="63"/>
        <v>2106000</v>
      </c>
      <c r="O214" s="59"/>
    </row>
    <row r="215" spans="1:15" ht="18.75" customHeight="1">
      <c r="A215" s="60">
        <f t="shared" si="64"/>
        <v>8</v>
      </c>
      <c r="B215" s="61" t="s">
        <v>44</v>
      </c>
      <c r="C215" s="97">
        <v>7</v>
      </c>
      <c r="D215" s="63">
        <v>1350000</v>
      </c>
      <c r="E215" s="102">
        <f>C215*D215</f>
        <v>9450000</v>
      </c>
      <c r="G215" s="64">
        <v>42702</v>
      </c>
      <c r="H215" s="64">
        <v>42711</v>
      </c>
      <c r="I215" s="56" t="s">
        <v>184</v>
      </c>
      <c r="J215" s="56">
        <f t="shared" si="65"/>
        <v>10</v>
      </c>
      <c r="K215" s="56">
        <v>682</v>
      </c>
      <c r="L215" s="88">
        <f t="shared" si="62"/>
        <v>8866</v>
      </c>
      <c r="M215" s="58">
        <v>20000</v>
      </c>
      <c r="N215" s="58">
        <f t="shared" si="63"/>
        <v>1773200</v>
      </c>
      <c r="O215" s="59"/>
    </row>
    <row r="216" spans="1:15" ht="18.75" customHeight="1">
      <c r="A216" s="60">
        <f t="shared" si="64"/>
        <v>9</v>
      </c>
      <c r="B216" s="61" t="s">
        <v>79</v>
      </c>
      <c r="C216" s="97">
        <v>12</v>
      </c>
      <c r="D216" s="63">
        <v>2500000</v>
      </c>
      <c r="E216" s="102">
        <f t="shared" ref="E216" si="67">C216*D216</f>
        <v>30000000</v>
      </c>
      <c r="G216" s="64">
        <v>42702</v>
      </c>
      <c r="H216" s="64">
        <v>42711</v>
      </c>
      <c r="I216" s="56" t="s">
        <v>121</v>
      </c>
      <c r="J216" s="56">
        <f t="shared" si="65"/>
        <v>10</v>
      </c>
      <c r="K216" s="56">
        <v>894</v>
      </c>
      <c r="L216" s="88">
        <f t="shared" si="62"/>
        <v>11622</v>
      </c>
      <c r="M216" s="58">
        <v>20000</v>
      </c>
      <c r="N216" s="58">
        <f t="shared" si="63"/>
        <v>2324400</v>
      </c>
      <c r="O216" s="59"/>
    </row>
    <row r="217" spans="1:15" ht="18.75" customHeight="1">
      <c r="A217" s="60">
        <f t="shared" si="64"/>
        <v>10</v>
      </c>
      <c r="B217" s="61" t="s">
        <v>45</v>
      </c>
      <c r="C217" s="97">
        <v>184</v>
      </c>
      <c r="D217" s="63">
        <v>50000</v>
      </c>
      <c r="E217" s="102">
        <f>C217*D217</f>
        <v>9200000</v>
      </c>
      <c r="G217" s="64">
        <v>42703</v>
      </c>
      <c r="H217" s="64">
        <v>42711</v>
      </c>
      <c r="I217" s="56" t="s">
        <v>85</v>
      </c>
      <c r="J217" s="56">
        <f t="shared" si="65"/>
        <v>9</v>
      </c>
      <c r="K217" s="56">
        <v>445</v>
      </c>
      <c r="L217" s="88">
        <f t="shared" si="62"/>
        <v>5785</v>
      </c>
      <c r="M217" s="58">
        <v>20000</v>
      </c>
      <c r="N217" s="58">
        <f t="shared" si="63"/>
        <v>1041300</v>
      </c>
      <c r="O217" s="59"/>
    </row>
    <row r="218" spans="1:15" ht="18.75" customHeight="1">
      <c r="A218" s="60">
        <f t="shared" si="64"/>
        <v>11</v>
      </c>
      <c r="B218" s="61" t="s">
        <v>46</v>
      </c>
      <c r="C218" s="97"/>
      <c r="D218" s="63"/>
      <c r="E218" s="102">
        <f>N222</f>
        <v>10369840</v>
      </c>
      <c r="G218" s="64">
        <v>42703</v>
      </c>
      <c r="H218" s="64">
        <v>42711</v>
      </c>
      <c r="I218" s="56" t="s">
        <v>186</v>
      </c>
      <c r="J218" s="56">
        <f t="shared" si="65"/>
        <v>9</v>
      </c>
      <c r="K218" s="56">
        <f>372-161</f>
        <v>211</v>
      </c>
      <c r="L218" s="88">
        <f t="shared" si="62"/>
        <v>2743</v>
      </c>
      <c r="M218" s="58">
        <v>20000</v>
      </c>
      <c r="N218" s="58">
        <f t="shared" si="63"/>
        <v>493740</v>
      </c>
      <c r="O218" s="59"/>
    </row>
    <row r="219" spans="1:15" ht="18.75" customHeight="1">
      <c r="A219" s="60"/>
      <c r="B219" s="61"/>
      <c r="C219" s="97"/>
      <c r="D219" s="63"/>
      <c r="E219" s="102"/>
      <c r="G219" s="64">
        <v>42716</v>
      </c>
      <c r="H219" s="64">
        <v>42716</v>
      </c>
      <c r="I219" s="56"/>
      <c r="J219" s="56"/>
      <c r="K219" s="56">
        <v>2000</v>
      </c>
      <c r="L219" s="88">
        <f t="shared" ref="L219:L220" si="68">K219*13</f>
        <v>26000</v>
      </c>
      <c r="M219" s="58">
        <v>20000</v>
      </c>
      <c r="N219" s="58" t="str">
        <f t="shared" si="63"/>
        <v/>
      </c>
      <c r="O219" s="59"/>
    </row>
    <row r="220" spans="1:15" ht="18.75" customHeight="1">
      <c r="A220" s="60"/>
      <c r="B220" s="61"/>
      <c r="C220" s="97"/>
      <c r="D220" s="63"/>
      <c r="E220" s="102"/>
      <c r="G220" s="64">
        <v>42716</v>
      </c>
      <c r="H220" s="64">
        <v>42716</v>
      </c>
      <c r="I220" s="56"/>
      <c r="J220" s="56"/>
      <c r="K220" s="56">
        <v>2000</v>
      </c>
      <c r="L220" s="88">
        <f t="shared" si="68"/>
        <v>26000</v>
      </c>
      <c r="M220" s="58">
        <v>20000</v>
      </c>
      <c r="N220" s="58" t="str">
        <f t="shared" si="63"/>
        <v/>
      </c>
      <c r="O220" s="59"/>
    </row>
    <row r="221" spans="1:15" ht="7.5" customHeight="1">
      <c r="A221" s="60"/>
      <c r="B221" s="61"/>
      <c r="C221" s="97"/>
      <c r="D221" s="63"/>
      <c r="E221" s="102"/>
      <c r="G221" s="66"/>
      <c r="H221" s="66"/>
      <c r="I221" s="67"/>
      <c r="J221" s="67"/>
      <c r="K221" s="67"/>
      <c r="L221" s="68"/>
      <c r="M221" s="69"/>
      <c r="N221" s="69"/>
    </row>
    <row r="222" spans="1:15" ht="18.75" customHeight="1">
      <c r="A222" s="70"/>
      <c r="B222" s="70" t="s">
        <v>48</v>
      </c>
      <c r="C222" s="98"/>
      <c r="D222" s="72"/>
      <c r="E222" s="74">
        <f>SUM(E208:E221)</f>
        <v>676708340</v>
      </c>
      <c r="F222" s="4"/>
      <c r="G222" s="73"/>
      <c r="H222" s="73"/>
      <c r="I222" s="73" t="s">
        <v>48</v>
      </c>
      <c r="J222" s="73"/>
      <c r="K222" s="89">
        <f>SUM(K208:K221)</f>
        <v>14135</v>
      </c>
      <c r="L222" s="89">
        <f>SUM(L208:L221)</f>
        <v>183755</v>
      </c>
      <c r="M222" s="89"/>
      <c r="N222" s="74">
        <f>SUM(N208:N221)</f>
        <v>10369840</v>
      </c>
    </row>
    <row r="223" spans="1:15" ht="7.5" customHeight="1"/>
    <row r="224" spans="1:15" s="3" customFormat="1">
      <c r="A224" s="5"/>
      <c r="B224" s="5"/>
      <c r="C224" s="99"/>
      <c r="D224" s="7" t="s">
        <v>49</v>
      </c>
      <c r="E224" s="103">
        <f>E222/C208</f>
        <v>1850.1683914095502</v>
      </c>
      <c r="F224" s="5"/>
    </row>
    <row r="226" spans="1:9" ht="31.5" customHeight="1">
      <c r="A226" s="73" t="s">
        <v>0</v>
      </c>
      <c r="B226" s="136" t="s">
        <v>21</v>
      </c>
      <c r="C226" s="105" t="s">
        <v>50</v>
      </c>
      <c r="D226" s="106" t="s">
        <v>51</v>
      </c>
      <c r="E226" s="106" t="s">
        <v>9</v>
      </c>
      <c r="F226" s="356" t="s">
        <v>117</v>
      </c>
      <c r="G226" s="357"/>
      <c r="H226" s="358"/>
      <c r="I226" s="106" t="s">
        <v>52</v>
      </c>
    </row>
    <row r="227" spans="1:9">
      <c r="A227" s="60">
        <v>1</v>
      </c>
      <c r="B227" s="61" t="s">
        <v>225</v>
      </c>
      <c r="C227" s="97">
        <v>291188</v>
      </c>
      <c r="D227" s="63">
        <v>22620</v>
      </c>
      <c r="E227" s="63">
        <f>C227*D227</f>
        <v>6586672560</v>
      </c>
      <c r="F227" s="353"/>
      <c r="G227" s="354"/>
      <c r="H227" s="355"/>
      <c r="I227" s="63"/>
    </row>
    <row r="228" spans="1:9">
      <c r="A228" s="60">
        <v>2</v>
      </c>
      <c r="B228" s="61" t="s">
        <v>123</v>
      </c>
      <c r="C228" s="97"/>
      <c r="D228" s="63"/>
      <c r="E228" s="63"/>
      <c r="F228" s="353">
        <f>1825573*2</f>
        <v>3651146</v>
      </c>
      <c r="G228" s="354"/>
      <c r="H228" s="355"/>
      <c r="I228" s="63"/>
    </row>
    <row r="229" spans="1:9">
      <c r="A229" s="60">
        <v>3</v>
      </c>
      <c r="B229" s="61" t="s">
        <v>226</v>
      </c>
      <c r="C229" s="97"/>
      <c r="D229" s="63"/>
      <c r="E229" s="63"/>
      <c r="F229" s="133"/>
      <c r="G229" s="134"/>
      <c r="H229" s="135"/>
      <c r="I229" s="63">
        <f>E222</f>
        <v>676708340</v>
      </c>
    </row>
    <row r="230" spans="1:9">
      <c r="A230" s="60">
        <v>4</v>
      </c>
      <c r="B230" s="61" t="s">
        <v>142</v>
      </c>
      <c r="C230" s="63"/>
      <c r="D230" s="63"/>
      <c r="E230" s="63">
        <f t="shared" ref="E230:E231" si="69">C230*D230</f>
        <v>0</v>
      </c>
      <c r="F230" s="353">
        <f>ROUND(I230*0.033%,0)</f>
        <v>476190</v>
      </c>
      <c r="G230" s="354"/>
      <c r="H230" s="355"/>
      <c r="I230" s="63">
        <v>1443000000</v>
      </c>
    </row>
    <row r="231" spans="1:9">
      <c r="A231" s="60">
        <v>5</v>
      </c>
      <c r="B231" s="124" t="s">
        <v>152</v>
      </c>
      <c r="C231" s="62"/>
      <c r="D231" s="63"/>
      <c r="E231" s="63">
        <f t="shared" si="69"/>
        <v>0</v>
      </c>
      <c r="F231" s="353">
        <f>ROUND(I231*0.033%,0)</f>
        <v>321557</v>
      </c>
      <c r="G231" s="354"/>
      <c r="H231" s="355"/>
      <c r="I231" s="63">
        <v>974415000</v>
      </c>
    </row>
    <row r="232" spans="1:9">
      <c r="A232" s="60">
        <v>6</v>
      </c>
      <c r="B232" s="124" t="s">
        <v>149</v>
      </c>
      <c r="C232" s="62"/>
      <c r="D232" s="63"/>
      <c r="E232" s="63"/>
      <c r="F232" s="353">
        <f>ROUND(I232*0.033%,0)</f>
        <v>155513</v>
      </c>
      <c r="G232" s="354"/>
      <c r="H232" s="355"/>
      <c r="I232" s="63">
        <v>471250000</v>
      </c>
    </row>
    <row r="233" spans="1:9">
      <c r="A233" s="60">
        <v>6</v>
      </c>
      <c r="B233" s="124" t="s">
        <v>227</v>
      </c>
      <c r="C233" s="62"/>
      <c r="D233" s="63"/>
      <c r="E233" s="63"/>
      <c r="F233" s="353">
        <f>ROUND(I233*0.033%,0)</f>
        <v>97190</v>
      </c>
      <c r="G233" s="354"/>
      <c r="H233" s="355"/>
      <c r="I233" s="63">
        <v>294515000</v>
      </c>
    </row>
    <row r="234" spans="1:9">
      <c r="A234" s="60">
        <v>7</v>
      </c>
      <c r="B234" s="61" t="s">
        <v>56</v>
      </c>
      <c r="C234" s="62"/>
      <c r="D234" s="63"/>
      <c r="E234" s="63">
        <f>C234*D234</f>
        <v>0</v>
      </c>
      <c r="F234" s="353">
        <f>ROUND(I234*0.033%,0)</f>
        <v>897991</v>
      </c>
      <c r="G234" s="354"/>
      <c r="H234" s="355"/>
      <c r="I234" s="63">
        <v>2721185000</v>
      </c>
    </row>
    <row r="235" spans="1:9" ht="6" customHeight="1">
      <c r="A235" s="112"/>
      <c r="B235" s="115"/>
      <c r="C235" s="116"/>
      <c r="D235" s="113"/>
      <c r="E235" s="113"/>
      <c r="F235" s="366"/>
      <c r="G235" s="367"/>
      <c r="H235" s="368"/>
      <c r="I235" s="113"/>
    </row>
    <row r="236" spans="1:9">
      <c r="A236" s="70"/>
      <c r="B236" s="70" t="s">
        <v>57</v>
      </c>
      <c r="C236" s="71"/>
      <c r="D236" s="72"/>
      <c r="E236" s="72">
        <f>SUM(E227:E235)</f>
        <v>6586672560</v>
      </c>
      <c r="F236" s="350">
        <f>SUM(F227:H235)</f>
        <v>5599587</v>
      </c>
      <c r="G236" s="351"/>
      <c r="H236" s="352"/>
      <c r="I236" s="72">
        <f>SUM(I227:I235)</f>
        <v>6581073340</v>
      </c>
    </row>
    <row r="237" spans="1:9">
      <c r="A237" s="109"/>
      <c r="B237" s="109"/>
      <c r="C237" s="110"/>
      <c r="D237" s="111"/>
      <c r="E237" s="111"/>
      <c r="F237" s="159"/>
      <c r="G237" s="159"/>
      <c r="H237" s="159"/>
      <c r="I237" s="111"/>
    </row>
    <row r="238" spans="1:9">
      <c r="A238" s="109"/>
      <c r="B238" s="109"/>
      <c r="C238" s="110"/>
      <c r="D238" s="111"/>
      <c r="E238" s="111"/>
      <c r="F238" s="159"/>
      <c r="G238" s="159"/>
      <c r="H238" s="159"/>
      <c r="I238" s="111"/>
    </row>
    <row r="239" spans="1:9">
      <c r="A239" s="109"/>
      <c r="B239" s="109"/>
      <c r="C239" s="110"/>
      <c r="D239" s="111"/>
      <c r="E239" s="111"/>
      <c r="F239" s="159"/>
      <c r="G239" s="159"/>
      <c r="H239" s="159"/>
      <c r="I239" s="111"/>
    </row>
    <row r="240" spans="1:9" ht="43.5" customHeight="1">
      <c r="A240" s="370" t="s">
        <v>277</v>
      </c>
      <c r="B240" s="370"/>
      <c r="C240" s="370"/>
      <c r="D240" s="370"/>
      <c r="E240" s="370"/>
      <c r="F240" s="87"/>
      <c r="G240" s="2"/>
      <c r="H240" s="2"/>
    </row>
    <row r="241" spans="1:15" s="25" customFormat="1" ht="17.25" customHeight="1">
      <c r="B241" s="40"/>
      <c r="C241" s="94"/>
      <c r="D241" s="86"/>
      <c r="E241" s="100"/>
      <c r="F241" s="44"/>
      <c r="G241" s="45" t="s">
        <v>29</v>
      </c>
      <c r="I241" s="91"/>
    </row>
    <row r="242" spans="1:15" s="85" customFormat="1" ht="36.75" customHeight="1">
      <c r="A242" s="83" t="s">
        <v>0</v>
      </c>
      <c r="B242" s="83" t="s">
        <v>21</v>
      </c>
      <c r="C242" s="95" t="s">
        <v>7</v>
      </c>
      <c r="D242" s="84" t="s">
        <v>8</v>
      </c>
      <c r="E242" s="49" t="s">
        <v>9</v>
      </c>
      <c r="G242" s="47" t="s">
        <v>30</v>
      </c>
      <c r="H242" s="47" t="s">
        <v>31</v>
      </c>
      <c r="I242" s="47" t="s">
        <v>103</v>
      </c>
      <c r="J242" s="47" t="s">
        <v>32</v>
      </c>
      <c r="K242" s="47" t="s">
        <v>83</v>
      </c>
      <c r="L242" s="46" t="s">
        <v>33</v>
      </c>
      <c r="M242" s="49" t="s">
        <v>106</v>
      </c>
      <c r="N242" s="49" t="s">
        <v>9</v>
      </c>
    </row>
    <row r="243" spans="1:15" ht="18.75" customHeight="1">
      <c r="A243" s="60">
        <f>ROW()-242</f>
        <v>1</v>
      </c>
      <c r="B243" s="51" t="s">
        <v>35</v>
      </c>
      <c r="C243" s="96">
        <v>314340</v>
      </c>
      <c r="D243" s="53">
        <v>300</v>
      </c>
      <c r="E243" s="101">
        <f t="shared" ref="E243:E246" si="70">C243*D243</f>
        <v>94302000</v>
      </c>
      <c r="G243" s="64">
        <v>42703</v>
      </c>
      <c r="H243" s="64">
        <v>42719</v>
      </c>
      <c r="I243" s="56" t="s">
        <v>186</v>
      </c>
      <c r="J243" s="56">
        <f t="shared" ref="J243:J255" si="71">IF(H243&lt;&gt;"",H243-G243+1,"")</f>
        <v>17</v>
      </c>
      <c r="K243" s="56">
        <v>161</v>
      </c>
      <c r="L243" s="88">
        <f t="shared" ref="L243:L256" si="72">K243*13</f>
        <v>2093</v>
      </c>
      <c r="M243" s="58">
        <v>20000</v>
      </c>
      <c r="N243" s="58">
        <f t="shared" ref="N243:N256" si="73">IF(J243&lt;&gt;"",M243*L243*J243/1000,"")</f>
        <v>711620</v>
      </c>
      <c r="O243" s="59"/>
    </row>
    <row r="244" spans="1:15" ht="18.75" customHeight="1">
      <c r="A244" s="60">
        <f t="shared" ref="A244:A253" si="74">ROW()-242</f>
        <v>2</v>
      </c>
      <c r="B244" s="61" t="s">
        <v>37</v>
      </c>
      <c r="C244" s="97">
        <v>12</v>
      </c>
      <c r="D244" s="63">
        <v>2000000</v>
      </c>
      <c r="E244" s="102">
        <f t="shared" si="70"/>
        <v>24000000</v>
      </c>
      <c r="G244" s="64">
        <v>42703</v>
      </c>
      <c r="H244" s="64">
        <v>42719</v>
      </c>
      <c r="I244" s="56" t="s">
        <v>90</v>
      </c>
      <c r="J244" s="56">
        <f t="shared" si="71"/>
        <v>17</v>
      </c>
      <c r="K244" s="56">
        <v>550</v>
      </c>
      <c r="L244" s="88">
        <f t="shared" si="72"/>
        <v>7150</v>
      </c>
      <c r="M244" s="58">
        <v>20000</v>
      </c>
      <c r="N244" s="58">
        <f t="shared" si="73"/>
        <v>2431000</v>
      </c>
      <c r="O244" s="59"/>
    </row>
    <row r="245" spans="1:15" ht="18.75" customHeight="1">
      <c r="A245" s="60">
        <f t="shared" si="74"/>
        <v>3</v>
      </c>
      <c r="B245" s="61" t="s">
        <v>38</v>
      </c>
      <c r="C245" s="97">
        <v>12</v>
      </c>
      <c r="D245" s="63">
        <v>2000000</v>
      </c>
      <c r="E245" s="102">
        <f t="shared" si="70"/>
        <v>24000000</v>
      </c>
      <c r="G245" s="64">
        <v>42703</v>
      </c>
      <c r="H245" s="64">
        <v>42719</v>
      </c>
      <c r="I245" s="56" t="s">
        <v>126</v>
      </c>
      <c r="J245" s="56">
        <f t="shared" si="71"/>
        <v>17</v>
      </c>
      <c r="K245" s="56">
        <v>683</v>
      </c>
      <c r="L245" s="88">
        <f t="shared" si="72"/>
        <v>8879</v>
      </c>
      <c r="M245" s="58">
        <v>20000</v>
      </c>
      <c r="N245" s="58">
        <f t="shared" si="73"/>
        <v>3018860</v>
      </c>
      <c r="O245" s="59"/>
    </row>
    <row r="246" spans="1:15" ht="18.75" customHeight="1">
      <c r="A246" s="60">
        <f t="shared" si="74"/>
        <v>4</v>
      </c>
      <c r="B246" s="61" t="s">
        <v>39</v>
      </c>
      <c r="C246" s="97">
        <v>12</v>
      </c>
      <c r="D246" s="63">
        <v>600000</v>
      </c>
      <c r="E246" s="102">
        <f t="shared" si="70"/>
        <v>7200000</v>
      </c>
      <c r="G246" s="64">
        <v>42710</v>
      </c>
      <c r="H246" s="64">
        <v>42719</v>
      </c>
      <c r="I246" s="56" t="s">
        <v>199</v>
      </c>
      <c r="J246" s="56">
        <f t="shared" si="71"/>
        <v>10</v>
      </c>
      <c r="K246" s="56">
        <v>2</v>
      </c>
      <c r="L246" s="88">
        <f t="shared" si="72"/>
        <v>26</v>
      </c>
      <c r="M246" s="58">
        <v>20000</v>
      </c>
      <c r="N246" s="58">
        <f t="shared" si="73"/>
        <v>5200</v>
      </c>
      <c r="O246" s="59"/>
    </row>
    <row r="247" spans="1:15" ht="18.75" customHeight="1">
      <c r="A247" s="60">
        <f t="shared" si="74"/>
        <v>5</v>
      </c>
      <c r="B247" s="61" t="s">
        <v>75</v>
      </c>
      <c r="C247" s="97">
        <v>12</v>
      </c>
      <c r="D247" s="63">
        <v>16725000</v>
      </c>
      <c r="E247" s="102">
        <f>C247*D247</f>
        <v>200700000</v>
      </c>
      <c r="G247" s="64">
        <v>42711</v>
      </c>
      <c r="H247" s="64">
        <v>42719</v>
      </c>
      <c r="I247" s="56" t="s">
        <v>203</v>
      </c>
      <c r="J247" s="56">
        <f t="shared" si="71"/>
        <v>9</v>
      </c>
      <c r="K247" s="56">
        <v>322</v>
      </c>
      <c r="L247" s="88">
        <f t="shared" si="72"/>
        <v>4186</v>
      </c>
      <c r="M247" s="58">
        <v>20000</v>
      </c>
      <c r="N247" s="58">
        <f t="shared" si="73"/>
        <v>753480</v>
      </c>
      <c r="O247" s="59"/>
    </row>
    <row r="248" spans="1:15" ht="18.75" customHeight="1">
      <c r="A248" s="60">
        <f t="shared" si="74"/>
        <v>6</v>
      </c>
      <c r="B248" s="61" t="s">
        <v>41</v>
      </c>
      <c r="C248" s="97">
        <v>12</v>
      </c>
      <c r="D248" s="63">
        <v>9358000</v>
      </c>
      <c r="E248" s="102">
        <f t="shared" ref="E248:E249" si="75">C248*D248</f>
        <v>112296000</v>
      </c>
      <c r="G248" s="64">
        <v>42716</v>
      </c>
      <c r="H248" s="64">
        <v>42719</v>
      </c>
      <c r="I248" s="56" t="s">
        <v>281</v>
      </c>
      <c r="J248" s="56">
        <f t="shared" si="71"/>
        <v>4</v>
      </c>
      <c r="K248" s="56">
        <v>450</v>
      </c>
      <c r="L248" s="88">
        <f t="shared" si="72"/>
        <v>5850</v>
      </c>
      <c r="M248" s="58">
        <v>20000</v>
      </c>
      <c r="N248" s="58">
        <f t="shared" si="73"/>
        <v>468000</v>
      </c>
      <c r="O248" s="59"/>
    </row>
    <row r="249" spans="1:15" ht="18.75" customHeight="1">
      <c r="A249" s="60">
        <f t="shared" si="74"/>
        <v>7</v>
      </c>
      <c r="B249" s="61" t="s">
        <v>42</v>
      </c>
      <c r="C249" s="97">
        <v>12</v>
      </c>
      <c r="D249" s="63">
        <v>5600000</v>
      </c>
      <c r="E249" s="102">
        <f t="shared" si="75"/>
        <v>67200000</v>
      </c>
      <c r="G249" s="64">
        <v>42716</v>
      </c>
      <c r="H249" s="64">
        <v>42719</v>
      </c>
      <c r="I249" s="56" t="s">
        <v>121</v>
      </c>
      <c r="J249" s="56">
        <f t="shared" si="71"/>
        <v>4</v>
      </c>
      <c r="K249" s="56">
        <v>900</v>
      </c>
      <c r="L249" s="88">
        <f t="shared" si="72"/>
        <v>11700</v>
      </c>
      <c r="M249" s="58">
        <v>20000</v>
      </c>
      <c r="N249" s="58">
        <f t="shared" si="73"/>
        <v>936000</v>
      </c>
      <c r="O249" s="59"/>
    </row>
    <row r="250" spans="1:15" ht="18.75" customHeight="1">
      <c r="A250" s="60">
        <f t="shared" si="74"/>
        <v>8</v>
      </c>
      <c r="B250" s="61" t="s">
        <v>44</v>
      </c>
      <c r="C250" s="97">
        <v>6</v>
      </c>
      <c r="D250" s="63">
        <v>1350000</v>
      </c>
      <c r="E250" s="102">
        <f>C250*D250</f>
        <v>8100000</v>
      </c>
      <c r="G250" s="64">
        <v>42716</v>
      </c>
      <c r="H250" s="64">
        <v>42719</v>
      </c>
      <c r="I250" s="56" t="s">
        <v>282</v>
      </c>
      <c r="J250" s="56">
        <f t="shared" si="71"/>
        <v>4</v>
      </c>
      <c r="K250" s="56">
        <v>660</v>
      </c>
      <c r="L250" s="88">
        <f t="shared" si="72"/>
        <v>8580</v>
      </c>
      <c r="M250" s="58">
        <v>20000</v>
      </c>
      <c r="N250" s="58">
        <f t="shared" si="73"/>
        <v>686400</v>
      </c>
      <c r="O250" s="59"/>
    </row>
    <row r="251" spans="1:15" ht="18.75" customHeight="1">
      <c r="A251" s="60">
        <f t="shared" si="74"/>
        <v>9</v>
      </c>
      <c r="B251" s="61" t="s">
        <v>79</v>
      </c>
      <c r="C251" s="97">
        <v>8</v>
      </c>
      <c r="D251" s="63">
        <v>2500000</v>
      </c>
      <c r="E251" s="102">
        <f t="shared" ref="E251" si="76">C251*D251</f>
        <v>20000000</v>
      </c>
      <c r="G251" s="64">
        <v>42716</v>
      </c>
      <c r="H251" s="64">
        <v>42719</v>
      </c>
      <c r="I251" s="56" t="s">
        <v>119</v>
      </c>
      <c r="J251" s="56">
        <f t="shared" ref="J251" si="77">IF(H251&lt;&gt;"",H251-G251+1,"")</f>
        <v>4</v>
      </c>
      <c r="K251" s="56">
        <v>272</v>
      </c>
      <c r="L251" s="88">
        <f t="shared" ref="L251" si="78">K251*13</f>
        <v>3536</v>
      </c>
      <c r="M251" s="58">
        <v>20000</v>
      </c>
      <c r="N251" s="58">
        <f t="shared" ref="N251" si="79">IF(J251&lt;&gt;"",M251*L251*J251/1000,"")</f>
        <v>282880</v>
      </c>
      <c r="O251" s="59"/>
    </row>
    <row r="252" spans="1:15" ht="18.75" customHeight="1">
      <c r="A252" s="60">
        <f t="shared" si="74"/>
        <v>10</v>
      </c>
      <c r="B252" s="61" t="s">
        <v>45</v>
      </c>
      <c r="C252" s="97">
        <v>105</v>
      </c>
      <c r="D252" s="63">
        <v>50000</v>
      </c>
      <c r="E252" s="102">
        <f>C252*D252</f>
        <v>5250000</v>
      </c>
      <c r="G252" s="64">
        <v>42716</v>
      </c>
      <c r="H252" s="64">
        <v>42723</v>
      </c>
      <c r="I252" s="56" t="s">
        <v>119</v>
      </c>
      <c r="J252" s="56">
        <f t="shared" si="71"/>
        <v>8</v>
      </c>
      <c r="K252" s="56">
        <f>838-K251</f>
        <v>566</v>
      </c>
      <c r="L252" s="88">
        <f t="shared" si="72"/>
        <v>7358</v>
      </c>
      <c r="M252" s="58">
        <v>20000</v>
      </c>
      <c r="N252" s="58">
        <f t="shared" si="73"/>
        <v>1177280</v>
      </c>
      <c r="O252" s="59"/>
    </row>
    <row r="253" spans="1:15" ht="18.75" customHeight="1">
      <c r="A253" s="60">
        <f t="shared" si="74"/>
        <v>11</v>
      </c>
      <c r="B253" s="61" t="s">
        <v>46</v>
      </c>
      <c r="C253" s="97"/>
      <c r="D253" s="63"/>
      <c r="E253" s="102">
        <f>N258</f>
        <v>12876500</v>
      </c>
      <c r="G253" s="64">
        <v>42717</v>
      </c>
      <c r="H253" s="64">
        <v>42723</v>
      </c>
      <c r="I253" s="56" t="s">
        <v>86</v>
      </c>
      <c r="J253" s="56">
        <f t="shared" si="71"/>
        <v>7</v>
      </c>
      <c r="K253" s="56">
        <v>469</v>
      </c>
      <c r="L253" s="88">
        <f t="shared" si="72"/>
        <v>6097</v>
      </c>
      <c r="M253" s="58">
        <v>20000</v>
      </c>
      <c r="N253" s="58">
        <f t="shared" si="73"/>
        <v>853580</v>
      </c>
      <c r="O253" s="59"/>
    </row>
    <row r="254" spans="1:15" ht="19.5" customHeight="1">
      <c r="A254" s="60"/>
      <c r="B254" s="61"/>
      <c r="C254" s="97"/>
      <c r="D254" s="63"/>
      <c r="E254" s="102"/>
      <c r="G254" s="64">
        <v>42718</v>
      </c>
      <c r="H254" s="64">
        <v>42723</v>
      </c>
      <c r="I254" s="56" t="s">
        <v>186</v>
      </c>
      <c r="J254" s="56">
        <f t="shared" si="71"/>
        <v>6</v>
      </c>
      <c r="K254" s="56">
        <v>625</v>
      </c>
      <c r="L254" s="88">
        <f t="shared" si="72"/>
        <v>8125</v>
      </c>
      <c r="M254" s="58">
        <v>20000</v>
      </c>
      <c r="N254" s="58">
        <f t="shared" si="73"/>
        <v>975000</v>
      </c>
      <c r="O254" s="59"/>
    </row>
    <row r="255" spans="1:15" ht="19.5" customHeight="1">
      <c r="A255" s="60"/>
      <c r="B255" s="61"/>
      <c r="C255" s="97"/>
      <c r="D255" s="63"/>
      <c r="E255" s="102"/>
      <c r="G255" s="64">
        <v>42718</v>
      </c>
      <c r="H255" s="64">
        <v>42723</v>
      </c>
      <c r="I255" s="56" t="s">
        <v>283</v>
      </c>
      <c r="J255" s="56">
        <f t="shared" si="71"/>
        <v>6</v>
      </c>
      <c r="K255" s="56">
        <f>394-24</f>
        <v>370</v>
      </c>
      <c r="L255" s="88">
        <f t="shared" si="72"/>
        <v>4810</v>
      </c>
      <c r="M255" s="58">
        <v>20000</v>
      </c>
      <c r="N255" s="58">
        <f t="shared" si="73"/>
        <v>577200</v>
      </c>
      <c r="O255" s="59"/>
    </row>
    <row r="256" spans="1:15" ht="19.5" customHeight="1">
      <c r="A256" s="60"/>
      <c r="B256" s="61"/>
      <c r="C256" s="97"/>
      <c r="D256" s="63"/>
      <c r="E256" s="102"/>
      <c r="G256" s="64">
        <v>42723</v>
      </c>
      <c r="H256" s="64">
        <v>42723</v>
      </c>
      <c r="I256" s="56" t="s">
        <v>284</v>
      </c>
      <c r="J256" s="56"/>
      <c r="K256" s="56">
        <v>2030</v>
      </c>
      <c r="L256" s="88">
        <f t="shared" si="72"/>
        <v>26390</v>
      </c>
      <c r="M256" s="58">
        <v>20000</v>
      </c>
      <c r="N256" s="58" t="str">
        <f t="shared" si="73"/>
        <v/>
      </c>
    </row>
    <row r="257" spans="1:14" ht="18.75" customHeight="1">
      <c r="A257" s="60"/>
      <c r="B257" s="61"/>
      <c r="C257" s="97"/>
      <c r="D257" s="63"/>
      <c r="E257" s="102"/>
      <c r="F257" s="4"/>
      <c r="G257" s="66"/>
      <c r="H257" s="66"/>
      <c r="I257" s="67"/>
      <c r="J257" s="67"/>
      <c r="K257" s="67"/>
      <c r="L257" s="68"/>
      <c r="M257" s="69"/>
      <c r="N257" s="69"/>
    </row>
    <row r="258" spans="1:14" ht="22.5" customHeight="1">
      <c r="A258" s="70"/>
      <c r="B258" s="70" t="s">
        <v>48</v>
      </c>
      <c r="C258" s="98"/>
      <c r="D258" s="72"/>
      <c r="E258" s="74">
        <f>SUM(E243:E257)</f>
        <v>575924500</v>
      </c>
      <c r="G258" s="73"/>
      <c r="H258" s="73"/>
      <c r="I258" s="73" t="s">
        <v>48</v>
      </c>
      <c r="J258" s="73"/>
      <c r="K258" s="89">
        <f>SUM(K243:K257)</f>
        <v>8060</v>
      </c>
      <c r="L258" s="89">
        <f>SUM(L243:L257)</f>
        <v>104780</v>
      </c>
      <c r="M258" s="89"/>
      <c r="N258" s="74">
        <f>SUM(N243:N257)</f>
        <v>12876500</v>
      </c>
    </row>
    <row r="259" spans="1:14" s="3" customFormat="1">
      <c r="A259" s="5"/>
      <c r="B259" s="5"/>
      <c r="C259" s="99"/>
      <c r="D259" s="7"/>
      <c r="E259" s="103"/>
      <c r="F259" s="5"/>
    </row>
    <row r="260" spans="1:14">
      <c r="D260" s="7" t="s">
        <v>49</v>
      </c>
      <c r="E260" s="103">
        <f>E258/C243</f>
        <v>1832.1705796271553</v>
      </c>
    </row>
    <row r="261" spans="1:14" ht="18" customHeight="1"/>
    <row r="262" spans="1:14" ht="31.5" customHeight="1">
      <c r="A262" s="73" t="s">
        <v>0</v>
      </c>
      <c r="B262" s="160" t="s">
        <v>21</v>
      </c>
      <c r="C262" s="105" t="s">
        <v>50</v>
      </c>
      <c r="D262" s="106" t="s">
        <v>51</v>
      </c>
      <c r="E262" s="106" t="s">
        <v>9</v>
      </c>
      <c r="F262" s="356" t="s">
        <v>117</v>
      </c>
      <c r="G262" s="357"/>
      <c r="H262" s="358"/>
      <c r="I262" s="106" t="s">
        <v>52</v>
      </c>
    </row>
    <row r="263" spans="1:14">
      <c r="A263" s="60">
        <v>1</v>
      </c>
      <c r="B263" s="61" t="s">
        <v>409</v>
      </c>
      <c r="C263" s="97">
        <v>291083</v>
      </c>
      <c r="D263" s="63">
        <v>22620</v>
      </c>
      <c r="E263" s="63">
        <f>C263*D263</f>
        <v>6584297460</v>
      </c>
      <c r="F263" s="353"/>
      <c r="G263" s="354"/>
      <c r="H263" s="355"/>
      <c r="I263" s="63"/>
    </row>
    <row r="264" spans="1:14">
      <c r="A264" s="60">
        <v>2</v>
      </c>
      <c r="B264" s="61" t="s">
        <v>278</v>
      </c>
      <c r="C264" s="97"/>
      <c r="D264" s="63"/>
      <c r="E264" s="63"/>
      <c r="F264" s="353"/>
      <c r="G264" s="354"/>
      <c r="H264" s="355"/>
      <c r="I264" s="63">
        <f>E258</f>
        <v>575924500</v>
      </c>
    </row>
    <row r="265" spans="1:14">
      <c r="A265" s="60">
        <v>3</v>
      </c>
      <c r="B265" s="61" t="s">
        <v>142</v>
      </c>
      <c r="C265" s="97"/>
      <c r="D265" s="63"/>
      <c r="E265" s="63"/>
      <c r="F265" s="353">
        <f>ROUND(I265*0.055%,0)</f>
        <v>577777</v>
      </c>
      <c r="G265" s="354"/>
      <c r="H265" s="355"/>
      <c r="I265" s="63">
        <v>1050504000</v>
      </c>
    </row>
    <row r="266" spans="1:14">
      <c r="A266" s="60">
        <v>4</v>
      </c>
      <c r="B266" s="124" t="s">
        <v>149</v>
      </c>
      <c r="C266" s="63"/>
      <c r="D266" s="63"/>
      <c r="E266" s="63">
        <f t="shared" ref="E266:E267" si="80">C266*D266</f>
        <v>0</v>
      </c>
      <c r="F266" s="353">
        <f>ROUND(I266*0.033%,0)</f>
        <v>158498</v>
      </c>
      <c r="G266" s="354"/>
      <c r="H266" s="355"/>
      <c r="I266" s="63">
        <v>480298000</v>
      </c>
    </row>
    <row r="267" spans="1:14">
      <c r="A267" s="60">
        <v>5</v>
      </c>
      <c r="B267" s="124" t="s">
        <v>279</v>
      </c>
      <c r="C267" s="62"/>
      <c r="D267" s="63"/>
      <c r="E267" s="63">
        <f t="shared" si="80"/>
        <v>0</v>
      </c>
      <c r="F267" s="353">
        <f>ROUND(I267*0.033%,0)</f>
        <v>221450</v>
      </c>
      <c r="G267" s="354"/>
      <c r="H267" s="355"/>
      <c r="I267" s="63">
        <v>671060000</v>
      </c>
    </row>
    <row r="268" spans="1:14">
      <c r="A268" s="60">
        <v>6</v>
      </c>
      <c r="B268" s="124" t="s">
        <v>55</v>
      </c>
      <c r="C268" s="62"/>
      <c r="D268" s="63"/>
      <c r="E268" s="63"/>
      <c r="F268" s="353">
        <f>ROUND(I268*0.033%,0)</f>
        <v>701499</v>
      </c>
      <c r="G268" s="354"/>
      <c r="H268" s="355"/>
      <c r="I268" s="63">
        <v>2125756000</v>
      </c>
    </row>
    <row r="269" spans="1:14">
      <c r="A269" s="60">
        <v>7</v>
      </c>
      <c r="B269" s="124" t="s">
        <v>280</v>
      </c>
      <c r="C269" s="62"/>
      <c r="D269" s="63"/>
      <c r="E269" s="63"/>
      <c r="F269" s="353">
        <f>ROUND(I269*0.033%,0)</f>
        <v>141021</v>
      </c>
      <c r="G269" s="354"/>
      <c r="H269" s="355"/>
      <c r="I269" s="63">
        <v>427336000</v>
      </c>
    </row>
    <row r="270" spans="1:14">
      <c r="A270" s="60">
        <v>8</v>
      </c>
      <c r="B270" s="61" t="s">
        <v>56</v>
      </c>
      <c r="C270" s="62"/>
      <c r="D270" s="63"/>
      <c r="E270" s="63">
        <f>C270*D270</f>
        <v>0</v>
      </c>
      <c r="F270" s="353">
        <f>ROUND(I270*0.033%,0)</f>
        <v>412914</v>
      </c>
      <c r="G270" s="354"/>
      <c r="H270" s="355"/>
      <c r="I270" s="63">
        <v>1251254000</v>
      </c>
    </row>
    <row r="271" spans="1:14" ht="6" customHeight="1">
      <c r="A271" s="60"/>
      <c r="B271" s="115"/>
      <c r="C271" s="116"/>
      <c r="D271" s="113"/>
      <c r="E271" s="113"/>
      <c r="F271" s="366"/>
      <c r="G271" s="367"/>
      <c r="H271" s="368"/>
      <c r="I271" s="113"/>
    </row>
    <row r="272" spans="1:14">
      <c r="A272" s="70"/>
      <c r="B272" s="70" t="s">
        <v>57</v>
      </c>
      <c r="C272" s="71"/>
      <c r="D272" s="72"/>
      <c r="E272" s="72">
        <f>SUM(E263:E271)</f>
        <v>6584297460</v>
      </c>
      <c r="F272" s="350">
        <f>SUM(F263:H271)</f>
        <v>2213159</v>
      </c>
      <c r="G272" s="351"/>
      <c r="H272" s="352"/>
      <c r="I272" s="72">
        <f>SUM(I263:I271)</f>
        <v>6582132500</v>
      </c>
    </row>
    <row r="273" spans="1:11">
      <c r="A273" s="109"/>
      <c r="B273" s="109"/>
      <c r="C273" s="110"/>
      <c r="D273" s="111"/>
      <c r="E273" s="111"/>
      <c r="F273" s="159"/>
      <c r="G273" s="159"/>
      <c r="H273" s="159"/>
      <c r="I273" s="111"/>
    </row>
    <row r="274" spans="1:11" ht="31.5" customHeight="1">
      <c r="A274" s="73" t="s">
        <v>0</v>
      </c>
      <c r="B274" s="161" t="s">
        <v>21</v>
      </c>
      <c r="C274" s="105" t="s">
        <v>50</v>
      </c>
      <c r="D274" s="106" t="s">
        <v>51</v>
      </c>
      <c r="E274" s="106" t="s">
        <v>9</v>
      </c>
      <c r="F274" s="356" t="s">
        <v>117</v>
      </c>
      <c r="G274" s="357"/>
      <c r="H274" s="358"/>
      <c r="I274" s="106" t="s">
        <v>52</v>
      </c>
    </row>
    <row r="275" spans="1:11">
      <c r="A275" s="60">
        <v>1</v>
      </c>
      <c r="B275" s="61" t="s">
        <v>289</v>
      </c>
      <c r="C275" s="97">
        <v>281723</v>
      </c>
      <c r="D275" s="63">
        <v>22650</v>
      </c>
      <c r="E275" s="63">
        <f>C275*D275</f>
        <v>6381025950</v>
      </c>
      <c r="F275" s="353"/>
      <c r="G275" s="354"/>
      <c r="H275" s="355"/>
      <c r="I275" s="63"/>
    </row>
    <row r="276" spans="1:11">
      <c r="A276" s="60">
        <v>2</v>
      </c>
      <c r="B276" s="61" t="s">
        <v>142</v>
      </c>
      <c r="C276" s="97"/>
      <c r="D276" s="63"/>
      <c r="E276" s="63"/>
      <c r="F276" s="353">
        <f>ROUND(I276*0.055%,0)</f>
        <v>812812</v>
      </c>
      <c r="G276" s="354"/>
      <c r="H276" s="355"/>
      <c r="I276" s="63">
        <v>1477840000</v>
      </c>
    </row>
    <row r="277" spans="1:11">
      <c r="A277" s="60">
        <v>3</v>
      </c>
      <c r="B277" s="124" t="s">
        <v>152</v>
      </c>
      <c r="C277" s="63"/>
      <c r="D277" s="63"/>
      <c r="E277" s="63">
        <f t="shared" ref="E277:E278" si="81">C277*D277</f>
        <v>0</v>
      </c>
      <c r="F277" s="353">
        <f>ROUND(I277*0.055%,0)</f>
        <v>482346</v>
      </c>
      <c r="G277" s="354"/>
      <c r="H277" s="355"/>
      <c r="I277" s="63">
        <v>876993000</v>
      </c>
    </row>
    <row r="278" spans="1:11">
      <c r="A278" s="60">
        <v>4</v>
      </c>
      <c r="B278" s="124" t="s">
        <v>131</v>
      </c>
      <c r="C278" s="62"/>
      <c r="D278" s="63"/>
      <c r="E278" s="63">
        <f t="shared" si="81"/>
        <v>0</v>
      </c>
      <c r="F278" s="353">
        <f>ROUND(I278*0.033%,0)</f>
        <v>984083</v>
      </c>
      <c r="G278" s="354"/>
      <c r="H278" s="355"/>
      <c r="I278" s="63">
        <v>2982070000</v>
      </c>
    </row>
    <row r="279" spans="1:11">
      <c r="A279" s="60">
        <v>5</v>
      </c>
      <c r="B279" s="61" t="s">
        <v>56</v>
      </c>
      <c r="C279" s="62"/>
      <c r="D279" s="63"/>
      <c r="E279" s="63">
        <f>C279*D279</f>
        <v>0</v>
      </c>
      <c r="F279" s="353">
        <f>ROUND(I279*0.033%,0)</f>
        <v>343695</v>
      </c>
      <c r="G279" s="354"/>
      <c r="H279" s="355"/>
      <c r="I279" s="63">
        <v>1041500000</v>
      </c>
    </row>
    <row r="280" spans="1:11" ht="6" customHeight="1">
      <c r="A280" s="60"/>
      <c r="B280" s="115"/>
      <c r="C280" s="116"/>
      <c r="D280" s="113"/>
      <c r="E280" s="113"/>
      <c r="F280" s="366"/>
      <c r="G280" s="367"/>
      <c r="H280" s="368"/>
      <c r="I280" s="113"/>
    </row>
    <row r="281" spans="1:11">
      <c r="A281" s="70"/>
      <c r="B281" s="70" t="s">
        <v>57</v>
      </c>
      <c r="C281" s="71"/>
      <c r="D281" s="72"/>
      <c r="E281" s="72">
        <f>SUM(E275:E280)</f>
        <v>6381025950</v>
      </c>
      <c r="F281" s="350">
        <f>SUM(F275:H280)</f>
        <v>2622936</v>
      </c>
      <c r="G281" s="351"/>
      <c r="H281" s="352"/>
      <c r="I281" s="72">
        <f>SUM(I275:I280)</f>
        <v>6378403000</v>
      </c>
    </row>
    <row r="282" spans="1:11">
      <c r="A282" s="162" t="s">
        <v>303</v>
      </c>
      <c r="K282" s="122"/>
    </row>
    <row r="283" spans="1:11">
      <c r="K283" s="122"/>
    </row>
    <row r="284" spans="1:11">
      <c r="K284" s="122"/>
    </row>
    <row r="285" spans="1:11">
      <c r="K285" s="122"/>
    </row>
    <row r="286" spans="1:11">
      <c r="K286" s="122"/>
    </row>
    <row r="288" spans="1:11" ht="41.25" customHeight="1">
      <c r="A288" s="370" t="s">
        <v>316</v>
      </c>
      <c r="B288" s="370"/>
      <c r="C288" s="370"/>
      <c r="D288" s="370"/>
      <c r="E288" s="370"/>
      <c r="F288" s="87"/>
      <c r="G288" s="2"/>
      <c r="H288" s="2"/>
    </row>
    <row r="289" spans="1:15" s="25" customFormat="1" ht="17.25" customHeight="1">
      <c r="B289" s="40"/>
      <c r="C289" s="94"/>
      <c r="D289" s="86"/>
      <c r="E289" s="100"/>
      <c r="F289" s="44"/>
      <c r="G289" s="45" t="s">
        <v>29</v>
      </c>
      <c r="I289" s="91"/>
    </row>
    <row r="290" spans="1:15" s="85" customFormat="1" ht="36.75" customHeight="1">
      <c r="A290" s="83" t="s">
        <v>0</v>
      </c>
      <c r="B290" s="83" t="s">
        <v>21</v>
      </c>
      <c r="C290" s="95" t="s">
        <v>7</v>
      </c>
      <c r="D290" s="84" t="s">
        <v>8</v>
      </c>
      <c r="E290" s="49" t="s">
        <v>9</v>
      </c>
      <c r="G290" s="47" t="s">
        <v>30</v>
      </c>
      <c r="H290" s="47" t="s">
        <v>31</v>
      </c>
      <c r="I290" s="47" t="s">
        <v>103</v>
      </c>
      <c r="J290" s="47" t="s">
        <v>32</v>
      </c>
      <c r="K290" s="47" t="s">
        <v>83</v>
      </c>
      <c r="L290" s="46" t="s">
        <v>33</v>
      </c>
      <c r="M290" s="49" t="s">
        <v>106</v>
      </c>
      <c r="N290" s="49" t="s">
        <v>9</v>
      </c>
    </row>
    <row r="291" spans="1:15" ht="18.75" customHeight="1">
      <c r="A291" s="60">
        <f>ROW()-290</f>
        <v>1</v>
      </c>
      <c r="B291" s="51" t="s">
        <v>35</v>
      </c>
      <c r="C291" s="96">
        <v>317436</v>
      </c>
      <c r="D291" s="53">
        <v>300</v>
      </c>
      <c r="E291" s="101">
        <f t="shared" ref="E291:E294" si="82">C291*D291</f>
        <v>95230800</v>
      </c>
      <c r="G291" s="64">
        <v>42726</v>
      </c>
      <c r="H291" s="64">
        <v>42726</v>
      </c>
      <c r="I291" s="56" t="s">
        <v>318</v>
      </c>
      <c r="J291" s="56"/>
      <c r="K291" s="56">
        <v>2020</v>
      </c>
      <c r="L291" s="88">
        <f t="shared" ref="L291" si="83">K291*13</f>
        <v>26260</v>
      </c>
      <c r="M291" s="58"/>
      <c r="N291" s="58" t="str">
        <f t="shared" ref="N291:N293" si="84">IF(J291&lt;&gt;"",M291*L291*J291/1000,"")</f>
        <v/>
      </c>
      <c r="O291" s="59"/>
    </row>
    <row r="292" spans="1:15" ht="18.75" customHeight="1">
      <c r="A292" s="60">
        <f t="shared" ref="A292:A301" si="85">ROW()-290</f>
        <v>2</v>
      </c>
      <c r="B292" s="61" t="s">
        <v>37</v>
      </c>
      <c r="C292" s="97">
        <v>12</v>
      </c>
      <c r="D292" s="63">
        <v>2000000</v>
      </c>
      <c r="E292" s="102">
        <f t="shared" si="82"/>
        <v>24000000</v>
      </c>
      <c r="G292" s="64">
        <v>42726</v>
      </c>
      <c r="H292" s="64">
        <v>42726</v>
      </c>
      <c r="I292" s="56" t="s">
        <v>319</v>
      </c>
      <c r="J292" s="56"/>
      <c r="K292" s="56">
        <v>2030</v>
      </c>
      <c r="L292" s="88">
        <f t="shared" ref="L292:L293" si="86">K292*13</f>
        <v>26390</v>
      </c>
      <c r="M292" s="58"/>
      <c r="N292" s="58" t="str">
        <f t="shared" si="84"/>
        <v/>
      </c>
      <c r="O292" s="59"/>
    </row>
    <row r="293" spans="1:15" ht="18.75" customHeight="1">
      <c r="A293" s="60">
        <f t="shared" si="85"/>
        <v>3</v>
      </c>
      <c r="B293" s="61" t="s">
        <v>38</v>
      </c>
      <c r="C293" s="97">
        <v>12</v>
      </c>
      <c r="D293" s="63">
        <v>2000000</v>
      </c>
      <c r="E293" s="102">
        <f t="shared" si="82"/>
        <v>24000000</v>
      </c>
      <c r="G293" s="64">
        <v>42726</v>
      </c>
      <c r="H293" s="64">
        <v>42726</v>
      </c>
      <c r="I293" s="56" t="s">
        <v>320</v>
      </c>
      <c r="J293" s="56"/>
      <c r="K293" s="56">
        <v>2040</v>
      </c>
      <c r="L293" s="88">
        <f t="shared" si="86"/>
        <v>26520</v>
      </c>
      <c r="M293" s="58"/>
      <c r="N293" s="58" t="str">
        <f t="shared" si="84"/>
        <v/>
      </c>
      <c r="O293" s="59"/>
    </row>
    <row r="294" spans="1:15" ht="18.75" customHeight="1">
      <c r="A294" s="60">
        <f t="shared" si="85"/>
        <v>4</v>
      </c>
      <c r="B294" s="61" t="s">
        <v>39</v>
      </c>
      <c r="C294" s="97">
        <v>12</v>
      </c>
      <c r="D294" s="63">
        <v>600000</v>
      </c>
      <c r="E294" s="102">
        <f t="shared" si="82"/>
        <v>7200000</v>
      </c>
      <c r="G294" s="64">
        <v>42718</v>
      </c>
      <c r="H294" s="64">
        <v>42726</v>
      </c>
      <c r="I294" s="56" t="s">
        <v>283</v>
      </c>
      <c r="J294" s="56">
        <f t="shared" ref="J294:J302" si="87">IF(H294&lt;&gt;"",H294-G294+1,"")</f>
        <v>9</v>
      </c>
      <c r="K294" s="56">
        <v>24</v>
      </c>
      <c r="L294" s="88">
        <f t="shared" ref="L294:L310" si="88">K294*13</f>
        <v>312</v>
      </c>
      <c r="M294" s="58">
        <v>20000</v>
      </c>
      <c r="N294" s="58">
        <f t="shared" ref="N294:N310" si="89">IF(J294&lt;&gt;"",M294*L294*J294/1000,"")</f>
        <v>56160</v>
      </c>
      <c r="O294" s="59"/>
    </row>
    <row r="295" spans="1:15" ht="18.75" customHeight="1">
      <c r="A295" s="60">
        <f t="shared" si="85"/>
        <v>5</v>
      </c>
      <c r="B295" s="61" t="s">
        <v>75</v>
      </c>
      <c r="C295" s="97">
        <v>12</v>
      </c>
      <c r="D295" s="63">
        <v>16725000</v>
      </c>
      <c r="E295" s="102">
        <f>C295*D295</f>
        <v>200700000</v>
      </c>
      <c r="G295" s="64">
        <v>42719</v>
      </c>
      <c r="H295" s="64">
        <v>42726</v>
      </c>
      <c r="I295" s="56" t="s">
        <v>86</v>
      </c>
      <c r="J295" s="56">
        <f t="shared" si="87"/>
        <v>8</v>
      </c>
      <c r="K295" s="56">
        <v>520</v>
      </c>
      <c r="L295" s="88">
        <f t="shared" si="88"/>
        <v>6760</v>
      </c>
      <c r="M295" s="58">
        <v>20000</v>
      </c>
      <c r="N295" s="58">
        <f t="shared" si="89"/>
        <v>1081600</v>
      </c>
      <c r="O295" s="59"/>
    </row>
    <row r="296" spans="1:15" ht="18.75" customHeight="1">
      <c r="A296" s="60">
        <f t="shared" si="85"/>
        <v>6</v>
      </c>
      <c r="B296" s="61" t="s">
        <v>41</v>
      </c>
      <c r="C296" s="97">
        <v>12</v>
      </c>
      <c r="D296" s="63">
        <v>9358000</v>
      </c>
      <c r="E296" s="102">
        <f t="shared" ref="E296:E297" si="90">C296*D296</f>
        <v>112296000</v>
      </c>
      <c r="G296" s="64">
        <v>42719</v>
      </c>
      <c r="H296" s="64">
        <v>42726</v>
      </c>
      <c r="I296" s="56" t="s">
        <v>285</v>
      </c>
      <c r="J296" s="56">
        <f t="shared" si="87"/>
        <v>8</v>
      </c>
      <c r="K296" s="56">
        <v>405</v>
      </c>
      <c r="L296" s="88">
        <f t="shared" si="88"/>
        <v>5265</v>
      </c>
      <c r="M296" s="58">
        <v>20000</v>
      </c>
      <c r="N296" s="58">
        <f t="shared" si="89"/>
        <v>842400</v>
      </c>
      <c r="O296" s="59"/>
    </row>
    <row r="297" spans="1:15" ht="18.75" customHeight="1">
      <c r="A297" s="60">
        <f t="shared" si="85"/>
        <v>7</v>
      </c>
      <c r="B297" s="61" t="s">
        <v>42</v>
      </c>
      <c r="C297" s="97">
        <v>12</v>
      </c>
      <c r="D297" s="63">
        <v>5600000</v>
      </c>
      <c r="E297" s="102">
        <f t="shared" si="90"/>
        <v>67200000</v>
      </c>
      <c r="G297" s="64">
        <v>42719</v>
      </c>
      <c r="H297" s="64">
        <v>42726</v>
      </c>
      <c r="I297" s="56" t="s">
        <v>286</v>
      </c>
      <c r="J297" s="56">
        <f t="shared" si="87"/>
        <v>8</v>
      </c>
      <c r="K297" s="56">
        <v>900</v>
      </c>
      <c r="L297" s="88">
        <f t="shared" si="88"/>
        <v>11700</v>
      </c>
      <c r="M297" s="58">
        <v>20000</v>
      </c>
      <c r="N297" s="58">
        <f t="shared" si="89"/>
        <v>1872000</v>
      </c>
      <c r="O297" s="59"/>
    </row>
    <row r="298" spans="1:15" ht="18.75" customHeight="1">
      <c r="A298" s="60">
        <f t="shared" si="85"/>
        <v>8</v>
      </c>
      <c r="B298" s="61" t="s">
        <v>44</v>
      </c>
      <c r="C298" s="97">
        <v>6</v>
      </c>
      <c r="D298" s="63">
        <v>1350000</v>
      </c>
      <c r="E298" s="102">
        <f>C298*D298</f>
        <v>8100000</v>
      </c>
      <c r="G298" s="64">
        <v>42719</v>
      </c>
      <c r="H298" s="64">
        <v>42726</v>
      </c>
      <c r="I298" s="56" t="s">
        <v>287</v>
      </c>
      <c r="J298" s="56">
        <f t="shared" si="87"/>
        <v>8</v>
      </c>
      <c r="K298" s="56">
        <f>445-260-4</f>
        <v>181</v>
      </c>
      <c r="L298" s="88">
        <f t="shared" si="88"/>
        <v>2353</v>
      </c>
      <c r="M298" s="58">
        <v>20000</v>
      </c>
      <c r="N298" s="58">
        <f t="shared" si="89"/>
        <v>376480</v>
      </c>
      <c r="O298" s="59"/>
    </row>
    <row r="299" spans="1:15" ht="18.75" customHeight="1">
      <c r="A299" s="60">
        <f t="shared" si="85"/>
        <v>9</v>
      </c>
      <c r="B299" s="61" t="s">
        <v>79</v>
      </c>
      <c r="C299" s="97">
        <v>12</v>
      </c>
      <c r="D299" s="63">
        <v>2500000</v>
      </c>
      <c r="E299" s="102">
        <f t="shared" ref="E299" si="91">C299*D299</f>
        <v>30000000</v>
      </c>
      <c r="G299" s="64">
        <v>42719</v>
      </c>
      <c r="H299" s="64">
        <v>42727</v>
      </c>
      <c r="I299" s="56" t="s">
        <v>287</v>
      </c>
      <c r="J299" s="56">
        <f t="shared" si="87"/>
        <v>9</v>
      </c>
      <c r="K299" s="56">
        <v>264</v>
      </c>
      <c r="L299" s="88">
        <f t="shared" si="88"/>
        <v>3432</v>
      </c>
      <c r="M299" s="58">
        <v>20000</v>
      </c>
      <c r="N299" s="58">
        <f t="shared" si="89"/>
        <v>617760</v>
      </c>
      <c r="O299" s="59"/>
    </row>
    <row r="300" spans="1:15" ht="18.75" customHeight="1">
      <c r="A300" s="60">
        <f t="shared" si="85"/>
        <v>10</v>
      </c>
      <c r="B300" s="61" t="s">
        <v>45</v>
      </c>
      <c r="C300" s="97">
        <v>185</v>
      </c>
      <c r="D300" s="63">
        <v>50000</v>
      </c>
      <c r="E300" s="102">
        <f>C300*D300</f>
        <v>9250000</v>
      </c>
      <c r="G300" s="64">
        <v>42720</v>
      </c>
      <c r="H300" s="64">
        <v>42727</v>
      </c>
      <c r="I300" s="56" t="s">
        <v>288</v>
      </c>
      <c r="J300" s="56">
        <f t="shared" si="87"/>
        <v>8</v>
      </c>
      <c r="K300" s="56">
        <v>950</v>
      </c>
      <c r="L300" s="88">
        <f t="shared" si="88"/>
        <v>12350</v>
      </c>
      <c r="M300" s="58">
        <v>20000</v>
      </c>
      <c r="N300" s="58">
        <f t="shared" si="89"/>
        <v>1976000</v>
      </c>
      <c r="O300" s="59"/>
    </row>
    <row r="301" spans="1:15" ht="18.75" customHeight="1">
      <c r="A301" s="60">
        <f t="shared" si="85"/>
        <v>11</v>
      </c>
      <c r="B301" s="61" t="s">
        <v>46</v>
      </c>
      <c r="C301" s="97"/>
      <c r="D301" s="63"/>
      <c r="E301" s="102">
        <f>N313</f>
        <v>18794125.206999999</v>
      </c>
      <c r="G301" s="64">
        <v>42720</v>
      </c>
      <c r="H301" s="64">
        <v>42727</v>
      </c>
      <c r="I301" s="56" t="s">
        <v>101</v>
      </c>
      <c r="J301" s="56">
        <f t="shared" si="87"/>
        <v>8</v>
      </c>
      <c r="K301" s="56">
        <v>425</v>
      </c>
      <c r="L301" s="88">
        <f t="shared" si="88"/>
        <v>5525</v>
      </c>
      <c r="M301" s="58">
        <v>20000</v>
      </c>
      <c r="N301" s="58">
        <f t="shared" si="89"/>
        <v>884000</v>
      </c>
      <c r="O301" s="59"/>
    </row>
    <row r="302" spans="1:15" ht="19.5" customHeight="1">
      <c r="A302" s="60"/>
      <c r="B302" s="61"/>
      <c r="C302" s="97"/>
      <c r="D302" s="63"/>
      <c r="E302" s="102"/>
      <c r="G302" s="64">
        <v>42720</v>
      </c>
      <c r="H302" s="64">
        <v>42727</v>
      </c>
      <c r="I302" s="56" t="s">
        <v>98</v>
      </c>
      <c r="J302" s="56">
        <f t="shared" si="87"/>
        <v>8</v>
      </c>
      <c r="K302" s="56">
        <f>422-31</f>
        <v>391</v>
      </c>
      <c r="L302" s="88">
        <f t="shared" si="88"/>
        <v>5083</v>
      </c>
      <c r="M302" s="58">
        <v>20000</v>
      </c>
      <c r="N302" s="58">
        <f t="shared" si="89"/>
        <v>813280</v>
      </c>
      <c r="O302" s="59"/>
    </row>
    <row r="303" spans="1:15" ht="19.5" customHeight="1">
      <c r="A303" s="60"/>
      <c r="B303" s="61"/>
      <c r="C303" s="97"/>
      <c r="D303" s="63"/>
      <c r="E303" s="102"/>
      <c r="G303" s="64">
        <v>42720</v>
      </c>
      <c r="H303" s="64">
        <v>42730</v>
      </c>
      <c r="I303" s="56" t="s">
        <v>98</v>
      </c>
      <c r="J303" s="56">
        <f t="shared" ref="J303:J311" si="92">IF(H303&lt;&gt;"",H303-G303+1,"")</f>
        <v>11</v>
      </c>
      <c r="K303" s="56">
        <v>31</v>
      </c>
      <c r="L303" s="88">
        <f t="shared" si="88"/>
        <v>403</v>
      </c>
      <c r="M303" s="58">
        <v>20000</v>
      </c>
      <c r="N303" s="58">
        <f t="shared" si="89"/>
        <v>88660</v>
      </c>
      <c r="O303" s="59"/>
    </row>
    <row r="304" spans="1:15" ht="19.5" customHeight="1">
      <c r="A304" s="60"/>
      <c r="B304" s="61"/>
      <c r="C304" s="97"/>
      <c r="D304" s="63"/>
      <c r="E304" s="102"/>
      <c r="G304" s="64">
        <v>42720</v>
      </c>
      <c r="H304" s="64">
        <v>42730</v>
      </c>
      <c r="I304" s="56" t="s">
        <v>283</v>
      </c>
      <c r="J304" s="56">
        <f t="shared" si="92"/>
        <v>11</v>
      </c>
      <c r="K304" s="56">
        <v>900</v>
      </c>
      <c r="L304" s="88">
        <f t="shared" si="88"/>
        <v>11700</v>
      </c>
      <c r="M304" s="58">
        <v>20000</v>
      </c>
      <c r="N304" s="58">
        <f t="shared" si="89"/>
        <v>2574000</v>
      </c>
      <c r="O304" s="59"/>
    </row>
    <row r="305" spans="1:15" ht="19.5" customHeight="1">
      <c r="A305" s="60"/>
      <c r="B305" s="61"/>
      <c r="C305" s="97"/>
      <c r="D305" s="63"/>
      <c r="E305" s="102"/>
      <c r="G305" s="64">
        <v>42720</v>
      </c>
      <c r="H305" s="64">
        <v>42730</v>
      </c>
      <c r="I305" s="56" t="s">
        <v>88</v>
      </c>
      <c r="J305" s="56">
        <f t="shared" si="92"/>
        <v>11</v>
      </c>
      <c r="K305" s="56">
        <v>375</v>
      </c>
      <c r="L305" s="88">
        <f t="shared" si="88"/>
        <v>4875</v>
      </c>
      <c r="M305" s="58">
        <v>20000</v>
      </c>
      <c r="N305" s="58">
        <f t="shared" si="89"/>
        <v>1072500</v>
      </c>
      <c r="O305" s="59"/>
    </row>
    <row r="306" spans="1:15" ht="19.5" customHeight="1">
      <c r="A306" s="60"/>
      <c r="B306" s="61"/>
      <c r="C306" s="97"/>
      <c r="D306" s="63"/>
      <c r="E306" s="102"/>
      <c r="G306" s="64">
        <v>42720</v>
      </c>
      <c r="H306" s="64">
        <v>42730</v>
      </c>
      <c r="I306" s="56" t="s">
        <v>125</v>
      </c>
      <c r="J306" s="56">
        <f t="shared" si="92"/>
        <v>11</v>
      </c>
      <c r="K306" s="56">
        <v>500</v>
      </c>
      <c r="L306" s="88">
        <f t="shared" si="88"/>
        <v>6500</v>
      </c>
      <c r="M306" s="58">
        <v>20000</v>
      </c>
      <c r="N306" s="58">
        <f t="shared" si="89"/>
        <v>1430000</v>
      </c>
      <c r="O306" s="59"/>
    </row>
    <row r="307" spans="1:15" ht="19.5" customHeight="1">
      <c r="A307" s="60"/>
      <c r="B307" s="61"/>
      <c r="C307" s="97"/>
      <c r="D307" s="63"/>
      <c r="E307" s="102"/>
      <c r="G307" s="64">
        <v>42720</v>
      </c>
      <c r="H307" s="64">
        <v>42730</v>
      </c>
      <c r="I307" s="56" t="s">
        <v>126</v>
      </c>
      <c r="J307" s="56">
        <f t="shared" si="92"/>
        <v>11</v>
      </c>
      <c r="K307" s="56">
        <f>632-404</f>
        <v>228</v>
      </c>
      <c r="L307" s="88">
        <f t="shared" si="88"/>
        <v>2964</v>
      </c>
      <c r="M307" s="58">
        <v>20000</v>
      </c>
      <c r="N307" s="58">
        <f t="shared" si="89"/>
        <v>652080</v>
      </c>
      <c r="O307" s="59"/>
    </row>
    <row r="308" spans="1:15" ht="19.5" customHeight="1">
      <c r="A308" s="60"/>
      <c r="B308" s="61"/>
      <c r="C308" s="97"/>
      <c r="D308" s="63"/>
      <c r="E308" s="102"/>
      <c r="G308" s="64">
        <v>42720</v>
      </c>
      <c r="H308" s="64">
        <v>42730</v>
      </c>
      <c r="I308" s="56" t="s">
        <v>126</v>
      </c>
      <c r="J308" s="56">
        <f t="shared" si="92"/>
        <v>11</v>
      </c>
      <c r="K308" s="56">
        <v>404</v>
      </c>
      <c r="L308" s="88">
        <f t="shared" si="88"/>
        <v>5252</v>
      </c>
      <c r="M308" s="58">
        <v>20000</v>
      </c>
      <c r="N308" s="58">
        <f t="shared" si="89"/>
        <v>1155440</v>
      </c>
      <c r="O308" s="59"/>
    </row>
    <row r="309" spans="1:15" ht="19.5" customHeight="1">
      <c r="A309" s="60"/>
      <c r="B309" s="61"/>
      <c r="C309" s="97"/>
      <c r="D309" s="63"/>
      <c r="E309" s="102"/>
      <c r="G309" s="64">
        <v>42723</v>
      </c>
      <c r="H309" s="64">
        <v>42730</v>
      </c>
      <c r="I309" s="56" t="s">
        <v>85</v>
      </c>
      <c r="J309" s="56">
        <f t="shared" si="92"/>
        <v>8</v>
      </c>
      <c r="K309" s="56">
        <v>445</v>
      </c>
      <c r="L309" s="88">
        <f t="shared" si="88"/>
        <v>5785</v>
      </c>
      <c r="M309" s="58">
        <v>20000</v>
      </c>
      <c r="N309" s="58">
        <f t="shared" si="89"/>
        <v>925600</v>
      </c>
      <c r="O309" s="59"/>
    </row>
    <row r="310" spans="1:15" ht="19.5" customHeight="1">
      <c r="A310" s="60"/>
      <c r="B310" s="61"/>
      <c r="C310" s="97"/>
      <c r="D310" s="63"/>
      <c r="E310" s="102"/>
      <c r="G310" s="64">
        <v>42723</v>
      </c>
      <c r="H310" s="64">
        <v>42730</v>
      </c>
      <c r="I310" s="56" t="s">
        <v>315</v>
      </c>
      <c r="J310" s="56">
        <f t="shared" si="92"/>
        <v>8</v>
      </c>
      <c r="K310" s="56">
        <v>900</v>
      </c>
      <c r="L310" s="88">
        <f t="shared" si="88"/>
        <v>11700</v>
      </c>
      <c r="M310" s="58">
        <v>20000</v>
      </c>
      <c r="N310" s="58">
        <f t="shared" si="89"/>
        <v>1872000</v>
      </c>
      <c r="O310" s="59"/>
    </row>
    <row r="311" spans="1:15" ht="19.5" customHeight="1">
      <c r="A311" s="60"/>
      <c r="B311" s="61"/>
      <c r="C311" s="97"/>
      <c r="D311" s="63"/>
      <c r="E311" s="102"/>
      <c r="G311" s="64">
        <v>42724</v>
      </c>
      <c r="H311" s="64">
        <v>42730</v>
      </c>
      <c r="I311" s="56" t="s">
        <v>95</v>
      </c>
      <c r="J311" s="56">
        <f t="shared" si="92"/>
        <v>7</v>
      </c>
      <c r="K311" s="56">
        <f>672-395</f>
        <v>277</v>
      </c>
      <c r="L311" s="88">
        <f t="shared" ref="L311" si="93">K311*13</f>
        <v>3601</v>
      </c>
      <c r="M311" s="58">
        <v>20001</v>
      </c>
      <c r="N311" s="58">
        <f t="shared" ref="N311" si="94">IF(J311&lt;&gt;"",M311*L311*J311/1000,"")</f>
        <v>504165.20699999999</v>
      </c>
      <c r="O311" s="59"/>
    </row>
    <row r="312" spans="1:15" ht="18" customHeight="1">
      <c r="A312" s="60"/>
      <c r="B312" s="61"/>
      <c r="C312" s="97"/>
      <c r="D312" s="63"/>
      <c r="E312" s="102"/>
      <c r="G312" s="66"/>
      <c r="H312" s="66"/>
      <c r="I312" s="67"/>
      <c r="J312" s="67"/>
      <c r="K312" s="67"/>
      <c r="L312" s="68"/>
      <c r="M312" s="69"/>
      <c r="N312" s="69"/>
    </row>
    <row r="313" spans="1:15" s="3" customFormat="1" ht="18" customHeight="1">
      <c r="A313" s="70"/>
      <c r="B313" s="70" t="s">
        <v>48</v>
      </c>
      <c r="C313" s="98"/>
      <c r="D313" s="72"/>
      <c r="E313" s="74">
        <f>SUM(E291:E312)</f>
        <v>596770925.20700002</v>
      </c>
      <c r="F313" s="5"/>
      <c r="G313" s="73"/>
      <c r="H313" s="73"/>
      <c r="I313" s="73" t="s">
        <v>48</v>
      </c>
      <c r="J313" s="73"/>
      <c r="K313" s="89">
        <f>SUM(K291:K312)</f>
        <v>14210</v>
      </c>
      <c r="L313" s="89">
        <f>SUM(L291:L312)</f>
        <v>184730</v>
      </c>
      <c r="M313" s="89"/>
      <c r="N313" s="74">
        <f>SUM(N291:N312)</f>
        <v>18794125.206999999</v>
      </c>
    </row>
    <row r="315" spans="1:15" ht="9.75" customHeight="1"/>
    <row r="316" spans="1:15" ht="31.5" customHeight="1">
      <c r="A316" s="73" t="s">
        <v>0</v>
      </c>
      <c r="B316" s="163" t="s">
        <v>21</v>
      </c>
      <c r="C316" s="105" t="s">
        <v>50</v>
      </c>
      <c r="D316" s="106" t="s">
        <v>51</v>
      </c>
      <c r="E316" s="106" t="s">
        <v>9</v>
      </c>
      <c r="F316" s="356" t="s">
        <v>117</v>
      </c>
      <c r="G316" s="357"/>
      <c r="H316" s="358"/>
      <c r="I316" s="106" t="s">
        <v>52</v>
      </c>
    </row>
    <row r="317" spans="1:15">
      <c r="A317" s="60">
        <v>1</v>
      </c>
      <c r="B317" s="61" t="s">
        <v>323</v>
      </c>
      <c r="C317" s="97">
        <v>282365</v>
      </c>
      <c r="D317" s="63">
        <v>22650</v>
      </c>
      <c r="E317" s="63">
        <f>C317*D317</f>
        <v>6395567250</v>
      </c>
      <c r="F317" s="360"/>
      <c r="G317" s="361"/>
      <c r="H317" s="362"/>
      <c r="I317" s="63"/>
    </row>
    <row r="318" spans="1:15">
      <c r="A318" s="60">
        <v>2</v>
      </c>
      <c r="B318" s="61" t="s">
        <v>324</v>
      </c>
      <c r="C318" s="97"/>
      <c r="D318" s="63"/>
      <c r="E318" s="63"/>
      <c r="F318" s="363"/>
      <c r="G318" s="364"/>
      <c r="H318" s="365"/>
      <c r="I318" s="63">
        <f>E313</f>
        <v>596770925.20700002</v>
      </c>
    </row>
    <row r="319" spans="1:15">
      <c r="A319" s="60">
        <v>3</v>
      </c>
      <c r="B319" s="61" t="s">
        <v>142</v>
      </c>
      <c r="C319" s="97"/>
      <c r="D319" s="63"/>
      <c r="E319" s="63"/>
      <c r="F319" s="353">
        <f>ROUND(I319*0.055%,0)</f>
        <v>120120</v>
      </c>
      <c r="G319" s="354"/>
      <c r="H319" s="355"/>
      <c r="I319" s="63">
        <v>218400000</v>
      </c>
    </row>
    <row r="320" spans="1:15">
      <c r="A320" s="60">
        <v>4</v>
      </c>
      <c r="B320" s="124" t="s">
        <v>325</v>
      </c>
      <c r="C320" s="63"/>
      <c r="D320" s="63"/>
      <c r="E320" s="63">
        <f t="shared" ref="E320:E321" si="95">C320*D320</f>
        <v>0</v>
      </c>
      <c r="F320" s="353">
        <f>ROUND(I320*0.055%,0)</f>
        <v>15246</v>
      </c>
      <c r="G320" s="354"/>
      <c r="H320" s="355"/>
      <c r="I320" s="63">
        <v>27720000</v>
      </c>
    </row>
    <row r="321" spans="1:15">
      <c r="A321" s="60">
        <v>5</v>
      </c>
      <c r="B321" s="124" t="s">
        <v>131</v>
      </c>
      <c r="C321" s="62"/>
      <c r="D321" s="63"/>
      <c r="E321" s="63">
        <f t="shared" si="95"/>
        <v>0</v>
      </c>
      <c r="F321" s="353">
        <f>ROUND(I321*0.055%,0)</f>
        <v>647657</v>
      </c>
      <c r="G321" s="354"/>
      <c r="H321" s="355"/>
      <c r="I321" s="63">
        <v>1177559000</v>
      </c>
    </row>
    <row r="322" spans="1:15">
      <c r="A322" s="60">
        <v>6</v>
      </c>
      <c r="B322" s="61" t="s">
        <v>56</v>
      </c>
      <c r="C322" s="62"/>
      <c r="D322" s="63"/>
      <c r="E322" s="63">
        <f>C322*D322</f>
        <v>0</v>
      </c>
      <c r="F322" s="353">
        <f>ROUND(I322*0.055%,0)</f>
        <v>2403113</v>
      </c>
      <c r="G322" s="354"/>
      <c r="H322" s="355"/>
      <c r="I322" s="63">
        <v>4369297000</v>
      </c>
    </row>
    <row r="323" spans="1:15" ht="6" customHeight="1">
      <c r="A323" s="60"/>
      <c r="B323" s="115"/>
      <c r="C323" s="116"/>
      <c r="D323" s="113"/>
      <c r="E323" s="113"/>
      <c r="F323" s="167"/>
      <c r="G323" s="168"/>
      <c r="H323" s="169"/>
      <c r="I323" s="113"/>
    </row>
    <row r="324" spans="1:15">
      <c r="A324" s="70"/>
      <c r="B324" s="70" t="s">
        <v>57</v>
      </c>
      <c r="C324" s="71"/>
      <c r="D324" s="72"/>
      <c r="E324" s="72">
        <f>SUM(E317:E323)</f>
        <v>6395567250</v>
      </c>
      <c r="F324" s="350">
        <f>SUM(F317:H323)</f>
        <v>3186136</v>
      </c>
      <c r="G324" s="351"/>
      <c r="H324" s="352"/>
      <c r="I324" s="72">
        <f>SUM(I317:I323)</f>
        <v>6389746925.2069998</v>
      </c>
    </row>
    <row r="325" spans="1:15">
      <c r="A325" s="162" t="s">
        <v>303</v>
      </c>
    </row>
    <row r="326" spans="1:15">
      <c r="K326" s="122"/>
    </row>
    <row r="327" spans="1:15">
      <c r="H327" s="164"/>
      <c r="I327" s="122"/>
    </row>
    <row r="328" spans="1:15" ht="43.5" customHeight="1">
      <c r="A328" s="370" t="s">
        <v>326</v>
      </c>
      <c r="B328" s="370"/>
      <c r="C328" s="370"/>
      <c r="D328" s="370"/>
      <c r="E328" s="370"/>
      <c r="F328" s="87"/>
    </row>
    <row r="329" spans="1:15" s="25" customFormat="1" ht="17.25" customHeight="1">
      <c r="B329" s="40"/>
      <c r="C329" s="94"/>
      <c r="D329" s="86"/>
      <c r="E329" s="100"/>
      <c r="F329" s="44"/>
      <c r="G329" s="45" t="s">
        <v>29</v>
      </c>
      <c r="I329" s="91"/>
    </row>
    <row r="330" spans="1:15" s="85" customFormat="1" ht="36.75" customHeight="1">
      <c r="A330" s="83" t="s">
        <v>0</v>
      </c>
      <c r="B330" s="83" t="s">
        <v>21</v>
      </c>
      <c r="C330" s="95" t="s">
        <v>7</v>
      </c>
      <c r="D330" s="84" t="s">
        <v>8</v>
      </c>
      <c r="E330" s="49" t="s">
        <v>9</v>
      </c>
      <c r="G330" s="47" t="s">
        <v>30</v>
      </c>
      <c r="H330" s="47" t="s">
        <v>31</v>
      </c>
      <c r="I330" s="47" t="s">
        <v>103</v>
      </c>
      <c r="J330" s="47" t="s">
        <v>32</v>
      </c>
      <c r="K330" s="47" t="s">
        <v>83</v>
      </c>
      <c r="L330" s="46" t="s">
        <v>33</v>
      </c>
      <c r="M330" s="49" t="s">
        <v>106</v>
      </c>
      <c r="N330" s="49" t="s">
        <v>9</v>
      </c>
    </row>
    <row r="331" spans="1:15" ht="18.75" customHeight="1">
      <c r="A331" s="60">
        <f>ROW()-242</f>
        <v>89</v>
      </c>
      <c r="B331" s="51" t="s">
        <v>35</v>
      </c>
      <c r="C331" s="96">
        <v>52780</v>
      </c>
      <c r="D331" s="53">
        <v>300</v>
      </c>
      <c r="E331" s="101">
        <f t="shared" ref="E331:E334" si="96">C331*D331</f>
        <v>15834000</v>
      </c>
      <c r="G331" s="64">
        <v>42724</v>
      </c>
      <c r="H331" s="64">
        <v>42731</v>
      </c>
      <c r="I331" s="56" t="s">
        <v>95</v>
      </c>
      <c r="J331" s="56">
        <f>IF(H331&lt;&gt;"",H331-G331+1,"")</f>
        <v>8</v>
      </c>
      <c r="K331" s="56">
        <v>395</v>
      </c>
      <c r="L331" s="88">
        <f t="shared" ref="L331:L341" si="97">K331*13</f>
        <v>5135</v>
      </c>
      <c r="M331" s="58">
        <v>20000</v>
      </c>
      <c r="N331" s="58">
        <f t="shared" ref="N331:N341" si="98">IF(J331&lt;&gt;"",M331*L331*J331/1000,"")</f>
        <v>821600</v>
      </c>
      <c r="O331" s="59"/>
    </row>
    <row r="332" spans="1:15" ht="18.75" customHeight="1">
      <c r="A332" s="60">
        <f t="shared" ref="A332:A341" si="99">ROW()-242</f>
        <v>90</v>
      </c>
      <c r="B332" s="61" t="s">
        <v>37</v>
      </c>
      <c r="C332" s="97">
        <v>2</v>
      </c>
      <c r="D332" s="63">
        <v>2000000</v>
      </c>
      <c r="E332" s="102">
        <f t="shared" si="96"/>
        <v>4000000</v>
      </c>
      <c r="G332" s="64">
        <v>42724</v>
      </c>
      <c r="H332" s="64">
        <v>42731</v>
      </c>
      <c r="I332" s="56" t="s">
        <v>321</v>
      </c>
      <c r="J332" s="56">
        <f>IF(H332&lt;&gt;"",H332-G332+1,"")</f>
        <v>8</v>
      </c>
      <c r="K332" s="56">
        <v>445</v>
      </c>
      <c r="L332" s="88">
        <f t="shared" si="97"/>
        <v>5785</v>
      </c>
      <c r="M332" s="58">
        <v>20000</v>
      </c>
      <c r="N332" s="58">
        <f t="shared" si="98"/>
        <v>925600</v>
      </c>
      <c r="O332" s="59"/>
    </row>
    <row r="333" spans="1:15" ht="18.75" customHeight="1">
      <c r="A333" s="60">
        <f t="shared" si="99"/>
        <v>91</v>
      </c>
      <c r="B333" s="61" t="s">
        <v>38</v>
      </c>
      <c r="C333" s="97">
        <v>2</v>
      </c>
      <c r="D333" s="63">
        <v>2000000</v>
      </c>
      <c r="E333" s="102">
        <f t="shared" si="96"/>
        <v>4000000</v>
      </c>
      <c r="G333" s="64">
        <v>42725</v>
      </c>
      <c r="H333" s="64">
        <v>42731</v>
      </c>
      <c r="I333" s="56" t="s">
        <v>91</v>
      </c>
      <c r="J333" s="56">
        <f>IF(H333&lt;&gt;"",H333-G333+1,"")</f>
        <v>7</v>
      </c>
      <c r="K333" s="56">
        <v>375</v>
      </c>
      <c r="L333" s="88">
        <f t="shared" si="97"/>
        <v>4875</v>
      </c>
      <c r="M333" s="58">
        <v>20000</v>
      </c>
      <c r="N333" s="58">
        <f t="shared" si="98"/>
        <v>682500</v>
      </c>
      <c r="O333" s="59"/>
    </row>
    <row r="334" spans="1:15" ht="18.75" customHeight="1">
      <c r="A334" s="60">
        <f t="shared" si="99"/>
        <v>92</v>
      </c>
      <c r="B334" s="61" t="s">
        <v>39</v>
      </c>
      <c r="C334" s="97">
        <v>2</v>
      </c>
      <c r="D334" s="63">
        <v>600000</v>
      </c>
      <c r="E334" s="102">
        <f t="shared" si="96"/>
        <v>1200000</v>
      </c>
      <c r="G334" s="64">
        <v>42726</v>
      </c>
      <c r="H334" s="64">
        <v>42731</v>
      </c>
      <c r="I334" s="56" t="s">
        <v>101</v>
      </c>
      <c r="J334" s="56">
        <f>IF(H334&lt;&gt;"",H334-G334+1,"")</f>
        <v>6</v>
      </c>
      <c r="K334" s="56">
        <v>440</v>
      </c>
      <c r="L334" s="88">
        <f t="shared" si="97"/>
        <v>5720</v>
      </c>
      <c r="M334" s="58">
        <v>20000</v>
      </c>
      <c r="N334" s="58">
        <f t="shared" si="98"/>
        <v>686400</v>
      </c>
      <c r="O334" s="59"/>
    </row>
    <row r="335" spans="1:15" ht="18.75" customHeight="1">
      <c r="A335" s="60">
        <f t="shared" si="99"/>
        <v>93</v>
      </c>
      <c r="B335" s="61" t="s">
        <v>75</v>
      </c>
      <c r="C335" s="97">
        <v>2</v>
      </c>
      <c r="D335" s="63">
        <v>16725000</v>
      </c>
      <c r="E335" s="102">
        <f>C335*D335</f>
        <v>33450000</v>
      </c>
      <c r="G335" s="64">
        <v>42726</v>
      </c>
      <c r="H335" s="64">
        <v>42731</v>
      </c>
      <c r="I335" s="56" t="s">
        <v>317</v>
      </c>
      <c r="J335" s="56">
        <f>IF(H335&lt;&gt;"",H335-G335+1,"")</f>
        <v>6</v>
      </c>
      <c r="K335" s="56">
        <f>444-69</f>
        <v>375</v>
      </c>
      <c r="L335" s="88">
        <f t="shared" si="97"/>
        <v>4875</v>
      </c>
      <c r="M335" s="58">
        <v>20000</v>
      </c>
      <c r="N335" s="58">
        <f t="shared" si="98"/>
        <v>585000</v>
      </c>
      <c r="O335" s="59"/>
    </row>
    <row r="336" spans="1:15" ht="18.75" customHeight="1">
      <c r="A336" s="60">
        <f t="shared" si="99"/>
        <v>94</v>
      </c>
      <c r="B336" s="61" t="s">
        <v>41</v>
      </c>
      <c r="C336" s="97">
        <v>2</v>
      </c>
      <c r="D336" s="63">
        <v>9358000</v>
      </c>
      <c r="E336" s="102">
        <f t="shared" ref="E336:E337" si="100">C336*D336</f>
        <v>18716000</v>
      </c>
      <c r="G336" s="64"/>
      <c r="H336" s="64"/>
      <c r="I336" s="56"/>
      <c r="J336" s="56"/>
      <c r="K336" s="56"/>
      <c r="L336" s="88">
        <f t="shared" si="97"/>
        <v>0</v>
      </c>
      <c r="M336" s="58"/>
      <c r="N336" s="58" t="str">
        <f t="shared" si="98"/>
        <v/>
      </c>
      <c r="O336" s="59"/>
    </row>
    <row r="337" spans="1:15" ht="18.75" customHeight="1">
      <c r="A337" s="60">
        <f t="shared" si="99"/>
        <v>95</v>
      </c>
      <c r="B337" s="61" t="s">
        <v>42</v>
      </c>
      <c r="C337" s="97">
        <v>2</v>
      </c>
      <c r="D337" s="63">
        <v>5600000</v>
      </c>
      <c r="E337" s="102">
        <f t="shared" si="100"/>
        <v>11200000</v>
      </c>
      <c r="G337" s="64"/>
      <c r="H337" s="64"/>
      <c r="I337" s="56"/>
      <c r="J337" s="56"/>
      <c r="K337" s="56"/>
      <c r="L337" s="88">
        <f t="shared" si="97"/>
        <v>0</v>
      </c>
      <c r="M337" s="58"/>
      <c r="N337" s="58" t="str">
        <f t="shared" si="98"/>
        <v/>
      </c>
      <c r="O337" s="59"/>
    </row>
    <row r="338" spans="1:15" ht="18.75" customHeight="1">
      <c r="A338" s="60">
        <f t="shared" si="99"/>
        <v>96</v>
      </c>
      <c r="B338" s="61" t="s">
        <v>44</v>
      </c>
      <c r="C338" s="97">
        <v>1</v>
      </c>
      <c r="D338" s="63">
        <v>1350000</v>
      </c>
      <c r="E338" s="102">
        <f>C338*D338</f>
        <v>1350000</v>
      </c>
      <c r="G338" s="64"/>
      <c r="H338" s="64"/>
      <c r="I338" s="56"/>
      <c r="J338" s="56"/>
      <c r="K338" s="56"/>
      <c r="L338" s="88">
        <f t="shared" si="97"/>
        <v>0</v>
      </c>
      <c r="M338" s="58"/>
      <c r="N338" s="58" t="str">
        <f t="shared" si="98"/>
        <v/>
      </c>
      <c r="O338" s="59"/>
    </row>
    <row r="339" spans="1:15" ht="18.75" customHeight="1">
      <c r="A339" s="60">
        <f t="shared" si="99"/>
        <v>97</v>
      </c>
      <c r="B339" s="61" t="s">
        <v>79</v>
      </c>
      <c r="C339" s="97">
        <v>2</v>
      </c>
      <c r="D339" s="63">
        <v>2500000</v>
      </c>
      <c r="E339" s="102">
        <f t="shared" ref="E339" si="101">C339*D339</f>
        <v>5000000</v>
      </c>
      <c r="G339" s="64"/>
      <c r="H339" s="64"/>
      <c r="I339" s="56"/>
      <c r="J339" s="56"/>
      <c r="K339" s="56"/>
      <c r="L339" s="88">
        <f t="shared" si="97"/>
        <v>0</v>
      </c>
      <c r="M339" s="58"/>
      <c r="N339" s="58" t="str">
        <f t="shared" si="98"/>
        <v/>
      </c>
      <c r="O339" s="59"/>
    </row>
    <row r="340" spans="1:15" ht="18.75" customHeight="1">
      <c r="A340" s="60">
        <f t="shared" si="99"/>
        <v>98</v>
      </c>
      <c r="B340" s="61" t="s">
        <v>45</v>
      </c>
      <c r="C340" s="97">
        <v>53</v>
      </c>
      <c r="D340" s="63">
        <v>50000</v>
      </c>
      <c r="E340" s="102">
        <f>C340*D340</f>
        <v>2650000</v>
      </c>
      <c r="G340" s="64"/>
      <c r="H340" s="64"/>
      <c r="I340" s="56"/>
      <c r="J340" s="56"/>
      <c r="K340" s="56"/>
      <c r="L340" s="88">
        <f t="shared" si="97"/>
        <v>0</v>
      </c>
      <c r="M340" s="58"/>
      <c r="N340" s="58" t="str">
        <f t="shared" si="98"/>
        <v/>
      </c>
      <c r="O340" s="59"/>
    </row>
    <row r="341" spans="1:15" ht="18.75" customHeight="1">
      <c r="A341" s="60">
        <f t="shared" si="99"/>
        <v>99</v>
      </c>
      <c r="B341" s="61" t="s">
        <v>46</v>
      </c>
      <c r="C341" s="97"/>
      <c r="D341" s="63"/>
      <c r="E341" s="102">
        <f>N343</f>
        <v>3701100</v>
      </c>
      <c r="G341" s="64"/>
      <c r="H341" s="64"/>
      <c r="I341" s="56"/>
      <c r="J341" s="56"/>
      <c r="K341" s="56"/>
      <c r="L341" s="88">
        <f t="shared" si="97"/>
        <v>0</v>
      </c>
      <c r="M341" s="58"/>
      <c r="N341" s="58" t="str">
        <f t="shared" si="98"/>
        <v/>
      </c>
      <c r="O341" s="59"/>
    </row>
    <row r="342" spans="1:15" ht="18.75" customHeight="1">
      <c r="A342" s="60"/>
      <c r="B342" s="61"/>
      <c r="C342" s="97"/>
      <c r="D342" s="63"/>
      <c r="E342" s="102"/>
      <c r="F342" s="4"/>
      <c r="G342" s="66"/>
      <c r="H342" s="66"/>
      <c r="I342" s="67"/>
      <c r="J342" s="67"/>
      <c r="K342" s="67"/>
      <c r="L342" s="68"/>
      <c r="M342" s="69"/>
      <c r="N342" s="69"/>
    </row>
    <row r="343" spans="1:15" ht="22.5" customHeight="1">
      <c r="A343" s="70"/>
      <c r="B343" s="70" t="s">
        <v>48</v>
      </c>
      <c r="C343" s="98"/>
      <c r="D343" s="72"/>
      <c r="E343" s="74">
        <f>SUM(E331:E342)</f>
        <v>101101100</v>
      </c>
      <c r="G343" s="73"/>
      <c r="H343" s="73"/>
      <c r="I343" s="73" t="s">
        <v>48</v>
      </c>
      <c r="J343" s="73"/>
      <c r="K343" s="89">
        <f>SUM(K331:K342)</f>
        <v>2030</v>
      </c>
      <c r="L343" s="89">
        <f>SUM(L331:L342)</f>
        <v>26390</v>
      </c>
      <c r="M343" s="89"/>
      <c r="N343" s="74">
        <f>SUM(N331:N342)</f>
        <v>3701100</v>
      </c>
    </row>
    <row r="344" spans="1:15" s="3" customFormat="1">
      <c r="A344" s="5"/>
      <c r="B344" s="5"/>
      <c r="C344" s="99"/>
      <c r="D344" s="7"/>
      <c r="E344" s="103"/>
      <c r="F344" s="5"/>
    </row>
    <row r="345" spans="1:15" ht="31.5" customHeight="1">
      <c r="A345" s="73" t="s">
        <v>0</v>
      </c>
      <c r="B345" s="165" t="s">
        <v>21</v>
      </c>
      <c r="C345" s="105" t="s">
        <v>50</v>
      </c>
      <c r="D345" s="106" t="s">
        <v>51</v>
      </c>
      <c r="E345" s="106" t="s">
        <v>9</v>
      </c>
      <c r="F345" s="356" t="s">
        <v>117</v>
      </c>
      <c r="G345" s="357"/>
      <c r="H345" s="358"/>
      <c r="I345" s="106" t="s">
        <v>52</v>
      </c>
    </row>
    <row r="346" spans="1:15">
      <c r="A346" s="60">
        <v>1</v>
      </c>
      <c r="B346" s="61" t="s">
        <v>410</v>
      </c>
      <c r="C346" s="97">
        <v>294308</v>
      </c>
      <c r="D346" s="63">
        <v>22650</v>
      </c>
      <c r="E346" s="63">
        <f>C346*D346</f>
        <v>6666076200</v>
      </c>
      <c r="F346" s="170"/>
      <c r="G346" s="171"/>
      <c r="H346" s="172"/>
      <c r="I346" s="63"/>
    </row>
    <row r="347" spans="1:15">
      <c r="A347" s="60">
        <v>2</v>
      </c>
      <c r="B347" s="61" t="s">
        <v>123</v>
      </c>
      <c r="C347" s="97"/>
      <c r="D347" s="63"/>
      <c r="E347" s="63"/>
      <c r="F347" s="353">
        <f>1825573*2</f>
        <v>3651146</v>
      </c>
      <c r="G347" s="354"/>
      <c r="H347" s="355"/>
      <c r="I347" s="63"/>
    </row>
    <row r="348" spans="1:15">
      <c r="A348" s="60">
        <v>3</v>
      </c>
      <c r="B348" s="61" t="s">
        <v>324</v>
      </c>
      <c r="C348" s="97"/>
      <c r="D348" s="63"/>
      <c r="E348" s="63"/>
      <c r="F348" s="353"/>
      <c r="G348" s="354"/>
      <c r="H348" s="355"/>
      <c r="I348" s="63">
        <f>E343</f>
        <v>101101100</v>
      </c>
    </row>
    <row r="349" spans="1:15">
      <c r="A349" s="60">
        <v>4</v>
      </c>
      <c r="B349" s="61" t="s">
        <v>142</v>
      </c>
      <c r="C349" s="97"/>
      <c r="D349" s="63"/>
      <c r="E349" s="63"/>
      <c r="F349" s="353">
        <f>ROUND(I349*0.055%,0)</f>
        <v>820069</v>
      </c>
      <c r="G349" s="354"/>
      <c r="H349" s="355"/>
      <c r="I349" s="63">
        <v>1491035000</v>
      </c>
    </row>
    <row r="350" spans="1:15">
      <c r="A350" s="60">
        <v>7</v>
      </c>
      <c r="B350" s="61" t="s">
        <v>56</v>
      </c>
      <c r="C350" s="62"/>
      <c r="D350" s="63"/>
      <c r="E350" s="63">
        <f>C350*D350</f>
        <v>0</v>
      </c>
      <c r="F350" s="353">
        <f>ROUND(I350*0.055%,0)</f>
        <v>2786095</v>
      </c>
      <c r="G350" s="354"/>
      <c r="H350" s="355"/>
      <c r="I350" s="63">
        <v>5065628000</v>
      </c>
    </row>
    <row r="351" spans="1:15" ht="6" customHeight="1">
      <c r="A351" s="60"/>
      <c r="B351" s="115"/>
      <c r="C351" s="116"/>
      <c r="D351" s="113"/>
      <c r="E351" s="113"/>
      <c r="F351" s="167"/>
      <c r="G351" s="168"/>
      <c r="H351" s="169"/>
      <c r="I351" s="113"/>
    </row>
    <row r="352" spans="1:15">
      <c r="A352" s="70"/>
      <c r="B352" s="70" t="s">
        <v>57</v>
      </c>
      <c r="C352" s="71"/>
      <c r="D352" s="72"/>
      <c r="E352" s="72">
        <f>SUM(E346:E351)</f>
        <v>6666076200</v>
      </c>
      <c r="F352" s="350">
        <f>SUM(F346:H351)</f>
        <v>7257310</v>
      </c>
      <c r="G352" s="351"/>
      <c r="H352" s="352"/>
      <c r="I352" s="72">
        <f>SUM(I346:I351)</f>
        <v>6657764100</v>
      </c>
    </row>
    <row r="353" spans="1:15">
      <c r="A353" s="162" t="s">
        <v>303</v>
      </c>
      <c r="K353" s="122"/>
    </row>
    <row r="354" spans="1:15">
      <c r="H354" s="164"/>
      <c r="I354" s="122"/>
    </row>
    <row r="355" spans="1:15">
      <c r="I355" s="122"/>
    </row>
    <row r="358" spans="1:15" ht="43.5" customHeight="1">
      <c r="A358" s="369"/>
      <c r="B358" s="369"/>
      <c r="C358" s="369"/>
      <c r="D358" s="369"/>
      <c r="E358" s="369"/>
      <c r="F358" s="87"/>
      <c r="G358" s="359" t="s">
        <v>377</v>
      </c>
      <c r="H358" s="359"/>
      <c r="I358" s="359"/>
      <c r="J358" s="359"/>
      <c r="K358" s="359"/>
      <c r="L358" s="359"/>
      <c r="M358" s="359"/>
      <c r="N358" s="359"/>
    </row>
    <row r="359" spans="1:15" s="25" customFormat="1" ht="17.25" customHeight="1">
      <c r="A359" s="40"/>
      <c r="B359" s="40"/>
      <c r="C359" s="178"/>
      <c r="D359" s="86"/>
      <c r="E359" s="100"/>
      <c r="F359" s="44"/>
      <c r="G359" s="45" t="s">
        <v>29</v>
      </c>
      <c r="I359" s="91"/>
    </row>
    <row r="360" spans="1:15" s="85" customFormat="1" ht="36.75" customHeight="1">
      <c r="A360" s="179"/>
      <c r="B360" s="179"/>
      <c r="C360" s="180"/>
      <c r="D360" s="181"/>
      <c r="E360" s="182"/>
      <c r="G360" s="47" t="s">
        <v>30</v>
      </c>
      <c r="H360" s="47" t="s">
        <v>31</v>
      </c>
      <c r="I360" s="47" t="s">
        <v>103</v>
      </c>
      <c r="J360" s="47" t="s">
        <v>32</v>
      </c>
      <c r="K360" s="47" t="s">
        <v>83</v>
      </c>
      <c r="L360" s="46" t="s">
        <v>33</v>
      </c>
      <c r="M360" s="49" t="s">
        <v>106</v>
      </c>
      <c r="N360" s="49" t="s">
        <v>9</v>
      </c>
    </row>
    <row r="361" spans="1:15" ht="18.75" customHeight="1">
      <c r="A361" s="183"/>
      <c r="B361" s="184"/>
      <c r="C361" s="185"/>
      <c r="D361" s="186"/>
      <c r="E361" s="187"/>
      <c r="G361" s="64">
        <v>42726</v>
      </c>
      <c r="H361" s="64">
        <v>42733</v>
      </c>
      <c r="I361" s="56" t="s">
        <v>317</v>
      </c>
      <c r="J361" s="56">
        <f>IF(AND(H361&lt;&gt;"",H361-G361+1&gt;2),H361-G361-1,"")</f>
        <v>6</v>
      </c>
      <c r="K361" s="56">
        <v>69</v>
      </c>
      <c r="L361" s="88">
        <f t="shared" ref="L361:L363" si="102">K361*13</f>
        <v>897</v>
      </c>
      <c r="M361" s="58">
        <f>IF(J361&lt;&gt;"",20000,"")</f>
        <v>20000</v>
      </c>
      <c r="N361" s="58">
        <f t="shared" ref="N361:N364" si="103">IF(J361&lt;&gt;"",M361*L361*J361/1000,"")</f>
        <v>107640</v>
      </c>
      <c r="O361" s="59"/>
    </row>
    <row r="362" spans="1:15" ht="18.75" customHeight="1">
      <c r="A362" s="183"/>
      <c r="B362" s="184"/>
      <c r="C362" s="185"/>
      <c r="D362" s="186"/>
      <c r="E362" s="187"/>
      <c r="G362" s="64">
        <v>42726</v>
      </c>
      <c r="H362" s="64">
        <v>42733</v>
      </c>
      <c r="I362" s="56" t="s">
        <v>322</v>
      </c>
      <c r="J362" s="56">
        <f t="shared" ref="J362:J385" si="104">IF(AND(H362&lt;&gt;"",H362-G362+1&gt;2),H362-G362-1,"")</f>
        <v>6</v>
      </c>
      <c r="K362" s="56">
        <v>1194</v>
      </c>
      <c r="L362" s="88">
        <f t="shared" si="102"/>
        <v>15522</v>
      </c>
      <c r="M362" s="58">
        <f t="shared" ref="M362:M363" si="105">IF(J362&lt;&gt;"",20000,"")</f>
        <v>20000</v>
      </c>
      <c r="N362" s="58">
        <f t="shared" si="103"/>
        <v>1862640</v>
      </c>
      <c r="O362" s="59"/>
    </row>
    <row r="363" spans="1:15" ht="18.75" customHeight="1">
      <c r="A363" s="183"/>
      <c r="B363" s="184"/>
      <c r="C363" s="185"/>
      <c r="D363" s="186"/>
      <c r="E363" s="187"/>
      <c r="G363" s="64">
        <v>42730</v>
      </c>
      <c r="H363" s="64">
        <v>42733</v>
      </c>
      <c r="I363" s="56" t="s">
        <v>368</v>
      </c>
      <c r="J363" s="56">
        <f t="shared" si="104"/>
        <v>2</v>
      </c>
      <c r="K363" s="56">
        <f>445</f>
        <v>445</v>
      </c>
      <c r="L363" s="88">
        <f t="shared" si="102"/>
        <v>5785</v>
      </c>
      <c r="M363" s="58">
        <f t="shared" si="105"/>
        <v>20000</v>
      </c>
      <c r="N363" s="58">
        <f t="shared" si="103"/>
        <v>231400</v>
      </c>
      <c r="O363" s="59"/>
    </row>
    <row r="364" spans="1:15" ht="18.75" customHeight="1">
      <c r="A364" s="183"/>
      <c r="B364" s="184"/>
      <c r="C364" s="185"/>
      <c r="D364" s="186"/>
      <c r="E364" s="187"/>
      <c r="G364" s="64">
        <v>42731</v>
      </c>
      <c r="H364" s="64">
        <v>42733</v>
      </c>
      <c r="I364" s="56" t="s">
        <v>98</v>
      </c>
      <c r="J364" s="56">
        <f t="shared" si="104"/>
        <v>1</v>
      </c>
      <c r="K364" s="56">
        <f>419-97</f>
        <v>322</v>
      </c>
      <c r="L364" s="88">
        <f t="shared" ref="L364" si="106">K364*13</f>
        <v>4186</v>
      </c>
      <c r="M364" s="58">
        <f t="shared" ref="M364" si="107">IF(J364&lt;&gt;"",20000,"")</f>
        <v>20000</v>
      </c>
      <c r="N364" s="58">
        <f t="shared" si="103"/>
        <v>83720</v>
      </c>
      <c r="O364" s="59"/>
    </row>
    <row r="365" spans="1:15" ht="18.75" customHeight="1">
      <c r="A365" s="183"/>
      <c r="B365" s="184"/>
      <c r="C365" s="185"/>
      <c r="D365" s="186"/>
      <c r="E365" s="187"/>
      <c r="G365" s="64">
        <v>42733</v>
      </c>
      <c r="H365" s="64">
        <v>42733</v>
      </c>
      <c r="I365" s="56" t="s">
        <v>371</v>
      </c>
      <c r="J365" s="56" t="str">
        <f t="shared" si="104"/>
        <v/>
      </c>
      <c r="K365" s="56">
        <v>2030</v>
      </c>
      <c r="L365" s="88">
        <f>K365*13</f>
        <v>26390</v>
      </c>
      <c r="M365" s="58" t="str">
        <f>IF(J365&lt;&gt;"",20000,"")</f>
        <v/>
      </c>
      <c r="N365" s="58" t="str">
        <f>IF(J365&lt;&gt;"",M365*L365*J365/1000,"")</f>
        <v/>
      </c>
      <c r="O365" s="59"/>
    </row>
    <row r="366" spans="1:15" ht="18.75" customHeight="1">
      <c r="A366" s="183"/>
      <c r="B366" s="184"/>
      <c r="C366" s="185"/>
      <c r="D366" s="186"/>
      <c r="E366" s="187"/>
      <c r="G366" s="64">
        <v>42731</v>
      </c>
      <c r="H366" s="64">
        <v>42737</v>
      </c>
      <c r="I366" s="56" t="s">
        <v>98</v>
      </c>
      <c r="J366" s="56">
        <f t="shared" si="104"/>
        <v>5</v>
      </c>
      <c r="K366" s="56">
        <v>97</v>
      </c>
      <c r="L366" s="88">
        <f t="shared" ref="L366" si="108">K366*13</f>
        <v>1261</v>
      </c>
      <c r="M366" s="58">
        <f t="shared" ref="M366" si="109">IF(J366&lt;&gt;"",20000,"")</f>
        <v>20000</v>
      </c>
      <c r="N366" s="58">
        <f t="shared" ref="N366" si="110">IF(J366&lt;&gt;"",M366*L366*J366/1000,"")</f>
        <v>126100</v>
      </c>
      <c r="O366" s="59"/>
    </row>
    <row r="367" spans="1:15" ht="18.75" customHeight="1">
      <c r="A367" s="183"/>
      <c r="B367" s="184"/>
      <c r="C367" s="185"/>
      <c r="D367" s="186"/>
      <c r="E367" s="187"/>
      <c r="G367" s="64">
        <v>42731</v>
      </c>
      <c r="H367" s="64">
        <v>42737</v>
      </c>
      <c r="I367" s="56" t="s">
        <v>321</v>
      </c>
      <c r="J367" s="56">
        <f t="shared" si="104"/>
        <v>5</v>
      </c>
      <c r="K367" s="56">
        <v>445</v>
      </c>
      <c r="L367" s="88">
        <f t="shared" ref="L367:L385" si="111">K367*13</f>
        <v>5785</v>
      </c>
      <c r="M367" s="58">
        <f t="shared" ref="M367:M385" si="112">IF(J367&lt;&gt;"",20000,"")</f>
        <v>20000</v>
      </c>
      <c r="N367" s="58">
        <f t="shared" ref="N367:N385" si="113">IF(J367&lt;&gt;"",M367*L367*J367/1000,"")</f>
        <v>578500</v>
      </c>
      <c r="O367" s="59"/>
    </row>
    <row r="368" spans="1:15" ht="18.75" customHeight="1">
      <c r="A368" s="183"/>
      <c r="B368" s="184"/>
      <c r="C368" s="185"/>
      <c r="D368" s="186"/>
      <c r="E368" s="187"/>
      <c r="G368" s="64">
        <v>42731</v>
      </c>
      <c r="H368" s="64">
        <v>42737</v>
      </c>
      <c r="I368" s="56" t="s">
        <v>369</v>
      </c>
      <c r="J368" s="56">
        <f t="shared" si="104"/>
        <v>5</v>
      </c>
      <c r="K368" s="56">
        <v>800</v>
      </c>
      <c r="L368" s="88">
        <f t="shared" si="111"/>
        <v>10400</v>
      </c>
      <c r="M368" s="58">
        <f t="shared" si="112"/>
        <v>20000</v>
      </c>
      <c r="N368" s="58">
        <f t="shared" si="113"/>
        <v>1040000</v>
      </c>
      <c r="O368" s="59"/>
    </row>
    <row r="369" spans="1:15" ht="18.75" customHeight="1">
      <c r="A369" s="183"/>
      <c r="B369" s="184"/>
      <c r="C369" s="185"/>
      <c r="D369" s="186"/>
      <c r="E369" s="187"/>
      <c r="G369" s="64">
        <v>42732</v>
      </c>
      <c r="H369" s="64">
        <v>42737</v>
      </c>
      <c r="I369" s="56" t="s">
        <v>370</v>
      </c>
      <c r="J369" s="56">
        <f t="shared" si="104"/>
        <v>4</v>
      </c>
      <c r="K369" s="56">
        <f>450-138-4</f>
        <v>308</v>
      </c>
      <c r="L369" s="88">
        <f t="shared" si="111"/>
        <v>4004</v>
      </c>
      <c r="M369" s="58">
        <f t="shared" si="112"/>
        <v>20000</v>
      </c>
      <c r="N369" s="58">
        <f t="shared" si="113"/>
        <v>320320</v>
      </c>
      <c r="O369" s="59"/>
    </row>
    <row r="370" spans="1:15" ht="18.75" customHeight="1">
      <c r="A370" s="183"/>
      <c r="B370" s="184"/>
      <c r="C370" s="185"/>
      <c r="D370" s="186"/>
      <c r="E370" s="187"/>
      <c r="G370" s="64">
        <v>42732</v>
      </c>
      <c r="H370" s="64">
        <v>42740</v>
      </c>
      <c r="I370" s="56" t="s">
        <v>370</v>
      </c>
      <c r="J370" s="56">
        <f t="shared" si="104"/>
        <v>7</v>
      </c>
      <c r="K370" s="56">
        <v>142</v>
      </c>
      <c r="L370" s="88">
        <f t="shared" si="111"/>
        <v>1846</v>
      </c>
      <c r="M370" s="58">
        <f t="shared" si="112"/>
        <v>20000</v>
      </c>
      <c r="N370" s="58">
        <f t="shared" si="113"/>
        <v>258440</v>
      </c>
      <c r="O370" s="59"/>
    </row>
    <row r="371" spans="1:15" ht="18.75" customHeight="1">
      <c r="A371" s="183"/>
      <c r="B371" s="184"/>
      <c r="C371" s="185"/>
      <c r="D371" s="186"/>
      <c r="E371" s="187"/>
      <c r="G371" s="64">
        <v>42732</v>
      </c>
      <c r="H371" s="64">
        <v>42740</v>
      </c>
      <c r="I371" s="56" t="s">
        <v>119</v>
      </c>
      <c r="J371" s="56">
        <f t="shared" si="104"/>
        <v>7</v>
      </c>
      <c r="K371" s="56">
        <f>676-345</f>
        <v>331</v>
      </c>
      <c r="L371" s="88">
        <f t="shared" si="111"/>
        <v>4303</v>
      </c>
      <c r="M371" s="58">
        <f t="shared" si="112"/>
        <v>20000</v>
      </c>
      <c r="N371" s="58">
        <f t="shared" si="113"/>
        <v>602420</v>
      </c>
      <c r="O371" s="59"/>
    </row>
    <row r="372" spans="1:15" ht="19.5" customHeight="1">
      <c r="A372" s="183"/>
      <c r="B372" s="184"/>
      <c r="C372" s="185"/>
      <c r="D372" s="186"/>
      <c r="E372" s="187"/>
      <c r="G372" s="64">
        <v>42732</v>
      </c>
      <c r="H372" s="64">
        <v>42740</v>
      </c>
      <c r="I372" s="56" t="s">
        <v>119</v>
      </c>
      <c r="J372" s="56">
        <f t="shared" si="104"/>
        <v>7</v>
      </c>
      <c r="K372" s="56">
        <v>345</v>
      </c>
      <c r="L372" s="88">
        <f t="shared" si="111"/>
        <v>4485</v>
      </c>
      <c r="M372" s="58">
        <f t="shared" si="112"/>
        <v>20000</v>
      </c>
      <c r="N372" s="58">
        <f t="shared" si="113"/>
        <v>627900</v>
      </c>
      <c r="O372" s="59"/>
    </row>
    <row r="373" spans="1:15" ht="19.5" customHeight="1">
      <c r="A373" s="183"/>
      <c r="B373" s="184"/>
      <c r="C373" s="185"/>
      <c r="D373" s="186"/>
      <c r="E373" s="187"/>
      <c r="G373" s="64">
        <v>42732</v>
      </c>
      <c r="H373" s="64">
        <v>42740</v>
      </c>
      <c r="I373" s="56" t="s">
        <v>121</v>
      </c>
      <c r="J373" s="56">
        <f t="shared" si="104"/>
        <v>7</v>
      </c>
      <c r="K373" s="56">
        <v>523</v>
      </c>
      <c r="L373" s="88">
        <f t="shared" si="111"/>
        <v>6799</v>
      </c>
      <c r="M373" s="58">
        <f t="shared" si="112"/>
        <v>20000</v>
      </c>
      <c r="N373" s="58">
        <f t="shared" si="113"/>
        <v>951860</v>
      </c>
      <c r="O373" s="59"/>
    </row>
    <row r="374" spans="1:15" ht="19.5" customHeight="1">
      <c r="A374" s="183"/>
      <c r="B374" s="184"/>
      <c r="C374" s="185"/>
      <c r="D374" s="186"/>
      <c r="E374" s="187"/>
      <c r="G374" s="64">
        <v>42733</v>
      </c>
      <c r="H374" s="64">
        <v>42740</v>
      </c>
      <c r="I374" s="56" t="s">
        <v>86</v>
      </c>
      <c r="J374" s="56">
        <f t="shared" si="104"/>
        <v>6</v>
      </c>
      <c r="K374" s="56">
        <v>520</v>
      </c>
      <c r="L374" s="88">
        <f t="shared" si="111"/>
        <v>6760</v>
      </c>
      <c r="M374" s="58">
        <f t="shared" si="112"/>
        <v>20000</v>
      </c>
      <c r="N374" s="58">
        <f t="shared" si="113"/>
        <v>811200</v>
      </c>
      <c r="O374" s="59"/>
    </row>
    <row r="375" spans="1:15" ht="19.5" customHeight="1">
      <c r="A375" s="183"/>
      <c r="B375" s="184"/>
      <c r="C375" s="185"/>
      <c r="D375" s="186"/>
      <c r="E375" s="187"/>
      <c r="G375" s="64">
        <v>42733</v>
      </c>
      <c r="H375" s="64">
        <v>42740</v>
      </c>
      <c r="I375" s="56" t="s">
        <v>372</v>
      </c>
      <c r="J375" s="56">
        <f t="shared" si="104"/>
        <v>6</v>
      </c>
      <c r="K375" s="56">
        <f>540</f>
        <v>540</v>
      </c>
      <c r="L375" s="88">
        <f t="shared" si="111"/>
        <v>7020</v>
      </c>
      <c r="M375" s="58">
        <f t="shared" si="112"/>
        <v>20000</v>
      </c>
      <c r="N375" s="58">
        <f t="shared" si="113"/>
        <v>842400</v>
      </c>
      <c r="O375" s="59"/>
    </row>
    <row r="376" spans="1:15" ht="19.5" customHeight="1">
      <c r="A376" s="183"/>
      <c r="B376" s="184"/>
      <c r="C376" s="185"/>
      <c r="D376" s="186"/>
      <c r="E376" s="187"/>
      <c r="G376" s="64">
        <v>42733</v>
      </c>
      <c r="H376" s="64">
        <v>42740</v>
      </c>
      <c r="I376" s="56" t="s">
        <v>186</v>
      </c>
      <c r="J376" s="56">
        <f t="shared" si="104"/>
        <v>6</v>
      </c>
      <c r="K376" s="56">
        <v>637</v>
      </c>
      <c r="L376" s="88">
        <f t="shared" si="111"/>
        <v>8281</v>
      </c>
      <c r="M376" s="58">
        <f t="shared" si="112"/>
        <v>20000</v>
      </c>
      <c r="N376" s="58">
        <f t="shared" si="113"/>
        <v>993720</v>
      </c>
      <c r="O376" s="59"/>
    </row>
    <row r="377" spans="1:15" ht="19.5" customHeight="1">
      <c r="A377" s="183"/>
      <c r="B377" s="184"/>
      <c r="C377" s="185"/>
      <c r="D377" s="186"/>
      <c r="E377" s="187"/>
      <c r="G377" s="64">
        <v>42734</v>
      </c>
      <c r="H377" s="64">
        <v>42740</v>
      </c>
      <c r="I377" s="56" t="s">
        <v>373</v>
      </c>
      <c r="J377" s="56">
        <f t="shared" si="104"/>
        <v>5</v>
      </c>
      <c r="K377" s="56">
        <v>173</v>
      </c>
      <c r="L377" s="88">
        <f t="shared" si="111"/>
        <v>2249</v>
      </c>
      <c r="M377" s="58">
        <f t="shared" si="112"/>
        <v>20000</v>
      </c>
      <c r="N377" s="58">
        <f t="shared" si="113"/>
        <v>224900</v>
      </c>
      <c r="O377" s="59"/>
    </row>
    <row r="378" spans="1:15" ht="19.5" customHeight="1">
      <c r="A378" s="183"/>
      <c r="B378" s="184"/>
      <c r="C378" s="185"/>
      <c r="D378" s="186"/>
      <c r="E378" s="187"/>
      <c r="G378" s="64">
        <v>42734</v>
      </c>
      <c r="H378" s="64">
        <v>42740</v>
      </c>
      <c r="I378" s="56" t="s">
        <v>374</v>
      </c>
      <c r="J378" s="56">
        <f t="shared" si="104"/>
        <v>5</v>
      </c>
      <c r="K378" s="56">
        <v>440</v>
      </c>
      <c r="L378" s="88">
        <f t="shared" si="111"/>
        <v>5720</v>
      </c>
      <c r="M378" s="58">
        <f t="shared" si="112"/>
        <v>20000</v>
      </c>
      <c r="N378" s="58">
        <f t="shared" si="113"/>
        <v>572000</v>
      </c>
      <c r="O378" s="59"/>
    </row>
    <row r="379" spans="1:15" ht="19.5" customHeight="1">
      <c r="A379" s="183"/>
      <c r="B379" s="184"/>
      <c r="C379" s="185"/>
      <c r="D379" s="186"/>
      <c r="E379" s="187"/>
      <c r="G379" s="64">
        <v>42734</v>
      </c>
      <c r="H379" s="64">
        <v>42740</v>
      </c>
      <c r="I379" s="56" t="s">
        <v>125</v>
      </c>
      <c r="J379" s="56">
        <f t="shared" si="104"/>
        <v>5</v>
      </c>
      <c r="K379" s="56">
        <v>406</v>
      </c>
      <c r="L379" s="88">
        <f t="shared" si="111"/>
        <v>5278</v>
      </c>
      <c r="M379" s="58">
        <f t="shared" si="112"/>
        <v>20000</v>
      </c>
      <c r="N379" s="58">
        <f t="shared" si="113"/>
        <v>527800</v>
      </c>
      <c r="O379" s="59"/>
    </row>
    <row r="380" spans="1:15" ht="19.5" customHeight="1">
      <c r="A380" s="183"/>
      <c r="B380" s="184"/>
      <c r="C380" s="185"/>
      <c r="D380" s="186"/>
      <c r="E380" s="187"/>
      <c r="G380" s="64">
        <v>42734</v>
      </c>
      <c r="H380" s="64">
        <v>42740</v>
      </c>
      <c r="I380" s="56" t="s">
        <v>283</v>
      </c>
      <c r="J380" s="56">
        <f t="shared" si="104"/>
        <v>5</v>
      </c>
      <c r="K380" s="56">
        <f>285-281</f>
        <v>4</v>
      </c>
      <c r="L380" s="88">
        <f t="shared" si="111"/>
        <v>52</v>
      </c>
      <c r="M380" s="58">
        <f t="shared" si="112"/>
        <v>20000</v>
      </c>
      <c r="N380" s="58">
        <f t="shared" si="113"/>
        <v>5200</v>
      </c>
      <c r="O380" s="59"/>
    </row>
    <row r="381" spans="1:15" ht="19.5" customHeight="1">
      <c r="A381" s="183"/>
      <c r="B381" s="184"/>
      <c r="C381" s="185"/>
      <c r="D381" s="186"/>
      <c r="E381" s="187"/>
      <c r="G381" s="64">
        <v>42734</v>
      </c>
      <c r="H381" s="64">
        <v>42741</v>
      </c>
      <c r="I381" s="56" t="s">
        <v>283</v>
      </c>
      <c r="J381" s="56">
        <f t="shared" si="104"/>
        <v>6</v>
      </c>
      <c r="K381" s="56">
        <v>281</v>
      </c>
      <c r="L381" s="88">
        <f t="shared" si="111"/>
        <v>3653</v>
      </c>
      <c r="M381" s="58">
        <f t="shared" si="112"/>
        <v>20000</v>
      </c>
      <c r="N381" s="58">
        <f t="shared" si="113"/>
        <v>438360</v>
      </c>
      <c r="O381" s="59"/>
    </row>
    <row r="382" spans="1:15" ht="19.5" customHeight="1">
      <c r="A382" s="183"/>
      <c r="B382" s="184"/>
      <c r="C382" s="185"/>
      <c r="D382" s="186"/>
      <c r="E382" s="187"/>
      <c r="G382" s="64">
        <v>42737</v>
      </c>
      <c r="H382" s="64">
        <v>42741</v>
      </c>
      <c r="I382" s="56" t="s">
        <v>86</v>
      </c>
      <c r="J382" s="56">
        <f t="shared" si="104"/>
        <v>3</v>
      </c>
      <c r="K382" s="56">
        <v>508</v>
      </c>
      <c r="L382" s="88">
        <f t="shared" si="111"/>
        <v>6604</v>
      </c>
      <c r="M382" s="58">
        <f t="shared" si="112"/>
        <v>20000</v>
      </c>
      <c r="N382" s="58">
        <f t="shared" si="113"/>
        <v>396240</v>
      </c>
      <c r="O382" s="59"/>
    </row>
    <row r="383" spans="1:15" ht="19.5" customHeight="1">
      <c r="A383" s="183"/>
      <c r="B383" s="184"/>
      <c r="C383" s="185"/>
      <c r="D383" s="186"/>
      <c r="E383" s="187"/>
      <c r="G383" s="64">
        <v>42738</v>
      </c>
      <c r="H383" s="64">
        <v>42741</v>
      </c>
      <c r="I383" s="56" t="s">
        <v>119</v>
      </c>
      <c r="J383" s="56">
        <f t="shared" si="104"/>
        <v>2</v>
      </c>
      <c r="K383" s="56">
        <v>432</v>
      </c>
      <c r="L383" s="88">
        <f t="shared" si="111"/>
        <v>5616</v>
      </c>
      <c r="M383" s="58">
        <f t="shared" si="112"/>
        <v>20000</v>
      </c>
      <c r="N383" s="58">
        <f t="shared" si="113"/>
        <v>224640</v>
      </c>
      <c r="O383" s="59"/>
    </row>
    <row r="384" spans="1:15" ht="19.5" customHeight="1">
      <c r="A384" s="183"/>
      <c r="B384" s="184"/>
      <c r="C384" s="185"/>
      <c r="D384" s="186"/>
      <c r="E384" s="187"/>
      <c r="G384" s="64">
        <v>42738</v>
      </c>
      <c r="H384" s="64">
        <v>42741</v>
      </c>
      <c r="I384" s="56" t="s">
        <v>369</v>
      </c>
      <c r="J384" s="56">
        <f t="shared" si="104"/>
        <v>2</v>
      </c>
      <c r="K384" s="56">
        <v>805</v>
      </c>
      <c r="L384" s="88">
        <f t="shared" si="111"/>
        <v>10465</v>
      </c>
      <c r="M384" s="58">
        <f t="shared" si="112"/>
        <v>20000</v>
      </c>
      <c r="N384" s="58">
        <f t="shared" si="113"/>
        <v>418600</v>
      </c>
      <c r="O384" s="59"/>
    </row>
    <row r="385" spans="1:15" ht="19.5" customHeight="1">
      <c r="A385" s="183"/>
      <c r="B385" s="184"/>
      <c r="C385" s="185"/>
      <c r="D385" s="186"/>
      <c r="E385" s="187"/>
      <c r="G385" s="64">
        <v>42739</v>
      </c>
      <c r="H385" s="64">
        <v>42741</v>
      </c>
      <c r="I385" s="56" t="s">
        <v>376</v>
      </c>
      <c r="J385" s="56">
        <f t="shared" si="104"/>
        <v>1</v>
      </c>
      <c r="K385" s="56">
        <f>448-444</f>
        <v>4</v>
      </c>
      <c r="L385" s="88">
        <f t="shared" si="111"/>
        <v>52</v>
      </c>
      <c r="M385" s="58">
        <f t="shared" si="112"/>
        <v>20000</v>
      </c>
      <c r="N385" s="58">
        <f t="shared" si="113"/>
        <v>1040</v>
      </c>
      <c r="O385" s="59"/>
    </row>
    <row r="386" spans="1:15" ht="19.5" customHeight="1">
      <c r="A386" s="183"/>
      <c r="B386" s="184"/>
      <c r="C386" s="185"/>
      <c r="D386" s="186"/>
      <c r="E386" s="187"/>
      <c r="G386" s="174"/>
      <c r="H386" s="174"/>
      <c r="I386" s="175"/>
      <c r="J386" s="175"/>
      <c r="K386" s="175"/>
      <c r="L386" s="176"/>
      <c r="M386" s="177"/>
      <c r="N386" s="177"/>
      <c r="O386" s="59"/>
    </row>
    <row r="387" spans="1:15" ht="19.5" customHeight="1">
      <c r="A387" s="183"/>
      <c r="B387" s="184"/>
      <c r="C387" s="185"/>
      <c r="D387" s="186"/>
      <c r="E387" s="187"/>
      <c r="G387" s="73"/>
      <c r="H387" s="73"/>
      <c r="I387" s="73" t="s">
        <v>48</v>
      </c>
      <c r="J387" s="73"/>
      <c r="K387" s="89">
        <f>SUM(K361:K386)</f>
        <v>11801</v>
      </c>
      <c r="L387" s="89">
        <f t="shared" ref="L387:N387" si="114">SUM(L361:L386)</f>
        <v>153413</v>
      </c>
      <c r="M387" s="89"/>
      <c r="N387" s="89">
        <f t="shared" si="114"/>
        <v>12247040</v>
      </c>
      <c r="O387" s="59"/>
    </row>
    <row r="388" spans="1:15" ht="19.5" customHeight="1">
      <c r="A388" s="183"/>
      <c r="B388" s="184"/>
      <c r="C388" s="185"/>
      <c r="D388" s="186"/>
      <c r="E388" s="187"/>
      <c r="G388" s="64">
        <v>42739</v>
      </c>
      <c r="H388" s="64">
        <v>42746</v>
      </c>
      <c r="I388" s="56" t="s">
        <v>376</v>
      </c>
      <c r="J388" s="56">
        <f t="shared" ref="J388:J393" si="115">IF(AND(H388&lt;&gt;"",H388-G388+1&gt;2),H388-G388-1,"")</f>
        <v>6</v>
      </c>
      <c r="K388" s="56">
        <v>444</v>
      </c>
      <c r="L388" s="88">
        <f t="shared" ref="L388:L389" si="116">K388*13</f>
        <v>5772</v>
      </c>
      <c r="M388" s="58">
        <f t="shared" ref="M388:M394" si="117">IF(J388&lt;&gt;"",20000,"")</f>
        <v>20000</v>
      </c>
      <c r="N388" s="58">
        <f t="shared" ref="N388:N389" si="118">IF(J388&lt;&gt;"",M388*L388*J388/1000,"")</f>
        <v>692640</v>
      </c>
      <c r="O388" s="59"/>
    </row>
    <row r="389" spans="1:15" ht="19.5" customHeight="1">
      <c r="A389" s="183"/>
      <c r="B389" s="184"/>
      <c r="C389" s="185"/>
      <c r="D389" s="186"/>
      <c r="E389" s="187"/>
      <c r="G389" s="64">
        <v>42594</v>
      </c>
      <c r="H389" s="64">
        <v>42746</v>
      </c>
      <c r="I389" s="56" t="s">
        <v>104</v>
      </c>
      <c r="J389" s="56">
        <f t="shared" si="115"/>
        <v>151</v>
      </c>
      <c r="K389" s="56">
        <v>20</v>
      </c>
      <c r="L389" s="88">
        <f t="shared" si="116"/>
        <v>260</v>
      </c>
      <c r="M389" s="58">
        <f t="shared" si="117"/>
        <v>20000</v>
      </c>
      <c r="N389" s="58">
        <f t="shared" si="118"/>
        <v>785200</v>
      </c>
      <c r="O389" s="59"/>
    </row>
    <row r="390" spans="1:15" ht="19.5" customHeight="1">
      <c r="A390" s="183"/>
      <c r="B390" s="184"/>
      <c r="C390" s="185"/>
      <c r="D390" s="186"/>
      <c r="E390" s="187"/>
      <c r="G390" s="64">
        <v>42594</v>
      </c>
      <c r="H390" s="64">
        <v>42746</v>
      </c>
      <c r="I390" s="56" t="s">
        <v>105</v>
      </c>
      <c r="J390" s="56">
        <f t="shared" si="115"/>
        <v>151</v>
      </c>
      <c r="K390" s="56">
        <v>8</v>
      </c>
      <c r="L390" s="88">
        <f t="shared" ref="L390:L394" si="119">K390*13</f>
        <v>104</v>
      </c>
      <c r="M390" s="58">
        <f t="shared" si="117"/>
        <v>20000</v>
      </c>
      <c r="N390" s="58">
        <f t="shared" ref="N390:N394" si="120">IF(J390&lt;&gt;"",M390*L390*J390/1000,"")</f>
        <v>314080</v>
      </c>
      <c r="O390" s="59"/>
    </row>
    <row r="391" spans="1:15" ht="29.25" customHeight="1">
      <c r="A391" s="183"/>
      <c r="B391" s="184"/>
      <c r="C391" s="185"/>
      <c r="D391" s="186"/>
      <c r="E391" s="187"/>
      <c r="G391" s="64">
        <v>42710</v>
      </c>
      <c r="H391" s="64">
        <v>42746</v>
      </c>
      <c r="I391" s="137" t="s">
        <v>201</v>
      </c>
      <c r="J391" s="56">
        <f t="shared" si="115"/>
        <v>35</v>
      </c>
      <c r="K391" s="56">
        <v>3</v>
      </c>
      <c r="L391" s="88">
        <f t="shared" si="119"/>
        <v>39</v>
      </c>
      <c r="M391" s="58">
        <f t="shared" si="117"/>
        <v>20000</v>
      </c>
      <c r="N391" s="58">
        <f t="shared" si="120"/>
        <v>27300</v>
      </c>
      <c r="O391" s="59"/>
    </row>
    <row r="392" spans="1:15" ht="19.5" customHeight="1">
      <c r="A392" s="183"/>
      <c r="B392" s="184"/>
      <c r="C392" s="185"/>
      <c r="D392" s="186"/>
      <c r="E392" s="187"/>
      <c r="F392" s="4"/>
      <c r="G392" s="64">
        <v>42737</v>
      </c>
      <c r="H392" s="64">
        <v>42746</v>
      </c>
      <c r="I392" s="56" t="s">
        <v>375</v>
      </c>
      <c r="J392" s="56">
        <f t="shared" si="115"/>
        <v>8</v>
      </c>
      <c r="K392" s="56">
        <v>11</v>
      </c>
      <c r="L392" s="88">
        <f t="shared" si="119"/>
        <v>143</v>
      </c>
      <c r="M392" s="58">
        <f t="shared" si="117"/>
        <v>20000</v>
      </c>
      <c r="N392" s="58">
        <f t="shared" si="120"/>
        <v>22880</v>
      </c>
    </row>
    <row r="393" spans="1:15" ht="19.5" customHeight="1">
      <c r="A393" s="162"/>
      <c r="B393" s="162"/>
      <c r="C393" s="178"/>
      <c r="D393" s="111"/>
      <c r="E393" s="159"/>
      <c r="G393" s="64"/>
      <c r="H393" s="64"/>
      <c r="I393" s="56" t="s">
        <v>111</v>
      </c>
      <c r="J393" s="56" t="str">
        <f t="shared" si="115"/>
        <v/>
      </c>
      <c r="K393" s="56">
        <f>-25-8</f>
        <v>-33</v>
      </c>
      <c r="L393" s="88">
        <f t="shared" si="119"/>
        <v>-429</v>
      </c>
      <c r="M393" s="58" t="str">
        <f t="shared" si="117"/>
        <v/>
      </c>
      <c r="N393" s="58" t="str">
        <f t="shared" si="120"/>
        <v/>
      </c>
    </row>
    <row r="394" spans="1:15" ht="19.5" customHeight="1">
      <c r="A394" s="188"/>
      <c r="B394" s="188"/>
      <c r="C394" s="189"/>
      <c r="D394" s="190"/>
      <c r="E394" s="191"/>
      <c r="G394" s="64"/>
      <c r="H394" s="64"/>
      <c r="I394" s="56"/>
      <c r="J394" s="56" t="str">
        <f t="shared" ref="J394" si="121">IF(AND(H394&lt;&gt;"",H394-G394+1&gt;2),H394-G394+1,"")</f>
        <v/>
      </c>
      <c r="K394" s="56"/>
      <c r="L394" s="88">
        <f t="shared" si="119"/>
        <v>0</v>
      </c>
      <c r="M394" s="58" t="str">
        <f t="shared" si="117"/>
        <v/>
      </c>
      <c r="N394" s="58" t="str">
        <f t="shared" si="120"/>
        <v/>
      </c>
    </row>
    <row r="395" spans="1:15" ht="19.5" customHeight="1">
      <c r="A395" s="188"/>
      <c r="B395" s="188"/>
      <c r="C395" s="189"/>
      <c r="D395" s="190"/>
      <c r="E395" s="191"/>
      <c r="G395" s="66"/>
      <c r="H395" s="66"/>
      <c r="I395" s="67"/>
      <c r="J395" s="67"/>
      <c r="K395" s="67"/>
      <c r="L395" s="68"/>
      <c r="M395" s="69"/>
      <c r="N395" s="69"/>
    </row>
    <row r="396" spans="1:15" ht="19.5" customHeight="1">
      <c r="G396" s="73"/>
      <c r="H396" s="73"/>
      <c r="I396" s="73" t="s">
        <v>380</v>
      </c>
      <c r="J396" s="73"/>
      <c r="K396" s="89">
        <f>SUM(K388:K395)</f>
        <v>453</v>
      </c>
      <c r="L396" s="89">
        <f>SUM(L388:L395)</f>
        <v>5889</v>
      </c>
      <c r="M396" s="89"/>
      <c r="N396" s="89">
        <f>SUM(N388:N395)</f>
        <v>1842100</v>
      </c>
    </row>
    <row r="400" spans="1:15" ht="31.5" customHeight="1">
      <c r="A400" s="73" t="s">
        <v>0</v>
      </c>
      <c r="B400" s="166" t="s">
        <v>21</v>
      </c>
      <c r="C400" s="105" t="s">
        <v>50</v>
      </c>
      <c r="D400" s="106" t="s">
        <v>51</v>
      </c>
      <c r="E400" s="106" t="s">
        <v>9</v>
      </c>
      <c r="F400" s="356" t="s">
        <v>117</v>
      </c>
      <c r="G400" s="357"/>
      <c r="H400" s="358"/>
      <c r="I400" s="106" t="s">
        <v>52</v>
      </c>
    </row>
    <row r="401" spans="1:11">
      <c r="A401" s="60">
        <v>1</v>
      </c>
      <c r="B401" s="61" t="s">
        <v>367</v>
      </c>
      <c r="C401" s="173">
        <v>144188.68</v>
      </c>
      <c r="D401" s="63">
        <v>22480</v>
      </c>
      <c r="E401" s="63">
        <f>C401*D401</f>
        <v>3241361526.3999996</v>
      </c>
      <c r="F401" s="170"/>
      <c r="G401" s="171"/>
      <c r="H401" s="172"/>
      <c r="I401" s="63"/>
    </row>
    <row r="402" spans="1:11">
      <c r="A402" s="60">
        <v>2</v>
      </c>
      <c r="B402" s="61" t="s">
        <v>123</v>
      </c>
      <c r="C402" s="97"/>
      <c r="D402" s="63"/>
      <c r="E402" s="63"/>
      <c r="F402" s="353">
        <f>1825573</f>
        <v>1825573</v>
      </c>
      <c r="G402" s="354"/>
      <c r="H402" s="355"/>
      <c r="I402" s="63"/>
    </row>
    <row r="403" spans="1:11">
      <c r="A403" s="60">
        <v>3</v>
      </c>
      <c r="B403" s="61" t="s">
        <v>378</v>
      </c>
      <c r="C403" s="97"/>
      <c r="D403" s="63"/>
      <c r="E403" s="63"/>
      <c r="F403" s="353"/>
      <c r="G403" s="354"/>
      <c r="H403" s="355"/>
      <c r="I403" s="63">
        <f>4*51000000</f>
        <v>204000000</v>
      </c>
    </row>
    <row r="404" spans="1:11">
      <c r="A404" s="60">
        <v>4</v>
      </c>
      <c r="B404" s="61" t="s">
        <v>379</v>
      </c>
      <c r="C404" s="97"/>
      <c r="D404" s="63"/>
      <c r="E404" s="63"/>
      <c r="F404" s="353"/>
      <c r="G404" s="354"/>
      <c r="H404" s="355"/>
      <c r="I404" s="63">
        <f>N387</f>
        <v>12247040</v>
      </c>
    </row>
    <row r="405" spans="1:11">
      <c r="A405" s="60">
        <v>5</v>
      </c>
      <c r="B405" s="61" t="s">
        <v>142</v>
      </c>
      <c r="C405" s="97"/>
      <c r="D405" s="63"/>
      <c r="E405" s="63"/>
      <c r="F405" s="353">
        <f>ROUND(I405*0.09%,0)</f>
        <v>296150</v>
      </c>
      <c r="G405" s="354"/>
      <c r="H405" s="355"/>
      <c r="I405" s="63">
        <v>329056000</v>
      </c>
    </row>
    <row r="406" spans="1:11">
      <c r="A406" s="60">
        <v>6</v>
      </c>
      <c r="B406" s="61" t="s">
        <v>56</v>
      </c>
      <c r="C406" s="62"/>
      <c r="D406" s="63"/>
      <c r="E406" s="63">
        <f>C406*D406</f>
        <v>0</v>
      </c>
      <c r="F406" s="353">
        <f>ROUND(I406*0.09%,0)</f>
        <v>2422361</v>
      </c>
      <c r="G406" s="354"/>
      <c r="H406" s="355"/>
      <c r="I406" s="63">
        <v>2691512000</v>
      </c>
    </row>
    <row r="407" spans="1:11" ht="6" customHeight="1">
      <c r="A407" s="60"/>
      <c r="B407" s="115"/>
      <c r="C407" s="116"/>
      <c r="D407" s="113"/>
      <c r="E407" s="113"/>
      <c r="F407" s="167"/>
      <c r="G407" s="168"/>
      <c r="H407" s="169"/>
      <c r="I407" s="113"/>
    </row>
    <row r="408" spans="1:11">
      <c r="A408" s="70"/>
      <c r="B408" s="70" t="s">
        <v>57</v>
      </c>
      <c r="C408" s="71"/>
      <c r="D408" s="72"/>
      <c r="E408" s="72">
        <f>SUM(E401:E407)</f>
        <v>3241361526.3999996</v>
      </c>
      <c r="F408" s="350">
        <f>SUM(F401:H407)</f>
        <v>4544084</v>
      </c>
      <c r="G408" s="351"/>
      <c r="H408" s="352"/>
      <c r="I408" s="72">
        <f>SUM(I401:I407)</f>
        <v>3236815040</v>
      </c>
    </row>
    <row r="409" spans="1:11">
      <c r="A409" s="162" t="s">
        <v>303</v>
      </c>
      <c r="K409" s="122"/>
    </row>
    <row r="410" spans="1:11">
      <c r="I410" s="122"/>
    </row>
    <row r="412" spans="1:11" ht="31.5" customHeight="1">
      <c r="A412" s="73" t="s">
        <v>0</v>
      </c>
      <c r="B412" s="198" t="s">
        <v>21</v>
      </c>
      <c r="C412" s="105" t="s">
        <v>50</v>
      </c>
      <c r="D412" s="106" t="s">
        <v>51</v>
      </c>
      <c r="E412" s="106" t="s">
        <v>9</v>
      </c>
      <c r="F412" s="356" t="s">
        <v>117</v>
      </c>
      <c r="G412" s="357"/>
      <c r="H412" s="358"/>
      <c r="I412" s="106" t="s">
        <v>52</v>
      </c>
    </row>
    <row r="413" spans="1:11">
      <c r="A413" s="60">
        <v>1</v>
      </c>
      <c r="B413" s="61" t="s">
        <v>389</v>
      </c>
      <c r="C413" s="173">
        <v>294308</v>
      </c>
      <c r="D413" s="63">
        <v>22465</v>
      </c>
      <c r="E413" s="63">
        <f>C413*D413</f>
        <v>6611629220</v>
      </c>
      <c r="F413" s="192"/>
      <c r="G413" s="193"/>
      <c r="H413" s="194"/>
      <c r="I413" s="63"/>
    </row>
    <row r="414" spans="1:11">
      <c r="A414" s="60">
        <v>2</v>
      </c>
      <c r="B414" s="61" t="s">
        <v>123</v>
      </c>
      <c r="C414" s="97"/>
      <c r="D414" s="63"/>
      <c r="E414" s="63"/>
      <c r="F414" s="353">
        <f>1825573*2</f>
        <v>3651146</v>
      </c>
      <c r="G414" s="354"/>
      <c r="H414" s="355"/>
      <c r="I414" s="63"/>
    </row>
    <row r="415" spans="1:11">
      <c r="A415" s="60">
        <v>4</v>
      </c>
      <c r="B415" s="61" t="s">
        <v>391</v>
      </c>
      <c r="C415" s="97"/>
      <c r="D415" s="63"/>
      <c r="E415" s="63"/>
      <c r="F415" s="353">
        <v>1842100</v>
      </c>
      <c r="G415" s="354"/>
      <c r="H415" s="355"/>
      <c r="I415" s="63"/>
    </row>
    <row r="416" spans="1:11">
      <c r="A416" s="60">
        <v>3</v>
      </c>
      <c r="B416" s="124" t="s">
        <v>55</v>
      </c>
      <c r="C416" s="97"/>
      <c r="D416" s="63"/>
      <c r="E416" s="63"/>
      <c r="F416" s="353">
        <f t="shared" ref="F416:F417" si="122">ROUND(I416*0.09%,0)</f>
        <v>889727</v>
      </c>
      <c r="G416" s="354"/>
      <c r="H416" s="355"/>
      <c r="I416" s="63">
        <v>988585000</v>
      </c>
    </row>
    <row r="417" spans="1:14">
      <c r="A417" s="60">
        <v>4</v>
      </c>
      <c r="B417" s="61" t="s">
        <v>390</v>
      </c>
      <c r="C417" s="97"/>
      <c r="D417" s="63"/>
      <c r="E417" s="63"/>
      <c r="F417" s="353">
        <f t="shared" si="122"/>
        <v>851458</v>
      </c>
      <c r="G417" s="354"/>
      <c r="H417" s="355"/>
      <c r="I417" s="63">
        <v>946064000</v>
      </c>
    </row>
    <row r="418" spans="1:14">
      <c r="A418" s="60">
        <v>5</v>
      </c>
      <c r="B418" s="61" t="s">
        <v>56</v>
      </c>
      <c r="C418" s="62"/>
      <c r="D418" s="63"/>
      <c r="E418" s="63">
        <f>C418*D418</f>
        <v>0</v>
      </c>
      <c r="F418" s="353">
        <f>ROUND(I418*0.09%,0)</f>
        <v>4198989</v>
      </c>
      <c r="G418" s="354"/>
      <c r="H418" s="355"/>
      <c r="I418" s="63">
        <v>4665543000</v>
      </c>
    </row>
    <row r="419" spans="1:14" ht="6" customHeight="1">
      <c r="A419" s="60"/>
      <c r="B419" s="115"/>
      <c r="C419" s="116"/>
      <c r="D419" s="113"/>
      <c r="E419" s="113"/>
      <c r="F419" s="195"/>
      <c r="G419" s="196"/>
      <c r="H419" s="197"/>
      <c r="I419" s="113"/>
    </row>
    <row r="420" spans="1:14">
      <c r="A420" s="70"/>
      <c r="B420" s="70" t="s">
        <v>57</v>
      </c>
      <c r="C420" s="71"/>
      <c r="D420" s="72"/>
      <c r="E420" s="72">
        <f>SUM(E413:E419)</f>
        <v>6611629220</v>
      </c>
      <c r="F420" s="350">
        <f>SUM(F413:H419)</f>
        <v>11433420</v>
      </c>
      <c r="G420" s="351"/>
      <c r="H420" s="352"/>
      <c r="I420" s="72">
        <f>SUM(I413:I419)</f>
        <v>6600192000</v>
      </c>
    </row>
    <row r="421" spans="1:14">
      <c r="A421" s="162" t="s">
        <v>303</v>
      </c>
      <c r="K421" s="122"/>
    </row>
    <row r="422" spans="1:14">
      <c r="I422" s="122"/>
    </row>
    <row r="423" spans="1:14" ht="31.5" customHeight="1">
      <c r="A423" s="73" t="s">
        <v>0</v>
      </c>
      <c r="B423" s="205" t="s">
        <v>21</v>
      </c>
      <c r="C423" s="105" t="s">
        <v>50</v>
      </c>
      <c r="D423" s="106" t="s">
        <v>51</v>
      </c>
      <c r="E423" s="106" t="s">
        <v>9</v>
      </c>
      <c r="F423" s="356" t="s">
        <v>117</v>
      </c>
      <c r="G423" s="357"/>
      <c r="H423" s="358"/>
      <c r="I423" s="106" t="s">
        <v>52</v>
      </c>
    </row>
    <row r="424" spans="1:14">
      <c r="A424" s="60">
        <v>1</v>
      </c>
      <c r="B424" s="61" t="s">
        <v>392</v>
      </c>
      <c r="C424" s="173">
        <v>149355.4</v>
      </c>
      <c r="D424" s="63">
        <v>22520</v>
      </c>
      <c r="E424" s="63">
        <f>C424*D424</f>
        <v>3363483608</v>
      </c>
      <c r="F424" s="202"/>
      <c r="G424" s="203"/>
      <c r="H424" s="204"/>
      <c r="I424" s="63"/>
    </row>
    <row r="425" spans="1:14">
      <c r="A425" s="60">
        <v>2</v>
      </c>
      <c r="B425" s="61" t="s">
        <v>123</v>
      </c>
      <c r="C425" s="97"/>
      <c r="D425" s="63"/>
      <c r="E425" s="63"/>
      <c r="F425" s="353">
        <v>1861474</v>
      </c>
      <c r="G425" s="354"/>
      <c r="H425" s="355"/>
      <c r="I425" s="63"/>
    </row>
    <row r="426" spans="1:14">
      <c r="A426" s="60">
        <v>3</v>
      </c>
      <c r="B426" s="61" t="s">
        <v>142</v>
      </c>
      <c r="C426" s="97"/>
      <c r="D426" s="63"/>
      <c r="E426" s="63"/>
      <c r="F426" s="353">
        <f>ROUND(I426*0.07%,0)</f>
        <v>1175650</v>
      </c>
      <c r="G426" s="354"/>
      <c r="H426" s="355"/>
      <c r="I426" s="63">
        <v>1679500000</v>
      </c>
    </row>
    <row r="427" spans="1:14">
      <c r="A427" s="60">
        <v>4</v>
      </c>
      <c r="B427" s="124" t="s">
        <v>152</v>
      </c>
      <c r="C427" s="97"/>
      <c r="D427" s="63"/>
      <c r="E427" s="63"/>
      <c r="F427" s="353">
        <f>ROUND(I427*0.07%,0)</f>
        <v>1175650</v>
      </c>
      <c r="G427" s="354"/>
      <c r="H427" s="355"/>
      <c r="I427" s="63">
        <v>1679500000</v>
      </c>
    </row>
    <row r="428" spans="1:14" ht="6" customHeight="1">
      <c r="A428" s="60"/>
      <c r="B428" s="115"/>
      <c r="C428" s="116"/>
      <c r="D428" s="113"/>
      <c r="E428" s="113"/>
      <c r="F428" s="199"/>
      <c r="G428" s="200"/>
      <c r="H428" s="201"/>
      <c r="I428" s="113"/>
    </row>
    <row r="429" spans="1:14">
      <c r="A429" s="70"/>
      <c r="B429" s="70" t="s">
        <v>57</v>
      </c>
      <c r="C429" s="71"/>
      <c r="D429" s="72"/>
      <c r="E429" s="72">
        <f>SUM(E424:E428)</f>
        <v>3363483608</v>
      </c>
      <c r="F429" s="350">
        <f>SUM(F424:H428)</f>
        <v>4212774</v>
      </c>
      <c r="G429" s="351"/>
      <c r="H429" s="352"/>
      <c r="I429" s="72">
        <f>SUM(I424:I428)</f>
        <v>3359000000</v>
      </c>
    </row>
    <row r="430" spans="1:14">
      <c r="A430" s="162" t="s">
        <v>303</v>
      </c>
      <c r="K430" s="122"/>
    </row>
    <row r="431" spans="1:14" s="4" customFormat="1">
      <c r="C431" s="130"/>
      <c r="D431" s="81"/>
      <c r="E431" s="131"/>
      <c r="F431" s="4" t="s">
        <v>398</v>
      </c>
      <c r="G431" s="8"/>
      <c r="H431" s="8"/>
      <c r="I431" s="132">
        <f>E429-F429-I429</f>
        <v>270834</v>
      </c>
      <c r="J431" s="8"/>
      <c r="K431" s="8"/>
      <c r="L431" s="8"/>
      <c r="M431" s="8"/>
      <c r="N431" s="8"/>
    </row>
    <row r="433" spans="1:11" ht="31.5" customHeight="1">
      <c r="A433" s="73" t="s">
        <v>0</v>
      </c>
      <c r="B433" s="212" t="s">
        <v>21</v>
      </c>
      <c r="C433" s="105" t="s">
        <v>50</v>
      </c>
      <c r="D433" s="106" t="s">
        <v>51</v>
      </c>
      <c r="E433" s="106" t="s">
        <v>9</v>
      </c>
      <c r="F433" s="356" t="s">
        <v>117</v>
      </c>
      <c r="G433" s="357"/>
      <c r="H433" s="358"/>
      <c r="I433" s="106" t="s">
        <v>52</v>
      </c>
    </row>
    <row r="434" spans="1:11">
      <c r="A434" s="60">
        <v>1</v>
      </c>
      <c r="B434" s="61" t="s">
        <v>393</v>
      </c>
      <c r="C434" s="173">
        <v>277610.8</v>
      </c>
      <c r="D434" s="63">
        <v>22520</v>
      </c>
      <c r="E434" s="63">
        <f>C434*D434</f>
        <v>6251795216</v>
      </c>
      <c r="F434" s="206"/>
      <c r="G434" s="207"/>
      <c r="H434" s="208"/>
      <c r="I434" s="63"/>
    </row>
    <row r="435" spans="1:11">
      <c r="A435" s="60">
        <v>2</v>
      </c>
      <c r="B435" s="61" t="s">
        <v>123</v>
      </c>
      <c r="C435" s="97"/>
      <c r="D435" s="63"/>
      <c r="E435" s="63"/>
      <c r="F435" s="353">
        <v>2899200</v>
      </c>
      <c r="G435" s="354"/>
      <c r="H435" s="355"/>
      <c r="I435" s="63"/>
    </row>
    <row r="436" spans="1:11">
      <c r="A436" s="60">
        <v>3</v>
      </c>
      <c r="B436" s="61" t="s">
        <v>394</v>
      </c>
      <c r="C436" s="97"/>
      <c r="D436" s="63"/>
      <c r="E436" s="63"/>
      <c r="F436" s="353">
        <f>ROUND(I436*0.09%,0)</f>
        <v>1339135</v>
      </c>
      <c r="G436" s="354"/>
      <c r="H436" s="355"/>
      <c r="I436" s="63">
        <v>1487928000</v>
      </c>
    </row>
    <row r="437" spans="1:11">
      <c r="A437" s="60">
        <v>4</v>
      </c>
      <c r="B437" s="61" t="s">
        <v>395</v>
      </c>
      <c r="C437" s="97"/>
      <c r="D437" s="63"/>
      <c r="E437" s="63"/>
      <c r="F437" s="353">
        <f t="shared" ref="F437:F439" si="123">ROUND(I437*0.09%,0)</f>
        <v>1367145</v>
      </c>
      <c r="G437" s="354"/>
      <c r="H437" s="355"/>
      <c r="I437" s="63">
        <v>1519050000</v>
      </c>
    </row>
    <row r="438" spans="1:11">
      <c r="A438" s="60">
        <v>5</v>
      </c>
      <c r="B438" s="61" t="s">
        <v>396</v>
      </c>
      <c r="C438" s="97"/>
      <c r="D438" s="63"/>
      <c r="E438" s="63"/>
      <c r="F438" s="353">
        <f t="shared" si="123"/>
        <v>1360476</v>
      </c>
      <c r="G438" s="354"/>
      <c r="H438" s="355"/>
      <c r="I438" s="63">
        <v>1511640000</v>
      </c>
    </row>
    <row r="439" spans="1:11">
      <c r="A439" s="60">
        <v>6</v>
      </c>
      <c r="B439" s="61" t="s">
        <v>397</v>
      </c>
      <c r="C439" s="97"/>
      <c r="D439" s="63"/>
      <c r="E439" s="63"/>
      <c r="F439" s="353">
        <f t="shared" si="123"/>
        <v>1348542</v>
      </c>
      <c r="G439" s="354"/>
      <c r="H439" s="355"/>
      <c r="I439" s="63">
        <v>1498380000</v>
      </c>
    </row>
    <row r="440" spans="1:11">
      <c r="A440" s="60">
        <v>7</v>
      </c>
      <c r="B440" s="124"/>
      <c r="C440" s="97"/>
      <c r="D440" s="63"/>
      <c r="E440" s="63"/>
      <c r="F440" s="353">
        <f>ROUND(I440*0.06%,0)</f>
        <v>0</v>
      </c>
      <c r="G440" s="354"/>
      <c r="H440" s="355"/>
      <c r="I440" s="63"/>
    </row>
    <row r="441" spans="1:11" ht="6" customHeight="1">
      <c r="A441" s="60"/>
      <c r="B441" s="115"/>
      <c r="C441" s="116"/>
      <c r="D441" s="113"/>
      <c r="E441" s="113"/>
      <c r="F441" s="209"/>
      <c r="G441" s="210"/>
      <c r="H441" s="211"/>
      <c r="I441" s="113"/>
    </row>
    <row r="442" spans="1:11">
      <c r="A442" s="70"/>
      <c r="B442" s="70" t="s">
        <v>57</v>
      </c>
      <c r="C442" s="71"/>
      <c r="D442" s="72"/>
      <c r="E442" s="72">
        <f>SUM(E434:E441)</f>
        <v>6251795216</v>
      </c>
      <c r="F442" s="350">
        <f>SUM(F434:H441)</f>
        <v>8314498</v>
      </c>
      <c r="G442" s="351"/>
      <c r="H442" s="352"/>
      <c r="I442" s="72">
        <f>SUM(I434:I441)</f>
        <v>6016998000</v>
      </c>
    </row>
    <row r="443" spans="1:11">
      <c r="A443" s="162" t="s">
        <v>303</v>
      </c>
      <c r="K443" s="122"/>
    </row>
    <row r="444" spans="1:11">
      <c r="F444" s="4" t="s">
        <v>398</v>
      </c>
      <c r="I444" s="132">
        <f>E442-F442-I442</f>
        <v>226482718</v>
      </c>
    </row>
    <row r="446" spans="1:11" ht="31.5" customHeight="1">
      <c r="A446" s="73" t="s">
        <v>0</v>
      </c>
      <c r="B446" s="219" t="s">
        <v>21</v>
      </c>
      <c r="C446" s="105" t="s">
        <v>50</v>
      </c>
      <c r="D446" s="106" t="s">
        <v>51</v>
      </c>
      <c r="E446" s="106" t="s">
        <v>9</v>
      </c>
      <c r="F446" s="356" t="s">
        <v>117</v>
      </c>
      <c r="G446" s="357"/>
      <c r="H446" s="358"/>
      <c r="I446" s="106" t="s">
        <v>52</v>
      </c>
    </row>
    <row r="447" spans="1:11">
      <c r="A447" s="60">
        <v>1</v>
      </c>
      <c r="B447" s="61" t="s">
        <v>399</v>
      </c>
      <c r="C447" s="173">
        <v>441468</v>
      </c>
      <c r="D447" s="63">
        <v>22570</v>
      </c>
      <c r="E447" s="63">
        <f>C447*D447</f>
        <v>9963932760</v>
      </c>
      <c r="F447" s="213"/>
      <c r="G447" s="214"/>
      <c r="H447" s="215"/>
      <c r="I447" s="63"/>
    </row>
    <row r="448" spans="1:11">
      <c r="A448" s="60">
        <v>2</v>
      </c>
      <c r="B448" s="61" t="s">
        <v>123</v>
      </c>
      <c r="C448" s="97"/>
      <c r="D448" s="63"/>
      <c r="E448" s="63"/>
      <c r="F448" s="353">
        <v>3250000</v>
      </c>
      <c r="G448" s="354"/>
      <c r="H448" s="355"/>
      <c r="I448" s="63"/>
    </row>
    <row r="449" spans="1:11">
      <c r="A449" s="60">
        <v>3</v>
      </c>
      <c r="B449" s="61" t="s">
        <v>403</v>
      </c>
      <c r="C449" s="97"/>
      <c r="D449" s="63"/>
      <c r="E449" s="63">
        <v>270834</v>
      </c>
      <c r="F449" s="353"/>
      <c r="G449" s="354"/>
      <c r="H449" s="355"/>
      <c r="I449" s="63"/>
    </row>
    <row r="450" spans="1:11">
      <c r="A450" s="60">
        <v>3</v>
      </c>
      <c r="B450" s="61" t="s">
        <v>402</v>
      </c>
      <c r="C450" s="97"/>
      <c r="D450" s="63"/>
      <c r="E450" s="63">
        <v>226482718</v>
      </c>
      <c r="F450" s="353"/>
      <c r="G450" s="354"/>
      <c r="H450" s="355"/>
      <c r="I450" s="63"/>
    </row>
    <row r="451" spans="1:11">
      <c r="A451" s="60">
        <v>4</v>
      </c>
      <c r="B451" s="61" t="s">
        <v>131</v>
      </c>
      <c r="C451" s="97"/>
      <c r="D451" s="63"/>
      <c r="E451" s="63"/>
      <c r="F451" s="353">
        <v>1100000</v>
      </c>
      <c r="G451" s="354"/>
      <c r="H451" s="355"/>
      <c r="I451" s="63">
        <v>1697000000</v>
      </c>
    </row>
    <row r="452" spans="1:11">
      <c r="A452" s="60">
        <v>5</v>
      </c>
      <c r="B452" s="61" t="s">
        <v>396</v>
      </c>
      <c r="C452" s="97"/>
      <c r="D452" s="63"/>
      <c r="E452" s="63"/>
      <c r="F452" s="353">
        <v>1100000</v>
      </c>
      <c r="G452" s="354"/>
      <c r="H452" s="355"/>
      <c r="I452" s="63">
        <v>1697000000</v>
      </c>
    </row>
    <row r="453" spans="1:11">
      <c r="A453" s="60">
        <v>6</v>
      </c>
      <c r="B453" s="61" t="s">
        <v>395</v>
      </c>
      <c r="C453" s="97"/>
      <c r="D453" s="63"/>
      <c r="E453" s="63"/>
      <c r="F453" s="353">
        <v>1100000</v>
      </c>
      <c r="G453" s="354"/>
      <c r="H453" s="355"/>
      <c r="I453" s="63">
        <v>1696000000</v>
      </c>
    </row>
    <row r="454" spans="1:11">
      <c r="A454" s="60">
        <v>7</v>
      </c>
      <c r="B454" s="61" t="s">
        <v>400</v>
      </c>
      <c r="C454" s="97"/>
      <c r="D454" s="63"/>
      <c r="E454" s="63"/>
      <c r="F454" s="353">
        <v>1100000</v>
      </c>
      <c r="G454" s="354"/>
      <c r="H454" s="355"/>
      <c r="I454" s="63">
        <v>1696000000</v>
      </c>
    </row>
    <row r="455" spans="1:11">
      <c r="A455" s="60">
        <v>8</v>
      </c>
      <c r="B455" s="124" t="s">
        <v>401</v>
      </c>
      <c r="C455" s="97"/>
      <c r="D455" s="63"/>
      <c r="E455" s="63"/>
      <c r="F455" s="353">
        <v>1100000</v>
      </c>
      <c r="G455" s="354"/>
      <c r="H455" s="355"/>
      <c r="I455" s="63">
        <v>1696000000</v>
      </c>
    </row>
    <row r="456" spans="1:11">
      <c r="A456" s="60">
        <v>9</v>
      </c>
      <c r="B456" s="220" t="s">
        <v>394</v>
      </c>
      <c r="C456" s="221"/>
      <c r="D456" s="113"/>
      <c r="E456" s="113"/>
      <c r="F456" s="353">
        <v>1100000</v>
      </c>
      <c r="G456" s="354"/>
      <c r="H456" s="355"/>
      <c r="I456" s="63">
        <v>1696000000</v>
      </c>
    </row>
    <row r="457" spans="1:11">
      <c r="A457" s="60">
        <v>10</v>
      </c>
      <c r="B457" s="220"/>
      <c r="C457" s="221"/>
      <c r="D457" s="113"/>
      <c r="E457" s="113"/>
      <c r="F457" s="353">
        <f t="shared" ref="F457" si="124">ROUND(I457*0.06%,0)</f>
        <v>0</v>
      </c>
      <c r="G457" s="354"/>
      <c r="H457" s="355"/>
      <c r="I457" s="113"/>
    </row>
    <row r="458" spans="1:11" ht="6" customHeight="1">
      <c r="A458" s="60"/>
      <c r="B458" s="115"/>
      <c r="C458" s="116"/>
      <c r="D458" s="113"/>
      <c r="E458" s="113"/>
      <c r="F458" s="216"/>
      <c r="G458" s="217"/>
      <c r="H458" s="218"/>
      <c r="I458" s="113"/>
    </row>
    <row r="459" spans="1:11">
      <c r="A459" s="70"/>
      <c r="B459" s="70" t="s">
        <v>57</v>
      </c>
      <c r="C459" s="71"/>
      <c r="D459" s="72"/>
      <c r="E459" s="72">
        <f>SUM(E447:E458)</f>
        <v>10190686312</v>
      </c>
      <c r="F459" s="350">
        <f>SUM(F447:H458)</f>
        <v>9850000</v>
      </c>
      <c r="G459" s="351"/>
      <c r="H459" s="352"/>
      <c r="I459" s="72">
        <f>SUM(I447:I458)</f>
        <v>10178000000</v>
      </c>
    </row>
    <row r="460" spans="1:11">
      <c r="A460" s="162" t="s">
        <v>303</v>
      </c>
      <c r="K460" s="122"/>
    </row>
    <row r="461" spans="1:11">
      <c r="F461" s="4" t="s">
        <v>398</v>
      </c>
      <c r="I461" s="132">
        <f>E459-F459-I459</f>
        <v>2836312</v>
      </c>
    </row>
    <row r="463" spans="1:11" ht="31.5" customHeight="1">
      <c r="A463" s="73" t="s">
        <v>0</v>
      </c>
      <c r="B463" s="225" t="s">
        <v>21</v>
      </c>
      <c r="C463" s="105" t="s">
        <v>50</v>
      </c>
      <c r="D463" s="106" t="s">
        <v>51</v>
      </c>
      <c r="E463" s="106" t="s">
        <v>9</v>
      </c>
      <c r="F463" s="356" t="s">
        <v>117</v>
      </c>
      <c r="G463" s="357"/>
      <c r="H463" s="358"/>
      <c r="I463" s="106" t="s">
        <v>52</v>
      </c>
    </row>
    <row r="464" spans="1:11">
      <c r="A464" s="60">
        <v>1</v>
      </c>
      <c r="B464" s="61" t="s">
        <v>405</v>
      </c>
      <c r="C464" s="173">
        <v>447980.2</v>
      </c>
      <c r="D464" s="63">
        <v>22620</v>
      </c>
      <c r="E464" s="63">
        <f>C464*D464</f>
        <v>10133312124</v>
      </c>
      <c r="F464" s="226"/>
      <c r="G464" s="227"/>
      <c r="H464" s="228"/>
      <c r="I464" s="63"/>
    </row>
    <row r="465" spans="1:11">
      <c r="A465" s="60">
        <v>2</v>
      </c>
      <c r="B465" s="61" t="s">
        <v>404</v>
      </c>
      <c r="C465" s="97"/>
      <c r="D465" s="63"/>
      <c r="E465" s="63">
        <v>2836312</v>
      </c>
      <c r="F465" s="353"/>
      <c r="G465" s="354"/>
      <c r="H465" s="355"/>
      <c r="I465" s="63"/>
    </row>
    <row r="466" spans="1:11">
      <c r="A466" s="60">
        <v>3</v>
      </c>
      <c r="B466" s="61" t="s">
        <v>396</v>
      </c>
      <c r="C466" s="97"/>
      <c r="D466" s="63"/>
      <c r="E466" s="63"/>
      <c r="F466" s="353">
        <v>1100000</v>
      </c>
      <c r="G466" s="354"/>
      <c r="H466" s="355"/>
      <c r="I466" s="63">
        <v>2110891000</v>
      </c>
    </row>
    <row r="467" spans="1:11">
      <c r="A467" s="60">
        <v>4</v>
      </c>
      <c r="B467" s="61" t="s">
        <v>395</v>
      </c>
      <c r="C467" s="97"/>
      <c r="D467" s="63"/>
      <c r="E467" s="63"/>
      <c r="F467" s="353">
        <v>1100000</v>
      </c>
      <c r="G467" s="354"/>
      <c r="H467" s="355"/>
      <c r="I467" s="63">
        <v>1238708500</v>
      </c>
    </row>
    <row r="468" spans="1:11">
      <c r="A468" s="60">
        <v>5</v>
      </c>
      <c r="B468" s="61" t="s">
        <v>131</v>
      </c>
      <c r="C468" s="97"/>
      <c r="D468" s="63"/>
      <c r="E468" s="63"/>
      <c r="F468" s="353">
        <v>1100000</v>
      </c>
      <c r="G468" s="354"/>
      <c r="H468" s="355"/>
      <c r="I468" s="63">
        <v>1473180000</v>
      </c>
    </row>
    <row r="469" spans="1:11">
      <c r="A469" s="60">
        <v>6</v>
      </c>
      <c r="B469" s="61" t="s">
        <v>406</v>
      </c>
      <c r="C469" s="97"/>
      <c r="D469" s="63"/>
      <c r="E469" s="63"/>
      <c r="F469" s="353">
        <v>1100000</v>
      </c>
      <c r="G469" s="354"/>
      <c r="H469" s="355"/>
      <c r="I469" s="63">
        <v>1552320000</v>
      </c>
    </row>
    <row r="470" spans="1:11">
      <c r="A470" s="60">
        <v>7</v>
      </c>
      <c r="B470" s="61" t="s">
        <v>400</v>
      </c>
      <c r="C470" s="97"/>
      <c r="D470" s="63"/>
      <c r="E470" s="63"/>
      <c r="F470" s="353">
        <v>1100000</v>
      </c>
      <c r="G470" s="354"/>
      <c r="H470" s="355"/>
      <c r="I470" s="63">
        <v>1329812000</v>
      </c>
    </row>
    <row r="471" spans="1:11">
      <c r="A471" s="60">
        <v>8</v>
      </c>
      <c r="B471" s="220" t="s">
        <v>394</v>
      </c>
      <c r="C471" s="221"/>
      <c r="D471" s="113"/>
      <c r="E471" s="113"/>
      <c r="F471" s="353">
        <v>1100000</v>
      </c>
      <c r="G471" s="354"/>
      <c r="H471" s="355"/>
      <c r="I471" s="63">
        <v>2251300000</v>
      </c>
    </row>
    <row r="472" spans="1:11">
      <c r="A472" s="60"/>
      <c r="B472" s="220"/>
      <c r="C472" s="221"/>
      <c r="D472" s="113"/>
      <c r="E472" s="113"/>
      <c r="F472" s="353">
        <f t="shared" ref="F472" si="125">ROUND(I472*0.06%,0)</f>
        <v>0</v>
      </c>
      <c r="G472" s="354"/>
      <c r="H472" s="355"/>
      <c r="I472" s="113"/>
    </row>
    <row r="473" spans="1:11" ht="6" customHeight="1">
      <c r="A473" s="60"/>
      <c r="B473" s="115"/>
      <c r="C473" s="116"/>
      <c r="D473" s="113"/>
      <c r="E473" s="113"/>
      <c r="F473" s="222"/>
      <c r="G473" s="223"/>
      <c r="H473" s="224"/>
      <c r="I473" s="113"/>
    </row>
    <row r="474" spans="1:11">
      <c r="A474" s="70"/>
      <c r="B474" s="70" t="s">
        <v>57</v>
      </c>
      <c r="C474" s="71"/>
      <c r="D474" s="72"/>
      <c r="E474" s="72">
        <f>SUM(E464:E473)</f>
        <v>10136148436</v>
      </c>
      <c r="F474" s="350">
        <f>SUM(F464:H473)</f>
        <v>6600000</v>
      </c>
      <c r="G474" s="351"/>
      <c r="H474" s="352"/>
      <c r="I474" s="72">
        <f>SUM(I464:I473)</f>
        <v>9956211500</v>
      </c>
    </row>
    <row r="475" spans="1:11">
      <c r="A475" s="162" t="s">
        <v>303</v>
      </c>
      <c r="K475" s="122"/>
    </row>
    <row r="476" spans="1:11">
      <c r="F476" s="4" t="s">
        <v>398</v>
      </c>
      <c r="I476" s="132">
        <f>E474-F474-I474</f>
        <v>173336936</v>
      </c>
    </row>
    <row r="478" spans="1:11" ht="31.5" customHeight="1">
      <c r="A478" s="73" t="s">
        <v>0</v>
      </c>
      <c r="B478" s="232" t="s">
        <v>21</v>
      </c>
      <c r="C478" s="105" t="s">
        <v>50</v>
      </c>
      <c r="D478" s="106" t="s">
        <v>51</v>
      </c>
      <c r="E478" s="106" t="s">
        <v>9</v>
      </c>
      <c r="F478" s="356" t="s">
        <v>117</v>
      </c>
      <c r="G478" s="357"/>
      <c r="H478" s="358"/>
      <c r="I478" s="106" t="s">
        <v>52</v>
      </c>
    </row>
    <row r="479" spans="1:11">
      <c r="A479" s="60">
        <v>1</v>
      </c>
      <c r="B479" s="61" t="s">
        <v>407</v>
      </c>
      <c r="C479" s="173">
        <v>450229.68</v>
      </c>
      <c r="D479" s="63">
        <v>22620</v>
      </c>
      <c r="E479" s="63">
        <f>C479*D479</f>
        <v>10184195361.6</v>
      </c>
      <c r="F479" s="233"/>
      <c r="G479" s="234"/>
      <c r="H479" s="235"/>
      <c r="I479" s="63"/>
    </row>
    <row r="480" spans="1:11">
      <c r="A480" s="60">
        <v>2</v>
      </c>
      <c r="B480" s="61" t="s">
        <v>123</v>
      </c>
      <c r="C480" s="97"/>
      <c r="D480" s="63"/>
      <c r="E480" s="63"/>
      <c r="F480" s="353">
        <v>2514600</v>
      </c>
      <c r="G480" s="354"/>
      <c r="H480" s="355"/>
      <c r="I480" s="63"/>
    </row>
    <row r="481" spans="1:11">
      <c r="A481" s="60">
        <v>3</v>
      </c>
      <c r="B481" s="61" t="s">
        <v>408</v>
      </c>
      <c r="C481" s="97"/>
      <c r="D481" s="63"/>
      <c r="E481" s="63">
        <f>I476</f>
        <v>173336936</v>
      </c>
      <c r="F481" s="353"/>
      <c r="G481" s="354"/>
      <c r="H481" s="355"/>
      <c r="I481" s="63"/>
    </row>
    <row r="482" spans="1:11">
      <c r="A482" s="60">
        <v>4</v>
      </c>
      <c r="B482" s="61" t="s">
        <v>396</v>
      </c>
      <c r="C482" s="97"/>
      <c r="D482" s="63"/>
      <c r="E482" s="63"/>
      <c r="F482" s="353">
        <v>1100000</v>
      </c>
      <c r="G482" s="354"/>
      <c r="H482" s="355"/>
      <c r="I482" s="63">
        <v>2809419000</v>
      </c>
    </row>
    <row r="483" spans="1:11">
      <c r="A483" s="60">
        <v>5</v>
      </c>
      <c r="B483" s="61" t="s">
        <v>395</v>
      </c>
      <c r="C483" s="97"/>
      <c r="D483" s="63"/>
      <c r="E483" s="63"/>
      <c r="F483" s="353">
        <v>550000</v>
      </c>
      <c r="G483" s="354"/>
      <c r="H483" s="355"/>
      <c r="I483" s="63">
        <v>1000000000</v>
      </c>
    </row>
    <row r="484" spans="1:11">
      <c r="A484" s="60">
        <v>6</v>
      </c>
      <c r="B484" s="61" t="s">
        <v>400</v>
      </c>
      <c r="C484" s="97"/>
      <c r="D484" s="63"/>
      <c r="E484" s="63"/>
      <c r="F484" s="353">
        <v>825000</v>
      </c>
      <c r="G484" s="354"/>
      <c r="H484" s="355"/>
      <c r="I484" s="63">
        <v>1500000000</v>
      </c>
    </row>
    <row r="485" spans="1:11">
      <c r="A485" s="60">
        <v>7</v>
      </c>
      <c r="B485" s="220" t="s">
        <v>394</v>
      </c>
      <c r="C485" s="97"/>
      <c r="D485" s="63"/>
      <c r="E485" s="63"/>
      <c r="F485" s="353">
        <v>1100000</v>
      </c>
      <c r="G485" s="354"/>
      <c r="H485" s="355"/>
      <c r="I485" s="63">
        <v>4443756000</v>
      </c>
    </row>
    <row r="486" spans="1:11">
      <c r="A486" s="60">
        <v>8</v>
      </c>
      <c r="B486" s="61" t="s">
        <v>56</v>
      </c>
      <c r="C486" s="97"/>
      <c r="D486" s="63"/>
      <c r="E486" s="63"/>
      <c r="F486" s="353">
        <v>324500</v>
      </c>
      <c r="G486" s="354"/>
      <c r="H486" s="355"/>
      <c r="I486" s="63">
        <v>590000000</v>
      </c>
    </row>
    <row r="487" spans="1:11">
      <c r="A487" s="60"/>
      <c r="B487" s="220"/>
      <c r="C487" s="221"/>
      <c r="D487" s="113"/>
      <c r="E487" s="113"/>
      <c r="F487" s="353">
        <f t="shared" ref="F487" si="126">ROUND(I487*0.06%,0)</f>
        <v>0</v>
      </c>
      <c r="G487" s="354"/>
      <c r="H487" s="355"/>
      <c r="I487" s="113"/>
    </row>
    <row r="488" spans="1:11" ht="6" customHeight="1">
      <c r="A488" s="60"/>
      <c r="B488" s="115"/>
      <c r="C488" s="116"/>
      <c r="D488" s="113"/>
      <c r="E488" s="113"/>
      <c r="F488" s="229"/>
      <c r="G488" s="230"/>
      <c r="H488" s="231"/>
      <c r="I488" s="113"/>
    </row>
    <row r="489" spans="1:11">
      <c r="A489" s="70"/>
      <c r="B489" s="70" t="s">
        <v>57</v>
      </c>
      <c r="C489" s="71"/>
      <c r="D489" s="72"/>
      <c r="E489" s="72">
        <f>SUM(E479:E488)</f>
        <v>10357532297.6</v>
      </c>
      <c r="F489" s="350">
        <f>SUM(F479:H488)</f>
        <v>6414100</v>
      </c>
      <c r="G489" s="351"/>
      <c r="H489" s="352"/>
      <c r="I489" s="72">
        <f>SUM(I479:I488)</f>
        <v>10343175000</v>
      </c>
    </row>
    <row r="490" spans="1:11">
      <c r="A490" s="162" t="s">
        <v>303</v>
      </c>
      <c r="K490" s="122"/>
    </row>
    <row r="491" spans="1:11">
      <c r="F491" s="4" t="s">
        <v>398</v>
      </c>
      <c r="I491" s="132">
        <f>E489-F489-I489</f>
        <v>7943197.6000003815</v>
      </c>
    </row>
    <row r="492" spans="1:11">
      <c r="I492" s="265"/>
    </row>
    <row r="493" spans="1:11" ht="31.5" customHeight="1">
      <c r="A493" s="73" t="s">
        <v>0</v>
      </c>
      <c r="B493" s="275" t="s">
        <v>21</v>
      </c>
      <c r="C493" s="105" t="s">
        <v>50</v>
      </c>
      <c r="D493" s="106" t="s">
        <v>51</v>
      </c>
      <c r="E493" s="106" t="s">
        <v>9</v>
      </c>
      <c r="F493" s="356" t="s">
        <v>117</v>
      </c>
      <c r="G493" s="357"/>
      <c r="H493" s="358"/>
      <c r="I493" s="106" t="s">
        <v>52</v>
      </c>
    </row>
    <row r="494" spans="1:11">
      <c r="A494" s="60">
        <v>1</v>
      </c>
      <c r="B494" s="61" t="s">
        <v>412</v>
      </c>
      <c r="C494" s="173">
        <v>448090.2</v>
      </c>
      <c r="D494" s="63">
        <v>22650</v>
      </c>
      <c r="E494" s="63">
        <f>C494*D494</f>
        <v>10149243030</v>
      </c>
      <c r="F494" s="269"/>
      <c r="G494" s="270"/>
      <c r="H494" s="271"/>
      <c r="I494" s="63"/>
    </row>
    <row r="495" spans="1:11">
      <c r="A495" s="60">
        <v>2</v>
      </c>
      <c r="B495" s="61" t="s">
        <v>123</v>
      </c>
      <c r="C495" s="97"/>
      <c r="D495" s="63"/>
      <c r="E495" s="63"/>
      <c r="F495" s="353">
        <v>2514600</v>
      </c>
      <c r="G495" s="354"/>
      <c r="H495" s="355"/>
      <c r="I495" s="63"/>
    </row>
    <row r="496" spans="1:11">
      <c r="A496" s="60">
        <v>3</v>
      </c>
      <c r="B496" s="61" t="s">
        <v>413</v>
      </c>
      <c r="C496" s="97"/>
      <c r="D496" s="63"/>
      <c r="E496" s="63">
        <f>I491</f>
        <v>7943197.6000003815</v>
      </c>
      <c r="F496" s="353"/>
      <c r="G496" s="354"/>
      <c r="H496" s="355"/>
      <c r="I496" s="63"/>
    </row>
    <row r="497" spans="1:11">
      <c r="A497" s="60">
        <v>4</v>
      </c>
      <c r="B497" s="61" t="s">
        <v>414</v>
      </c>
      <c r="C497" s="97"/>
      <c r="D497" s="63"/>
      <c r="E497" s="63">
        <v>500000000</v>
      </c>
      <c r="F497" s="266"/>
      <c r="G497" s="267"/>
      <c r="H497" s="268"/>
      <c r="I497" s="63"/>
    </row>
    <row r="498" spans="1:11">
      <c r="A498" s="60">
        <v>5</v>
      </c>
      <c r="B498" s="61" t="s">
        <v>397</v>
      </c>
      <c r="C498" s="97"/>
      <c r="D498" s="63"/>
      <c r="E498" s="63"/>
      <c r="F498" s="353">
        <f>ROUND(IF(I498*0.07%&gt;1100000,1100000,I498*0.07%),0)</f>
        <v>1100000</v>
      </c>
      <c r="G498" s="354"/>
      <c r="H498" s="355"/>
      <c r="I498" s="63">
        <v>1950000000</v>
      </c>
    </row>
    <row r="499" spans="1:11">
      <c r="A499" s="60">
        <v>6</v>
      </c>
      <c r="B499" s="61" t="s">
        <v>395</v>
      </c>
      <c r="C499" s="97"/>
      <c r="D499" s="63"/>
      <c r="E499" s="63"/>
      <c r="F499" s="353">
        <v>770000</v>
      </c>
      <c r="G499" s="354"/>
      <c r="H499" s="355"/>
      <c r="I499" s="63">
        <v>1000000000</v>
      </c>
    </row>
    <row r="500" spans="1:11">
      <c r="A500" s="60">
        <v>7</v>
      </c>
      <c r="B500" s="61" t="s">
        <v>400</v>
      </c>
      <c r="C500" s="97"/>
      <c r="D500" s="63"/>
      <c r="E500" s="63"/>
      <c r="F500" s="353">
        <v>1100000</v>
      </c>
      <c r="G500" s="354"/>
      <c r="H500" s="355"/>
      <c r="I500" s="63">
        <v>1500000000</v>
      </c>
    </row>
    <row r="501" spans="1:11">
      <c r="A501" s="60">
        <v>8</v>
      </c>
      <c r="B501" s="220" t="s">
        <v>394</v>
      </c>
      <c r="C501" s="97"/>
      <c r="D501" s="63"/>
      <c r="E501" s="63"/>
      <c r="F501" s="353">
        <f t="shared" ref="F501:F503" si="127">ROUND(IF(I501*0.07%&gt;1100000,1100000,I501*0.07%),0)</f>
        <v>1100000</v>
      </c>
      <c r="G501" s="354"/>
      <c r="H501" s="355"/>
      <c r="I501" s="63">
        <v>1955000000</v>
      </c>
    </row>
    <row r="502" spans="1:11">
      <c r="A502" s="60">
        <v>8</v>
      </c>
      <c r="B502" s="124" t="s">
        <v>55</v>
      </c>
      <c r="C502" s="97"/>
      <c r="D502" s="63"/>
      <c r="E502" s="63"/>
      <c r="F502" s="353">
        <f t="shared" si="127"/>
        <v>1100000</v>
      </c>
      <c r="G502" s="354"/>
      <c r="H502" s="355"/>
      <c r="I502" s="63">
        <v>2245072000</v>
      </c>
    </row>
    <row r="503" spans="1:11">
      <c r="A503" s="60">
        <v>9</v>
      </c>
      <c r="B503" s="61" t="s">
        <v>56</v>
      </c>
      <c r="C503" s="97"/>
      <c r="D503" s="63"/>
      <c r="E503" s="63"/>
      <c r="F503" s="353">
        <f t="shared" si="127"/>
        <v>1100000</v>
      </c>
      <c r="G503" s="354"/>
      <c r="H503" s="355"/>
      <c r="I503" s="63">
        <v>1998400000</v>
      </c>
    </row>
    <row r="504" spans="1:11">
      <c r="A504" s="60"/>
      <c r="B504" s="220"/>
      <c r="C504" s="221"/>
      <c r="D504" s="113"/>
      <c r="E504" s="113"/>
      <c r="F504" s="353"/>
      <c r="G504" s="354"/>
      <c r="H504" s="355"/>
      <c r="I504" s="113"/>
    </row>
    <row r="505" spans="1:11" ht="6" customHeight="1">
      <c r="A505" s="60"/>
      <c r="B505" s="115"/>
      <c r="C505" s="116"/>
      <c r="D505" s="113"/>
      <c r="E505" s="113"/>
      <c r="F505" s="272"/>
      <c r="G505" s="273"/>
      <c r="H505" s="274"/>
      <c r="I505" s="113"/>
    </row>
    <row r="506" spans="1:11">
      <c r="A506" s="70"/>
      <c r="B506" s="70" t="s">
        <v>57</v>
      </c>
      <c r="C506" s="71"/>
      <c r="D506" s="72"/>
      <c r="E506" s="72">
        <f>SUM(E494:E505)</f>
        <v>10657186227.6</v>
      </c>
      <c r="F506" s="350">
        <f>SUM(F494:H505)</f>
        <v>8784600</v>
      </c>
      <c r="G506" s="351"/>
      <c r="H506" s="352"/>
      <c r="I506" s="72">
        <f>SUM(I494:I505)</f>
        <v>10648472000</v>
      </c>
    </row>
    <row r="507" spans="1:11">
      <c r="A507" s="162"/>
      <c r="K507" s="122"/>
    </row>
    <row r="508" spans="1:11">
      <c r="F508" s="4" t="s">
        <v>398</v>
      </c>
      <c r="I508" s="132">
        <f>E506-F506-I506</f>
        <v>-70372.39999961853</v>
      </c>
    </row>
  </sheetData>
  <mergeCells count="184">
    <mergeCell ref="F489:H489"/>
    <mergeCell ref="F480:H480"/>
    <mergeCell ref="F478:H478"/>
    <mergeCell ref="F481:H481"/>
    <mergeCell ref="F482:H482"/>
    <mergeCell ref="F483:H483"/>
    <mergeCell ref="F484:H484"/>
    <mergeCell ref="F485:H485"/>
    <mergeCell ref="F486:H486"/>
    <mergeCell ref="F487:H487"/>
    <mergeCell ref="F471:H471"/>
    <mergeCell ref="F472:H472"/>
    <mergeCell ref="F474:H474"/>
    <mergeCell ref="F463:H463"/>
    <mergeCell ref="F465:H465"/>
    <mergeCell ref="F466:H466"/>
    <mergeCell ref="F467:H467"/>
    <mergeCell ref="F468:H468"/>
    <mergeCell ref="F469:H469"/>
    <mergeCell ref="F470:H470"/>
    <mergeCell ref="A205:E205"/>
    <mergeCell ref="F195:H195"/>
    <mergeCell ref="F197:H197"/>
    <mergeCell ref="F135:H135"/>
    <mergeCell ref="F140:H140"/>
    <mergeCell ref="A150:E150"/>
    <mergeCell ref="F188:H188"/>
    <mergeCell ref="F145:H145"/>
    <mergeCell ref="F146:H146"/>
    <mergeCell ref="F147:H147"/>
    <mergeCell ref="F177:H177"/>
    <mergeCell ref="F178:H178"/>
    <mergeCell ref="F179:H179"/>
    <mergeCell ref="F180:H180"/>
    <mergeCell ref="F181:H181"/>
    <mergeCell ref="F184:H184"/>
    <mergeCell ref="F89:H89"/>
    <mergeCell ref="F90:H90"/>
    <mergeCell ref="F85:H85"/>
    <mergeCell ref="F86:H86"/>
    <mergeCell ref="F87:H87"/>
    <mergeCell ref="F88:H88"/>
    <mergeCell ref="F100:H100"/>
    <mergeCell ref="F226:H226"/>
    <mergeCell ref="F131:H131"/>
    <mergeCell ref="F139:H139"/>
    <mergeCell ref="F134:H134"/>
    <mergeCell ref="F94:H94"/>
    <mergeCell ref="F136:H136"/>
    <mergeCell ref="F137:H137"/>
    <mergeCell ref="F141:H141"/>
    <mergeCell ref="F142:H142"/>
    <mergeCell ref="F143:H143"/>
    <mergeCell ref="F144:H144"/>
    <mergeCell ref="F189:H189"/>
    <mergeCell ref="F194:H194"/>
    <mergeCell ref="F190:H190"/>
    <mergeCell ref="F191:H191"/>
    <mergeCell ref="F96:H96"/>
    <mergeCell ref="F98:H98"/>
    <mergeCell ref="F99:H99"/>
    <mergeCell ref="F95:H95"/>
    <mergeCell ref="F97:H97"/>
    <mergeCell ref="F198:H198"/>
    <mergeCell ref="F199:H199"/>
    <mergeCell ref="F182:H182"/>
    <mergeCell ref="F183:H183"/>
    <mergeCell ref="F128:H128"/>
    <mergeCell ref="F129:H129"/>
    <mergeCell ref="F130:H130"/>
    <mergeCell ref="F132:H132"/>
    <mergeCell ref="F133:H133"/>
    <mergeCell ref="F196:H196"/>
    <mergeCell ref="F264:H264"/>
    <mergeCell ref="F266:H266"/>
    <mergeCell ref="A240:E240"/>
    <mergeCell ref="F267:H267"/>
    <mergeCell ref="F265:H265"/>
    <mergeCell ref="A1:E1"/>
    <mergeCell ref="A32:E32"/>
    <mergeCell ref="A21:E21"/>
    <mergeCell ref="A55:E55"/>
    <mergeCell ref="A105:E105"/>
    <mergeCell ref="B77:D77"/>
    <mergeCell ref="B78:D78"/>
    <mergeCell ref="B79:D79"/>
    <mergeCell ref="B80:D80"/>
    <mergeCell ref="B81:D81"/>
    <mergeCell ref="B82:D82"/>
    <mergeCell ref="B83:D83"/>
    <mergeCell ref="F232:H232"/>
    <mergeCell ref="F227:H227"/>
    <mergeCell ref="F228:H228"/>
    <mergeCell ref="F230:H230"/>
    <mergeCell ref="F231:H231"/>
    <mergeCell ref="F92:H92"/>
    <mergeCell ref="F93:H93"/>
    <mergeCell ref="A358:E358"/>
    <mergeCell ref="A288:E288"/>
    <mergeCell ref="F269:H269"/>
    <mergeCell ref="F270:H270"/>
    <mergeCell ref="F271:H271"/>
    <mergeCell ref="F281:H281"/>
    <mergeCell ref="F277:H277"/>
    <mergeCell ref="F278:H278"/>
    <mergeCell ref="F279:H279"/>
    <mergeCell ref="F274:H274"/>
    <mergeCell ref="F275:H275"/>
    <mergeCell ref="F276:H276"/>
    <mergeCell ref="F280:H280"/>
    <mergeCell ref="F272:H272"/>
    <mergeCell ref="A328:E328"/>
    <mergeCell ref="F347:H347"/>
    <mergeCell ref="F348:H348"/>
    <mergeCell ref="F349:H349"/>
    <mergeCell ref="F350:H350"/>
    <mergeCell ref="F345:H345"/>
    <mergeCell ref="F233:H233"/>
    <mergeCell ref="F234:H234"/>
    <mergeCell ref="F408:H408"/>
    <mergeCell ref="F324:H324"/>
    <mergeCell ref="G358:N358"/>
    <mergeCell ref="F404:H404"/>
    <mergeCell ref="F402:H402"/>
    <mergeCell ref="F403:H403"/>
    <mergeCell ref="F405:H405"/>
    <mergeCell ref="F406:H406"/>
    <mergeCell ref="F316:H316"/>
    <mergeCell ref="F317:H317"/>
    <mergeCell ref="F318:H318"/>
    <mergeCell ref="F319:H319"/>
    <mergeCell ref="F320:H320"/>
    <mergeCell ref="F321:H321"/>
    <mergeCell ref="F322:H322"/>
    <mergeCell ref="F352:H352"/>
    <mergeCell ref="F400:H400"/>
    <mergeCell ref="F235:H235"/>
    <mergeCell ref="F236:H236"/>
    <mergeCell ref="F268:H268"/>
    <mergeCell ref="F262:H262"/>
    <mergeCell ref="F263:H263"/>
    <mergeCell ref="F433:H433"/>
    <mergeCell ref="F435:H435"/>
    <mergeCell ref="F436:H436"/>
    <mergeCell ref="F440:H440"/>
    <mergeCell ref="F442:H442"/>
    <mergeCell ref="F437:H437"/>
    <mergeCell ref="F438:H438"/>
    <mergeCell ref="F439:H439"/>
    <mergeCell ref="F412:H412"/>
    <mergeCell ref="F414:H414"/>
    <mergeCell ref="F416:H416"/>
    <mergeCell ref="F417:H417"/>
    <mergeCell ref="F418:H418"/>
    <mergeCell ref="F420:H420"/>
    <mergeCell ref="F423:H423"/>
    <mergeCell ref="F425:H425"/>
    <mergeCell ref="F426:H426"/>
    <mergeCell ref="F427:H427"/>
    <mergeCell ref="F429:H429"/>
    <mergeCell ref="F415:H415"/>
    <mergeCell ref="F446:H446"/>
    <mergeCell ref="F448:H448"/>
    <mergeCell ref="F451:H451"/>
    <mergeCell ref="F452:H452"/>
    <mergeCell ref="F453:H453"/>
    <mergeCell ref="F454:H454"/>
    <mergeCell ref="F455:H455"/>
    <mergeCell ref="F459:H459"/>
    <mergeCell ref="F456:H456"/>
    <mergeCell ref="F457:H457"/>
    <mergeCell ref="F450:H450"/>
    <mergeCell ref="F449:H449"/>
    <mergeCell ref="F506:H506"/>
    <mergeCell ref="F502:H502"/>
    <mergeCell ref="F493:H493"/>
    <mergeCell ref="F495:H495"/>
    <mergeCell ref="F496:H496"/>
    <mergeCell ref="F498:H498"/>
    <mergeCell ref="F499:H499"/>
    <mergeCell ref="F500:H500"/>
    <mergeCell ref="F501:H501"/>
    <mergeCell ref="F503:H503"/>
    <mergeCell ref="F504:H504"/>
  </mergeCells>
  <pageMargins left="0.16" right="0.16" top="0.19" bottom="0.25" header="0" footer="0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O43"/>
  <sheetViews>
    <sheetView topLeftCell="A13" workbookViewId="0">
      <selection activeCell="A19" sqref="A19:XFD19"/>
    </sheetView>
  </sheetViews>
  <sheetFormatPr defaultColWidth="9.140625" defaultRowHeight="16.5"/>
  <cols>
    <col min="1" max="1" width="5.5703125" style="5" customWidth="1"/>
    <col min="2" max="2" width="34.140625" style="5" customWidth="1"/>
    <col min="3" max="3" width="12.5703125" style="6" customWidth="1"/>
    <col min="4" max="4" width="13.28515625" style="7" bestFit="1" customWidth="1"/>
    <col min="5" max="5" width="17.42578125" style="7" customWidth="1"/>
    <col min="6" max="6" width="15.85546875" style="5" customWidth="1"/>
    <col min="7" max="7" width="14.5703125" style="3" bestFit="1" customWidth="1"/>
    <col min="8" max="8" width="10.42578125" style="3" customWidth="1"/>
    <col min="9" max="9" width="16.5703125" style="3" customWidth="1"/>
    <col min="10" max="11" width="11.5703125" style="3" customWidth="1"/>
    <col min="12" max="12" width="10" style="3" customWidth="1"/>
    <col min="13" max="13" width="12.85546875" style="3" customWidth="1"/>
    <col min="14" max="14" width="13.28515625" style="3" customWidth="1"/>
    <col min="15" max="16384" width="9.140625" style="5"/>
  </cols>
  <sheetData>
    <row r="1" spans="1:11" ht="47.25" customHeight="1">
      <c r="A1" s="370" t="s">
        <v>20</v>
      </c>
      <c r="B1" s="370"/>
      <c r="C1" s="370"/>
      <c r="D1" s="370"/>
      <c r="E1" s="370"/>
      <c r="F1" s="1"/>
      <c r="G1" s="2"/>
      <c r="H1" s="2"/>
    </row>
    <row r="2" spans="1:11" ht="18.75" customHeight="1">
      <c r="A2" s="4"/>
      <c r="G2" s="5"/>
      <c r="H2" s="8"/>
    </row>
    <row r="3" spans="1:11" s="13" customFormat="1" ht="39.75" customHeight="1">
      <c r="A3" s="9"/>
      <c r="B3" s="10" t="s">
        <v>21</v>
      </c>
      <c r="C3" s="11" t="s">
        <v>7</v>
      </c>
      <c r="D3" s="12" t="s">
        <v>8</v>
      </c>
      <c r="E3" s="12" t="s">
        <v>22</v>
      </c>
      <c r="F3" s="12" t="s">
        <v>3</v>
      </c>
    </row>
    <row r="4" spans="1:11" s="14" customFormat="1" ht="17.25" customHeight="1">
      <c r="B4" s="15" t="s">
        <v>23</v>
      </c>
      <c r="C4" s="16"/>
      <c r="D4" s="17"/>
      <c r="E4" s="18"/>
      <c r="F4" s="19"/>
    </row>
    <row r="5" spans="1:11" s="14" customFormat="1" ht="17.25" customHeight="1">
      <c r="B5" s="20" t="s">
        <v>24</v>
      </c>
      <c r="C5" s="21">
        <v>52000</v>
      </c>
      <c r="D5" s="22">
        <v>2.85</v>
      </c>
      <c r="E5" s="23">
        <f>C5*D5</f>
        <v>148200</v>
      </c>
      <c r="F5" s="24"/>
    </row>
    <row r="6" spans="1:11" s="25" customFormat="1" ht="17.25" customHeight="1">
      <c r="B6" s="26" t="s">
        <v>25</v>
      </c>
      <c r="C6" s="27"/>
      <c r="D6" s="28"/>
      <c r="E6" s="29"/>
      <c r="F6" s="30"/>
    </row>
    <row r="7" spans="1:11" s="14" customFormat="1" ht="17.25" customHeight="1">
      <c r="B7" s="20" t="s">
        <v>26</v>
      </c>
      <c r="C7" s="21"/>
      <c r="D7" s="22"/>
      <c r="E7" s="23"/>
      <c r="F7" s="31">
        <v>148188</v>
      </c>
    </row>
    <row r="8" spans="1:11" s="14" customFormat="1" ht="17.25" customHeight="1">
      <c r="B8" s="20"/>
      <c r="C8" s="21"/>
      <c r="D8" s="22"/>
      <c r="E8" s="23"/>
      <c r="F8" s="24"/>
    </row>
    <row r="9" spans="1:11" s="25" customFormat="1" ht="17.25" customHeight="1">
      <c r="B9" s="32" t="s">
        <v>27</v>
      </c>
      <c r="C9" s="33">
        <f>SUM(C4:C8)</f>
        <v>52000</v>
      </c>
      <c r="D9" s="33"/>
      <c r="E9" s="33">
        <f t="shared" ref="E9:F9" si="0">SUM(E4:E8)</f>
        <v>148200</v>
      </c>
      <c r="F9" s="33">
        <f t="shared" si="0"/>
        <v>148188</v>
      </c>
    </row>
    <row r="10" spans="1:11" s="14" customFormat="1" ht="17.25" customHeight="1">
      <c r="B10" s="15" t="s">
        <v>28</v>
      </c>
      <c r="C10" s="21"/>
      <c r="D10" s="22"/>
      <c r="E10" s="23">
        <f t="shared" ref="E10:E11" si="1">C10*D10</f>
        <v>0</v>
      </c>
      <c r="F10" s="24"/>
      <c r="I10" s="34"/>
      <c r="J10" s="34"/>
      <c r="K10" s="34"/>
    </row>
    <row r="11" spans="1:11" s="14" customFormat="1" ht="17.25" customHeight="1">
      <c r="B11" s="20" t="s">
        <v>24</v>
      </c>
      <c r="C11" s="21">
        <v>52000</v>
      </c>
      <c r="D11" s="22">
        <v>2.85</v>
      </c>
      <c r="E11" s="23">
        <f t="shared" si="1"/>
        <v>148200</v>
      </c>
      <c r="F11" s="24"/>
    </row>
    <row r="12" spans="1:11" s="25" customFormat="1" ht="17.25" customHeight="1">
      <c r="B12" s="26" t="s">
        <v>25</v>
      </c>
      <c r="C12" s="27"/>
      <c r="D12" s="28"/>
      <c r="E12" s="29"/>
      <c r="F12" s="30"/>
    </row>
    <row r="13" spans="1:11" s="14" customFormat="1" ht="17.25" customHeight="1">
      <c r="B13" s="20"/>
      <c r="C13" s="21"/>
      <c r="D13" s="22"/>
      <c r="E13" s="23"/>
      <c r="F13" s="24"/>
    </row>
    <row r="14" spans="1:11" s="14" customFormat="1" ht="17.25" customHeight="1">
      <c r="B14" s="35"/>
      <c r="C14" s="36"/>
      <c r="D14" s="37"/>
      <c r="E14" s="38"/>
      <c r="F14" s="39"/>
    </row>
    <row r="15" spans="1:11" s="25" customFormat="1" ht="17.25" customHeight="1">
      <c r="B15" s="32" t="s">
        <v>27</v>
      </c>
      <c r="C15" s="33">
        <f>SUM(C10:C14)</f>
        <v>52000</v>
      </c>
      <c r="D15" s="33"/>
      <c r="E15" s="33">
        <f t="shared" ref="E15:F15" si="2">SUM(E10:E14)</f>
        <v>148200</v>
      </c>
      <c r="F15" s="33">
        <f t="shared" si="2"/>
        <v>0</v>
      </c>
    </row>
    <row r="16" spans="1:11" s="25" customFormat="1" ht="17.25" customHeight="1">
      <c r="B16" s="40"/>
      <c r="C16" s="41"/>
      <c r="D16" s="42"/>
      <c r="E16" s="43"/>
      <c r="F16" s="44"/>
      <c r="G16" s="45" t="s">
        <v>29</v>
      </c>
    </row>
    <row r="17" spans="1:15" s="85" customFormat="1" ht="36.75" customHeight="1">
      <c r="A17" s="83" t="s">
        <v>0</v>
      </c>
      <c r="B17" s="83" t="s">
        <v>21</v>
      </c>
      <c r="C17" s="46" t="s">
        <v>7</v>
      </c>
      <c r="D17" s="84" t="s">
        <v>8</v>
      </c>
      <c r="E17" s="84" t="s">
        <v>9</v>
      </c>
      <c r="G17" s="47" t="s">
        <v>30</v>
      </c>
      <c r="H17" s="47" t="s">
        <v>31</v>
      </c>
      <c r="I17" s="47" t="s">
        <v>21</v>
      </c>
      <c r="J17" s="47" t="s">
        <v>32</v>
      </c>
      <c r="K17" s="47" t="s">
        <v>83</v>
      </c>
      <c r="L17" s="46" t="s">
        <v>33</v>
      </c>
      <c r="M17" s="49" t="s">
        <v>34</v>
      </c>
      <c r="N17" s="49" t="s">
        <v>9</v>
      </c>
    </row>
    <row r="18" spans="1:15" ht="17.25" customHeight="1">
      <c r="A18" s="50">
        <f>ROW()-3</f>
        <v>15</v>
      </c>
      <c r="B18" s="51" t="s">
        <v>35</v>
      </c>
      <c r="C18" s="52">
        <f>52000*2</f>
        <v>104000</v>
      </c>
      <c r="D18" s="53">
        <v>300</v>
      </c>
      <c r="E18" s="53">
        <f t="shared" ref="E18:E25" si="3">C18*D18</f>
        <v>31200000</v>
      </c>
      <c r="G18" s="54">
        <v>42574</v>
      </c>
      <c r="H18" s="54">
        <v>42586</v>
      </c>
      <c r="I18" s="55" t="s">
        <v>36</v>
      </c>
      <c r="J18" s="56">
        <f>H18-G18+1</f>
        <v>13</v>
      </c>
      <c r="K18" s="92">
        <v>239</v>
      </c>
      <c r="L18" s="57">
        <v>3.1070000000000002</v>
      </c>
      <c r="M18" s="58">
        <v>18000</v>
      </c>
      <c r="N18" s="58">
        <f>M18*L18*J18</f>
        <v>727038.00000000012</v>
      </c>
      <c r="O18" s="59"/>
    </row>
    <row r="19" spans="1:15" ht="17.25" customHeight="1">
      <c r="A19" s="60">
        <f t="shared" ref="A19:A25" si="4">ROW()-3</f>
        <v>16</v>
      </c>
      <c r="B19" s="61" t="s">
        <v>37</v>
      </c>
      <c r="C19" s="62">
        <v>4</v>
      </c>
      <c r="D19" s="63">
        <v>2000000</v>
      </c>
      <c r="E19" s="63">
        <f t="shared" si="3"/>
        <v>8000000</v>
      </c>
      <c r="G19" s="64">
        <v>42575</v>
      </c>
      <c r="H19" s="64">
        <v>42586</v>
      </c>
      <c r="I19" s="55" t="s">
        <v>36</v>
      </c>
      <c r="J19" s="56">
        <f t="shared" ref="J19:J29" si="5">H19-G19+1</f>
        <v>12</v>
      </c>
      <c r="K19" s="92">
        <v>1761</v>
      </c>
      <c r="L19" s="65">
        <v>22.893000000000001</v>
      </c>
      <c r="M19" s="58">
        <v>18000</v>
      </c>
      <c r="N19" s="58">
        <f t="shared" ref="N19:N29" si="6">M19*L19*J19</f>
        <v>4944888</v>
      </c>
      <c r="O19" s="59"/>
    </row>
    <row r="20" spans="1:15" ht="17.25" customHeight="1">
      <c r="A20" s="60">
        <f t="shared" si="4"/>
        <v>17</v>
      </c>
      <c r="B20" s="61" t="s">
        <v>38</v>
      </c>
      <c r="C20" s="62">
        <v>4</v>
      </c>
      <c r="D20" s="63">
        <v>2000000</v>
      </c>
      <c r="E20" s="63">
        <f t="shared" si="3"/>
        <v>8000000</v>
      </c>
      <c r="G20" s="64">
        <v>42575</v>
      </c>
      <c r="H20" s="64">
        <v>42587</v>
      </c>
      <c r="I20" s="55" t="s">
        <v>36</v>
      </c>
      <c r="J20" s="56">
        <f t="shared" si="5"/>
        <v>13</v>
      </c>
      <c r="K20" s="92">
        <v>176</v>
      </c>
      <c r="L20" s="65">
        <v>2.2879999999999998</v>
      </c>
      <c r="M20" s="58">
        <v>18000</v>
      </c>
      <c r="N20" s="58">
        <f t="shared" si="6"/>
        <v>535392</v>
      </c>
      <c r="O20" s="59"/>
    </row>
    <row r="21" spans="1:15" ht="17.25" customHeight="1">
      <c r="A21" s="60">
        <f t="shared" si="4"/>
        <v>18</v>
      </c>
      <c r="B21" s="61" t="s">
        <v>39</v>
      </c>
      <c r="C21" s="62">
        <v>4</v>
      </c>
      <c r="D21" s="63">
        <v>600000</v>
      </c>
      <c r="E21" s="63">
        <f t="shared" si="3"/>
        <v>2400000</v>
      </c>
      <c r="G21" s="64">
        <v>42576</v>
      </c>
      <c r="H21" s="64">
        <v>42587</v>
      </c>
      <c r="I21" s="55" t="s">
        <v>36</v>
      </c>
      <c r="J21" s="56">
        <f t="shared" si="5"/>
        <v>12</v>
      </c>
      <c r="K21" s="92">
        <v>590</v>
      </c>
      <c r="L21" s="65">
        <v>7.67</v>
      </c>
      <c r="M21" s="58">
        <v>18000</v>
      </c>
      <c r="N21" s="58">
        <f t="shared" si="6"/>
        <v>1656720</v>
      </c>
      <c r="O21" s="59"/>
    </row>
    <row r="22" spans="1:15" ht="17.25" customHeight="1">
      <c r="A22" s="60">
        <f t="shared" si="4"/>
        <v>19</v>
      </c>
      <c r="B22" s="61" t="s">
        <v>40</v>
      </c>
      <c r="C22" s="62">
        <v>4</v>
      </c>
      <c r="D22" s="63">
        <v>15306800</v>
      </c>
      <c r="E22" s="63">
        <f>C22*D22</f>
        <v>61227200</v>
      </c>
      <c r="G22" s="64">
        <v>42577</v>
      </c>
      <c r="H22" s="64">
        <v>42587</v>
      </c>
      <c r="I22" s="55" t="s">
        <v>36</v>
      </c>
      <c r="J22" s="56">
        <f t="shared" si="5"/>
        <v>11</v>
      </c>
      <c r="K22" s="92">
        <v>1234</v>
      </c>
      <c r="L22" s="65">
        <v>16.042000000000002</v>
      </c>
      <c r="M22" s="58">
        <v>18000</v>
      </c>
      <c r="N22" s="58">
        <f t="shared" si="6"/>
        <v>3176316</v>
      </c>
      <c r="O22" s="59"/>
    </row>
    <row r="23" spans="1:15" ht="17.25" customHeight="1">
      <c r="A23" s="60">
        <f t="shared" si="4"/>
        <v>20</v>
      </c>
      <c r="B23" s="61" t="s">
        <v>41</v>
      </c>
      <c r="C23" s="62">
        <v>4</v>
      </c>
      <c r="D23" s="63">
        <v>7378778</v>
      </c>
      <c r="E23" s="63">
        <f t="shared" si="3"/>
        <v>29515112</v>
      </c>
      <c r="G23" s="64">
        <v>42577</v>
      </c>
      <c r="H23" s="64">
        <v>42593</v>
      </c>
      <c r="I23" s="55" t="s">
        <v>36</v>
      </c>
      <c r="J23" s="56">
        <f t="shared" si="5"/>
        <v>17</v>
      </c>
      <c r="K23" s="92">
        <v>138</v>
      </c>
      <c r="L23" s="65">
        <v>1.794</v>
      </c>
      <c r="M23" s="58">
        <v>18000</v>
      </c>
      <c r="N23" s="58">
        <f t="shared" si="6"/>
        <v>548964</v>
      </c>
      <c r="O23" s="59"/>
    </row>
    <row r="24" spans="1:15" ht="17.25" customHeight="1">
      <c r="A24" s="60">
        <f t="shared" si="4"/>
        <v>21</v>
      </c>
      <c r="B24" s="61" t="s">
        <v>42</v>
      </c>
      <c r="C24" s="62">
        <v>4</v>
      </c>
      <c r="D24" s="63">
        <v>5600000</v>
      </c>
      <c r="E24" s="63">
        <f t="shared" si="3"/>
        <v>22400000</v>
      </c>
      <c r="G24" s="64">
        <v>42578</v>
      </c>
      <c r="H24" s="64">
        <v>42593</v>
      </c>
      <c r="I24" s="55" t="s">
        <v>36</v>
      </c>
      <c r="J24" s="56">
        <f t="shared" si="5"/>
        <v>16</v>
      </c>
      <c r="K24" s="92">
        <v>1723</v>
      </c>
      <c r="L24" s="65">
        <v>22.399000000000001</v>
      </c>
      <c r="M24" s="58">
        <v>18000</v>
      </c>
      <c r="N24" s="58">
        <f t="shared" si="6"/>
        <v>6450912</v>
      </c>
      <c r="O24" s="59"/>
    </row>
    <row r="25" spans="1:15" ht="16.5" customHeight="1">
      <c r="A25" s="60">
        <f t="shared" si="4"/>
        <v>22</v>
      </c>
      <c r="B25" s="61" t="s">
        <v>43</v>
      </c>
      <c r="C25" s="62">
        <v>4</v>
      </c>
      <c r="D25" s="63">
        <f>88*22500</f>
        <v>1980000</v>
      </c>
      <c r="E25" s="63">
        <f t="shared" si="3"/>
        <v>7920000</v>
      </c>
      <c r="G25" s="64">
        <v>42579</v>
      </c>
      <c r="H25" s="64">
        <v>42593</v>
      </c>
      <c r="I25" s="55" t="s">
        <v>36</v>
      </c>
      <c r="J25" s="56">
        <f t="shared" si="5"/>
        <v>15</v>
      </c>
      <c r="K25" s="92">
        <v>139</v>
      </c>
      <c r="L25" s="65">
        <v>1.8069999999999999</v>
      </c>
      <c r="M25" s="58">
        <v>18000</v>
      </c>
      <c r="N25" s="58">
        <f t="shared" si="6"/>
        <v>487890</v>
      </c>
      <c r="O25" s="59"/>
    </row>
    <row r="26" spans="1:15" ht="16.5" customHeight="1">
      <c r="A26" s="60">
        <v>9</v>
      </c>
      <c r="B26" s="61" t="s">
        <v>44</v>
      </c>
      <c r="C26" s="62">
        <v>2</v>
      </c>
      <c r="D26" s="63">
        <v>1350000</v>
      </c>
      <c r="E26" s="63">
        <f>C26*D26</f>
        <v>2700000</v>
      </c>
      <c r="G26" s="64">
        <v>42579</v>
      </c>
      <c r="H26" s="64">
        <v>42594</v>
      </c>
      <c r="I26" s="55" t="s">
        <v>36</v>
      </c>
      <c r="J26" s="56">
        <f t="shared" si="5"/>
        <v>16</v>
      </c>
      <c r="K26" s="92">
        <v>911</v>
      </c>
      <c r="L26" s="65">
        <v>11.843</v>
      </c>
      <c r="M26" s="58">
        <v>18000</v>
      </c>
      <c r="N26" s="58">
        <f t="shared" si="6"/>
        <v>3410784</v>
      </c>
      <c r="O26" s="59"/>
    </row>
    <row r="27" spans="1:15" ht="17.25" customHeight="1">
      <c r="A27" s="60">
        <v>10</v>
      </c>
      <c r="B27" s="61" t="s">
        <v>45</v>
      </c>
      <c r="C27" s="62">
        <f>C18</f>
        <v>104000</v>
      </c>
      <c r="D27" s="63">
        <v>50</v>
      </c>
      <c r="E27" s="63">
        <f>C27*D27</f>
        <v>5200000</v>
      </c>
      <c r="G27" s="64">
        <v>42590</v>
      </c>
      <c r="H27" s="64">
        <v>42594</v>
      </c>
      <c r="I27" s="55" t="s">
        <v>36</v>
      </c>
      <c r="J27" s="56">
        <f>H27-G27+1</f>
        <v>5</v>
      </c>
      <c r="K27" s="92">
        <v>580</v>
      </c>
      <c r="L27" s="65">
        <v>7.54</v>
      </c>
      <c r="M27" s="58">
        <v>18000</v>
      </c>
      <c r="N27" s="58">
        <f>M27*L27*J27</f>
        <v>678600</v>
      </c>
      <c r="O27" s="59"/>
    </row>
    <row r="28" spans="1:15" ht="17.25" customHeight="1">
      <c r="A28" s="60">
        <v>11</v>
      </c>
      <c r="B28" s="61" t="s">
        <v>46</v>
      </c>
      <c r="C28" s="62"/>
      <c r="D28" s="63"/>
      <c r="E28" s="63">
        <f>N31</f>
        <v>22818510</v>
      </c>
      <c r="G28" s="64">
        <v>42593</v>
      </c>
      <c r="H28" s="64">
        <v>42594</v>
      </c>
      <c r="I28" s="55" t="s">
        <v>36</v>
      </c>
      <c r="J28" s="56">
        <f>H28-G28+1</f>
        <v>2</v>
      </c>
      <c r="K28" s="92">
        <v>350</v>
      </c>
      <c r="L28" s="65">
        <v>4.55</v>
      </c>
      <c r="M28" s="58">
        <v>18000</v>
      </c>
      <c r="N28" s="58">
        <f>M28*L28*J28</f>
        <v>163800</v>
      </c>
      <c r="O28" s="59"/>
    </row>
    <row r="29" spans="1:15" s="4" customFormat="1" ht="17.25" customHeight="1">
      <c r="A29" s="60">
        <v>12</v>
      </c>
      <c r="B29" s="61" t="s">
        <v>47</v>
      </c>
      <c r="C29" s="62"/>
      <c r="D29" s="63"/>
      <c r="E29" s="63">
        <v>1000000</v>
      </c>
      <c r="F29" s="5"/>
      <c r="G29" s="64">
        <v>42594</v>
      </c>
      <c r="H29" s="64">
        <v>42594</v>
      </c>
      <c r="I29" s="55" t="s">
        <v>36</v>
      </c>
      <c r="J29" s="56">
        <f t="shared" si="5"/>
        <v>1</v>
      </c>
      <c r="K29" s="92">
        <v>159</v>
      </c>
      <c r="L29" s="65">
        <v>2.0670000000000002</v>
      </c>
      <c r="M29" s="58">
        <v>18000</v>
      </c>
      <c r="N29" s="58">
        <f t="shared" si="6"/>
        <v>37206</v>
      </c>
      <c r="O29" s="59"/>
    </row>
    <row r="30" spans="1:15" ht="11.25" customHeight="1">
      <c r="A30" s="60"/>
      <c r="B30" s="61"/>
      <c r="C30" s="62"/>
      <c r="D30" s="63"/>
      <c r="E30" s="63"/>
      <c r="G30" s="66"/>
      <c r="H30" s="66"/>
      <c r="I30" s="67"/>
      <c r="J30" s="67"/>
      <c r="K30" s="93"/>
      <c r="L30" s="68"/>
      <c r="M30" s="69"/>
      <c r="N30" s="69">
        <f t="shared" ref="N30" si="7">L30*M30</f>
        <v>0</v>
      </c>
    </row>
    <row r="31" spans="1:15" ht="18.75" customHeight="1">
      <c r="A31" s="70"/>
      <c r="B31" s="70" t="s">
        <v>48</v>
      </c>
      <c r="C31" s="71"/>
      <c r="D31" s="72"/>
      <c r="E31" s="72">
        <f>SUM(E18:E30)</f>
        <v>202380822</v>
      </c>
      <c r="F31" s="4"/>
      <c r="G31" s="73"/>
      <c r="H31" s="73"/>
      <c r="I31" s="73" t="s">
        <v>48</v>
      </c>
      <c r="J31" s="73"/>
      <c r="K31" s="89">
        <f>SUM(K18:K30)</f>
        <v>8000</v>
      </c>
      <c r="L31" s="121">
        <f>SUM(L18:L30)</f>
        <v>104</v>
      </c>
      <c r="M31" s="74"/>
      <c r="N31" s="74">
        <f>SUM(N18:N30)</f>
        <v>22818510</v>
      </c>
    </row>
    <row r="32" spans="1:15" ht="18.75" customHeight="1"/>
    <row r="33" spans="1:11" s="3" customFormat="1">
      <c r="A33" s="5"/>
      <c r="B33" s="5"/>
      <c r="C33" s="6"/>
      <c r="D33" s="7" t="s">
        <v>49</v>
      </c>
      <c r="E33" s="7">
        <f>E31/C18</f>
        <v>1945.9694423076924</v>
      </c>
      <c r="F33" s="5"/>
    </row>
    <row r="35" spans="1:11" ht="33">
      <c r="A35" s="48" t="s">
        <v>0</v>
      </c>
      <c r="B35" s="47" t="s">
        <v>21</v>
      </c>
      <c r="C35" s="46" t="s">
        <v>50</v>
      </c>
      <c r="D35" s="49" t="s">
        <v>51</v>
      </c>
      <c r="E35" s="49" t="s">
        <v>9</v>
      </c>
      <c r="F35" s="49" t="s">
        <v>52</v>
      </c>
    </row>
    <row r="36" spans="1:11">
      <c r="A36" s="60">
        <v>1</v>
      </c>
      <c r="B36" s="61" t="s">
        <v>53</v>
      </c>
      <c r="C36" s="62">
        <f>F9</f>
        <v>148188</v>
      </c>
      <c r="D36" s="63">
        <v>22260</v>
      </c>
      <c r="E36" s="63">
        <f t="shared" ref="E36:E37" si="8">C36*D36</f>
        <v>3298664880</v>
      </c>
      <c r="F36" s="63"/>
    </row>
    <row r="37" spans="1:11">
      <c r="A37" s="60">
        <v>2</v>
      </c>
      <c r="B37" s="61" t="s">
        <v>54</v>
      </c>
      <c r="C37" s="62"/>
      <c r="D37" s="63"/>
      <c r="E37" s="63">
        <f t="shared" si="8"/>
        <v>0</v>
      </c>
      <c r="F37" s="63">
        <v>1416959000</v>
      </c>
      <c r="G37" s="75"/>
      <c r="H37" s="76"/>
      <c r="I37" s="75"/>
      <c r="J37" s="77"/>
      <c r="K37" s="77"/>
    </row>
    <row r="38" spans="1:11">
      <c r="A38" s="60">
        <v>3</v>
      </c>
      <c r="B38" s="61" t="s">
        <v>55</v>
      </c>
      <c r="C38" s="62"/>
      <c r="D38" s="63"/>
      <c r="E38" s="63">
        <f>C38*D38</f>
        <v>0</v>
      </c>
      <c r="F38" s="63">
        <v>1421958000</v>
      </c>
      <c r="G38" s="75"/>
      <c r="H38" s="76"/>
      <c r="I38" s="75"/>
      <c r="J38" s="77"/>
      <c r="K38" s="77"/>
    </row>
    <row r="39" spans="1:11">
      <c r="A39" s="60">
        <v>5</v>
      </c>
      <c r="B39" s="61" t="s">
        <v>56</v>
      </c>
      <c r="C39" s="62"/>
      <c r="D39" s="63"/>
      <c r="E39" s="63">
        <f>C39*D39</f>
        <v>0</v>
      </c>
      <c r="F39" s="63">
        <v>257367058</v>
      </c>
      <c r="G39" s="75"/>
      <c r="H39" s="76"/>
      <c r="I39" s="75"/>
      <c r="J39" s="77"/>
      <c r="K39" s="77"/>
    </row>
    <row r="40" spans="1:11">
      <c r="A40" s="67"/>
      <c r="B40" s="78"/>
      <c r="C40" s="79"/>
      <c r="D40" s="80"/>
      <c r="E40" s="80">
        <f>N41</f>
        <v>0</v>
      </c>
      <c r="F40" s="80"/>
    </row>
    <row r="41" spans="1:11">
      <c r="A41" s="70"/>
      <c r="B41" s="70" t="s">
        <v>57</v>
      </c>
      <c r="C41" s="71"/>
      <c r="D41" s="72"/>
      <c r="E41" s="72">
        <f>SUM(E36:E40)</f>
        <v>3298664880</v>
      </c>
      <c r="F41" s="72">
        <f>SUM(F36:F40)</f>
        <v>3096284058</v>
      </c>
    </row>
    <row r="43" spans="1:11">
      <c r="D43" s="81" t="s">
        <v>58</v>
      </c>
      <c r="F43" s="8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2:J89"/>
  <sheetViews>
    <sheetView topLeftCell="A66" workbookViewId="0">
      <selection activeCell="E74" sqref="E74"/>
    </sheetView>
  </sheetViews>
  <sheetFormatPr defaultRowHeight="15"/>
  <cols>
    <col min="1" max="1" width="6.85546875" style="150" customWidth="1"/>
    <col min="2" max="2" width="10.42578125" style="146" customWidth="1"/>
    <col min="3" max="3" width="9.140625" style="146"/>
    <col min="4" max="4" width="24.28515625" style="146" customWidth="1"/>
    <col min="5" max="5" width="10.85546875" style="146" customWidth="1"/>
    <col min="6" max="6" width="10.5703125" style="146" customWidth="1"/>
    <col min="7" max="7" width="13.7109375" style="146" customWidth="1"/>
    <col min="8" max="8" width="12.140625" style="146" customWidth="1"/>
    <col min="9" max="9" width="9.140625" style="146"/>
    <col min="10" max="10" width="11.28515625" style="146" bestFit="1" customWidth="1"/>
    <col min="11" max="16384" width="9.140625" style="146"/>
  </cols>
  <sheetData>
    <row r="2" spans="1:10" s="141" customFormat="1" ht="28.5" customHeight="1">
      <c r="A2" s="376" t="s">
        <v>204</v>
      </c>
      <c r="B2" s="376"/>
      <c r="C2" s="376"/>
      <c r="D2" s="376"/>
      <c r="E2" s="376"/>
      <c r="F2" s="376"/>
      <c r="G2" s="376"/>
      <c r="H2" s="376"/>
      <c r="I2" s="376"/>
    </row>
    <row r="3" spans="1:10" s="143" customFormat="1" ht="33.75" customHeight="1">
      <c r="A3" s="142" t="s">
        <v>0</v>
      </c>
      <c r="B3" s="142" t="s">
        <v>205</v>
      </c>
      <c r="C3" s="142" t="s">
        <v>206</v>
      </c>
      <c r="D3" s="142" t="s">
        <v>207</v>
      </c>
      <c r="E3" s="142" t="s">
        <v>7</v>
      </c>
      <c r="F3" s="142" t="s">
        <v>8</v>
      </c>
      <c r="G3" s="142" t="s">
        <v>9</v>
      </c>
      <c r="H3" s="142" t="s">
        <v>208</v>
      </c>
      <c r="I3" s="142" t="s">
        <v>82</v>
      </c>
    </row>
    <row r="4" spans="1:10" ht="21" customHeight="1">
      <c r="A4" s="144">
        <v>1</v>
      </c>
      <c r="B4" s="151">
        <v>42683</v>
      </c>
      <c r="C4" s="152" t="s">
        <v>209</v>
      </c>
      <c r="D4" s="145" t="s">
        <v>218</v>
      </c>
      <c r="E4" s="139">
        <v>4000</v>
      </c>
      <c r="F4" s="138">
        <v>4500</v>
      </c>
      <c r="G4" s="138">
        <f t="shared" ref="G4:G12" si="0">E4*F4</f>
        <v>18000000</v>
      </c>
      <c r="H4" s="138">
        <f t="shared" ref="H4:H13" si="1">G4*10%</f>
        <v>1800000</v>
      </c>
      <c r="I4" s="147"/>
      <c r="J4" s="157"/>
    </row>
    <row r="5" spans="1:10" ht="21" customHeight="1">
      <c r="A5" s="144">
        <v>2</v>
      </c>
      <c r="B5" s="151">
        <v>42684</v>
      </c>
      <c r="C5" s="152" t="s">
        <v>210</v>
      </c>
      <c r="D5" s="145" t="s">
        <v>218</v>
      </c>
      <c r="E5" s="139">
        <v>4000</v>
      </c>
      <c r="F5" s="138">
        <v>4500</v>
      </c>
      <c r="G5" s="138">
        <f t="shared" si="0"/>
        <v>18000000</v>
      </c>
      <c r="H5" s="138">
        <f t="shared" si="1"/>
        <v>1800000</v>
      </c>
      <c r="I5" s="147"/>
      <c r="J5" s="157"/>
    </row>
    <row r="6" spans="1:10" ht="21" customHeight="1">
      <c r="A6" s="144">
        <v>3</v>
      </c>
      <c r="B6" s="151">
        <v>42689</v>
      </c>
      <c r="C6" s="156" t="s">
        <v>224</v>
      </c>
      <c r="D6" s="145" t="s">
        <v>218</v>
      </c>
      <c r="E6" s="139">
        <v>3900</v>
      </c>
      <c r="F6" s="138">
        <v>4500</v>
      </c>
      <c r="G6" s="138">
        <f t="shared" si="0"/>
        <v>17550000</v>
      </c>
      <c r="H6" s="138">
        <f t="shared" si="1"/>
        <v>1755000</v>
      </c>
      <c r="I6" s="147"/>
      <c r="J6" s="157"/>
    </row>
    <row r="7" spans="1:10" ht="42" customHeight="1">
      <c r="A7" s="144">
        <v>4</v>
      </c>
      <c r="B7" s="151">
        <v>42693</v>
      </c>
      <c r="C7" s="156" t="s">
        <v>211</v>
      </c>
      <c r="D7" s="158" t="s">
        <v>219</v>
      </c>
      <c r="E7" s="139">
        <v>4000</v>
      </c>
      <c r="F7" s="138">
        <v>4500</v>
      </c>
      <c r="G7" s="138">
        <f t="shared" si="0"/>
        <v>18000000</v>
      </c>
      <c r="H7" s="138">
        <f t="shared" si="1"/>
        <v>1800000</v>
      </c>
      <c r="I7" s="147"/>
      <c r="J7" s="157"/>
    </row>
    <row r="8" spans="1:10" ht="21" customHeight="1">
      <c r="A8" s="144">
        <v>5</v>
      </c>
      <c r="B8" s="151">
        <v>42697</v>
      </c>
      <c r="C8" s="156" t="s">
        <v>212</v>
      </c>
      <c r="D8" s="145" t="s">
        <v>218</v>
      </c>
      <c r="E8" s="139">
        <v>3353</v>
      </c>
      <c r="F8" s="138">
        <v>4500</v>
      </c>
      <c r="G8" s="138">
        <f t="shared" si="0"/>
        <v>15088500</v>
      </c>
      <c r="H8" s="138">
        <f t="shared" si="1"/>
        <v>1508850</v>
      </c>
      <c r="I8" s="147"/>
      <c r="J8" s="157"/>
    </row>
    <row r="9" spans="1:10" ht="38.25" customHeight="1">
      <c r="A9" s="144">
        <v>6</v>
      </c>
      <c r="B9" s="151">
        <v>42701</v>
      </c>
      <c r="C9" s="156" t="s">
        <v>213</v>
      </c>
      <c r="D9" s="158" t="s">
        <v>220</v>
      </c>
      <c r="E9" s="139">
        <v>4000</v>
      </c>
      <c r="F9" s="138">
        <v>4500</v>
      </c>
      <c r="G9" s="138">
        <f t="shared" si="0"/>
        <v>18000000</v>
      </c>
      <c r="H9" s="138">
        <f t="shared" si="1"/>
        <v>1800000</v>
      </c>
      <c r="I9" s="147"/>
      <c r="J9" s="157"/>
    </row>
    <row r="10" spans="1:10" ht="21" customHeight="1">
      <c r="A10" s="144">
        <v>7</v>
      </c>
      <c r="B10" s="151">
        <v>42702</v>
      </c>
      <c r="C10" s="156" t="s">
        <v>214</v>
      </c>
      <c r="D10" s="145" t="s">
        <v>218</v>
      </c>
      <c r="E10" s="139">
        <v>1700</v>
      </c>
      <c r="F10" s="138">
        <v>4500</v>
      </c>
      <c r="G10" s="138">
        <f t="shared" si="0"/>
        <v>7650000</v>
      </c>
      <c r="H10" s="138">
        <f t="shared" si="1"/>
        <v>765000</v>
      </c>
      <c r="I10" s="147"/>
      <c r="J10" s="157"/>
    </row>
    <row r="11" spans="1:10" ht="21" customHeight="1">
      <c r="A11" s="144">
        <v>8</v>
      </c>
      <c r="B11" s="151">
        <v>42703</v>
      </c>
      <c r="C11" s="156" t="s">
        <v>215</v>
      </c>
      <c r="D11" s="145" t="s">
        <v>218</v>
      </c>
      <c r="E11" s="139">
        <v>4000</v>
      </c>
      <c r="F11" s="138">
        <v>4500</v>
      </c>
      <c r="G11" s="138">
        <f t="shared" si="0"/>
        <v>18000000</v>
      </c>
      <c r="H11" s="138">
        <f t="shared" si="1"/>
        <v>1800000</v>
      </c>
      <c r="I11" s="147"/>
      <c r="J11" s="157"/>
    </row>
    <row r="12" spans="1:10" ht="21" customHeight="1">
      <c r="A12" s="144">
        <v>9</v>
      </c>
      <c r="B12" s="151">
        <v>42705</v>
      </c>
      <c r="C12" s="156" t="s">
        <v>217</v>
      </c>
      <c r="D12" s="145" t="s">
        <v>218</v>
      </c>
      <c r="E12" s="139">
        <v>4000</v>
      </c>
      <c r="F12" s="138">
        <v>4500</v>
      </c>
      <c r="G12" s="138">
        <f t="shared" si="0"/>
        <v>18000000</v>
      </c>
      <c r="H12" s="138">
        <f t="shared" si="1"/>
        <v>1800000</v>
      </c>
      <c r="I12" s="147"/>
      <c r="J12" s="157"/>
    </row>
    <row r="13" spans="1:10" ht="21" customHeight="1">
      <c r="A13" s="144">
        <v>10</v>
      </c>
      <c r="B13" s="151">
        <v>42707</v>
      </c>
      <c r="C13" s="156" t="s">
        <v>216</v>
      </c>
      <c r="D13" s="145" t="s">
        <v>218</v>
      </c>
      <c r="E13" s="139">
        <v>4000</v>
      </c>
      <c r="F13" s="138">
        <v>4500</v>
      </c>
      <c r="G13" s="138">
        <f t="shared" ref="G13" si="2">E13*F13</f>
        <v>18000000</v>
      </c>
      <c r="H13" s="138">
        <f t="shared" si="1"/>
        <v>1800000</v>
      </c>
      <c r="I13" s="147"/>
      <c r="J13" s="157"/>
    </row>
    <row r="14" spans="1:10" ht="21" customHeight="1">
      <c r="A14" s="148"/>
      <c r="B14" s="149"/>
      <c r="C14" s="149"/>
      <c r="D14" s="149"/>
      <c r="E14" s="140"/>
      <c r="F14" s="140"/>
      <c r="G14" s="140"/>
      <c r="H14" s="140"/>
      <c r="I14" s="149"/>
    </row>
    <row r="15" spans="1:10" s="155" customFormat="1" ht="21" customHeight="1">
      <c r="A15" s="377" t="s">
        <v>19</v>
      </c>
      <c r="B15" s="377"/>
      <c r="C15" s="377"/>
      <c r="D15" s="377"/>
      <c r="E15" s="153"/>
      <c r="F15" s="153"/>
      <c r="G15" s="153">
        <f>SUM(G4:G14)</f>
        <v>166288500</v>
      </c>
      <c r="H15" s="153">
        <f>SUM(H4:H14)</f>
        <v>16628850</v>
      </c>
      <c r="I15" s="154"/>
    </row>
    <row r="17" spans="1:10" s="141" customFormat="1" ht="14.25">
      <c r="A17" s="141" t="s">
        <v>221</v>
      </c>
    </row>
    <row r="18" spans="1:10" s="141" customFormat="1" ht="14.25">
      <c r="A18" s="141" t="s">
        <v>222</v>
      </c>
    </row>
    <row r="19" spans="1:10" s="141" customFormat="1" ht="14.25">
      <c r="A19" s="141" t="s">
        <v>223</v>
      </c>
    </row>
    <row r="22" spans="1:10" s="141" customFormat="1" ht="28.5" customHeight="1">
      <c r="A22" s="376" t="s">
        <v>257</v>
      </c>
      <c r="B22" s="376"/>
      <c r="C22" s="376"/>
      <c r="D22" s="376"/>
      <c r="E22" s="376"/>
      <c r="F22" s="376"/>
      <c r="G22" s="376"/>
      <c r="H22" s="376"/>
      <c r="I22" s="376"/>
    </row>
    <row r="23" spans="1:10" s="143" customFormat="1" ht="33.75" customHeight="1">
      <c r="A23" s="142" t="s">
        <v>0</v>
      </c>
      <c r="B23" s="142" t="s">
        <v>205</v>
      </c>
      <c r="C23" s="142" t="s">
        <v>206</v>
      </c>
      <c r="D23" s="142" t="s">
        <v>207</v>
      </c>
      <c r="E23" s="142" t="s">
        <v>7</v>
      </c>
      <c r="F23" s="142" t="s">
        <v>8</v>
      </c>
      <c r="G23" s="142" t="s">
        <v>9</v>
      </c>
      <c r="H23" s="142" t="s">
        <v>269</v>
      </c>
      <c r="I23" s="142" t="s">
        <v>82</v>
      </c>
    </row>
    <row r="24" spans="1:10" ht="21" customHeight="1">
      <c r="A24" s="144">
        <v>1</v>
      </c>
      <c r="B24" s="151">
        <v>42705</v>
      </c>
      <c r="C24" s="152" t="s">
        <v>258</v>
      </c>
      <c r="D24" s="145" t="s">
        <v>218</v>
      </c>
      <c r="E24" s="139">
        <v>2400</v>
      </c>
      <c r="F24" s="138">
        <v>7500</v>
      </c>
      <c r="G24" s="138">
        <f t="shared" ref="G24:G30" si="3">E24*F24</f>
        <v>18000000</v>
      </c>
      <c r="H24" s="138">
        <f t="shared" ref="H24:H30" si="4">G24*10%</f>
        <v>1800000</v>
      </c>
      <c r="I24" s="147"/>
      <c r="J24" s="157"/>
    </row>
    <row r="25" spans="1:10" ht="21" customHeight="1">
      <c r="A25" s="144">
        <v>2</v>
      </c>
      <c r="B25" s="151">
        <v>42706</v>
      </c>
      <c r="C25" s="152" t="s">
        <v>260</v>
      </c>
      <c r="D25" s="145" t="s">
        <v>218</v>
      </c>
      <c r="E25" s="139">
        <v>1600</v>
      </c>
      <c r="F25" s="138">
        <v>7500</v>
      </c>
      <c r="G25" s="138">
        <f t="shared" si="3"/>
        <v>12000000</v>
      </c>
      <c r="H25" s="138">
        <f t="shared" si="4"/>
        <v>1200000</v>
      </c>
      <c r="I25" s="147"/>
      <c r="J25" s="157"/>
    </row>
    <row r="26" spans="1:10" ht="21.75" customHeight="1">
      <c r="A26" s="144">
        <v>3</v>
      </c>
      <c r="B26" s="151">
        <v>42710</v>
      </c>
      <c r="C26" s="152" t="s">
        <v>262</v>
      </c>
      <c r="D26" s="145" t="s">
        <v>218</v>
      </c>
      <c r="E26" s="139">
        <v>2400</v>
      </c>
      <c r="F26" s="138">
        <v>7500</v>
      </c>
      <c r="G26" s="138">
        <f t="shared" si="3"/>
        <v>18000000</v>
      </c>
      <c r="H26" s="138">
        <f t="shared" si="4"/>
        <v>1800000</v>
      </c>
      <c r="I26" s="147"/>
      <c r="J26" s="157"/>
    </row>
    <row r="27" spans="1:10" ht="21.75" customHeight="1">
      <c r="A27" s="144">
        <v>4</v>
      </c>
      <c r="B27" s="151">
        <v>42711</v>
      </c>
      <c r="C27" s="152" t="s">
        <v>261</v>
      </c>
      <c r="D27" s="145" t="s">
        <v>218</v>
      </c>
      <c r="E27" s="139">
        <v>2400</v>
      </c>
      <c r="F27" s="138">
        <v>7500</v>
      </c>
      <c r="G27" s="138">
        <f t="shared" si="3"/>
        <v>18000000</v>
      </c>
      <c r="H27" s="138">
        <f t="shared" si="4"/>
        <v>1800000</v>
      </c>
      <c r="I27" s="147"/>
      <c r="J27" s="157"/>
    </row>
    <row r="28" spans="1:10" ht="21.75" customHeight="1">
      <c r="A28" s="144">
        <v>5</v>
      </c>
      <c r="B28" s="151">
        <v>42709</v>
      </c>
      <c r="C28" s="156" t="s">
        <v>263</v>
      </c>
      <c r="D28" s="145" t="s">
        <v>218</v>
      </c>
      <c r="E28" s="139">
        <v>2400</v>
      </c>
      <c r="F28" s="138">
        <v>7500</v>
      </c>
      <c r="G28" s="138">
        <f t="shared" si="3"/>
        <v>18000000</v>
      </c>
      <c r="H28" s="138">
        <f t="shared" si="4"/>
        <v>1800000</v>
      </c>
      <c r="I28" s="147"/>
      <c r="J28" s="157"/>
    </row>
    <row r="29" spans="1:10" ht="21.75" customHeight="1">
      <c r="A29" s="144">
        <v>6</v>
      </c>
      <c r="B29" s="151">
        <v>42710</v>
      </c>
      <c r="C29" s="156" t="s">
        <v>259</v>
      </c>
      <c r="D29" s="145" t="s">
        <v>218</v>
      </c>
      <c r="E29" s="139">
        <v>2400</v>
      </c>
      <c r="F29" s="138">
        <v>7500</v>
      </c>
      <c r="G29" s="138">
        <f t="shared" si="3"/>
        <v>18000000</v>
      </c>
      <c r="H29" s="138">
        <f t="shared" si="4"/>
        <v>1800000</v>
      </c>
      <c r="I29" s="147"/>
      <c r="J29" s="157"/>
    </row>
    <row r="30" spans="1:10" ht="21.75" customHeight="1">
      <c r="A30" s="144">
        <v>7</v>
      </c>
      <c r="B30" s="151">
        <v>42713</v>
      </c>
      <c r="C30" s="156" t="s">
        <v>264</v>
      </c>
      <c r="D30" s="145" t="s">
        <v>218</v>
      </c>
      <c r="E30" s="139">
        <v>2400</v>
      </c>
      <c r="F30" s="138">
        <v>7500</v>
      </c>
      <c r="G30" s="138">
        <f t="shared" si="3"/>
        <v>18000000</v>
      </c>
      <c r="H30" s="138">
        <f t="shared" si="4"/>
        <v>1800000</v>
      </c>
      <c r="I30" s="147"/>
      <c r="J30" s="157"/>
    </row>
    <row r="31" spans="1:10" ht="21.75" customHeight="1">
      <c r="A31" s="144">
        <v>8</v>
      </c>
      <c r="B31" s="151">
        <v>42714</v>
      </c>
      <c r="C31" s="156" t="s">
        <v>265</v>
      </c>
      <c r="D31" s="145" t="s">
        <v>218</v>
      </c>
      <c r="E31" s="139">
        <v>2400</v>
      </c>
      <c r="F31" s="138">
        <v>7500</v>
      </c>
      <c r="G31" s="138">
        <f t="shared" ref="G31:G33" si="5">E31*F31</f>
        <v>18000000</v>
      </c>
      <c r="H31" s="138">
        <f t="shared" ref="H31:H33" si="6">G31*10%</f>
        <v>1800000</v>
      </c>
      <c r="I31" s="147"/>
      <c r="J31" s="157"/>
    </row>
    <row r="32" spans="1:10" ht="21.75" customHeight="1">
      <c r="A32" s="144">
        <v>9</v>
      </c>
      <c r="B32" s="151">
        <v>42715</v>
      </c>
      <c r="C32" s="156" t="s">
        <v>266</v>
      </c>
      <c r="D32" s="145" t="s">
        <v>218</v>
      </c>
      <c r="E32" s="139">
        <v>2400</v>
      </c>
      <c r="F32" s="138">
        <v>7500</v>
      </c>
      <c r="G32" s="138">
        <f t="shared" si="5"/>
        <v>18000000</v>
      </c>
      <c r="H32" s="138">
        <f t="shared" si="6"/>
        <v>1800000</v>
      </c>
      <c r="I32" s="147"/>
      <c r="J32" s="157"/>
    </row>
    <row r="33" spans="1:10" ht="21.75" customHeight="1">
      <c r="A33" s="144">
        <v>10</v>
      </c>
      <c r="B33" s="151">
        <v>42716</v>
      </c>
      <c r="C33" s="156" t="s">
        <v>267</v>
      </c>
      <c r="D33" s="145" t="s">
        <v>218</v>
      </c>
      <c r="E33" s="139">
        <v>2400</v>
      </c>
      <c r="F33" s="138">
        <v>7500</v>
      </c>
      <c r="G33" s="138">
        <f t="shared" si="5"/>
        <v>18000000</v>
      </c>
      <c r="H33" s="138">
        <f t="shared" si="6"/>
        <v>1800000</v>
      </c>
      <c r="I33" s="147"/>
      <c r="J33" s="157"/>
    </row>
    <row r="34" spans="1:10" ht="21.75" customHeight="1">
      <c r="A34" s="144">
        <v>11</v>
      </c>
      <c r="B34" s="151">
        <v>42716</v>
      </c>
      <c r="C34" s="156" t="s">
        <v>268</v>
      </c>
      <c r="D34" s="145" t="s">
        <v>218</v>
      </c>
      <c r="E34" s="139">
        <v>800</v>
      </c>
      <c r="F34" s="138">
        <v>7500</v>
      </c>
      <c r="G34" s="138">
        <f t="shared" ref="G34" si="7">E34*F34</f>
        <v>6000000</v>
      </c>
      <c r="H34" s="138">
        <f t="shared" ref="H34" si="8">G34*10%</f>
        <v>600000</v>
      </c>
      <c r="I34" s="147"/>
      <c r="J34" s="157"/>
    </row>
    <row r="35" spans="1:10" ht="21" customHeight="1">
      <c r="A35" s="144"/>
      <c r="B35" s="151"/>
      <c r="C35" s="156"/>
      <c r="D35" s="145"/>
      <c r="E35" s="139"/>
      <c r="F35" s="138"/>
      <c r="G35" s="138"/>
      <c r="H35" s="138"/>
      <c r="I35" s="147"/>
    </row>
    <row r="36" spans="1:10" s="155" customFormat="1" ht="21" customHeight="1">
      <c r="A36" s="377" t="s">
        <v>19</v>
      </c>
      <c r="B36" s="377"/>
      <c r="C36" s="377"/>
      <c r="D36" s="377"/>
      <c r="E36" s="153"/>
      <c r="F36" s="153"/>
      <c r="G36" s="153">
        <f>SUM(G24:G35)</f>
        <v>180000000</v>
      </c>
      <c r="H36" s="153">
        <f>SUM(H24:H35)</f>
        <v>18000000</v>
      </c>
      <c r="I36" s="154"/>
    </row>
    <row r="38" spans="1:10" s="141" customFormat="1" ht="14.25">
      <c r="A38" s="141" t="s">
        <v>221</v>
      </c>
    </row>
    <row r="39" spans="1:10" s="141" customFormat="1" ht="14.25">
      <c r="A39" s="141" t="s">
        <v>222</v>
      </c>
    </row>
    <row r="40" spans="1:10" s="141" customFormat="1" ht="14.25">
      <c r="A40" s="141" t="s">
        <v>223</v>
      </c>
    </row>
    <row r="45" spans="1:10" s="141" customFormat="1" ht="28.5" customHeight="1">
      <c r="A45" s="376" t="s">
        <v>314</v>
      </c>
      <c r="B45" s="376"/>
      <c r="C45" s="376"/>
      <c r="D45" s="376"/>
      <c r="E45" s="376"/>
      <c r="F45" s="376"/>
      <c r="G45" s="376"/>
      <c r="H45" s="376"/>
      <c r="I45" s="376"/>
    </row>
    <row r="46" spans="1:10" s="143" customFormat="1" ht="33.75" customHeight="1">
      <c r="A46" s="142" t="s">
        <v>0</v>
      </c>
      <c r="B46" s="142" t="s">
        <v>205</v>
      </c>
      <c r="C46" s="142" t="s">
        <v>206</v>
      </c>
      <c r="D46" s="142" t="s">
        <v>207</v>
      </c>
      <c r="E46" s="142" t="s">
        <v>7</v>
      </c>
      <c r="F46" s="142" t="s">
        <v>8</v>
      </c>
      <c r="G46" s="142" t="s">
        <v>9</v>
      </c>
      <c r="H46" s="142" t="s">
        <v>269</v>
      </c>
      <c r="I46" s="142" t="s">
        <v>82</v>
      </c>
    </row>
    <row r="47" spans="1:10" ht="21" customHeight="1">
      <c r="A47" s="144">
        <v>1</v>
      </c>
      <c r="B47" s="151">
        <v>42716</v>
      </c>
      <c r="C47" s="152" t="s">
        <v>309</v>
      </c>
      <c r="D47" s="145" t="s">
        <v>218</v>
      </c>
      <c r="E47" s="139">
        <v>2400</v>
      </c>
      <c r="F47" s="138">
        <v>7500</v>
      </c>
      <c r="G47" s="138">
        <f t="shared" ref="G47:G56" si="9">E47*F47</f>
        <v>18000000</v>
      </c>
      <c r="H47" s="138">
        <f t="shared" ref="H47:H56" si="10">G47*10%</f>
        <v>1800000</v>
      </c>
      <c r="I47" s="147"/>
      <c r="J47" s="157"/>
    </row>
    <row r="48" spans="1:10" ht="21" customHeight="1">
      <c r="A48" s="144">
        <v>2</v>
      </c>
      <c r="B48" s="151">
        <v>42717</v>
      </c>
      <c r="C48" s="152" t="s">
        <v>310</v>
      </c>
      <c r="D48" s="145" t="s">
        <v>218</v>
      </c>
      <c r="E48" s="139">
        <v>2400</v>
      </c>
      <c r="F48" s="138">
        <v>7500</v>
      </c>
      <c r="G48" s="138">
        <f t="shared" si="9"/>
        <v>18000000</v>
      </c>
      <c r="H48" s="138">
        <f t="shared" si="10"/>
        <v>1800000</v>
      </c>
      <c r="I48" s="147"/>
      <c r="J48" s="157"/>
    </row>
    <row r="49" spans="1:10" ht="21.75" customHeight="1">
      <c r="A49" s="144">
        <v>3</v>
      </c>
      <c r="B49" s="151">
        <v>42718</v>
      </c>
      <c r="C49" s="152" t="s">
        <v>311</v>
      </c>
      <c r="D49" s="145" t="s">
        <v>218</v>
      </c>
      <c r="E49" s="139">
        <v>2400</v>
      </c>
      <c r="F49" s="138">
        <v>7500</v>
      </c>
      <c r="G49" s="138">
        <f t="shared" si="9"/>
        <v>18000000</v>
      </c>
      <c r="H49" s="138">
        <f t="shared" si="10"/>
        <v>1800000</v>
      </c>
      <c r="I49" s="147"/>
      <c r="J49" s="157"/>
    </row>
    <row r="50" spans="1:10" ht="21.75" customHeight="1">
      <c r="A50" s="144">
        <v>4</v>
      </c>
      <c r="B50" s="151">
        <v>42719</v>
      </c>
      <c r="C50" s="152" t="s">
        <v>304</v>
      </c>
      <c r="D50" s="145" t="s">
        <v>218</v>
      </c>
      <c r="E50" s="139">
        <v>2400</v>
      </c>
      <c r="F50" s="138">
        <v>7500</v>
      </c>
      <c r="G50" s="138">
        <f t="shared" si="9"/>
        <v>18000000</v>
      </c>
      <c r="H50" s="138">
        <f t="shared" si="10"/>
        <v>1800000</v>
      </c>
      <c r="I50" s="147"/>
      <c r="J50" s="157"/>
    </row>
    <row r="51" spans="1:10" ht="21.75" customHeight="1">
      <c r="A51" s="144">
        <v>5</v>
      </c>
      <c r="B51" s="151">
        <v>42719</v>
      </c>
      <c r="C51" s="152" t="s">
        <v>312</v>
      </c>
      <c r="D51" s="145" t="s">
        <v>218</v>
      </c>
      <c r="E51" s="139">
        <v>2400</v>
      </c>
      <c r="F51" s="138">
        <v>7500</v>
      </c>
      <c r="G51" s="138">
        <f t="shared" si="9"/>
        <v>18000000</v>
      </c>
      <c r="H51" s="138">
        <f t="shared" si="10"/>
        <v>1800000</v>
      </c>
      <c r="I51" s="147"/>
      <c r="J51" s="157"/>
    </row>
    <row r="52" spans="1:10" ht="21.75" customHeight="1">
      <c r="A52" s="144">
        <v>6</v>
      </c>
      <c r="B52" s="151">
        <v>42720</v>
      </c>
      <c r="C52" s="156" t="s">
        <v>305</v>
      </c>
      <c r="D52" s="145" t="s">
        <v>218</v>
      </c>
      <c r="E52" s="139">
        <v>2400</v>
      </c>
      <c r="F52" s="138">
        <v>7500</v>
      </c>
      <c r="G52" s="138">
        <f t="shared" si="9"/>
        <v>18000000</v>
      </c>
      <c r="H52" s="138">
        <f t="shared" si="10"/>
        <v>1800000</v>
      </c>
      <c r="I52" s="147"/>
      <c r="J52" s="157"/>
    </row>
    <row r="53" spans="1:10" ht="21.75" customHeight="1">
      <c r="A53" s="144">
        <v>7</v>
      </c>
      <c r="B53" s="151">
        <v>42720</v>
      </c>
      <c r="C53" s="156" t="s">
        <v>313</v>
      </c>
      <c r="D53" s="145" t="s">
        <v>218</v>
      </c>
      <c r="E53" s="139">
        <v>2400</v>
      </c>
      <c r="F53" s="138">
        <v>7500</v>
      </c>
      <c r="G53" s="138">
        <f t="shared" si="9"/>
        <v>18000000</v>
      </c>
      <c r="H53" s="138">
        <f t="shared" si="10"/>
        <v>1800000</v>
      </c>
      <c r="I53" s="147"/>
      <c r="J53" s="157"/>
    </row>
    <row r="54" spans="1:10" ht="21.75" customHeight="1">
      <c r="A54" s="144">
        <v>8</v>
      </c>
      <c r="B54" s="151">
        <v>42721</v>
      </c>
      <c r="C54" s="156" t="s">
        <v>306</v>
      </c>
      <c r="D54" s="145" t="s">
        <v>218</v>
      </c>
      <c r="E54" s="139">
        <v>2400</v>
      </c>
      <c r="F54" s="138">
        <v>7500</v>
      </c>
      <c r="G54" s="138">
        <f t="shared" si="9"/>
        <v>18000000</v>
      </c>
      <c r="H54" s="138">
        <f t="shared" si="10"/>
        <v>1800000</v>
      </c>
      <c r="I54" s="147"/>
      <c r="J54" s="157"/>
    </row>
    <row r="55" spans="1:10" ht="21.75" customHeight="1">
      <c r="A55" s="144">
        <v>9</v>
      </c>
      <c r="B55" s="151">
        <v>42722</v>
      </c>
      <c r="C55" s="156" t="s">
        <v>307</v>
      </c>
      <c r="D55" s="145" t="s">
        <v>218</v>
      </c>
      <c r="E55" s="139">
        <v>2400</v>
      </c>
      <c r="F55" s="138">
        <v>7500</v>
      </c>
      <c r="G55" s="138">
        <f t="shared" si="9"/>
        <v>18000000</v>
      </c>
      <c r="H55" s="138">
        <f t="shared" si="10"/>
        <v>1800000</v>
      </c>
      <c r="I55" s="147"/>
      <c r="J55" s="157"/>
    </row>
    <row r="56" spans="1:10" ht="21.75" customHeight="1">
      <c r="A56" s="144">
        <v>10</v>
      </c>
      <c r="B56" s="151">
        <v>42723</v>
      </c>
      <c r="C56" s="156" t="s">
        <v>308</v>
      </c>
      <c r="D56" s="145" t="s">
        <v>218</v>
      </c>
      <c r="E56" s="139">
        <v>2400</v>
      </c>
      <c r="F56" s="138">
        <v>7500</v>
      </c>
      <c r="G56" s="138">
        <f t="shared" si="9"/>
        <v>18000000</v>
      </c>
      <c r="H56" s="138">
        <f t="shared" si="10"/>
        <v>1800000</v>
      </c>
      <c r="I56" s="147"/>
      <c r="J56" s="157"/>
    </row>
    <row r="57" spans="1:10" ht="21" customHeight="1">
      <c r="A57" s="144"/>
      <c r="B57" s="151"/>
      <c r="C57" s="156"/>
      <c r="D57" s="145"/>
      <c r="E57" s="139"/>
      <c r="F57" s="138"/>
      <c r="G57" s="138"/>
      <c r="H57" s="138"/>
      <c r="I57" s="147"/>
    </row>
    <row r="58" spans="1:10" s="155" customFormat="1" ht="21" customHeight="1">
      <c r="A58" s="377" t="s">
        <v>19</v>
      </c>
      <c r="B58" s="377"/>
      <c r="C58" s="377"/>
      <c r="D58" s="377"/>
      <c r="E58" s="153">
        <f>SUM(E47:E57)</f>
        <v>24000</v>
      </c>
      <c r="F58" s="153"/>
      <c r="G58" s="153">
        <f>SUM(G47:G57)</f>
        <v>180000000</v>
      </c>
      <c r="H58" s="153">
        <f>SUM(H47:H57)</f>
        <v>18000000</v>
      </c>
      <c r="I58" s="154"/>
    </row>
    <row r="60" spans="1:10" s="141" customFormat="1" ht="14.25">
      <c r="A60" s="141" t="s">
        <v>221</v>
      </c>
    </row>
    <row r="61" spans="1:10" s="141" customFormat="1" ht="14.25">
      <c r="A61" s="141" t="s">
        <v>222</v>
      </c>
    </row>
    <row r="62" spans="1:10" s="141" customFormat="1" ht="14.25">
      <c r="A62" s="141" t="s">
        <v>223</v>
      </c>
    </row>
    <row r="67" spans="1:10" s="141" customFormat="1" ht="28.5" customHeight="1">
      <c r="A67" s="376" t="s">
        <v>327</v>
      </c>
      <c r="B67" s="376"/>
      <c r="C67" s="376"/>
      <c r="D67" s="376"/>
      <c r="E67" s="376"/>
      <c r="F67" s="376"/>
      <c r="G67" s="376"/>
      <c r="H67" s="376"/>
      <c r="I67" s="376"/>
    </row>
    <row r="68" spans="1:10" s="143" customFormat="1" ht="33.75" customHeight="1">
      <c r="A68" s="142" t="s">
        <v>0</v>
      </c>
      <c r="B68" s="142" t="s">
        <v>205</v>
      </c>
      <c r="C68" s="142" t="s">
        <v>206</v>
      </c>
      <c r="D68" s="142" t="s">
        <v>207</v>
      </c>
      <c r="E68" s="142" t="s">
        <v>7</v>
      </c>
      <c r="F68" s="142" t="s">
        <v>8</v>
      </c>
      <c r="G68" s="142" t="s">
        <v>9</v>
      </c>
      <c r="H68" s="142" t="s">
        <v>269</v>
      </c>
      <c r="I68" s="142" t="s">
        <v>82</v>
      </c>
    </row>
    <row r="69" spans="1:10" ht="21" customHeight="1">
      <c r="A69" s="144">
        <v>1</v>
      </c>
      <c r="B69" s="151">
        <v>42721</v>
      </c>
      <c r="C69" s="152" t="s">
        <v>337</v>
      </c>
      <c r="D69" s="145" t="s">
        <v>218</v>
      </c>
      <c r="E69" s="139">
        <v>180</v>
      </c>
      <c r="F69" s="138">
        <v>7500</v>
      </c>
      <c r="G69" s="138">
        <f t="shared" ref="G69:G83" si="11">E69*F69</f>
        <v>1350000</v>
      </c>
      <c r="H69" s="138">
        <f t="shared" ref="H69:H83" si="12">G69*10%</f>
        <v>135000</v>
      </c>
      <c r="I69" s="147"/>
      <c r="J69" s="157"/>
    </row>
    <row r="70" spans="1:10" ht="21" customHeight="1">
      <c r="A70" s="144">
        <v>2</v>
      </c>
      <c r="B70" s="151">
        <v>42724</v>
      </c>
      <c r="C70" s="152" t="s">
        <v>328</v>
      </c>
      <c r="D70" s="145" t="s">
        <v>218</v>
      </c>
      <c r="E70" s="139">
        <v>2400</v>
      </c>
      <c r="F70" s="138">
        <v>7500</v>
      </c>
      <c r="G70" s="138">
        <f t="shared" si="11"/>
        <v>18000000</v>
      </c>
      <c r="H70" s="138">
        <f t="shared" si="12"/>
        <v>1800000</v>
      </c>
      <c r="I70" s="147"/>
      <c r="J70" s="157"/>
    </row>
    <row r="71" spans="1:10" ht="21.75" customHeight="1">
      <c r="A71" s="144">
        <v>3</v>
      </c>
      <c r="B71" s="151">
        <v>42724</v>
      </c>
      <c r="C71" s="152" t="s">
        <v>338</v>
      </c>
      <c r="D71" s="145" t="s">
        <v>218</v>
      </c>
      <c r="E71" s="139">
        <v>2400</v>
      </c>
      <c r="F71" s="138">
        <v>7500</v>
      </c>
      <c r="G71" s="138">
        <f t="shared" si="11"/>
        <v>18000000</v>
      </c>
      <c r="H71" s="138">
        <f t="shared" si="12"/>
        <v>1800000</v>
      </c>
      <c r="I71" s="147"/>
      <c r="J71" s="157"/>
    </row>
    <row r="72" spans="1:10" ht="21.75" customHeight="1">
      <c r="A72" s="144">
        <v>4</v>
      </c>
      <c r="B72" s="151">
        <v>42725</v>
      </c>
      <c r="C72" s="152" t="s">
        <v>329</v>
      </c>
      <c r="D72" s="145" t="s">
        <v>218</v>
      </c>
      <c r="E72" s="139">
        <v>2400</v>
      </c>
      <c r="F72" s="138">
        <v>7500</v>
      </c>
      <c r="G72" s="138">
        <f t="shared" si="11"/>
        <v>18000000</v>
      </c>
      <c r="H72" s="138">
        <f t="shared" si="12"/>
        <v>1800000</v>
      </c>
      <c r="I72" s="147"/>
      <c r="J72" s="157"/>
    </row>
    <row r="73" spans="1:10" ht="21.75" customHeight="1">
      <c r="A73" s="144">
        <v>5</v>
      </c>
      <c r="B73" s="151">
        <v>42725</v>
      </c>
      <c r="C73" s="152" t="s">
        <v>339</v>
      </c>
      <c r="D73" s="145" t="s">
        <v>218</v>
      </c>
      <c r="E73" s="139">
        <v>2400</v>
      </c>
      <c r="F73" s="138">
        <v>7500</v>
      </c>
      <c r="G73" s="138">
        <f t="shared" si="11"/>
        <v>18000000</v>
      </c>
      <c r="H73" s="138">
        <f t="shared" si="12"/>
        <v>1800000</v>
      </c>
      <c r="I73" s="147"/>
      <c r="J73" s="157"/>
    </row>
    <row r="74" spans="1:10" ht="21.75" customHeight="1">
      <c r="A74" s="144">
        <v>6</v>
      </c>
      <c r="B74" s="151">
        <v>42726</v>
      </c>
      <c r="C74" s="156" t="s">
        <v>330</v>
      </c>
      <c r="D74" s="145" t="s">
        <v>218</v>
      </c>
      <c r="E74" s="139">
        <v>550</v>
      </c>
      <c r="F74" s="138">
        <v>7500</v>
      </c>
      <c r="G74" s="138">
        <f t="shared" si="11"/>
        <v>4125000</v>
      </c>
      <c r="H74" s="138">
        <f t="shared" si="12"/>
        <v>412500</v>
      </c>
      <c r="I74" s="147"/>
      <c r="J74" s="157"/>
    </row>
    <row r="75" spans="1:10" ht="21.75" customHeight="1">
      <c r="A75" s="144">
        <v>7</v>
      </c>
      <c r="B75" s="151">
        <v>42726</v>
      </c>
      <c r="C75" s="156" t="s">
        <v>340</v>
      </c>
      <c r="D75" s="145" t="s">
        <v>218</v>
      </c>
      <c r="E75" s="139">
        <v>1939</v>
      </c>
      <c r="F75" s="138">
        <v>7500</v>
      </c>
      <c r="G75" s="138">
        <f t="shared" si="11"/>
        <v>14542500</v>
      </c>
      <c r="H75" s="138">
        <f t="shared" si="12"/>
        <v>1454250</v>
      </c>
      <c r="I75" s="147"/>
      <c r="J75" s="157"/>
    </row>
    <row r="76" spans="1:10" ht="21.75" customHeight="1">
      <c r="A76" s="144">
        <v>8</v>
      </c>
      <c r="B76" s="151">
        <v>42727</v>
      </c>
      <c r="C76" s="156" t="s">
        <v>331</v>
      </c>
      <c r="D76" s="145" t="s">
        <v>218</v>
      </c>
      <c r="E76" s="139">
        <v>2400</v>
      </c>
      <c r="F76" s="138">
        <v>7500</v>
      </c>
      <c r="G76" s="138">
        <f t="shared" si="11"/>
        <v>18000000</v>
      </c>
      <c r="H76" s="138">
        <f t="shared" si="12"/>
        <v>1800000</v>
      </c>
      <c r="I76" s="147"/>
      <c r="J76" s="157"/>
    </row>
    <row r="77" spans="1:10" ht="21.75" customHeight="1">
      <c r="A77" s="144">
        <v>9</v>
      </c>
      <c r="B77" s="151">
        <v>42728</v>
      </c>
      <c r="C77" s="156" t="s">
        <v>332</v>
      </c>
      <c r="D77" s="145" t="s">
        <v>218</v>
      </c>
      <c r="E77" s="139">
        <v>2400</v>
      </c>
      <c r="F77" s="138">
        <v>7500</v>
      </c>
      <c r="G77" s="138">
        <f t="shared" si="11"/>
        <v>18000000</v>
      </c>
      <c r="H77" s="138">
        <f t="shared" si="12"/>
        <v>1800000</v>
      </c>
      <c r="I77" s="147"/>
      <c r="J77" s="157"/>
    </row>
    <row r="78" spans="1:10" ht="21.75" customHeight="1">
      <c r="A78" s="144">
        <v>10</v>
      </c>
      <c r="B78" s="151">
        <v>42728</v>
      </c>
      <c r="C78" s="156" t="s">
        <v>341</v>
      </c>
      <c r="D78" s="145" t="s">
        <v>218</v>
      </c>
      <c r="E78" s="139">
        <v>2400</v>
      </c>
      <c r="F78" s="138">
        <v>7500</v>
      </c>
      <c r="G78" s="138">
        <f t="shared" si="11"/>
        <v>18000000</v>
      </c>
      <c r="H78" s="138">
        <f t="shared" si="12"/>
        <v>1800000</v>
      </c>
      <c r="I78" s="147"/>
      <c r="J78" s="157"/>
    </row>
    <row r="79" spans="1:10" ht="21.75" customHeight="1">
      <c r="A79" s="144">
        <v>11</v>
      </c>
      <c r="B79" s="151">
        <v>42729</v>
      </c>
      <c r="C79" s="156" t="s">
        <v>333</v>
      </c>
      <c r="D79" s="145" t="s">
        <v>218</v>
      </c>
      <c r="E79" s="139">
        <v>2400</v>
      </c>
      <c r="F79" s="138">
        <v>7500</v>
      </c>
      <c r="G79" s="138">
        <f t="shared" si="11"/>
        <v>18000000</v>
      </c>
      <c r="H79" s="138">
        <f t="shared" si="12"/>
        <v>1800000</v>
      </c>
      <c r="I79" s="147"/>
      <c r="J79" s="157"/>
    </row>
    <row r="80" spans="1:10" ht="21.75" customHeight="1">
      <c r="A80" s="144">
        <v>12</v>
      </c>
      <c r="B80" s="151">
        <v>42730</v>
      </c>
      <c r="C80" s="156" t="s">
        <v>334</v>
      </c>
      <c r="D80" s="145" t="s">
        <v>218</v>
      </c>
      <c r="E80" s="139">
        <v>1200</v>
      </c>
      <c r="F80" s="138">
        <v>7500</v>
      </c>
      <c r="G80" s="138">
        <f t="shared" si="11"/>
        <v>9000000</v>
      </c>
      <c r="H80" s="138">
        <f t="shared" si="12"/>
        <v>900000</v>
      </c>
      <c r="I80" s="147"/>
      <c r="J80" s="157"/>
    </row>
    <row r="81" spans="1:10" ht="21.75" customHeight="1">
      <c r="A81" s="144">
        <v>13</v>
      </c>
      <c r="B81" s="151">
        <v>42731</v>
      </c>
      <c r="C81" s="156" t="s">
        <v>335</v>
      </c>
      <c r="D81" s="145" t="s">
        <v>218</v>
      </c>
      <c r="E81" s="139">
        <v>1380</v>
      </c>
      <c r="F81" s="138">
        <v>7500</v>
      </c>
      <c r="G81" s="138">
        <f t="shared" si="11"/>
        <v>10350000</v>
      </c>
      <c r="H81" s="138">
        <f t="shared" si="12"/>
        <v>1035000</v>
      </c>
      <c r="I81" s="147"/>
      <c r="J81" s="157"/>
    </row>
    <row r="82" spans="1:10" ht="21.75" customHeight="1">
      <c r="A82" s="144">
        <v>14</v>
      </c>
      <c r="B82" s="151">
        <v>42731</v>
      </c>
      <c r="C82" s="156" t="s">
        <v>342</v>
      </c>
      <c r="D82" s="145" t="s">
        <v>218</v>
      </c>
      <c r="E82" s="139">
        <v>2030</v>
      </c>
      <c r="F82" s="138">
        <v>7500</v>
      </c>
      <c r="G82" s="138">
        <f t="shared" si="11"/>
        <v>15225000</v>
      </c>
      <c r="H82" s="138">
        <f t="shared" si="12"/>
        <v>1522500</v>
      </c>
      <c r="I82" s="147"/>
      <c r="J82" s="157"/>
    </row>
    <row r="83" spans="1:10" ht="21.75" customHeight="1">
      <c r="A83" s="144">
        <v>15</v>
      </c>
      <c r="B83" s="151">
        <v>42732</v>
      </c>
      <c r="C83" s="156" t="s">
        <v>336</v>
      </c>
      <c r="D83" s="145" t="s">
        <v>218</v>
      </c>
      <c r="E83" s="139">
        <v>2030</v>
      </c>
      <c r="F83" s="138">
        <v>7500</v>
      </c>
      <c r="G83" s="138">
        <f t="shared" si="11"/>
        <v>15225000</v>
      </c>
      <c r="H83" s="138">
        <f t="shared" si="12"/>
        <v>1522500</v>
      </c>
      <c r="I83" s="147"/>
      <c r="J83" s="157"/>
    </row>
    <row r="84" spans="1:10" ht="21" customHeight="1">
      <c r="A84" s="144"/>
      <c r="B84" s="151"/>
      <c r="C84" s="156"/>
      <c r="D84" s="145"/>
      <c r="E84" s="139"/>
      <c r="F84" s="138"/>
      <c r="G84" s="138"/>
      <c r="H84" s="138"/>
      <c r="I84" s="147"/>
    </row>
    <row r="85" spans="1:10" s="155" customFormat="1" ht="21" customHeight="1">
      <c r="A85" s="377" t="s">
        <v>19</v>
      </c>
      <c r="B85" s="377"/>
      <c r="C85" s="377"/>
      <c r="D85" s="377"/>
      <c r="E85" s="153">
        <f>SUM(E69:E84)</f>
        <v>28509</v>
      </c>
      <c r="F85" s="153"/>
      <c r="G85" s="153">
        <f>SUM(G69:G84)</f>
        <v>213817500</v>
      </c>
      <c r="H85" s="153">
        <f>SUM(H69:H84)</f>
        <v>21381750</v>
      </c>
      <c r="I85" s="154"/>
    </row>
    <row r="87" spans="1:10" s="141" customFormat="1" ht="14.25">
      <c r="A87" s="141" t="s">
        <v>221</v>
      </c>
    </row>
    <row r="88" spans="1:10" s="141" customFormat="1" ht="14.25">
      <c r="A88" s="141" t="s">
        <v>222</v>
      </c>
    </row>
    <row r="89" spans="1:10" s="141" customFormat="1" ht="14.25">
      <c r="A89" s="141" t="s">
        <v>223</v>
      </c>
    </row>
  </sheetData>
  <sortState ref="A69:J85">
    <sortCondition ref="B69:B85"/>
  </sortState>
  <mergeCells count="8">
    <mergeCell ref="A67:I67"/>
    <mergeCell ref="A85:D85"/>
    <mergeCell ref="A58:D58"/>
    <mergeCell ref="A2:I2"/>
    <mergeCell ref="A15:D15"/>
    <mergeCell ref="A22:I22"/>
    <mergeCell ref="A36:D36"/>
    <mergeCell ref="A45:I45"/>
  </mergeCells>
  <pageMargins left="0.72" right="0.13" top="0.16" bottom="0.16" header="0.3" footer="0.3"/>
  <pageSetup scale="9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V93"/>
  <sheetViews>
    <sheetView tabSelected="1" topLeftCell="A10" zoomScale="90" zoomScaleNormal="90" workbookViewId="0">
      <selection activeCell="C29" sqref="C29"/>
    </sheetView>
  </sheetViews>
  <sheetFormatPr defaultColWidth="10.7109375" defaultRowHeight="18" customHeight="1"/>
  <cols>
    <col min="1" max="1" width="4.7109375" style="236" customWidth="1"/>
    <col min="2" max="2" width="9.7109375" style="236" customWidth="1"/>
    <col min="3" max="3" width="33.85546875" style="236" bestFit="1" customWidth="1"/>
    <col min="4" max="4" width="13.85546875" style="236" customWidth="1"/>
    <col min="5" max="5" width="12.7109375" style="236" customWidth="1"/>
    <col min="6" max="6" width="9" style="236" customWidth="1"/>
    <col min="7" max="7" width="9.85546875" style="236" customWidth="1"/>
    <col min="8" max="8" width="6.5703125" style="236" customWidth="1"/>
    <col min="9" max="9" width="10.42578125" style="236" customWidth="1"/>
    <col min="10" max="10" width="12.140625" style="236" customWidth="1"/>
    <col min="11" max="11" width="13.140625" style="236" customWidth="1"/>
    <col min="12" max="12" width="8.140625" style="236" customWidth="1"/>
    <col min="13" max="13" width="7.7109375" style="236" customWidth="1"/>
    <col min="14" max="14" width="12" style="236" customWidth="1"/>
    <col min="15" max="15" width="8" style="236" customWidth="1"/>
    <col min="16" max="16" width="15" style="236" customWidth="1"/>
    <col min="17" max="17" width="10.5703125" style="236" customWidth="1"/>
    <col min="18" max="18" width="14.85546875" style="236" customWidth="1"/>
    <col min="19" max="19" width="23.28515625" style="236" customWidth="1"/>
    <col min="20" max="20" width="10.5703125" style="236" customWidth="1"/>
    <col min="21" max="21" width="14.85546875" style="236" customWidth="1"/>
    <col min="22" max="22" width="16" style="236" customWidth="1"/>
    <col min="23" max="16384" width="10.7109375" style="236"/>
  </cols>
  <sheetData>
    <row r="1" spans="1:22" ht="27" customHeight="1">
      <c r="A1" s="318" t="s">
        <v>450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</row>
    <row r="2" spans="1:22" s="237" customFormat="1" ht="24" customHeight="1">
      <c r="A2" s="337" t="s">
        <v>0</v>
      </c>
      <c r="B2" s="337" t="s">
        <v>1</v>
      </c>
      <c r="C2" s="338" t="s">
        <v>2</v>
      </c>
      <c r="D2" s="338"/>
      <c r="E2" s="338"/>
      <c r="F2" s="338" t="s">
        <v>465</v>
      </c>
      <c r="G2" s="338"/>
      <c r="H2" s="338"/>
      <c r="I2" s="338"/>
      <c r="J2" s="338"/>
      <c r="K2" s="378" t="s">
        <v>452</v>
      </c>
      <c r="L2" s="338" t="s">
        <v>3</v>
      </c>
      <c r="M2" s="338"/>
      <c r="N2" s="338"/>
      <c r="O2" s="338"/>
      <c r="P2" s="338"/>
      <c r="Q2" s="338"/>
      <c r="R2" s="338"/>
      <c r="S2" s="337" t="s">
        <v>451</v>
      </c>
      <c r="T2" s="337"/>
      <c r="U2" s="337"/>
      <c r="V2" s="378" t="s">
        <v>82</v>
      </c>
    </row>
    <row r="3" spans="1:22" s="143" customFormat="1" ht="48.75" customHeight="1">
      <c r="A3" s="337"/>
      <c r="B3" s="337" t="s">
        <v>1</v>
      </c>
      <c r="C3" s="295" t="s">
        <v>4</v>
      </c>
      <c r="D3" s="295" t="s">
        <v>5</v>
      </c>
      <c r="E3" s="295" t="s">
        <v>6</v>
      </c>
      <c r="F3" s="295" t="s">
        <v>83</v>
      </c>
      <c r="G3" s="322" t="s">
        <v>7</v>
      </c>
      <c r="H3" s="295" t="s">
        <v>453</v>
      </c>
      <c r="I3" s="295" t="s">
        <v>411</v>
      </c>
      <c r="J3" s="306" t="s">
        <v>454</v>
      </c>
      <c r="K3" s="379"/>
      <c r="L3" s="295" t="s">
        <v>455</v>
      </c>
      <c r="M3" s="295" t="s">
        <v>456</v>
      </c>
      <c r="N3" s="295" t="s">
        <v>457</v>
      </c>
      <c r="O3" s="295" t="s">
        <v>51</v>
      </c>
      <c r="P3" s="295" t="s">
        <v>458</v>
      </c>
      <c r="Q3" s="295" t="s">
        <v>459</v>
      </c>
      <c r="R3" s="295" t="s">
        <v>460</v>
      </c>
      <c r="S3" s="295" t="s">
        <v>461</v>
      </c>
      <c r="T3" s="295" t="s">
        <v>462</v>
      </c>
      <c r="U3" s="295" t="s">
        <v>463</v>
      </c>
      <c r="V3" s="379"/>
    </row>
    <row r="4" spans="1:22" s="150" customFormat="1" ht="18" customHeight="1">
      <c r="A4" s="144">
        <v>1</v>
      </c>
      <c r="B4" s="297">
        <v>42811</v>
      </c>
      <c r="C4" s="144" t="s">
        <v>497</v>
      </c>
      <c r="D4" s="144" t="s">
        <v>498</v>
      </c>
      <c r="E4" s="144">
        <v>4862142</v>
      </c>
      <c r="F4" s="321">
        <v>2026</v>
      </c>
      <c r="G4" s="321">
        <f>F4*13</f>
        <v>26338</v>
      </c>
      <c r="H4" s="292">
        <v>2.65</v>
      </c>
      <c r="I4" s="292">
        <f>G4*H4</f>
        <v>69795.7</v>
      </c>
      <c r="J4" s="380">
        <f>SUM(I4:I9)</f>
        <v>418946.44999999995</v>
      </c>
      <c r="K4" s="312"/>
      <c r="L4" s="310"/>
      <c r="M4" s="311"/>
      <c r="N4" s="311"/>
      <c r="O4" s="312"/>
      <c r="P4" s="312"/>
      <c r="Q4" s="312"/>
      <c r="R4" s="312"/>
      <c r="S4" s="264"/>
      <c r="T4" s="294"/>
      <c r="U4" s="294"/>
      <c r="V4" s="144"/>
    </row>
    <row r="5" spans="1:22" s="150" customFormat="1" ht="18" customHeight="1">
      <c r="A5" s="144">
        <v>2</v>
      </c>
      <c r="B5" s="297">
        <v>42811</v>
      </c>
      <c r="C5" s="144" t="s">
        <v>497</v>
      </c>
      <c r="D5" s="243" t="s">
        <v>499</v>
      </c>
      <c r="E5" s="243">
        <v>4862192</v>
      </c>
      <c r="F5" s="321">
        <v>2027</v>
      </c>
      <c r="G5" s="324">
        <f t="shared" ref="G5:G14" si="0">F5*13</f>
        <v>26351</v>
      </c>
      <c r="H5" s="292">
        <v>2.65</v>
      </c>
      <c r="I5" s="319">
        <f t="shared" ref="I5:I8" si="1">G5*H5</f>
        <v>69830.149999999994</v>
      </c>
      <c r="J5" s="344"/>
      <c r="K5" s="315"/>
      <c r="L5" s="313"/>
      <c r="M5" s="314"/>
      <c r="N5" s="314"/>
      <c r="O5" s="315"/>
      <c r="P5" s="315"/>
      <c r="Q5" s="315"/>
      <c r="R5" s="315"/>
      <c r="S5" s="253"/>
      <c r="T5" s="294"/>
      <c r="U5" s="294"/>
      <c r="V5" s="144"/>
    </row>
    <row r="6" spans="1:22" s="150" customFormat="1" ht="18" customHeight="1">
      <c r="A6" s="144">
        <v>3</v>
      </c>
      <c r="B6" s="297">
        <v>42811</v>
      </c>
      <c r="C6" s="144" t="s">
        <v>497</v>
      </c>
      <c r="D6" s="243" t="s">
        <v>500</v>
      </c>
      <c r="E6" s="243">
        <v>4862155</v>
      </c>
      <c r="F6" s="321">
        <v>2027</v>
      </c>
      <c r="G6" s="324">
        <f t="shared" si="0"/>
        <v>26351</v>
      </c>
      <c r="H6" s="292">
        <v>2.65</v>
      </c>
      <c r="I6" s="319">
        <f t="shared" si="1"/>
        <v>69830.149999999994</v>
      </c>
      <c r="J6" s="344"/>
      <c r="K6" s="315"/>
      <c r="L6" s="313"/>
      <c r="M6" s="314"/>
      <c r="N6" s="314"/>
      <c r="O6" s="315"/>
      <c r="P6" s="315"/>
      <c r="Q6" s="315"/>
      <c r="R6" s="315"/>
      <c r="S6" s="253"/>
      <c r="T6" s="294"/>
      <c r="U6" s="294"/>
      <c r="V6" s="144"/>
    </row>
    <row r="7" spans="1:22" s="150" customFormat="1" ht="18" customHeight="1">
      <c r="A7" s="144">
        <v>4</v>
      </c>
      <c r="B7" s="297">
        <v>42811</v>
      </c>
      <c r="C7" s="144" t="s">
        <v>497</v>
      </c>
      <c r="D7" s="243" t="s">
        <v>501</v>
      </c>
      <c r="E7" s="243">
        <v>4862148</v>
      </c>
      <c r="F7" s="321">
        <v>2027</v>
      </c>
      <c r="G7" s="324">
        <f t="shared" si="0"/>
        <v>26351</v>
      </c>
      <c r="H7" s="292">
        <v>2.65</v>
      </c>
      <c r="I7" s="319">
        <f t="shared" si="1"/>
        <v>69830.149999999994</v>
      </c>
      <c r="J7" s="344"/>
      <c r="K7" s="315"/>
      <c r="L7" s="313"/>
      <c r="M7" s="314"/>
      <c r="N7" s="314"/>
      <c r="O7" s="315"/>
      <c r="P7" s="315"/>
      <c r="Q7" s="315"/>
      <c r="R7" s="315"/>
      <c r="S7" s="253"/>
      <c r="T7" s="254"/>
      <c r="U7" s="255"/>
      <c r="V7" s="144"/>
    </row>
    <row r="8" spans="1:22" s="150" customFormat="1" ht="18" customHeight="1">
      <c r="A8" s="144">
        <v>5</v>
      </c>
      <c r="B8" s="297">
        <v>42811</v>
      </c>
      <c r="C8" s="144" t="s">
        <v>497</v>
      </c>
      <c r="D8" s="243" t="s">
        <v>502</v>
      </c>
      <c r="E8" s="243">
        <v>4862151</v>
      </c>
      <c r="F8" s="321">
        <v>2027</v>
      </c>
      <c r="G8" s="324">
        <f t="shared" si="0"/>
        <v>26351</v>
      </c>
      <c r="H8" s="292">
        <v>2.65</v>
      </c>
      <c r="I8" s="319">
        <f t="shared" si="1"/>
        <v>69830.149999999994</v>
      </c>
      <c r="J8" s="344"/>
      <c r="K8" s="315"/>
      <c r="L8" s="313"/>
      <c r="M8" s="314"/>
      <c r="N8" s="314"/>
      <c r="O8" s="315"/>
      <c r="P8" s="315"/>
      <c r="Q8" s="315"/>
      <c r="R8" s="315"/>
      <c r="S8" s="253"/>
      <c r="T8" s="254"/>
      <c r="U8" s="255"/>
      <c r="V8" s="144"/>
    </row>
    <row r="9" spans="1:22" s="150" customFormat="1" ht="18" customHeight="1">
      <c r="A9" s="144">
        <v>6</v>
      </c>
      <c r="B9" s="297">
        <v>42811</v>
      </c>
      <c r="C9" s="144" t="s">
        <v>497</v>
      </c>
      <c r="D9" s="243" t="s">
        <v>503</v>
      </c>
      <c r="E9" s="243">
        <v>4862149</v>
      </c>
      <c r="F9" s="321">
        <v>2027</v>
      </c>
      <c r="G9" s="324">
        <f t="shared" si="0"/>
        <v>26351</v>
      </c>
      <c r="H9" s="292">
        <v>2.65</v>
      </c>
      <c r="I9" s="319">
        <f>G9*H9</f>
        <v>69830.149999999994</v>
      </c>
      <c r="J9" s="339"/>
      <c r="K9" s="315"/>
      <c r="L9" s="313"/>
      <c r="M9" s="314"/>
      <c r="N9" s="314"/>
      <c r="O9" s="315"/>
      <c r="P9" s="315"/>
      <c r="Q9" s="315"/>
      <c r="R9" s="315"/>
      <c r="S9" s="253"/>
      <c r="T9" s="254"/>
      <c r="U9" s="255"/>
      <c r="V9" s="144"/>
    </row>
    <row r="10" spans="1:22" s="150" customFormat="1" ht="18" customHeight="1">
      <c r="A10" s="144">
        <v>7</v>
      </c>
      <c r="B10" s="300">
        <v>42817</v>
      </c>
      <c r="C10" s="243" t="s">
        <v>504</v>
      </c>
      <c r="D10" s="243" t="s">
        <v>505</v>
      </c>
      <c r="E10" s="243">
        <v>4869106</v>
      </c>
      <c r="F10" s="324">
        <v>2022</v>
      </c>
      <c r="G10" s="324">
        <f t="shared" si="0"/>
        <v>26286</v>
      </c>
      <c r="H10" s="325">
        <v>2.65</v>
      </c>
      <c r="I10" s="325">
        <f t="shared" ref="I10:I73" si="2">G10*H10</f>
        <v>69657.899999999994</v>
      </c>
      <c r="J10" s="343">
        <f>SUM(I10:I14)</f>
        <v>348255.05</v>
      </c>
      <c r="K10" s="315"/>
      <c r="L10" s="313"/>
      <c r="M10" s="314"/>
      <c r="N10" s="314"/>
      <c r="O10" s="315"/>
      <c r="P10" s="315"/>
      <c r="Q10" s="315"/>
      <c r="R10" s="315"/>
      <c r="S10" s="253"/>
      <c r="T10" s="254"/>
      <c r="U10" s="255"/>
      <c r="V10" s="144"/>
    </row>
    <row r="11" spans="1:22" s="150" customFormat="1" ht="18" customHeight="1">
      <c r="A11" s="144">
        <v>8</v>
      </c>
      <c r="B11" s="326">
        <v>42817</v>
      </c>
      <c r="C11" s="243" t="s">
        <v>504</v>
      </c>
      <c r="D11" s="243" t="s">
        <v>506</v>
      </c>
      <c r="E11" s="243">
        <v>4869155</v>
      </c>
      <c r="F11" s="324">
        <v>2022</v>
      </c>
      <c r="G11" s="324">
        <f t="shared" si="0"/>
        <v>26286</v>
      </c>
      <c r="H11" s="325">
        <v>2.65</v>
      </c>
      <c r="I11" s="325">
        <f t="shared" si="2"/>
        <v>69657.899999999994</v>
      </c>
      <c r="J11" s="344"/>
      <c r="K11" s="315"/>
      <c r="L11" s="313"/>
      <c r="M11" s="314"/>
      <c r="N11" s="314"/>
      <c r="O11" s="315"/>
      <c r="P11" s="315"/>
      <c r="Q11" s="315"/>
      <c r="R11" s="315"/>
      <c r="S11" s="253"/>
      <c r="T11" s="254"/>
      <c r="U11" s="255"/>
      <c r="V11" s="145"/>
    </row>
    <row r="12" spans="1:22" s="150" customFormat="1" ht="18" customHeight="1">
      <c r="A12" s="144">
        <v>9</v>
      </c>
      <c r="B12" s="326">
        <v>42817</v>
      </c>
      <c r="C12" s="243" t="s">
        <v>504</v>
      </c>
      <c r="D12" s="243" t="s">
        <v>507</v>
      </c>
      <c r="E12" s="243">
        <v>4869156</v>
      </c>
      <c r="F12" s="324">
        <v>2022</v>
      </c>
      <c r="G12" s="324">
        <f t="shared" si="0"/>
        <v>26286</v>
      </c>
      <c r="H12" s="325">
        <v>2.65</v>
      </c>
      <c r="I12" s="325">
        <f t="shared" si="2"/>
        <v>69657.899999999994</v>
      </c>
      <c r="J12" s="344"/>
      <c r="K12" s="315"/>
      <c r="L12" s="313"/>
      <c r="M12" s="314"/>
      <c r="N12" s="314"/>
      <c r="O12" s="315"/>
      <c r="P12" s="315"/>
      <c r="Q12" s="315"/>
      <c r="R12" s="315"/>
      <c r="S12" s="253"/>
      <c r="T12" s="254"/>
      <c r="U12" s="255"/>
      <c r="V12" s="144"/>
    </row>
    <row r="13" spans="1:22" s="150" customFormat="1" ht="18" customHeight="1">
      <c r="A13" s="144">
        <v>10</v>
      </c>
      <c r="B13" s="326">
        <v>42817</v>
      </c>
      <c r="C13" s="243" t="s">
        <v>504</v>
      </c>
      <c r="D13" s="243" t="s">
        <v>508</v>
      </c>
      <c r="E13" s="243">
        <v>4869102</v>
      </c>
      <c r="F13" s="324">
        <v>2022</v>
      </c>
      <c r="G13" s="324">
        <f t="shared" si="0"/>
        <v>26286</v>
      </c>
      <c r="H13" s="325">
        <v>2.65</v>
      </c>
      <c r="I13" s="325">
        <f t="shared" si="2"/>
        <v>69657.899999999994</v>
      </c>
      <c r="J13" s="344"/>
      <c r="K13" s="315"/>
      <c r="L13" s="313"/>
      <c r="M13" s="314"/>
      <c r="N13" s="314"/>
      <c r="O13" s="315"/>
      <c r="P13" s="315"/>
      <c r="Q13" s="315"/>
      <c r="R13" s="315"/>
      <c r="S13" s="253"/>
      <c r="T13" s="254"/>
      <c r="U13" s="255"/>
      <c r="V13" s="144"/>
    </row>
    <row r="14" spans="1:22" s="150" customFormat="1" ht="18" customHeight="1">
      <c r="A14" s="144">
        <v>11</v>
      </c>
      <c r="B14" s="326">
        <v>42817</v>
      </c>
      <c r="C14" s="243" t="s">
        <v>504</v>
      </c>
      <c r="D14" s="150" t="s">
        <v>509</v>
      </c>
      <c r="E14" s="243">
        <v>4869104</v>
      </c>
      <c r="F14" s="324">
        <v>2021</v>
      </c>
      <c r="G14" s="324">
        <f t="shared" si="0"/>
        <v>26273</v>
      </c>
      <c r="H14" s="325">
        <v>2.65</v>
      </c>
      <c r="I14" s="325">
        <f t="shared" si="2"/>
        <v>69623.45</v>
      </c>
      <c r="J14" s="339"/>
      <c r="K14" s="315"/>
      <c r="L14" s="313"/>
      <c r="M14" s="314"/>
      <c r="N14" s="314"/>
      <c r="O14" s="315"/>
      <c r="P14" s="315"/>
      <c r="Q14" s="315"/>
      <c r="R14" s="315"/>
      <c r="S14" s="253"/>
      <c r="T14" s="254"/>
      <c r="U14" s="255"/>
      <c r="V14" s="144"/>
    </row>
    <row r="15" spans="1:22" s="150" customFormat="1" ht="18" customHeight="1">
      <c r="A15" s="144">
        <v>12</v>
      </c>
      <c r="B15" s="300">
        <v>42821</v>
      </c>
      <c r="C15" s="243" t="s">
        <v>510</v>
      </c>
      <c r="D15" s="243" t="s">
        <v>511</v>
      </c>
      <c r="E15" s="243" t="s">
        <v>517</v>
      </c>
      <c r="F15" s="294">
        <v>2030</v>
      </c>
      <c r="G15" s="321">
        <f t="shared" ref="G15:G74" si="3">F15*13</f>
        <v>26390</v>
      </c>
      <c r="H15" s="292">
        <v>2.84</v>
      </c>
      <c r="I15" s="325">
        <f t="shared" si="2"/>
        <v>74947.599999999991</v>
      </c>
      <c r="J15" s="343">
        <f>SUM(I15:I20)</f>
        <v>449685.59999999992</v>
      </c>
      <c r="K15" s="315"/>
      <c r="L15" s="313"/>
      <c r="M15" s="314"/>
      <c r="N15" s="314"/>
      <c r="O15" s="315"/>
      <c r="P15" s="315"/>
      <c r="Q15" s="315"/>
      <c r="R15" s="315"/>
      <c r="S15" s="253"/>
      <c r="T15" s="254"/>
      <c r="U15" s="255"/>
      <c r="V15" s="144"/>
    </row>
    <row r="16" spans="1:22" s="150" customFormat="1" ht="18" customHeight="1">
      <c r="A16" s="144">
        <v>13</v>
      </c>
      <c r="B16" s="327">
        <v>42821</v>
      </c>
      <c r="C16" s="243" t="s">
        <v>510</v>
      </c>
      <c r="D16" s="245" t="s">
        <v>512</v>
      </c>
      <c r="E16" s="243" t="s">
        <v>518</v>
      </c>
      <c r="F16" s="328">
        <v>2030</v>
      </c>
      <c r="G16" s="321">
        <f t="shared" si="3"/>
        <v>26390</v>
      </c>
      <c r="H16" s="329">
        <v>2.84</v>
      </c>
      <c r="I16" s="325">
        <f t="shared" si="2"/>
        <v>74947.599999999991</v>
      </c>
      <c r="J16" s="344"/>
      <c r="K16" s="315"/>
      <c r="L16" s="313"/>
      <c r="M16" s="314"/>
      <c r="N16" s="314"/>
      <c r="O16" s="315"/>
      <c r="P16" s="315"/>
      <c r="Q16" s="315"/>
      <c r="R16" s="315"/>
      <c r="S16" s="253"/>
      <c r="T16" s="254"/>
      <c r="U16" s="255"/>
      <c r="V16" s="144"/>
    </row>
    <row r="17" spans="1:22" s="150" customFormat="1" ht="18" customHeight="1">
      <c r="A17" s="144">
        <v>14</v>
      </c>
      <c r="B17" s="327">
        <v>42821</v>
      </c>
      <c r="C17" s="243" t="s">
        <v>510</v>
      </c>
      <c r="D17" s="243" t="s">
        <v>513</v>
      </c>
      <c r="E17" s="243" t="s">
        <v>519</v>
      </c>
      <c r="F17" s="328">
        <v>2030</v>
      </c>
      <c r="G17" s="321">
        <f t="shared" si="3"/>
        <v>26390</v>
      </c>
      <c r="H17" s="329">
        <v>2.84</v>
      </c>
      <c r="I17" s="325">
        <f t="shared" si="2"/>
        <v>74947.599999999991</v>
      </c>
      <c r="J17" s="344"/>
      <c r="K17" s="315"/>
      <c r="L17" s="313"/>
      <c r="M17" s="314"/>
      <c r="N17" s="314"/>
      <c r="O17" s="315"/>
      <c r="P17" s="315"/>
      <c r="Q17" s="315"/>
      <c r="R17" s="315"/>
      <c r="S17" s="253"/>
      <c r="T17" s="254"/>
      <c r="U17" s="255"/>
      <c r="V17" s="144"/>
    </row>
    <row r="18" spans="1:22" s="150" customFormat="1" ht="18" customHeight="1">
      <c r="A18" s="144">
        <v>15</v>
      </c>
      <c r="B18" s="327">
        <v>42821</v>
      </c>
      <c r="C18" s="243" t="s">
        <v>510</v>
      </c>
      <c r="D18" s="243" t="s">
        <v>514</v>
      </c>
      <c r="E18" s="243" t="s">
        <v>520</v>
      </c>
      <c r="F18" s="328">
        <v>2030</v>
      </c>
      <c r="G18" s="321">
        <f t="shared" si="3"/>
        <v>26390</v>
      </c>
      <c r="H18" s="329">
        <v>2.84</v>
      </c>
      <c r="I18" s="325">
        <f t="shared" si="2"/>
        <v>74947.599999999991</v>
      </c>
      <c r="J18" s="344"/>
      <c r="K18" s="315"/>
      <c r="L18" s="313"/>
      <c r="M18" s="314"/>
      <c r="N18" s="314"/>
      <c r="O18" s="315"/>
      <c r="P18" s="315"/>
      <c r="Q18" s="315"/>
      <c r="R18" s="315"/>
      <c r="S18" s="256"/>
      <c r="T18" s="254"/>
      <c r="U18" s="255"/>
      <c r="V18" s="144"/>
    </row>
    <row r="19" spans="1:22" s="150" customFormat="1" ht="18" customHeight="1">
      <c r="A19" s="144">
        <v>16</v>
      </c>
      <c r="B19" s="327">
        <v>42821</v>
      </c>
      <c r="C19" s="243" t="s">
        <v>510</v>
      </c>
      <c r="D19" s="243" t="s">
        <v>515</v>
      </c>
      <c r="E19" s="243" t="s">
        <v>521</v>
      </c>
      <c r="F19" s="328">
        <v>2030</v>
      </c>
      <c r="G19" s="321">
        <f t="shared" si="3"/>
        <v>26390</v>
      </c>
      <c r="H19" s="329">
        <v>2.84</v>
      </c>
      <c r="I19" s="325">
        <f t="shared" si="2"/>
        <v>74947.599999999991</v>
      </c>
      <c r="J19" s="344"/>
      <c r="K19" s="315"/>
      <c r="L19" s="313"/>
      <c r="M19" s="314"/>
      <c r="N19" s="314"/>
      <c r="O19" s="315"/>
      <c r="P19" s="315"/>
      <c r="Q19" s="315"/>
      <c r="R19" s="315"/>
      <c r="S19" s="256"/>
      <c r="T19" s="254"/>
      <c r="U19" s="255"/>
      <c r="V19" s="144"/>
    </row>
    <row r="20" spans="1:22" s="150" customFormat="1" ht="18" customHeight="1">
      <c r="A20" s="144">
        <v>17</v>
      </c>
      <c r="B20" s="327">
        <v>42821</v>
      </c>
      <c r="C20" s="243" t="s">
        <v>510</v>
      </c>
      <c r="D20" s="243" t="s">
        <v>516</v>
      </c>
      <c r="E20" s="243" t="s">
        <v>522</v>
      </c>
      <c r="F20" s="328">
        <v>2030</v>
      </c>
      <c r="G20" s="321">
        <f t="shared" si="3"/>
        <v>26390</v>
      </c>
      <c r="H20" s="329">
        <v>2.84</v>
      </c>
      <c r="I20" s="325">
        <f t="shared" si="2"/>
        <v>74947.599999999991</v>
      </c>
      <c r="J20" s="339"/>
      <c r="K20" s="315"/>
      <c r="L20" s="313"/>
      <c r="M20" s="314"/>
      <c r="N20" s="314"/>
      <c r="O20" s="315"/>
      <c r="P20" s="315"/>
      <c r="Q20" s="315"/>
      <c r="R20" s="315"/>
      <c r="S20" s="253"/>
      <c r="T20" s="254"/>
      <c r="U20" s="255"/>
      <c r="V20" s="144"/>
    </row>
    <row r="21" spans="1:22" s="150" customFormat="1" ht="18" customHeight="1">
      <c r="A21" s="144">
        <v>18</v>
      </c>
      <c r="B21" s="300">
        <v>42825</v>
      </c>
      <c r="C21" s="243" t="s">
        <v>523</v>
      </c>
      <c r="D21" s="243"/>
      <c r="E21" s="243"/>
      <c r="F21" s="328">
        <v>2030</v>
      </c>
      <c r="G21" s="321">
        <f t="shared" si="3"/>
        <v>26390</v>
      </c>
      <c r="H21" s="292">
        <v>2.81</v>
      </c>
      <c r="I21" s="325">
        <f t="shared" si="2"/>
        <v>74155.899999999994</v>
      </c>
      <c r="J21" s="343">
        <f>SUM(I21:I26)</f>
        <v>444935.4</v>
      </c>
      <c r="K21" s="315"/>
      <c r="L21" s="313"/>
      <c r="M21" s="314"/>
      <c r="N21" s="314"/>
      <c r="O21" s="315"/>
      <c r="P21" s="315"/>
      <c r="Q21" s="315"/>
      <c r="R21" s="315"/>
      <c r="S21" s="253"/>
      <c r="T21" s="254"/>
      <c r="U21" s="255"/>
      <c r="V21" s="144"/>
    </row>
    <row r="22" spans="1:22" s="150" customFormat="1" ht="18" customHeight="1">
      <c r="A22" s="144">
        <v>19</v>
      </c>
      <c r="B22" s="330">
        <v>42825</v>
      </c>
      <c r="C22" s="243" t="s">
        <v>523</v>
      </c>
      <c r="D22" s="243"/>
      <c r="E22" s="243"/>
      <c r="F22" s="328">
        <v>2030</v>
      </c>
      <c r="G22" s="321">
        <f t="shared" si="3"/>
        <v>26390</v>
      </c>
      <c r="H22" s="329">
        <v>2.81</v>
      </c>
      <c r="I22" s="325">
        <f t="shared" si="2"/>
        <v>74155.899999999994</v>
      </c>
      <c r="J22" s="344"/>
      <c r="K22" s="315"/>
      <c r="L22" s="313"/>
      <c r="M22" s="314"/>
      <c r="N22" s="314"/>
      <c r="O22" s="315"/>
      <c r="P22" s="315"/>
      <c r="Q22" s="315"/>
      <c r="R22" s="315"/>
      <c r="S22" s="256"/>
      <c r="T22" s="254"/>
      <c r="U22" s="255"/>
      <c r="V22" s="144"/>
    </row>
    <row r="23" spans="1:22" s="150" customFormat="1" ht="18" customHeight="1">
      <c r="A23" s="144">
        <v>20</v>
      </c>
      <c r="B23" s="330">
        <v>42825</v>
      </c>
      <c r="C23" s="243" t="s">
        <v>523</v>
      </c>
      <c r="D23" s="243"/>
      <c r="E23" s="243"/>
      <c r="F23" s="328">
        <v>2030</v>
      </c>
      <c r="G23" s="321">
        <f t="shared" si="3"/>
        <v>26390</v>
      </c>
      <c r="H23" s="329">
        <v>2.81</v>
      </c>
      <c r="I23" s="325">
        <f t="shared" si="2"/>
        <v>74155.899999999994</v>
      </c>
      <c r="J23" s="344"/>
      <c r="K23" s="315"/>
      <c r="L23" s="313"/>
      <c r="M23" s="314"/>
      <c r="N23" s="314"/>
      <c r="O23" s="315"/>
      <c r="P23" s="315"/>
      <c r="Q23" s="315"/>
      <c r="R23" s="315"/>
      <c r="S23" s="253"/>
      <c r="T23" s="254"/>
      <c r="U23" s="255"/>
      <c r="V23" s="144"/>
    </row>
    <row r="24" spans="1:22" s="150" customFormat="1" ht="18" customHeight="1">
      <c r="A24" s="144">
        <v>21</v>
      </c>
      <c r="B24" s="330">
        <v>42825</v>
      </c>
      <c r="C24" s="243" t="s">
        <v>523</v>
      </c>
      <c r="D24" s="243"/>
      <c r="E24" s="243"/>
      <c r="F24" s="328">
        <v>2030</v>
      </c>
      <c r="G24" s="321">
        <f t="shared" si="3"/>
        <v>26390</v>
      </c>
      <c r="H24" s="329">
        <v>2.81</v>
      </c>
      <c r="I24" s="325">
        <f t="shared" si="2"/>
        <v>74155.899999999994</v>
      </c>
      <c r="J24" s="344"/>
      <c r="K24" s="315"/>
      <c r="L24" s="313"/>
      <c r="M24" s="314"/>
      <c r="N24" s="314"/>
      <c r="O24" s="315"/>
      <c r="P24" s="315"/>
      <c r="Q24" s="315"/>
      <c r="R24" s="315"/>
      <c r="S24" s="253"/>
      <c r="T24" s="254"/>
      <c r="U24" s="255"/>
      <c r="V24" s="144"/>
    </row>
    <row r="25" spans="1:22" s="150" customFormat="1" ht="18" customHeight="1">
      <c r="A25" s="144">
        <v>22</v>
      </c>
      <c r="B25" s="330">
        <v>42825</v>
      </c>
      <c r="C25" s="243" t="s">
        <v>523</v>
      </c>
      <c r="D25" s="243"/>
      <c r="E25" s="243"/>
      <c r="F25" s="328">
        <v>2030</v>
      </c>
      <c r="G25" s="321">
        <f t="shared" si="3"/>
        <v>26390</v>
      </c>
      <c r="H25" s="329">
        <v>2.81</v>
      </c>
      <c r="I25" s="325">
        <f t="shared" si="2"/>
        <v>74155.899999999994</v>
      </c>
      <c r="J25" s="344"/>
      <c r="K25" s="315"/>
      <c r="L25" s="313"/>
      <c r="M25" s="314"/>
      <c r="N25" s="314"/>
      <c r="O25" s="315"/>
      <c r="P25" s="315"/>
      <c r="Q25" s="315"/>
      <c r="R25" s="315"/>
      <c r="S25" s="256"/>
      <c r="T25" s="254"/>
      <c r="U25" s="255"/>
      <c r="V25" s="144"/>
    </row>
    <row r="26" spans="1:22" s="150" customFormat="1" ht="18" customHeight="1">
      <c r="A26" s="144">
        <v>23</v>
      </c>
      <c r="B26" s="330">
        <v>42825</v>
      </c>
      <c r="C26" s="243" t="s">
        <v>523</v>
      </c>
      <c r="D26" s="243"/>
      <c r="E26" s="243"/>
      <c r="F26" s="328">
        <v>2030</v>
      </c>
      <c r="G26" s="321">
        <f t="shared" si="3"/>
        <v>26390</v>
      </c>
      <c r="H26" s="329">
        <v>2.81</v>
      </c>
      <c r="I26" s="325">
        <f t="shared" si="2"/>
        <v>74155.899999999994</v>
      </c>
      <c r="J26" s="339"/>
      <c r="K26" s="315"/>
      <c r="L26" s="313"/>
      <c r="M26" s="314"/>
      <c r="N26" s="314"/>
      <c r="O26" s="315"/>
      <c r="P26" s="315"/>
      <c r="Q26" s="315"/>
      <c r="R26" s="315"/>
      <c r="S26" s="256"/>
      <c r="T26" s="254"/>
      <c r="U26" s="255"/>
      <c r="V26" s="144"/>
    </row>
    <row r="27" spans="1:22" s="150" customFormat="1" ht="18" customHeight="1">
      <c r="A27" s="144">
        <v>24</v>
      </c>
      <c r="B27" s="300"/>
      <c r="C27" s="243"/>
      <c r="D27" s="243"/>
      <c r="E27" s="243"/>
      <c r="F27" s="294"/>
      <c r="G27" s="321">
        <f t="shared" si="3"/>
        <v>0</v>
      </c>
      <c r="H27" s="292"/>
      <c r="I27" s="325">
        <f t="shared" si="2"/>
        <v>0</v>
      </c>
      <c r="J27" s="314"/>
      <c r="K27" s="315"/>
      <c r="L27" s="313"/>
      <c r="M27" s="314"/>
      <c r="N27" s="314"/>
      <c r="O27" s="315"/>
      <c r="P27" s="315"/>
      <c r="Q27" s="315"/>
      <c r="R27" s="315"/>
      <c r="S27" s="253"/>
      <c r="T27" s="254"/>
      <c r="U27" s="255"/>
      <c r="V27" s="144"/>
    </row>
    <row r="28" spans="1:22" s="150" customFormat="1" ht="18" customHeight="1">
      <c r="A28" s="144">
        <v>25</v>
      </c>
      <c r="B28" s="300"/>
      <c r="C28" s="243"/>
      <c r="D28" s="243"/>
      <c r="E28" s="243"/>
      <c r="F28" s="294"/>
      <c r="G28" s="321">
        <f t="shared" si="3"/>
        <v>0</v>
      </c>
      <c r="H28" s="292"/>
      <c r="I28" s="325">
        <f t="shared" si="2"/>
        <v>0</v>
      </c>
      <c r="J28" s="314"/>
      <c r="K28" s="315"/>
      <c r="L28" s="313"/>
      <c r="M28" s="314"/>
      <c r="N28" s="314"/>
      <c r="O28" s="315"/>
      <c r="P28" s="315"/>
      <c r="Q28" s="315"/>
      <c r="R28" s="315"/>
      <c r="S28" s="253"/>
      <c r="T28" s="254"/>
      <c r="U28" s="255"/>
      <c r="V28" s="144"/>
    </row>
    <row r="29" spans="1:22" s="150" customFormat="1" ht="18" customHeight="1">
      <c r="A29" s="144">
        <v>26</v>
      </c>
      <c r="B29" s="300"/>
      <c r="C29" s="243"/>
      <c r="D29" s="243"/>
      <c r="E29" s="243"/>
      <c r="F29" s="294"/>
      <c r="G29" s="321">
        <f t="shared" si="3"/>
        <v>0</v>
      </c>
      <c r="H29" s="292"/>
      <c r="I29" s="325">
        <f t="shared" si="2"/>
        <v>0</v>
      </c>
      <c r="J29" s="314"/>
      <c r="K29" s="315"/>
      <c r="L29" s="313"/>
      <c r="M29" s="314"/>
      <c r="N29" s="314"/>
      <c r="O29" s="315"/>
      <c r="P29" s="315"/>
      <c r="Q29" s="315"/>
      <c r="R29" s="315"/>
      <c r="S29" s="256"/>
      <c r="T29" s="254"/>
      <c r="U29" s="255"/>
      <c r="V29" s="144"/>
    </row>
    <row r="30" spans="1:22" s="150" customFormat="1" ht="18" customHeight="1">
      <c r="A30" s="144">
        <v>27</v>
      </c>
      <c r="B30" s="300"/>
      <c r="C30" s="243"/>
      <c r="D30" s="243"/>
      <c r="E30" s="243"/>
      <c r="F30" s="294"/>
      <c r="G30" s="321">
        <f t="shared" si="3"/>
        <v>0</v>
      </c>
      <c r="H30" s="292"/>
      <c r="I30" s="325">
        <f t="shared" si="2"/>
        <v>0</v>
      </c>
      <c r="J30" s="314"/>
      <c r="K30" s="315"/>
      <c r="L30" s="313"/>
      <c r="M30" s="314"/>
      <c r="N30" s="314"/>
      <c r="O30" s="315"/>
      <c r="P30" s="315"/>
      <c r="Q30" s="315"/>
      <c r="R30" s="315"/>
      <c r="S30" s="256"/>
      <c r="T30" s="254"/>
      <c r="U30" s="255"/>
      <c r="V30" s="144"/>
    </row>
    <row r="31" spans="1:22" s="150" customFormat="1" ht="18" customHeight="1">
      <c r="A31" s="144">
        <v>28</v>
      </c>
      <c r="B31" s="300"/>
      <c r="C31" s="243"/>
      <c r="D31" s="243"/>
      <c r="E31" s="243"/>
      <c r="F31" s="294"/>
      <c r="G31" s="321">
        <f t="shared" si="3"/>
        <v>0</v>
      </c>
      <c r="H31" s="292"/>
      <c r="I31" s="325">
        <f t="shared" si="2"/>
        <v>0</v>
      </c>
      <c r="J31" s="314"/>
      <c r="K31" s="315"/>
      <c r="L31" s="313"/>
      <c r="M31" s="314"/>
      <c r="N31" s="314"/>
      <c r="O31" s="315"/>
      <c r="P31" s="315"/>
      <c r="Q31" s="315"/>
      <c r="R31" s="315"/>
      <c r="S31" s="256"/>
      <c r="T31" s="254"/>
      <c r="U31" s="255"/>
      <c r="V31" s="144"/>
    </row>
    <row r="32" spans="1:22" s="150" customFormat="1" ht="18" customHeight="1">
      <c r="A32" s="144">
        <v>29</v>
      </c>
      <c r="B32" s="300"/>
      <c r="C32" s="243"/>
      <c r="D32" s="243"/>
      <c r="E32" s="243"/>
      <c r="F32" s="294"/>
      <c r="G32" s="321">
        <f t="shared" si="3"/>
        <v>0</v>
      </c>
      <c r="H32" s="292"/>
      <c r="I32" s="325">
        <f t="shared" si="2"/>
        <v>0</v>
      </c>
      <c r="J32" s="314"/>
      <c r="K32" s="315"/>
      <c r="L32" s="313"/>
      <c r="M32" s="314"/>
      <c r="N32" s="314"/>
      <c r="O32" s="315"/>
      <c r="P32" s="315"/>
      <c r="Q32" s="315"/>
      <c r="R32" s="315"/>
      <c r="S32" s="253"/>
      <c r="T32" s="254"/>
      <c r="U32" s="255"/>
      <c r="V32" s="144"/>
    </row>
    <row r="33" spans="1:22" s="150" customFormat="1" ht="18" customHeight="1">
      <c r="A33" s="144">
        <v>30</v>
      </c>
      <c r="B33" s="300"/>
      <c r="C33" s="243"/>
      <c r="D33" s="243"/>
      <c r="E33" s="243"/>
      <c r="F33" s="294"/>
      <c r="G33" s="321">
        <f t="shared" si="3"/>
        <v>0</v>
      </c>
      <c r="H33" s="292"/>
      <c r="I33" s="325">
        <f t="shared" si="2"/>
        <v>0</v>
      </c>
      <c r="J33" s="314"/>
      <c r="K33" s="315"/>
      <c r="L33" s="313"/>
      <c r="M33" s="314"/>
      <c r="N33" s="314"/>
      <c r="O33" s="315"/>
      <c r="P33" s="315"/>
      <c r="Q33" s="315"/>
      <c r="R33" s="315"/>
      <c r="S33" s="253"/>
      <c r="T33" s="254"/>
      <c r="U33" s="255"/>
      <c r="V33" s="144"/>
    </row>
    <row r="34" spans="1:22" s="150" customFormat="1" ht="18" customHeight="1">
      <c r="A34" s="144">
        <v>31</v>
      </c>
      <c r="B34" s="300"/>
      <c r="C34" s="243"/>
      <c r="D34" s="243"/>
      <c r="E34" s="243"/>
      <c r="F34" s="294"/>
      <c r="G34" s="321">
        <f t="shared" si="3"/>
        <v>0</v>
      </c>
      <c r="H34" s="292"/>
      <c r="I34" s="325">
        <f t="shared" si="2"/>
        <v>0</v>
      </c>
      <c r="J34" s="314"/>
      <c r="K34" s="315"/>
      <c r="L34" s="313"/>
      <c r="M34" s="314"/>
      <c r="N34" s="314"/>
      <c r="O34" s="315"/>
      <c r="P34" s="315"/>
      <c r="Q34" s="315"/>
      <c r="R34" s="315"/>
      <c r="S34" s="256"/>
      <c r="T34" s="254"/>
      <c r="U34" s="255"/>
      <c r="V34" s="144"/>
    </row>
    <row r="35" spans="1:22" s="150" customFormat="1" ht="18" customHeight="1">
      <c r="A35" s="144">
        <v>32</v>
      </c>
      <c r="B35" s="300"/>
      <c r="C35" s="243"/>
      <c r="D35" s="243"/>
      <c r="E35" s="243"/>
      <c r="F35" s="294"/>
      <c r="G35" s="321">
        <f t="shared" si="3"/>
        <v>0</v>
      </c>
      <c r="H35" s="292"/>
      <c r="I35" s="325">
        <f t="shared" si="2"/>
        <v>0</v>
      </c>
      <c r="J35" s="314"/>
      <c r="K35" s="315"/>
      <c r="L35" s="313"/>
      <c r="M35" s="314"/>
      <c r="N35" s="314"/>
      <c r="O35" s="315"/>
      <c r="P35" s="315"/>
      <c r="Q35" s="315"/>
      <c r="R35" s="315"/>
      <c r="S35" s="256"/>
      <c r="T35" s="254"/>
      <c r="U35" s="255"/>
      <c r="V35" s="144"/>
    </row>
    <row r="36" spans="1:22" s="150" customFormat="1" ht="18" customHeight="1">
      <c r="A36" s="144">
        <v>33</v>
      </c>
      <c r="B36" s="300"/>
      <c r="C36" s="243"/>
      <c r="D36" s="243"/>
      <c r="E36" s="243"/>
      <c r="F36" s="294"/>
      <c r="G36" s="321">
        <f t="shared" si="3"/>
        <v>0</v>
      </c>
      <c r="H36" s="292"/>
      <c r="I36" s="325">
        <f t="shared" si="2"/>
        <v>0</v>
      </c>
      <c r="J36" s="314"/>
      <c r="K36" s="315"/>
      <c r="L36" s="313"/>
      <c r="M36" s="314"/>
      <c r="N36" s="314"/>
      <c r="O36" s="315"/>
      <c r="P36" s="315"/>
      <c r="Q36" s="315"/>
      <c r="R36" s="315"/>
      <c r="S36" s="256"/>
      <c r="T36" s="254"/>
      <c r="U36" s="255"/>
      <c r="V36" s="144"/>
    </row>
    <row r="37" spans="1:22" s="150" customFormat="1" ht="18" customHeight="1">
      <c r="A37" s="144">
        <v>34</v>
      </c>
      <c r="B37" s="300"/>
      <c r="C37" s="243"/>
      <c r="D37" s="243"/>
      <c r="E37" s="243"/>
      <c r="F37" s="294"/>
      <c r="G37" s="321">
        <f t="shared" si="3"/>
        <v>0</v>
      </c>
      <c r="H37" s="292"/>
      <c r="I37" s="325">
        <f t="shared" si="2"/>
        <v>0</v>
      </c>
      <c r="J37" s="314"/>
      <c r="K37" s="315"/>
      <c r="L37" s="313"/>
      <c r="M37" s="314"/>
      <c r="N37" s="314"/>
      <c r="O37" s="315"/>
      <c r="P37" s="315"/>
      <c r="Q37" s="315"/>
      <c r="R37" s="315"/>
      <c r="S37" s="256"/>
      <c r="T37" s="254"/>
      <c r="U37" s="255"/>
      <c r="V37" s="144"/>
    </row>
    <row r="38" spans="1:22" s="150" customFormat="1" ht="18" customHeight="1">
      <c r="A38" s="144">
        <v>35</v>
      </c>
      <c r="B38" s="300"/>
      <c r="C38" s="243"/>
      <c r="D38" s="243"/>
      <c r="E38" s="243"/>
      <c r="F38" s="294"/>
      <c r="G38" s="321">
        <f t="shared" si="3"/>
        <v>0</v>
      </c>
      <c r="H38" s="292"/>
      <c r="I38" s="325">
        <f t="shared" si="2"/>
        <v>0</v>
      </c>
      <c r="J38" s="314"/>
      <c r="K38" s="315"/>
      <c r="L38" s="313"/>
      <c r="M38" s="314"/>
      <c r="N38" s="314"/>
      <c r="O38" s="315"/>
      <c r="P38" s="315"/>
      <c r="Q38" s="315"/>
      <c r="R38" s="315"/>
      <c r="S38" s="253"/>
      <c r="T38" s="254"/>
      <c r="U38" s="255"/>
      <c r="V38" s="144"/>
    </row>
    <row r="39" spans="1:22" s="150" customFormat="1" ht="18" customHeight="1">
      <c r="A39" s="144">
        <v>36</v>
      </c>
      <c r="B39" s="300"/>
      <c r="C39" s="243"/>
      <c r="D39" s="245"/>
      <c r="E39" s="243"/>
      <c r="F39" s="294"/>
      <c r="G39" s="321">
        <f t="shared" si="3"/>
        <v>0</v>
      </c>
      <c r="H39" s="292"/>
      <c r="I39" s="325">
        <f t="shared" si="2"/>
        <v>0</v>
      </c>
      <c r="J39" s="314"/>
      <c r="K39" s="315"/>
      <c r="L39" s="313"/>
      <c r="M39" s="314"/>
      <c r="N39" s="314"/>
      <c r="O39" s="315"/>
      <c r="P39" s="315"/>
      <c r="Q39" s="315"/>
      <c r="R39" s="315"/>
      <c r="S39" s="253"/>
      <c r="T39" s="254"/>
      <c r="U39" s="255"/>
      <c r="V39" s="144"/>
    </row>
    <row r="40" spans="1:22" s="150" customFormat="1" ht="18" customHeight="1">
      <c r="A40" s="144">
        <v>37</v>
      </c>
      <c r="B40" s="300"/>
      <c r="C40" s="243"/>
      <c r="D40" s="243"/>
      <c r="E40" s="243"/>
      <c r="F40" s="294"/>
      <c r="G40" s="321">
        <f t="shared" si="3"/>
        <v>0</v>
      </c>
      <c r="H40" s="292"/>
      <c r="I40" s="325">
        <f t="shared" si="2"/>
        <v>0</v>
      </c>
      <c r="J40" s="314"/>
      <c r="K40" s="315"/>
      <c r="L40" s="313"/>
      <c r="M40" s="314"/>
      <c r="N40" s="314"/>
      <c r="O40" s="315"/>
      <c r="P40" s="315"/>
      <c r="Q40" s="315"/>
      <c r="R40" s="315"/>
      <c r="S40" s="256"/>
      <c r="T40" s="254"/>
      <c r="U40" s="255"/>
      <c r="V40" s="144"/>
    </row>
    <row r="41" spans="1:22" s="150" customFormat="1" ht="18" customHeight="1">
      <c r="A41" s="144">
        <v>38</v>
      </c>
      <c r="B41" s="300"/>
      <c r="C41" s="243"/>
      <c r="D41" s="243"/>
      <c r="E41" s="243"/>
      <c r="F41" s="294"/>
      <c r="G41" s="321">
        <f t="shared" si="3"/>
        <v>0</v>
      </c>
      <c r="H41" s="292"/>
      <c r="I41" s="325">
        <f t="shared" si="2"/>
        <v>0</v>
      </c>
      <c r="J41" s="314"/>
      <c r="K41" s="315"/>
      <c r="L41" s="313"/>
      <c r="M41" s="314"/>
      <c r="N41" s="314"/>
      <c r="O41" s="315"/>
      <c r="P41" s="315"/>
      <c r="Q41" s="315"/>
      <c r="R41" s="315"/>
      <c r="S41" s="256"/>
      <c r="T41" s="254"/>
      <c r="U41" s="255"/>
      <c r="V41" s="144"/>
    </row>
    <row r="42" spans="1:22" s="150" customFormat="1" ht="18" customHeight="1">
      <c r="A42" s="144">
        <v>39</v>
      </c>
      <c r="B42" s="300"/>
      <c r="C42" s="243"/>
      <c r="D42" s="243"/>
      <c r="E42" s="243"/>
      <c r="F42" s="294"/>
      <c r="G42" s="321">
        <f t="shared" si="3"/>
        <v>0</v>
      </c>
      <c r="H42" s="292"/>
      <c r="I42" s="325">
        <f t="shared" si="2"/>
        <v>0</v>
      </c>
      <c r="J42" s="314"/>
      <c r="K42" s="315"/>
      <c r="L42" s="313"/>
      <c r="M42" s="314"/>
      <c r="N42" s="314"/>
      <c r="O42" s="315"/>
      <c r="P42" s="315"/>
      <c r="Q42" s="315"/>
      <c r="R42" s="315"/>
      <c r="S42" s="253"/>
      <c r="T42" s="254"/>
      <c r="U42" s="255"/>
      <c r="V42" s="144"/>
    </row>
    <row r="43" spans="1:22" s="150" customFormat="1" ht="18" customHeight="1">
      <c r="A43" s="144">
        <v>40</v>
      </c>
      <c r="B43" s="300"/>
      <c r="C43" s="243"/>
      <c r="D43" s="243"/>
      <c r="E43" s="243"/>
      <c r="F43" s="294"/>
      <c r="G43" s="321">
        <f t="shared" si="3"/>
        <v>0</v>
      </c>
      <c r="H43" s="292"/>
      <c r="I43" s="325">
        <f t="shared" si="2"/>
        <v>0</v>
      </c>
      <c r="J43" s="314"/>
      <c r="K43" s="315"/>
      <c r="L43" s="313"/>
      <c r="M43" s="314"/>
      <c r="N43" s="314"/>
      <c r="O43" s="315"/>
      <c r="P43" s="315"/>
      <c r="Q43" s="315"/>
      <c r="R43" s="315"/>
      <c r="S43" s="253"/>
      <c r="T43" s="254"/>
      <c r="U43" s="255"/>
      <c r="V43" s="144"/>
    </row>
    <row r="44" spans="1:22" s="150" customFormat="1" ht="18" customHeight="1">
      <c r="A44" s="144">
        <v>41</v>
      </c>
      <c r="B44" s="300"/>
      <c r="C44" s="243"/>
      <c r="D44" s="243"/>
      <c r="E44" s="243"/>
      <c r="F44" s="294"/>
      <c r="G44" s="321">
        <f t="shared" si="3"/>
        <v>0</v>
      </c>
      <c r="H44" s="292"/>
      <c r="I44" s="325">
        <f t="shared" si="2"/>
        <v>0</v>
      </c>
      <c r="J44" s="314"/>
      <c r="K44" s="315"/>
      <c r="L44" s="313"/>
      <c r="M44" s="314"/>
      <c r="N44" s="314"/>
      <c r="O44" s="315"/>
      <c r="P44" s="315"/>
      <c r="Q44" s="315"/>
      <c r="R44" s="315"/>
      <c r="S44" s="256"/>
      <c r="T44" s="254"/>
      <c r="U44" s="255"/>
      <c r="V44" s="144"/>
    </row>
    <row r="45" spans="1:22" s="150" customFormat="1" ht="18" customHeight="1">
      <c r="A45" s="144">
        <v>42</v>
      </c>
      <c r="B45" s="300"/>
      <c r="C45" s="243"/>
      <c r="D45" s="243"/>
      <c r="E45" s="243"/>
      <c r="F45" s="294"/>
      <c r="G45" s="321">
        <f t="shared" si="3"/>
        <v>0</v>
      </c>
      <c r="H45" s="292"/>
      <c r="I45" s="325">
        <f t="shared" si="2"/>
        <v>0</v>
      </c>
      <c r="J45" s="314"/>
      <c r="K45" s="315"/>
      <c r="L45" s="313"/>
      <c r="M45" s="314"/>
      <c r="N45" s="314"/>
      <c r="O45" s="315"/>
      <c r="P45" s="315"/>
      <c r="Q45" s="315"/>
      <c r="R45" s="315"/>
      <c r="S45" s="256"/>
      <c r="T45" s="254"/>
      <c r="U45" s="255"/>
      <c r="V45" s="144"/>
    </row>
    <row r="46" spans="1:22" s="150" customFormat="1" ht="18" customHeight="1">
      <c r="A46" s="144">
        <v>43</v>
      </c>
      <c r="B46" s="300"/>
      <c r="C46" s="243"/>
      <c r="D46" s="243"/>
      <c r="E46" s="243"/>
      <c r="F46" s="294"/>
      <c r="G46" s="321">
        <f t="shared" si="3"/>
        <v>0</v>
      </c>
      <c r="H46" s="292"/>
      <c r="I46" s="325">
        <f t="shared" si="2"/>
        <v>0</v>
      </c>
      <c r="J46" s="314"/>
      <c r="K46" s="315"/>
      <c r="L46" s="313"/>
      <c r="M46" s="314"/>
      <c r="N46" s="314"/>
      <c r="O46" s="315"/>
      <c r="P46" s="315"/>
      <c r="Q46" s="315"/>
      <c r="R46" s="315"/>
      <c r="S46" s="253"/>
      <c r="T46" s="254"/>
      <c r="U46" s="255"/>
      <c r="V46" s="144"/>
    </row>
    <row r="47" spans="1:22" s="150" customFormat="1" ht="18" customHeight="1">
      <c r="A47" s="144">
        <v>44</v>
      </c>
      <c r="B47" s="300"/>
      <c r="C47" s="243"/>
      <c r="D47" s="243"/>
      <c r="E47" s="243"/>
      <c r="F47" s="294"/>
      <c r="G47" s="321">
        <f t="shared" si="3"/>
        <v>0</v>
      </c>
      <c r="H47" s="292"/>
      <c r="I47" s="325">
        <f t="shared" si="2"/>
        <v>0</v>
      </c>
      <c r="J47" s="314"/>
      <c r="K47" s="315"/>
      <c r="L47" s="313"/>
      <c r="M47" s="314"/>
      <c r="N47" s="314"/>
      <c r="O47" s="315"/>
      <c r="P47" s="315"/>
      <c r="Q47" s="315"/>
      <c r="R47" s="315"/>
      <c r="S47" s="253"/>
      <c r="T47" s="254"/>
      <c r="U47" s="255"/>
      <c r="V47" s="243"/>
    </row>
    <row r="48" spans="1:22" s="150" customFormat="1" ht="18" customHeight="1">
      <c r="A48" s="144">
        <v>45</v>
      </c>
      <c r="B48" s="300"/>
      <c r="C48" s="243"/>
      <c r="D48" s="243"/>
      <c r="E48" s="243"/>
      <c r="F48" s="298"/>
      <c r="G48" s="321">
        <f t="shared" si="3"/>
        <v>0</v>
      </c>
      <c r="H48" s="299"/>
      <c r="I48" s="325">
        <f t="shared" si="2"/>
        <v>0</v>
      </c>
      <c r="J48" s="314"/>
      <c r="K48" s="315"/>
      <c r="L48" s="313"/>
      <c r="M48" s="314"/>
      <c r="N48" s="314"/>
      <c r="O48" s="315"/>
      <c r="P48" s="315"/>
      <c r="Q48" s="315"/>
      <c r="R48" s="315"/>
      <c r="S48" s="253"/>
      <c r="T48" s="254"/>
      <c r="U48" s="255"/>
      <c r="V48" s="243"/>
    </row>
    <row r="49" spans="1:22" s="150" customFormat="1" ht="18" customHeight="1">
      <c r="A49" s="144">
        <v>46</v>
      </c>
      <c r="B49" s="300"/>
      <c r="C49" s="243"/>
      <c r="D49" s="243"/>
      <c r="E49" s="243"/>
      <c r="F49" s="298"/>
      <c r="G49" s="321">
        <f t="shared" si="3"/>
        <v>0</v>
      </c>
      <c r="H49" s="299"/>
      <c r="I49" s="325">
        <f t="shared" si="2"/>
        <v>0</v>
      </c>
      <c r="J49" s="314"/>
      <c r="K49" s="315"/>
      <c r="L49" s="313"/>
      <c r="M49" s="314"/>
      <c r="N49" s="314"/>
      <c r="O49" s="315"/>
      <c r="P49" s="315"/>
      <c r="Q49" s="315"/>
      <c r="R49" s="315"/>
      <c r="S49" s="253"/>
      <c r="T49" s="254"/>
      <c r="U49" s="255"/>
      <c r="V49" s="243"/>
    </row>
    <row r="50" spans="1:22" s="150" customFormat="1" ht="18" customHeight="1">
      <c r="A50" s="144">
        <v>47</v>
      </c>
      <c r="B50" s="300"/>
      <c r="C50" s="243"/>
      <c r="D50" s="243"/>
      <c r="E50" s="243"/>
      <c r="F50" s="298"/>
      <c r="G50" s="321">
        <f t="shared" si="3"/>
        <v>0</v>
      </c>
      <c r="H50" s="299"/>
      <c r="I50" s="325">
        <f t="shared" si="2"/>
        <v>0</v>
      </c>
      <c r="J50" s="314"/>
      <c r="K50" s="315"/>
      <c r="L50" s="313"/>
      <c r="M50" s="314"/>
      <c r="N50" s="314"/>
      <c r="O50" s="315"/>
      <c r="P50" s="315"/>
      <c r="Q50" s="315"/>
      <c r="R50" s="315"/>
      <c r="S50" s="253"/>
      <c r="T50" s="254"/>
      <c r="U50" s="255"/>
      <c r="V50" s="243"/>
    </row>
    <row r="51" spans="1:22" s="150" customFormat="1" ht="18" customHeight="1">
      <c r="A51" s="144">
        <v>48</v>
      </c>
      <c r="B51" s="300"/>
      <c r="C51" s="243"/>
      <c r="D51" s="243"/>
      <c r="E51" s="243"/>
      <c r="F51" s="298"/>
      <c r="G51" s="321">
        <f t="shared" si="3"/>
        <v>0</v>
      </c>
      <c r="H51" s="299"/>
      <c r="I51" s="325">
        <f t="shared" si="2"/>
        <v>0</v>
      </c>
      <c r="J51" s="314"/>
      <c r="K51" s="315"/>
      <c r="L51" s="313"/>
      <c r="M51" s="314"/>
      <c r="N51" s="314"/>
      <c r="O51" s="315"/>
      <c r="P51" s="315"/>
      <c r="Q51" s="315"/>
      <c r="R51" s="315"/>
      <c r="S51" s="298"/>
      <c r="T51" s="298"/>
      <c r="U51" s="298"/>
      <c r="V51" s="243"/>
    </row>
    <row r="52" spans="1:22" s="150" customFormat="1" ht="18" customHeight="1">
      <c r="A52" s="144">
        <v>49</v>
      </c>
      <c r="B52" s="300"/>
      <c r="C52" s="243"/>
      <c r="D52" s="243"/>
      <c r="E52" s="243"/>
      <c r="F52" s="298"/>
      <c r="G52" s="321">
        <f t="shared" si="3"/>
        <v>0</v>
      </c>
      <c r="H52" s="299"/>
      <c r="I52" s="325">
        <f t="shared" si="2"/>
        <v>0</v>
      </c>
      <c r="J52" s="314"/>
      <c r="K52" s="315"/>
      <c r="L52" s="313"/>
      <c r="M52" s="314"/>
      <c r="N52" s="314"/>
      <c r="O52" s="315"/>
      <c r="P52" s="315"/>
      <c r="Q52" s="315"/>
      <c r="R52" s="315"/>
      <c r="S52" s="298"/>
      <c r="T52" s="298"/>
      <c r="U52" s="298"/>
      <c r="V52" s="243"/>
    </row>
    <row r="53" spans="1:22" s="150" customFormat="1" ht="18" customHeight="1">
      <c r="A53" s="144">
        <v>50</v>
      </c>
      <c r="B53" s="300"/>
      <c r="C53" s="243"/>
      <c r="D53" s="243"/>
      <c r="E53" s="243"/>
      <c r="F53" s="298"/>
      <c r="G53" s="321">
        <f t="shared" si="3"/>
        <v>0</v>
      </c>
      <c r="H53" s="299"/>
      <c r="I53" s="325">
        <f t="shared" si="2"/>
        <v>0</v>
      </c>
      <c r="J53" s="314"/>
      <c r="K53" s="315"/>
      <c r="L53" s="313"/>
      <c r="M53" s="314"/>
      <c r="N53" s="314"/>
      <c r="O53" s="315"/>
      <c r="P53" s="315"/>
      <c r="Q53" s="315"/>
      <c r="R53" s="315"/>
      <c r="S53" s="256"/>
      <c r="T53" s="254"/>
      <c r="U53" s="255"/>
      <c r="V53" s="144"/>
    </row>
    <row r="54" spans="1:22" s="150" customFormat="1" ht="18" customHeight="1">
      <c r="A54" s="144">
        <v>51</v>
      </c>
      <c r="B54" s="300"/>
      <c r="C54" s="243"/>
      <c r="D54" s="243"/>
      <c r="E54" s="243"/>
      <c r="F54" s="298"/>
      <c r="G54" s="321">
        <f t="shared" si="3"/>
        <v>0</v>
      </c>
      <c r="H54" s="299"/>
      <c r="I54" s="325">
        <f t="shared" si="2"/>
        <v>0</v>
      </c>
      <c r="J54" s="314"/>
      <c r="K54" s="315"/>
      <c r="L54" s="313"/>
      <c r="M54" s="314"/>
      <c r="N54" s="314"/>
      <c r="O54" s="315"/>
      <c r="P54" s="315"/>
      <c r="Q54" s="315"/>
      <c r="R54" s="315"/>
      <c r="S54" s="253"/>
      <c r="T54" s="254"/>
      <c r="U54" s="255"/>
      <c r="V54" s="144"/>
    </row>
    <row r="55" spans="1:22" s="150" customFormat="1" ht="18" customHeight="1">
      <c r="A55" s="144">
        <v>52</v>
      </c>
      <c r="B55" s="300"/>
      <c r="C55" s="243"/>
      <c r="D55" s="243"/>
      <c r="E55" s="243"/>
      <c r="F55" s="298"/>
      <c r="G55" s="321">
        <f t="shared" si="3"/>
        <v>0</v>
      </c>
      <c r="H55" s="299"/>
      <c r="I55" s="325">
        <f t="shared" si="2"/>
        <v>0</v>
      </c>
      <c r="J55" s="314"/>
      <c r="K55" s="315"/>
      <c r="L55" s="313"/>
      <c r="M55" s="314"/>
      <c r="N55" s="314"/>
      <c r="O55" s="315"/>
      <c r="P55" s="315"/>
      <c r="Q55" s="315"/>
      <c r="R55" s="315"/>
      <c r="S55" s="253"/>
      <c r="T55" s="254"/>
      <c r="U55" s="255"/>
      <c r="V55" s="144"/>
    </row>
    <row r="56" spans="1:22" s="150" customFormat="1" ht="18" customHeight="1">
      <c r="A56" s="144">
        <v>53</v>
      </c>
      <c r="B56" s="300"/>
      <c r="C56" s="243"/>
      <c r="D56" s="243"/>
      <c r="E56" s="243"/>
      <c r="F56" s="298"/>
      <c r="G56" s="321">
        <f t="shared" si="3"/>
        <v>0</v>
      </c>
      <c r="H56" s="299"/>
      <c r="I56" s="325">
        <f t="shared" si="2"/>
        <v>0</v>
      </c>
      <c r="J56" s="314"/>
      <c r="K56" s="315"/>
      <c r="L56" s="313"/>
      <c r="M56" s="314"/>
      <c r="N56" s="314"/>
      <c r="O56" s="315"/>
      <c r="P56" s="315"/>
      <c r="Q56" s="315"/>
      <c r="R56" s="315"/>
      <c r="S56" s="294"/>
      <c r="T56" s="294"/>
      <c r="U56" s="294"/>
      <c r="V56" s="144"/>
    </row>
    <row r="57" spans="1:22" s="150" customFormat="1" ht="18" customHeight="1">
      <c r="A57" s="144">
        <v>54</v>
      </c>
      <c r="B57" s="300"/>
      <c r="C57" s="243"/>
      <c r="D57" s="248"/>
      <c r="E57" s="248"/>
      <c r="F57" s="298"/>
      <c r="G57" s="321">
        <f t="shared" si="3"/>
        <v>0</v>
      </c>
      <c r="H57" s="299"/>
      <c r="I57" s="325">
        <f t="shared" si="2"/>
        <v>0</v>
      </c>
      <c r="J57" s="314"/>
      <c r="K57" s="315"/>
      <c r="L57" s="313"/>
      <c r="M57" s="314"/>
      <c r="N57" s="314"/>
      <c r="O57" s="315"/>
      <c r="P57" s="315"/>
      <c r="Q57" s="315"/>
      <c r="R57" s="315"/>
      <c r="S57" s="253"/>
      <c r="T57" s="254"/>
      <c r="U57" s="255"/>
      <c r="V57" s="144"/>
    </row>
    <row r="58" spans="1:22" s="150" customFormat="1" ht="18" customHeight="1">
      <c r="A58" s="144">
        <v>55</v>
      </c>
      <c r="B58" s="300"/>
      <c r="C58" s="243"/>
      <c r="D58" s="248"/>
      <c r="E58" s="248"/>
      <c r="F58" s="298"/>
      <c r="G58" s="321">
        <f t="shared" si="3"/>
        <v>0</v>
      </c>
      <c r="H58" s="299"/>
      <c r="I58" s="325">
        <f t="shared" si="2"/>
        <v>0</v>
      </c>
      <c r="J58" s="314"/>
      <c r="K58" s="315"/>
      <c r="L58" s="313"/>
      <c r="M58" s="314"/>
      <c r="N58" s="314"/>
      <c r="O58" s="315"/>
      <c r="P58" s="315"/>
      <c r="Q58" s="315"/>
      <c r="R58" s="315"/>
      <c r="S58" s="253"/>
      <c r="T58" s="254"/>
      <c r="U58" s="255"/>
      <c r="V58" s="144"/>
    </row>
    <row r="59" spans="1:22" s="150" customFormat="1" ht="18" customHeight="1">
      <c r="A59" s="144">
        <v>56</v>
      </c>
      <c r="B59" s="300"/>
      <c r="C59" s="243"/>
      <c r="D59" s="243"/>
      <c r="E59" s="248"/>
      <c r="F59" s="298"/>
      <c r="G59" s="321">
        <f t="shared" si="3"/>
        <v>0</v>
      </c>
      <c r="H59" s="299"/>
      <c r="I59" s="325">
        <f t="shared" si="2"/>
        <v>0</v>
      </c>
      <c r="J59" s="314"/>
      <c r="K59" s="315"/>
      <c r="L59" s="313"/>
      <c r="M59" s="314"/>
      <c r="N59" s="314"/>
      <c r="O59" s="315"/>
      <c r="P59" s="315"/>
      <c r="Q59" s="315"/>
      <c r="R59" s="315"/>
      <c r="S59" s="253"/>
      <c r="T59" s="254"/>
      <c r="U59" s="255"/>
      <c r="V59" s="144"/>
    </row>
    <row r="60" spans="1:22" s="150" customFormat="1" ht="18" customHeight="1">
      <c r="A60" s="144">
        <v>57</v>
      </c>
      <c r="B60" s="300"/>
      <c r="C60" s="243"/>
      <c r="D60" s="248"/>
      <c r="E60" s="248"/>
      <c r="F60" s="298"/>
      <c r="G60" s="321">
        <f t="shared" si="3"/>
        <v>0</v>
      </c>
      <c r="H60" s="299"/>
      <c r="I60" s="325">
        <f t="shared" si="2"/>
        <v>0</v>
      </c>
      <c r="J60" s="314"/>
      <c r="K60" s="315"/>
      <c r="L60" s="313"/>
      <c r="M60" s="314"/>
      <c r="N60" s="314"/>
      <c r="O60" s="315"/>
      <c r="P60" s="315"/>
      <c r="Q60" s="315"/>
      <c r="R60" s="315"/>
      <c r="S60" s="253"/>
      <c r="T60" s="254"/>
      <c r="U60" s="255"/>
      <c r="V60" s="144"/>
    </row>
    <row r="61" spans="1:22" s="150" customFormat="1" ht="18" customHeight="1">
      <c r="A61" s="144">
        <v>58</v>
      </c>
      <c r="B61" s="300"/>
      <c r="C61" s="243"/>
      <c r="D61" s="248"/>
      <c r="E61" s="248"/>
      <c r="F61" s="298"/>
      <c r="G61" s="321">
        <f t="shared" si="3"/>
        <v>0</v>
      </c>
      <c r="H61" s="299"/>
      <c r="I61" s="325">
        <f t="shared" si="2"/>
        <v>0</v>
      </c>
      <c r="J61" s="314"/>
      <c r="K61" s="315"/>
      <c r="L61" s="313"/>
      <c r="M61" s="314"/>
      <c r="N61" s="314"/>
      <c r="O61" s="315"/>
      <c r="P61" s="315"/>
      <c r="Q61" s="315"/>
      <c r="R61" s="315"/>
      <c r="S61" s="256"/>
      <c r="T61" s="254"/>
      <c r="U61" s="255"/>
      <c r="V61" s="144"/>
    </row>
    <row r="62" spans="1:22" s="150" customFormat="1" ht="18" customHeight="1">
      <c r="A62" s="144">
        <v>59</v>
      </c>
      <c r="B62" s="300"/>
      <c r="C62" s="243"/>
      <c r="D62" s="248"/>
      <c r="E62" s="248"/>
      <c r="F62" s="298"/>
      <c r="G62" s="321">
        <f t="shared" si="3"/>
        <v>0</v>
      </c>
      <c r="H62" s="299"/>
      <c r="I62" s="325">
        <f t="shared" si="2"/>
        <v>0</v>
      </c>
      <c r="J62" s="314"/>
      <c r="K62" s="315"/>
      <c r="L62" s="313"/>
      <c r="M62" s="314"/>
      <c r="N62" s="314"/>
      <c r="O62" s="315"/>
      <c r="P62" s="315"/>
      <c r="Q62" s="315"/>
      <c r="R62" s="315"/>
      <c r="S62" s="257"/>
      <c r="T62" s="254"/>
      <c r="U62" s="255"/>
      <c r="V62" s="144"/>
    </row>
    <row r="63" spans="1:22" s="150" customFormat="1" ht="18" customHeight="1">
      <c r="A63" s="144">
        <v>60</v>
      </c>
      <c r="B63" s="300"/>
      <c r="C63" s="243"/>
      <c r="D63" s="243"/>
      <c r="E63" s="243"/>
      <c r="F63" s="298"/>
      <c r="G63" s="321">
        <f t="shared" si="3"/>
        <v>0</v>
      </c>
      <c r="H63" s="299"/>
      <c r="I63" s="325">
        <f t="shared" si="2"/>
        <v>0</v>
      </c>
      <c r="J63" s="314"/>
      <c r="K63" s="315"/>
      <c r="L63" s="313"/>
      <c r="M63" s="314"/>
      <c r="N63" s="314"/>
      <c r="O63" s="315"/>
      <c r="P63" s="315"/>
      <c r="Q63" s="315"/>
      <c r="R63" s="315"/>
      <c r="S63" s="253"/>
      <c r="T63" s="254"/>
      <c r="U63" s="255"/>
      <c r="V63" s="144"/>
    </row>
    <row r="64" spans="1:22" s="150" customFormat="1" ht="18" customHeight="1">
      <c r="A64" s="144">
        <v>61</v>
      </c>
      <c r="B64" s="300"/>
      <c r="C64" s="243"/>
      <c r="D64" s="243"/>
      <c r="E64" s="243"/>
      <c r="F64" s="298"/>
      <c r="G64" s="321">
        <f t="shared" si="3"/>
        <v>0</v>
      </c>
      <c r="H64" s="299"/>
      <c r="I64" s="325">
        <f t="shared" si="2"/>
        <v>0</v>
      </c>
      <c r="J64" s="314"/>
      <c r="K64" s="315"/>
      <c r="L64" s="313"/>
      <c r="M64" s="314"/>
      <c r="N64" s="314"/>
      <c r="O64" s="315"/>
      <c r="P64" s="315"/>
      <c r="Q64" s="315"/>
      <c r="R64" s="315"/>
      <c r="S64" s="256"/>
      <c r="T64" s="254"/>
      <c r="U64" s="255"/>
      <c r="V64" s="144"/>
    </row>
    <row r="65" spans="1:22" s="150" customFormat="1" ht="18" customHeight="1">
      <c r="A65" s="144">
        <v>62</v>
      </c>
      <c r="B65" s="300"/>
      <c r="C65" s="243"/>
      <c r="D65" s="243"/>
      <c r="E65" s="243"/>
      <c r="F65" s="298"/>
      <c r="G65" s="321">
        <f t="shared" si="3"/>
        <v>0</v>
      </c>
      <c r="H65" s="299"/>
      <c r="I65" s="325">
        <f t="shared" si="2"/>
        <v>0</v>
      </c>
      <c r="J65" s="314"/>
      <c r="K65" s="315"/>
      <c r="L65" s="313"/>
      <c r="M65" s="314"/>
      <c r="N65" s="314"/>
      <c r="O65" s="315"/>
      <c r="P65" s="315"/>
      <c r="Q65" s="315"/>
      <c r="R65" s="315"/>
      <c r="S65" s="253"/>
      <c r="T65" s="254"/>
      <c r="U65" s="255"/>
      <c r="V65" s="144"/>
    </row>
    <row r="66" spans="1:22" s="150" customFormat="1" ht="18" customHeight="1">
      <c r="A66" s="144">
        <v>63</v>
      </c>
      <c r="B66" s="300"/>
      <c r="C66" s="243"/>
      <c r="D66" s="243"/>
      <c r="E66" s="243"/>
      <c r="F66" s="298"/>
      <c r="G66" s="321">
        <f t="shared" si="3"/>
        <v>0</v>
      </c>
      <c r="H66" s="299"/>
      <c r="I66" s="325">
        <f t="shared" si="2"/>
        <v>0</v>
      </c>
      <c r="J66" s="314"/>
      <c r="K66" s="315"/>
      <c r="L66" s="313"/>
      <c r="M66" s="314"/>
      <c r="N66" s="314"/>
      <c r="O66" s="315"/>
      <c r="P66" s="315"/>
      <c r="Q66" s="315"/>
      <c r="R66" s="315"/>
      <c r="S66" s="253"/>
      <c r="T66" s="254"/>
      <c r="U66" s="255"/>
      <c r="V66" s="144"/>
    </row>
    <row r="67" spans="1:22" s="150" customFormat="1" ht="18" customHeight="1">
      <c r="A67" s="144">
        <v>64</v>
      </c>
      <c r="B67" s="300"/>
      <c r="C67" s="243"/>
      <c r="D67" s="243"/>
      <c r="E67" s="243"/>
      <c r="F67" s="298"/>
      <c r="G67" s="321">
        <f t="shared" si="3"/>
        <v>0</v>
      </c>
      <c r="H67" s="299"/>
      <c r="I67" s="325">
        <f t="shared" si="2"/>
        <v>0</v>
      </c>
      <c r="J67" s="314"/>
      <c r="K67" s="315"/>
      <c r="L67" s="313"/>
      <c r="M67" s="314"/>
      <c r="N67" s="314"/>
      <c r="O67" s="315"/>
      <c r="P67" s="315"/>
      <c r="Q67" s="315"/>
      <c r="R67" s="315"/>
      <c r="S67" s="253"/>
      <c r="T67" s="254"/>
      <c r="U67" s="255"/>
      <c r="V67" s="144"/>
    </row>
    <row r="68" spans="1:22" s="150" customFormat="1" ht="18" customHeight="1">
      <c r="A68" s="144">
        <v>65</v>
      </c>
      <c r="B68" s="300"/>
      <c r="C68" s="243"/>
      <c r="D68" s="243"/>
      <c r="E68" s="243"/>
      <c r="F68" s="298"/>
      <c r="G68" s="321">
        <f t="shared" si="3"/>
        <v>0</v>
      </c>
      <c r="H68" s="299"/>
      <c r="I68" s="325">
        <f t="shared" si="2"/>
        <v>0</v>
      </c>
      <c r="J68" s="314"/>
      <c r="K68" s="315"/>
      <c r="L68" s="313"/>
      <c r="M68" s="314"/>
      <c r="N68" s="314"/>
      <c r="O68" s="315"/>
      <c r="P68" s="315"/>
      <c r="Q68" s="315"/>
      <c r="R68" s="315"/>
      <c r="S68" s="253"/>
      <c r="T68" s="254"/>
      <c r="U68" s="255"/>
      <c r="V68" s="144"/>
    </row>
    <row r="69" spans="1:22" s="150" customFormat="1" ht="18" customHeight="1">
      <c r="A69" s="144">
        <v>66</v>
      </c>
      <c r="B69" s="300"/>
      <c r="C69" s="243"/>
      <c r="D69" s="243"/>
      <c r="E69" s="243"/>
      <c r="F69" s="298"/>
      <c r="G69" s="321">
        <f t="shared" si="3"/>
        <v>0</v>
      </c>
      <c r="H69" s="299"/>
      <c r="I69" s="325">
        <f t="shared" si="2"/>
        <v>0</v>
      </c>
      <c r="J69" s="314"/>
      <c r="K69" s="315"/>
      <c r="L69" s="313"/>
      <c r="M69" s="314"/>
      <c r="N69" s="314"/>
      <c r="O69" s="315"/>
      <c r="P69" s="315"/>
      <c r="Q69" s="315"/>
      <c r="R69" s="315"/>
      <c r="S69" s="253"/>
      <c r="T69" s="254"/>
      <c r="U69" s="255"/>
      <c r="V69" s="144"/>
    </row>
    <row r="70" spans="1:22" s="150" customFormat="1" ht="18" customHeight="1">
      <c r="A70" s="144">
        <v>67</v>
      </c>
      <c r="B70" s="300"/>
      <c r="C70" s="243"/>
      <c r="D70" s="243"/>
      <c r="E70" s="243"/>
      <c r="F70" s="298"/>
      <c r="G70" s="321">
        <f t="shared" si="3"/>
        <v>0</v>
      </c>
      <c r="H70" s="299"/>
      <c r="I70" s="325">
        <f t="shared" si="2"/>
        <v>0</v>
      </c>
      <c r="J70" s="314"/>
      <c r="K70" s="315"/>
      <c r="L70" s="313"/>
      <c r="M70" s="314"/>
      <c r="N70" s="314"/>
      <c r="O70" s="315"/>
      <c r="P70" s="315"/>
      <c r="Q70" s="315"/>
      <c r="R70" s="315"/>
      <c r="S70" s="257"/>
      <c r="T70" s="260"/>
      <c r="U70" s="258"/>
      <c r="V70" s="144"/>
    </row>
    <row r="71" spans="1:22" s="150" customFormat="1" ht="18" customHeight="1">
      <c r="A71" s="144">
        <v>68</v>
      </c>
      <c r="B71" s="300"/>
      <c r="C71" s="243"/>
      <c r="D71" s="243"/>
      <c r="E71" s="243"/>
      <c r="F71" s="298"/>
      <c r="G71" s="321">
        <f t="shared" si="3"/>
        <v>0</v>
      </c>
      <c r="H71" s="299"/>
      <c r="I71" s="325">
        <f t="shared" si="2"/>
        <v>0</v>
      </c>
      <c r="J71" s="314"/>
      <c r="K71" s="315"/>
      <c r="L71" s="313"/>
      <c r="M71" s="314"/>
      <c r="N71" s="314"/>
      <c r="O71" s="315"/>
      <c r="P71" s="315"/>
      <c r="Q71" s="315"/>
      <c r="R71" s="315"/>
      <c r="S71" s="61"/>
      <c r="T71" s="298"/>
      <c r="U71" s="255"/>
      <c r="V71" s="144"/>
    </row>
    <row r="72" spans="1:22" s="150" customFormat="1" ht="18" customHeight="1">
      <c r="A72" s="144">
        <v>69</v>
      </c>
      <c r="B72" s="300"/>
      <c r="C72" s="243"/>
      <c r="D72" s="243"/>
      <c r="E72" s="243"/>
      <c r="F72" s="298"/>
      <c r="G72" s="321">
        <f t="shared" si="3"/>
        <v>0</v>
      </c>
      <c r="H72" s="299"/>
      <c r="I72" s="325">
        <f t="shared" si="2"/>
        <v>0</v>
      </c>
      <c r="J72" s="314"/>
      <c r="K72" s="315"/>
      <c r="L72" s="313"/>
      <c r="M72" s="314"/>
      <c r="N72" s="314"/>
      <c r="O72" s="315"/>
      <c r="P72" s="315"/>
      <c r="Q72" s="315"/>
      <c r="R72" s="315"/>
      <c r="S72" s="61"/>
      <c r="T72" s="298"/>
      <c r="U72" s="255"/>
      <c r="V72" s="144"/>
    </row>
    <row r="73" spans="1:22" s="150" customFormat="1" ht="18" customHeight="1">
      <c r="A73" s="144">
        <v>70</v>
      </c>
      <c r="B73" s="300"/>
      <c r="C73" s="243"/>
      <c r="D73" s="243"/>
      <c r="E73" s="243"/>
      <c r="F73" s="298"/>
      <c r="G73" s="321">
        <f t="shared" si="3"/>
        <v>0</v>
      </c>
      <c r="H73" s="299"/>
      <c r="I73" s="325">
        <f t="shared" si="2"/>
        <v>0</v>
      </c>
      <c r="J73" s="314"/>
      <c r="K73" s="315"/>
      <c r="L73" s="313"/>
      <c r="M73" s="314"/>
      <c r="N73" s="314"/>
      <c r="O73" s="315"/>
      <c r="P73" s="315"/>
      <c r="Q73" s="315"/>
      <c r="R73" s="315"/>
      <c r="S73" s="61"/>
      <c r="T73" s="298"/>
      <c r="U73" s="255"/>
      <c r="V73" s="144"/>
    </row>
    <row r="74" spans="1:22" s="150" customFormat="1" ht="18" customHeight="1">
      <c r="A74" s="144">
        <v>71</v>
      </c>
      <c r="B74" s="300"/>
      <c r="C74" s="243"/>
      <c r="D74" s="243"/>
      <c r="E74" s="243"/>
      <c r="F74" s="298"/>
      <c r="G74" s="321">
        <f t="shared" si="3"/>
        <v>0</v>
      </c>
      <c r="H74" s="299"/>
      <c r="I74" s="325">
        <f t="shared" ref="I74:I86" si="4">G74*H74</f>
        <v>0</v>
      </c>
      <c r="J74" s="314"/>
      <c r="K74" s="315"/>
      <c r="L74" s="313"/>
      <c r="M74" s="314"/>
      <c r="N74" s="314"/>
      <c r="O74" s="315"/>
      <c r="P74" s="315"/>
      <c r="Q74" s="315"/>
      <c r="R74" s="315"/>
      <c r="S74" s="220"/>
      <c r="T74" s="298"/>
      <c r="U74" s="255"/>
      <c r="V74" s="144"/>
    </row>
    <row r="75" spans="1:22" s="150" customFormat="1" ht="18" customHeight="1">
      <c r="A75" s="144">
        <v>72</v>
      </c>
      <c r="B75" s="300"/>
      <c r="C75" s="243"/>
      <c r="D75" s="243"/>
      <c r="E75" s="243"/>
      <c r="F75" s="298"/>
      <c r="G75" s="321">
        <f t="shared" ref="G75:G86" si="5">F75*13</f>
        <v>0</v>
      </c>
      <c r="H75" s="299"/>
      <c r="I75" s="325">
        <f t="shared" si="4"/>
        <v>0</v>
      </c>
      <c r="J75" s="314"/>
      <c r="K75" s="315"/>
      <c r="L75" s="313"/>
      <c r="M75" s="314"/>
      <c r="N75" s="314"/>
      <c r="O75" s="315"/>
      <c r="P75" s="315"/>
      <c r="Q75" s="315"/>
      <c r="R75" s="315"/>
      <c r="S75" s="61"/>
      <c r="T75" s="298"/>
      <c r="U75" s="255"/>
      <c r="V75" s="144"/>
    </row>
    <row r="76" spans="1:22" s="150" customFormat="1" ht="18" customHeight="1">
      <c r="A76" s="144">
        <v>73</v>
      </c>
      <c r="B76" s="300"/>
      <c r="C76" s="243"/>
      <c r="D76" s="243"/>
      <c r="E76" s="243"/>
      <c r="F76" s="298"/>
      <c r="G76" s="321">
        <f t="shared" si="5"/>
        <v>0</v>
      </c>
      <c r="H76" s="299"/>
      <c r="I76" s="325">
        <f t="shared" si="4"/>
        <v>0</v>
      </c>
      <c r="J76" s="314"/>
      <c r="K76" s="315"/>
      <c r="L76" s="313"/>
      <c r="M76" s="314"/>
      <c r="N76" s="314"/>
      <c r="O76" s="315"/>
      <c r="P76" s="315"/>
      <c r="Q76" s="315"/>
      <c r="R76" s="315"/>
      <c r="S76" s="298"/>
      <c r="T76" s="298"/>
      <c r="U76" s="298"/>
      <c r="V76" s="144"/>
    </row>
    <row r="77" spans="1:22" s="150" customFormat="1" ht="18" customHeight="1">
      <c r="A77" s="144">
        <v>74</v>
      </c>
      <c r="B77" s="300"/>
      <c r="C77" s="243"/>
      <c r="D77" s="243"/>
      <c r="E77" s="243"/>
      <c r="F77" s="298"/>
      <c r="G77" s="321">
        <f t="shared" si="5"/>
        <v>0</v>
      </c>
      <c r="H77" s="299"/>
      <c r="I77" s="325">
        <f t="shared" si="4"/>
        <v>0</v>
      </c>
      <c r="J77" s="314"/>
      <c r="K77" s="315"/>
      <c r="L77" s="313"/>
      <c r="M77" s="314"/>
      <c r="N77" s="314"/>
      <c r="O77" s="315"/>
      <c r="P77" s="315"/>
      <c r="Q77" s="315"/>
      <c r="R77" s="315"/>
      <c r="S77" s="298"/>
      <c r="T77" s="298"/>
      <c r="U77" s="298"/>
      <c r="V77" s="144"/>
    </row>
    <row r="78" spans="1:22" s="150" customFormat="1" ht="18" customHeight="1">
      <c r="A78" s="144">
        <v>75</v>
      </c>
      <c r="B78" s="300"/>
      <c r="C78" s="243"/>
      <c r="D78" s="243"/>
      <c r="E78" s="243"/>
      <c r="F78" s="298"/>
      <c r="G78" s="321">
        <f t="shared" si="5"/>
        <v>0</v>
      </c>
      <c r="H78" s="299"/>
      <c r="I78" s="325">
        <f t="shared" si="4"/>
        <v>0</v>
      </c>
      <c r="J78" s="314"/>
      <c r="K78" s="315"/>
      <c r="L78" s="313"/>
      <c r="M78" s="314"/>
      <c r="N78" s="314"/>
      <c r="O78" s="315"/>
      <c r="P78" s="315"/>
      <c r="Q78" s="315"/>
      <c r="R78" s="315"/>
      <c r="S78" s="298"/>
      <c r="T78" s="298"/>
      <c r="U78" s="298"/>
      <c r="V78" s="144"/>
    </row>
    <row r="79" spans="1:22" s="150" customFormat="1" ht="18" customHeight="1">
      <c r="A79" s="144">
        <v>76</v>
      </c>
      <c r="B79" s="300"/>
      <c r="C79" s="243"/>
      <c r="D79" s="243"/>
      <c r="E79" s="243"/>
      <c r="F79" s="298"/>
      <c r="G79" s="321">
        <f t="shared" si="5"/>
        <v>0</v>
      </c>
      <c r="H79" s="299"/>
      <c r="I79" s="325">
        <f t="shared" si="4"/>
        <v>0</v>
      </c>
      <c r="J79" s="314"/>
      <c r="K79" s="315"/>
      <c r="L79" s="313"/>
      <c r="M79" s="314"/>
      <c r="N79" s="314"/>
      <c r="O79" s="315"/>
      <c r="P79" s="315"/>
      <c r="Q79" s="315"/>
      <c r="R79" s="315"/>
      <c r="S79" s="298"/>
      <c r="T79" s="298"/>
      <c r="U79" s="298"/>
      <c r="V79" s="144"/>
    </row>
    <row r="80" spans="1:22" s="150" customFormat="1" ht="18" customHeight="1">
      <c r="A80" s="144">
        <v>77</v>
      </c>
      <c r="B80" s="300"/>
      <c r="C80" s="243"/>
      <c r="D80" s="243"/>
      <c r="E80" s="243"/>
      <c r="F80" s="298"/>
      <c r="G80" s="321">
        <f t="shared" si="5"/>
        <v>0</v>
      </c>
      <c r="H80" s="299"/>
      <c r="I80" s="325">
        <f t="shared" si="4"/>
        <v>0</v>
      </c>
      <c r="J80" s="314"/>
      <c r="K80" s="315"/>
      <c r="L80" s="313"/>
      <c r="M80" s="314"/>
      <c r="N80" s="314"/>
      <c r="O80" s="315"/>
      <c r="P80" s="315"/>
      <c r="Q80" s="315"/>
      <c r="R80" s="315"/>
      <c r="S80" s="298"/>
      <c r="T80" s="298"/>
      <c r="U80" s="298"/>
      <c r="V80" s="144"/>
    </row>
    <row r="81" spans="1:22" s="150" customFormat="1" ht="18" customHeight="1">
      <c r="A81" s="144">
        <v>78</v>
      </c>
      <c r="B81" s="300"/>
      <c r="C81" s="243"/>
      <c r="D81" s="243"/>
      <c r="E81" s="243"/>
      <c r="F81" s="298"/>
      <c r="G81" s="321">
        <f t="shared" si="5"/>
        <v>0</v>
      </c>
      <c r="H81" s="299"/>
      <c r="I81" s="325">
        <f t="shared" si="4"/>
        <v>0</v>
      </c>
      <c r="J81" s="314"/>
      <c r="K81" s="315"/>
      <c r="L81" s="313"/>
      <c r="M81" s="314"/>
      <c r="N81" s="314"/>
      <c r="O81" s="315"/>
      <c r="P81" s="315"/>
      <c r="Q81" s="315"/>
      <c r="R81" s="315"/>
      <c r="S81" s="298"/>
      <c r="T81" s="298"/>
      <c r="U81" s="298"/>
      <c r="V81" s="144"/>
    </row>
    <row r="82" spans="1:22" s="150" customFormat="1" ht="18" customHeight="1">
      <c r="A82" s="144">
        <v>79</v>
      </c>
      <c r="B82" s="300"/>
      <c r="C82" s="243"/>
      <c r="D82" s="243"/>
      <c r="E82" s="243"/>
      <c r="F82" s="298"/>
      <c r="G82" s="321">
        <f t="shared" si="5"/>
        <v>0</v>
      </c>
      <c r="H82" s="299"/>
      <c r="I82" s="325">
        <f t="shared" si="4"/>
        <v>0</v>
      </c>
      <c r="J82" s="314"/>
      <c r="K82" s="315"/>
      <c r="L82" s="313"/>
      <c r="M82" s="314"/>
      <c r="N82" s="314"/>
      <c r="O82" s="315"/>
      <c r="P82" s="315"/>
      <c r="Q82" s="315"/>
      <c r="R82" s="315"/>
      <c r="S82" s="298"/>
      <c r="T82" s="298"/>
      <c r="U82" s="298"/>
      <c r="V82" s="144"/>
    </row>
    <row r="83" spans="1:22" s="150" customFormat="1" ht="18" customHeight="1">
      <c r="A83" s="144">
        <v>80</v>
      </c>
      <c r="B83" s="300"/>
      <c r="C83" s="243"/>
      <c r="D83" s="243"/>
      <c r="E83" s="243"/>
      <c r="F83" s="298"/>
      <c r="G83" s="321">
        <f t="shared" si="5"/>
        <v>0</v>
      </c>
      <c r="H83" s="299"/>
      <c r="I83" s="325">
        <f t="shared" si="4"/>
        <v>0</v>
      </c>
      <c r="J83" s="314"/>
      <c r="K83" s="315"/>
      <c r="L83" s="313"/>
      <c r="M83" s="314"/>
      <c r="N83" s="314"/>
      <c r="O83" s="315"/>
      <c r="P83" s="315"/>
      <c r="Q83" s="315"/>
      <c r="R83" s="315"/>
      <c r="S83" s="253"/>
      <c r="T83" s="254"/>
      <c r="U83" s="255"/>
      <c r="V83" s="144"/>
    </row>
    <row r="84" spans="1:22" s="150" customFormat="1" ht="18" customHeight="1">
      <c r="A84" s="144">
        <v>81</v>
      </c>
      <c r="B84" s="300"/>
      <c r="C84" s="243"/>
      <c r="D84" s="243"/>
      <c r="E84" s="243"/>
      <c r="F84" s="298"/>
      <c r="G84" s="321">
        <f t="shared" si="5"/>
        <v>0</v>
      </c>
      <c r="H84" s="299"/>
      <c r="I84" s="325">
        <f t="shared" si="4"/>
        <v>0</v>
      </c>
      <c r="J84" s="314"/>
      <c r="K84" s="315"/>
      <c r="L84" s="313"/>
      <c r="M84" s="314"/>
      <c r="N84" s="314"/>
      <c r="O84" s="315"/>
      <c r="P84" s="315"/>
      <c r="Q84" s="315"/>
      <c r="R84" s="315"/>
      <c r="S84" s="253"/>
      <c r="T84" s="254"/>
      <c r="U84" s="255"/>
      <c r="V84" s="144"/>
    </row>
    <row r="85" spans="1:22" s="150" customFormat="1" ht="18.75" customHeight="1">
      <c r="A85" s="144">
        <v>82</v>
      </c>
      <c r="B85" s="300"/>
      <c r="C85" s="243"/>
      <c r="D85" s="243"/>
      <c r="E85" s="243"/>
      <c r="F85" s="298"/>
      <c r="G85" s="321">
        <f t="shared" si="5"/>
        <v>0</v>
      </c>
      <c r="H85" s="299"/>
      <c r="I85" s="325">
        <f t="shared" si="4"/>
        <v>0</v>
      </c>
      <c r="J85" s="314"/>
      <c r="K85" s="315"/>
      <c r="L85" s="313"/>
      <c r="M85" s="314"/>
      <c r="N85" s="314"/>
      <c r="O85" s="315"/>
      <c r="P85" s="315"/>
      <c r="Q85" s="315"/>
      <c r="R85" s="315"/>
      <c r="S85" s="253"/>
      <c r="T85" s="254"/>
      <c r="U85" s="255"/>
      <c r="V85" s="144"/>
    </row>
    <row r="86" spans="1:22" s="150" customFormat="1" ht="18.75" customHeight="1">
      <c r="A86" s="144">
        <v>83</v>
      </c>
      <c r="B86" s="300"/>
      <c r="C86" s="243"/>
      <c r="D86" s="243"/>
      <c r="E86" s="243"/>
      <c r="F86" s="298"/>
      <c r="G86" s="321">
        <f t="shared" si="5"/>
        <v>0</v>
      </c>
      <c r="H86" s="299"/>
      <c r="I86" s="325">
        <f t="shared" si="4"/>
        <v>0</v>
      </c>
      <c r="J86" s="314"/>
      <c r="K86" s="315"/>
      <c r="L86" s="313"/>
      <c r="M86" s="314"/>
      <c r="N86" s="314"/>
      <c r="O86" s="315"/>
      <c r="P86" s="315"/>
      <c r="Q86" s="315"/>
      <c r="R86" s="315"/>
      <c r="S86" s="253"/>
      <c r="T86" s="254"/>
      <c r="U86" s="255"/>
      <c r="V86" s="144"/>
    </row>
    <row r="87" spans="1:22" s="150" customFormat="1" ht="18.75" customHeight="1">
      <c r="A87" s="249"/>
      <c r="B87" s="296"/>
      <c r="C87" s="148"/>
      <c r="D87" s="148"/>
      <c r="E87" s="148"/>
      <c r="F87" s="293"/>
      <c r="G87" s="320"/>
      <c r="H87" s="291"/>
      <c r="I87" s="291"/>
      <c r="J87" s="291"/>
      <c r="K87" s="317"/>
      <c r="L87" s="316"/>
      <c r="M87" s="316"/>
      <c r="N87" s="317"/>
      <c r="O87" s="317"/>
      <c r="P87" s="317"/>
      <c r="Q87" s="317"/>
      <c r="R87" s="317"/>
      <c r="S87" s="291"/>
      <c r="T87" s="291"/>
      <c r="U87" s="291"/>
      <c r="V87" s="249"/>
    </row>
    <row r="88" spans="1:22" s="307" customFormat="1" ht="18.75" customHeight="1">
      <c r="A88" s="347" t="s">
        <v>19</v>
      </c>
      <c r="B88" s="348"/>
      <c r="C88" s="348"/>
      <c r="D88" s="348"/>
      <c r="E88" s="349"/>
      <c r="F88" s="261">
        <f>SUM(F4:F87)</f>
        <v>46630</v>
      </c>
      <c r="G88" s="261"/>
      <c r="H88" s="262"/>
      <c r="I88" s="262"/>
      <c r="J88" s="262">
        <f>SUM(J4:J87)</f>
        <v>1661822.5</v>
      </c>
      <c r="K88" s="261">
        <f>SUM(K4:K87)</f>
        <v>0</v>
      </c>
      <c r="L88" s="262"/>
      <c r="M88" s="262">
        <f>SUM(M4:M87)</f>
        <v>0</v>
      </c>
      <c r="N88" s="262">
        <f>SUM(N4:N87)</f>
        <v>0</v>
      </c>
      <c r="O88" s="262"/>
      <c r="P88" s="261">
        <f>SUM(P4:P87)</f>
        <v>0</v>
      </c>
      <c r="Q88" s="261">
        <f>SUM(Q4:Q87)</f>
        <v>0</v>
      </c>
      <c r="R88" s="261">
        <f>SUM(R4:R87)</f>
        <v>0</v>
      </c>
      <c r="S88" s="261"/>
      <c r="T88" s="261">
        <f>SUM(T4:T87)</f>
        <v>0</v>
      </c>
      <c r="U88" s="261">
        <f>SUM(U4:U87)</f>
        <v>0</v>
      </c>
      <c r="V88" s="262"/>
    </row>
    <row r="89" spans="1:22" ht="18.75" customHeight="1">
      <c r="B89" s="162" t="s">
        <v>303</v>
      </c>
    </row>
    <row r="90" spans="1:22" s="237" customFormat="1" ht="18.75" customHeight="1">
      <c r="K90" s="301">
        <f>R88-T88-U88-K88-500000000</f>
        <v>-500000000</v>
      </c>
      <c r="P90" s="334" t="s">
        <v>464</v>
      </c>
      <c r="Q90" s="334"/>
      <c r="R90" s="334"/>
      <c r="S90" s="259"/>
      <c r="T90" s="259"/>
      <c r="U90" s="259"/>
      <c r="V90" s="301"/>
    </row>
    <row r="91" spans="1:22" ht="18.75" customHeight="1">
      <c r="K91" s="259"/>
      <c r="S91" s="308"/>
      <c r="T91" s="308"/>
      <c r="U91" s="308"/>
      <c r="V91" s="259"/>
    </row>
    <row r="92" spans="1:22" ht="18" customHeight="1">
      <c r="V92" s="309"/>
    </row>
    <row r="93" spans="1:22" ht="18" customHeight="1">
      <c r="V93" s="309"/>
    </row>
  </sheetData>
  <mergeCells count="14">
    <mergeCell ref="S2:U2"/>
    <mergeCell ref="V2:V3"/>
    <mergeCell ref="K2:K3"/>
    <mergeCell ref="A88:E88"/>
    <mergeCell ref="P90:R90"/>
    <mergeCell ref="J4:J9"/>
    <mergeCell ref="A2:A3"/>
    <mergeCell ref="B2:B3"/>
    <mergeCell ref="C2:E2"/>
    <mergeCell ref="F2:J2"/>
    <mergeCell ref="L2:R2"/>
    <mergeCell ref="J10:J14"/>
    <mergeCell ref="J15:J20"/>
    <mergeCell ref="J21:J26"/>
  </mergeCells>
  <pageMargins left="0.16" right="0.16" top="0.11" bottom="0.16" header="0.3" footer="0.3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O43"/>
  <sheetViews>
    <sheetView topLeftCell="A16" workbookViewId="0">
      <selection activeCell="B29" sqref="B29"/>
    </sheetView>
  </sheetViews>
  <sheetFormatPr defaultColWidth="9.140625" defaultRowHeight="16.5"/>
  <cols>
    <col min="1" max="1" width="5.5703125" style="5" customWidth="1"/>
    <col min="2" max="2" width="34.140625" style="5" customWidth="1"/>
    <col min="3" max="3" width="12.5703125" style="6" customWidth="1"/>
    <col min="4" max="4" width="13.28515625" style="7" bestFit="1" customWidth="1"/>
    <col min="5" max="5" width="17.42578125" style="7" customWidth="1"/>
    <col min="6" max="6" width="15.85546875" style="5" customWidth="1"/>
    <col min="7" max="7" width="14.5703125" style="3" bestFit="1" customWidth="1"/>
    <col min="8" max="8" width="10.42578125" style="3" customWidth="1"/>
    <col min="9" max="9" width="16.5703125" style="3" customWidth="1"/>
    <col min="10" max="11" width="11.5703125" style="3" customWidth="1"/>
    <col min="12" max="12" width="10" style="3" customWidth="1"/>
    <col min="13" max="13" width="12.85546875" style="3" customWidth="1"/>
    <col min="14" max="14" width="13.28515625" style="3" customWidth="1"/>
    <col min="15" max="16384" width="9.140625" style="5"/>
  </cols>
  <sheetData>
    <row r="1" spans="1:11" ht="47.25" customHeight="1">
      <c r="A1" s="370" t="s">
        <v>20</v>
      </c>
      <c r="B1" s="370"/>
      <c r="C1" s="370"/>
      <c r="D1" s="370"/>
      <c r="E1" s="370"/>
      <c r="F1" s="1"/>
      <c r="G1" s="303"/>
      <c r="H1" s="303"/>
    </row>
    <row r="2" spans="1:11" ht="18.75" customHeight="1">
      <c r="A2" s="4"/>
      <c r="G2" s="5"/>
      <c r="H2" s="8"/>
    </row>
    <row r="3" spans="1:11" s="13" customFormat="1" ht="39.75" customHeight="1">
      <c r="A3" s="9"/>
      <c r="B3" s="10" t="s">
        <v>21</v>
      </c>
      <c r="C3" s="11" t="s">
        <v>7</v>
      </c>
      <c r="D3" s="12" t="s">
        <v>8</v>
      </c>
      <c r="E3" s="12" t="s">
        <v>22</v>
      </c>
      <c r="F3" s="12" t="s">
        <v>3</v>
      </c>
    </row>
    <row r="4" spans="1:11" s="14" customFormat="1" ht="17.25" customHeight="1">
      <c r="B4" s="15" t="s">
        <v>23</v>
      </c>
      <c r="C4" s="16"/>
      <c r="D4" s="17"/>
      <c r="E4" s="18"/>
      <c r="F4" s="19"/>
    </row>
    <row r="5" spans="1:11" s="14" customFormat="1" ht="17.25" customHeight="1">
      <c r="B5" s="20" t="s">
        <v>24</v>
      </c>
      <c r="C5" s="21">
        <v>52000</v>
      </c>
      <c r="D5" s="22">
        <v>2.85</v>
      </c>
      <c r="E5" s="23">
        <f>C5*D5</f>
        <v>148200</v>
      </c>
      <c r="F5" s="24"/>
    </row>
    <row r="6" spans="1:11" s="25" customFormat="1" ht="17.25" customHeight="1">
      <c r="B6" s="26" t="s">
        <v>25</v>
      </c>
      <c r="C6" s="27"/>
      <c r="D6" s="28"/>
      <c r="E6" s="29"/>
      <c r="F6" s="30"/>
    </row>
    <row r="7" spans="1:11" s="14" customFormat="1" ht="17.25" customHeight="1">
      <c r="B7" s="20" t="s">
        <v>26</v>
      </c>
      <c r="C7" s="21"/>
      <c r="D7" s="22"/>
      <c r="E7" s="23"/>
      <c r="F7" s="31">
        <v>148188</v>
      </c>
    </row>
    <row r="8" spans="1:11" s="14" customFormat="1" ht="17.25" customHeight="1">
      <c r="B8" s="20"/>
      <c r="C8" s="21"/>
      <c r="D8" s="22"/>
      <c r="E8" s="23"/>
      <c r="F8" s="24"/>
    </row>
    <row r="9" spans="1:11" s="25" customFormat="1" ht="17.25" customHeight="1">
      <c r="B9" s="32" t="s">
        <v>27</v>
      </c>
      <c r="C9" s="33">
        <f>SUM(C4:C8)</f>
        <v>52000</v>
      </c>
      <c r="D9" s="33"/>
      <c r="E9" s="33">
        <f t="shared" ref="E9:F9" si="0">SUM(E4:E8)</f>
        <v>148200</v>
      </c>
      <c r="F9" s="33">
        <f t="shared" si="0"/>
        <v>148188</v>
      </c>
    </row>
    <row r="10" spans="1:11" s="14" customFormat="1" ht="17.25" customHeight="1">
      <c r="B10" s="15" t="s">
        <v>28</v>
      </c>
      <c r="C10" s="21"/>
      <c r="D10" s="22"/>
      <c r="E10" s="23">
        <f t="shared" ref="E10:E11" si="1">C10*D10</f>
        <v>0</v>
      </c>
      <c r="F10" s="24"/>
      <c r="I10" s="34"/>
      <c r="J10" s="34"/>
      <c r="K10" s="34"/>
    </row>
    <row r="11" spans="1:11" s="14" customFormat="1" ht="17.25" customHeight="1">
      <c r="B11" s="20" t="s">
        <v>24</v>
      </c>
      <c r="C11" s="21">
        <v>52000</v>
      </c>
      <c r="D11" s="22">
        <v>2.85</v>
      </c>
      <c r="E11" s="23">
        <f t="shared" si="1"/>
        <v>148200</v>
      </c>
      <c r="F11" s="24"/>
    </row>
    <row r="12" spans="1:11" s="25" customFormat="1" ht="17.25" customHeight="1">
      <c r="B12" s="26" t="s">
        <v>25</v>
      </c>
      <c r="C12" s="27"/>
      <c r="D12" s="28"/>
      <c r="E12" s="29"/>
      <c r="F12" s="30"/>
    </row>
    <row r="13" spans="1:11" s="14" customFormat="1" ht="17.25" customHeight="1">
      <c r="B13" s="20"/>
      <c r="C13" s="21"/>
      <c r="D13" s="22"/>
      <c r="E13" s="23"/>
      <c r="F13" s="24"/>
    </row>
    <row r="14" spans="1:11" s="14" customFormat="1" ht="17.25" customHeight="1">
      <c r="B14" s="35"/>
      <c r="C14" s="36"/>
      <c r="D14" s="37"/>
      <c r="E14" s="38"/>
      <c r="F14" s="39"/>
    </row>
    <row r="15" spans="1:11" s="25" customFormat="1" ht="17.25" customHeight="1">
      <c r="B15" s="32" t="s">
        <v>27</v>
      </c>
      <c r="C15" s="33">
        <f>SUM(C10:C14)</f>
        <v>52000</v>
      </c>
      <c r="D15" s="33"/>
      <c r="E15" s="33">
        <f t="shared" ref="E15:F15" si="2">SUM(E10:E14)</f>
        <v>148200</v>
      </c>
      <c r="F15" s="33">
        <f t="shared" si="2"/>
        <v>0</v>
      </c>
    </row>
    <row r="16" spans="1:11" s="25" customFormat="1" ht="17.25" customHeight="1">
      <c r="B16" s="40"/>
      <c r="C16" s="41"/>
      <c r="D16" s="42"/>
      <c r="E16" s="43"/>
      <c r="F16" s="44"/>
      <c r="G16" s="45" t="s">
        <v>29</v>
      </c>
    </row>
    <row r="17" spans="1:15" s="85" customFormat="1" ht="36.75" customHeight="1">
      <c r="A17" s="83" t="s">
        <v>0</v>
      </c>
      <c r="B17" s="83" t="s">
        <v>21</v>
      </c>
      <c r="C17" s="46" t="s">
        <v>7</v>
      </c>
      <c r="D17" s="84" t="s">
        <v>8</v>
      </c>
      <c r="E17" s="84" t="s">
        <v>9</v>
      </c>
      <c r="G17" s="47" t="s">
        <v>30</v>
      </c>
      <c r="H17" s="47" t="s">
        <v>31</v>
      </c>
      <c r="I17" s="47" t="s">
        <v>21</v>
      </c>
      <c r="J17" s="47" t="s">
        <v>32</v>
      </c>
      <c r="K17" s="47" t="s">
        <v>83</v>
      </c>
      <c r="L17" s="46" t="s">
        <v>33</v>
      </c>
      <c r="M17" s="49" t="s">
        <v>34</v>
      </c>
      <c r="N17" s="49" t="s">
        <v>9</v>
      </c>
    </row>
    <row r="18" spans="1:15" ht="17.25" customHeight="1">
      <c r="A18" s="50">
        <f>ROW()-3</f>
        <v>15</v>
      </c>
      <c r="B18" s="51" t="s">
        <v>35</v>
      </c>
      <c r="C18" s="52">
        <f>52000*2</f>
        <v>104000</v>
      </c>
      <c r="D18" s="53">
        <v>300</v>
      </c>
      <c r="E18" s="53">
        <f t="shared" ref="E18:E25" si="3">C18*D18</f>
        <v>31200000</v>
      </c>
      <c r="G18" s="54">
        <v>42574</v>
      </c>
      <c r="H18" s="54">
        <v>42586</v>
      </c>
      <c r="I18" s="302" t="s">
        <v>36</v>
      </c>
      <c r="J18" s="56">
        <f>H18-G18+1</f>
        <v>13</v>
      </c>
      <c r="K18" s="92">
        <v>239</v>
      </c>
      <c r="L18" s="57">
        <v>3.1070000000000002</v>
      </c>
      <c r="M18" s="58">
        <v>18000</v>
      </c>
      <c r="N18" s="58">
        <f>M18*L18*J18</f>
        <v>727038.00000000012</v>
      </c>
      <c r="O18" s="59"/>
    </row>
    <row r="19" spans="1:15" ht="17.25" customHeight="1">
      <c r="A19" s="60">
        <f t="shared" ref="A19:A25" si="4">ROW()-3</f>
        <v>16</v>
      </c>
      <c r="B19" s="61" t="s">
        <v>37</v>
      </c>
      <c r="C19" s="62">
        <v>4</v>
      </c>
      <c r="D19" s="63">
        <v>2000000</v>
      </c>
      <c r="E19" s="63">
        <f t="shared" si="3"/>
        <v>8000000</v>
      </c>
      <c r="G19" s="64">
        <v>42575</v>
      </c>
      <c r="H19" s="64">
        <v>42586</v>
      </c>
      <c r="I19" s="302" t="s">
        <v>36</v>
      </c>
      <c r="J19" s="56">
        <f t="shared" ref="J19:J29" si="5">H19-G19+1</f>
        <v>12</v>
      </c>
      <c r="K19" s="92">
        <v>1761</v>
      </c>
      <c r="L19" s="65">
        <v>22.893000000000001</v>
      </c>
      <c r="M19" s="58">
        <v>18000</v>
      </c>
      <c r="N19" s="58">
        <f t="shared" ref="N19:N29" si="6">M19*L19*J19</f>
        <v>4944888</v>
      </c>
      <c r="O19" s="59"/>
    </row>
    <row r="20" spans="1:15" ht="17.25" customHeight="1">
      <c r="A20" s="60">
        <f t="shared" si="4"/>
        <v>17</v>
      </c>
      <c r="B20" s="61" t="s">
        <v>38</v>
      </c>
      <c r="C20" s="62">
        <v>4</v>
      </c>
      <c r="D20" s="63">
        <v>2000000</v>
      </c>
      <c r="E20" s="63">
        <f t="shared" si="3"/>
        <v>8000000</v>
      </c>
      <c r="G20" s="64">
        <v>42575</v>
      </c>
      <c r="H20" s="64">
        <v>42587</v>
      </c>
      <c r="I20" s="302" t="s">
        <v>36</v>
      </c>
      <c r="J20" s="56">
        <f t="shared" si="5"/>
        <v>13</v>
      </c>
      <c r="K20" s="92">
        <v>176</v>
      </c>
      <c r="L20" s="65">
        <v>2.2879999999999998</v>
      </c>
      <c r="M20" s="58">
        <v>18000</v>
      </c>
      <c r="N20" s="58">
        <f t="shared" si="6"/>
        <v>535392</v>
      </c>
      <c r="O20" s="59"/>
    </row>
    <row r="21" spans="1:15" ht="17.25" customHeight="1">
      <c r="A21" s="60">
        <f t="shared" si="4"/>
        <v>18</v>
      </c>
      <c r="B21" s="61" t="s">
        <v>39</v>
      </c>
      <c r="C21" s="62">
        <v>4</v>
      </c>
      <c r="D21" s="63">
        <v>600000</v>
      </c>
      <c r="E21" s="63">
        <f t="shared" si="3"/>
        <v>2400000</v>
      </c>
      <c r="G21" s="64">
        <v>42576</v>
      </c>
      <c r="H21" s="64">
        <v>42587</v>
      </c>
      <c r="I21" s="302" t="s">
        <v>36</v>
      </c>
      <c r="J21" s="56">
        <f t="shared" si="5"/>
        <v>12</v>
      </c>
      <c r="K21" s="92">
        <v>590</v>
      </c>
      <c r="L21" s="65">
        <v>7.67</v>
      </c>
      <c r="M21" s="58">
        <v>18000</v>
      </c>
      <c r="N21" s="58">
        <f t="shared" si="6"/>
        <v>1656720</v>
      </c>
      <c r="O21" s="59"/>
    </row>
    <row r="22" spans="1:15" ht="17.25" customHeight="1">
      <c r="A22" s="60">
        <f t="shared" si="4"/>
        <v>19</v>
      </c>
      <c r="B22" s="61" t="s">
        <v>40</v>
      </c>
      <c r="C22" s="62">
        <v>4</v>
      </c>
      <c r="D22" s="63">
        <v>15306800</v>
      </c>
      <c r="E22" s="63">
        <f>C22*D22</f>
        <v>61227200</v>
      </c>
      <c r="G22" s="64">
        <v>42577</v>
      </c>
      <c r="H22" s="64">
        <v>42587</v>
      </c>
      <c r="I22" s="302" t="s">
        <v>36</v>
      </c>
      <c r="J22" s="56">
        <f t="shared" si="5"/>
        <v>11</v>
      </c>
      <c r="K22" s="92">
        <v>1234</v>
      </c>
      <c r="L22" s="65">
        <v>16.042000000000002</v>
      </c>
      <c r="M22" s="58">
        <v>18000</v>
      </c>
      <c r="N22" s="58">
        <f t="shared" si="6"/>
        <v>3176316</v>
      </c>
      <c r="O22" s="59"/>
    </row>
    <row r="23" spans="1:15" ht="17.25" customHeight="1">
      <c r="A23" s="60">
        <f t="shared" si="4"/>
        <v>20</v>
      </c>
      <c r="B23" s="61" t="s">
        <v>41</v>
      </c>
      <c r="C23" s="62">
        <v>4</v>
      </c>
      <c r="D23" s="63">
        <v>7378778</v>
      </c>
      <c r="E23" s="63">
        <f t="shared" si="3"/>
        <v>29515112</v>
      </c>
      <c r="G23" s="64">
        <v>42577</v>
      </c>
      <c r="H23" s="64">
        <v>42593</v>
      </c>
      <c r="I23" s="302" t="s">
        <v>36</v>
      </c>
      <c r="J23" s="56">
        <f t="shared" si="5"/>
        <v>17</v>
      </c>
      <c r="K23" s="92">
        <v>138</v>
      </c>
      <c r="L23" s="65">
        <v>1.794</v>
      </c>
      <c r="M23" s="58">
        <v>18000</v>
      </c>
      <c r="N23" s="58">
        <f t="shared" si="6"/>
        <v>548964</v>
      </c>
      <c r="O23" s="59"/>
    </row>
    <row r="24" spans="1:15" ht="17.25" customHeight="1">
      <c r="A24" s="60">
        <f t="shared" si="4"/>
        <v>21</v>
      </c>
      <c r="B24" s="61" t="s">
        <v>42</v>
      </c>
      <c r="C24" s="62">
        <v>4</v>
      </c>
      <c r="D24" s="63">
        <v>5600000</v>
      </c>
      <c r="E24" s="63">
        <f t="shared" si="3"/>
        <v>22400000</v>
      </c>
      <c r="G24" s="64">
        <v>42578</v>
      </c>
      <c r="H24" s="64">
        <v>42593</v>
      </c>
      <c r="I24" s="302" t="s">
        <v>36</v>
      </c>
      <c r="J24" s="56">
        <f t="shared" si="5"/>
        <v>16</v>
      </c>
      <c r="K24" s="92">
        <v>1723</v>
      </c>
      <c r="L24" s="65">
        <v>22.399000000000001</v>
      </c>
      <c r="M24" s="58">
        <v>18000</v>
      </c>
      <c r="N24" s="58">
        <f t="shared" si="6"/>
        <v>6450912</v>
      </c>
      <c r="O24" s="59"/>
    </row>
    <row r="25" spans="1:15" ht="16.5" customHeight="1">
      <c r="A25" s="60">
        <f t="shared" si="4"/>
        <v>22</v>
      </c>
      <c r="B25" s="61" t="s">
        <v>43</v>
      </c>
      <c r="C25" s="62">
        <v>4</v>
      </c>
      <c r="D25" s="63">
        <f>88*22500</f>
        <v>1980000</v>
      </c>
      <c r="E25" s="63">
        <f t="shared" si="3"/>
        <v>7920000</v>
      </c>
      <c r="G25" s="64">
        <v>42579</v>
      </c>
      <c r="H25" s="64">
        <v>42593</v>
      </c>
      <c r="I25" s="302" t="s">
        <v>36</v>
      </c>
      <c r="J25" s="56">
        <f t="shared" si="5"/>
        <v>15</v>
      </c>
      <c r="K25" s="92">
        <v>139</v>
      </c>
      <c r="L25" s="65">
        <v>1.8069999999999999</v>
      </c>
      <c r="M25" s="58">
        <v>18000</v>
      </c>
      <c r="N25" s="58">
        <f t="shared" si="6"/>
        <v>487890</v>
      </c>
      <c r="O25" s="59"/>
    </row>
    <row r="26" spans="1:15" ht="16.5" customHeight="1">
      <c r="A26" s="60">
        <v>9</v>
      </c>
      <c r="B26" s="61" t="s">
        <v>44</v>
      </c>
      <c r="C26" s="62">
        <v>2</v>
      </c>
      <c r="D26" s="63">
        <v>1350000</v>
      </c>
      <c r="E26" s="63">
        <f>C26*D26</f>
        <v>2700000</v>
      </c>
      <c r="G26" s="64">
        <v>42579</v>
      </c>
      <c r="H26" s="64">
        <v>42594</v>
      </c>
      <c r="I26" s="302" t="s">
        <v>36</v>
      </c>
      <c r="J26" s="56">
        <f t="shared" si="5"/>
        <v>16</v>
      </c>
      <c r="K26" s="92">
        <v>911</v>
      </c>
      <c r="L26" s="65">
        <v>11.843</v>
      </c>
      <c r="M26" s="58">
        <v>18000</v>
      </c>
      <c r="N26" s="58">
        <f t="shared" si="6"/>
        <v>3410784</v>
      </c>
      <c r="O26" s="59"/>
    </row>
    <row r="27" spans="1:15" ht="17.25" customHeight="1">
      <c r="A27" s="60">
        <v>10</v>
      </c>
      <c r="B27" s="61" t="s">
        <v>45</v>
      </c>
      <c r="C27" s="62">
        <f>C18</f>
        <v>104000</v>
      </c>
      <c r="D27" s="63">
        <v>50</v>
      </c>
      <c r="E27" s="63">
        <f>C27*D27</f>
        <v>5200000</v>
      </c>
      <c r="G27" s="64">
        <v>42590</v>
      </c>
      <c r="H27" s="64">
        <v>42594</v>
      </c>
      <c r="I27" s="302" t="s">
        <v>36</v>
      </c>
      <c r="J27" s="56">
        <f>H27-G27+1</f>
        <v>5</v>
      </c>
      <c r="K27" s="92">
        <v>580</v>
      </c>
      <c r="L27" s="65">
        <v>7.54</v>
      </c>
      <c r="M27" s="58">
        <v>18000</v>
      </c>
      <c r="N27" s="58">
        <f>M27*L27*J27</f>
        <v>678600</v>
      </c>
      <c r="O27" s="59"/>
    </row>
    <row r="28" spans="1:15" ht="17.25" customHeight="1">
      <c r="A28" s="60">
        <v>11</v>
      </c>
      <c r="B28" s="61" t="s">
        <v>46</v>
      </c>
      <c r="C28" s="62"/>
      <c r="D28" s="63"/>
      <c r="E28" s="63">
        <f>N31</f>
        <v>22818510</v>
      </c>
      <c r="G28" s="64">
        <v>42593</v>
      </c>
      <c r="H28" s="64">
        <v>42594</v>
      </c>
      <c r="I28" s="302" t="s">
        <v>36</v>
      </c>
      <c r="J28" s="56">
        <f>H28-G28+1</f>
        <v>2</v>
      </c>
      <c r="K28" s="92">
        <v>350</v>
      </c>
      <c r="L28" s="65">
        <v>4.55</v>
      </c>
      <c r="M28" s="58">
        <v>18000</v>
      </c>
      <c r="N28" s="58">
        <f>M28*L28*J28</f>
        <v>163800</v>
      </c>
      <c r="O28" s="59"/>
    </row>
    <row r="29" spans="1:15" s="4" customFormat="1" ht="17.25" customHeight="1">
      <c r="A29" s="60">
        <v>12</v>
      </c>
      <c r="B29" s="61" t="s">
        <v>47</v>
      </c>
      <c r="C29" s="62"/>
      <c r="D29" s="63"/>
      <c r="E29" s="63">
        <v>1000000</v>
      </c>
      <c r="F29" s="5"/>
      <c r="G29" s="64">
        <v>42594</v>
      </c>
      <c r="H29" s="64">
        <v>42594</v>
      </c>
      <c r="I29" s="302" t="s">
        <v>36</v>
      </c>
      <c r="J29" s="56">
        <f t="shared" si="5"/>
        <v>1</v>
      </c>
      <c r="K29" s="92">
        <v>159</v>
      </c>
      <c r="L29" s="65">
        <v>2.0670000000000002</v>
      </c>
      <c r="M29" s="58">
        <v>18000</v>
      </c>
      <c r="N29" s="58">
        <f t="shared" si="6"/>
        <v>37206</v>
      </c>
      <c r="O29" s="59"/>
    </row>
    <row r="30" spans="1:15" ht="11.25" customHeight="1">
      <c r="A30" s="60"/>
      <c r="B30" s="61"/>
      <c r="C30" s="62"/>
      <c r="D30" s="63"/>
      <c r="E30" s="63"/>
      <c r="G30" s="66"/>
      <c r="H30" s="66"/>
      <c r="I30" s="67"/>
      <c r="J30" s="67"/>
      <c r="K30" s="93"/>
      <c r="L30" s="68"/>
      <c r="M30" s="69"/>
      <c r="N30" s="69">
        <f t="shared" ref="N30" si="7">L30*M30</f>
        <v>0</v>
      </c>
    </row>
    <row r="31" spans="1:15" ht="18.75" customHeight="1">
      <c r="A31" s="70"/>
      <c r="B31" s="70" t="s">
        <v>48</v>
      </c>
      <c r="C31" s="71"/>
      <c r="D31" s="72"/>
      <c r="E31" s="72">
        <f>SUM(E18:E30)</f>
        <v>202380822</v>
      </c>
      <c r="F31" s="4"/>
      <c r="G31" s="73"/>
      <c r="H31" s="73"/>
      <c r="I31" s="73" t="s">
        <v>48</v>
      </c>
      <c r="J31" s="73"/>
      <c r="K31" s="89">
        <f>SUM(K18:K30)</f>
        <v>8000</v>
      </c>
      <c r="L31" s="121">
        <f>SUM(L18:L30)</f>
        <v>104</v>
      </c>
      <c r="M31" s="74"/>
      <c r="N31" s="74">
        <f>SUM(N18:N30)</f>
        <v>22818510</v>
      </c>
    </row>
    <row r="32" spans="1:15" ht="18.75" customHeight="1"/>
    <row r="33" spans="1:11" s="3" customFormat="1">
      <c r="A33" s="5"/>
      <c r="B33" s="5"/>
      <c r="C33" s="6"/>
      <c r="D33" s="7" t="s">
        <v>49</v>
      </c>
      <c r="E33" s="7">
        <f>E31/C18</f>
        <v>1945.9694423076924</v>
      </c>
      <c r="F33" s="5"/>
    </row>
    <row r="35" spans="1:11" ht="33">
      <c r="A35" s="48" t="s">
        <v>0</v>
      </c>
      <c r="B35" s="47" t="s">
        <v>21</v>
      </c>
      <c r="C35" s="46" t="s">
        <v>50</v>
      </c>
      <c r="D35" s="49" t="s">
        <v>51</v>
      </c>
      <c r="E35" s="49" t="s">
        <v>9</v>
      </c>
      <c r="F35" s="49" t="s">
        <v>52</v>
      </c>
    </row>
    <row r="36" spans="1:11">
      <c r="A36" s="60">
        <v>1</v>
      </c>
      <c r="B36" s="61" t="s">
        <v>53</v>
      </c>
      <c r="C36" s="62">
        <f>F9</f>
        <v>148188</v>
      </c>
      <c r="D36" s="63">
        <v>22260</v>
      </c>
      <c r="E36" s="63">
        <f t="shared" ref="E36:E37" si="8">C36*D36</f>
        <v>3298664880</v>
      </c>
      <c r="F36" s="63"/>
    </row>
    <row r="37" spans="1:11">
      <c r="A37" s="60">
        <v>2</v>
      </c>
      <c r="B37" s="61" t="s">
        <v>54</v>
      </c>
      <c r="C37" s="62"/>
      <c r="D37" s="63"/>
      <c r="E37" s="63">
        <f t="shared" si="8"/>
        <v>0</v>
      </c>
      <c r="F37" s="63">
        <v>1416959000</v>
      </c>
      <c r="G37" s="75"/>
      <c r="H37" s="76"/>
      <c r="I37" s="75"/>
      <c r="J37" s="77"/>
      <c r="K37" s="77"/>
    </row>
    <row r="38" spans="1:11">
      <c r="A38" s="60">
        <v>3</v>
      </c>
      <c r="B38" s="61" t="s">
        <v>55</v>
      </c>
      <c r="C38" s="62"/>
      <c r="D38" s="63"/>
      <c r="E38" s="63">
        <f>C38*D38</f>
        <v>0</v>
      </c>
      <c r="F38" s="63">
        <v>1421958000</v>
      </c>
      <c r="G38" s="75"/>
      <c r="H38" s="76"/>
      <c r="I38" s="75"/>
      <c r="J38" s="77"/>
      <c r="K38" s="77"/>
    </row>
    <row r="39" spans="1:11">
      <c r="A39" s="60">
        <v>5</v>
      </c>
      <c r="B39" s="61" t="s">
        <v>56</v>
      </c>
      <c r="C39" s="62"/>
      <c r="D39" s="63"/>
      <c r="E39" s="63">
        <f>C39*D39</f>
        <v>0</v>
      </c>
      <c r="F39" s="63">
        <v>257367058</v>
      </c>
      <c r="G39" s="75"/>
      <c r="H39" s="76"/>
      <c r="I39" s="75"/>
      <c r="J39" s="77"/>
      <c r="K39" s="77"/>
    </row>
    <row r="40" spans="1:11">
      <c r="A40" s="67"/>
      <c r="B40" s="78"/>
      <c r="C40" s="79"/>
      <c r="D40" s="80"/>
      <c r="E40" s="80">
        <f>N41</f>
        <v>0</v>
      </c>
      <c r="F40" s="80"/>
    </row>
    <row r="41" spans="1:11">
      <c r="A41" s="70"/>
      <c r="B41" s="70" t="s">
        <v>57</v>
      </c>
      <c r="C41" s="71"/>
      <c r="D41" s="72"/>
      <c r="E41" s="72">
        <f>SUM(E36:E40)</f>
        <v>3298664880</v>
      </c>
      <c r="F41" s="72">
        <f>SUM(F36:F40)</f>
        <v>3096284058</v>
      </c>
    </row>
    <row r="43" spans="1:11">
      <c r="D43" s="81" t="s">
        <v>58</v>
      </c>
      <c r="F43" s="8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2:K39"/>
  <sheetViews>
    <sheetView topLeftCell="A28" workbookViewId="0">
      <selection activeCell="A15" sqref="A15:XFD15"/>
    </sheetView>
  </sheetViews>
  <sheetFormatPr defaultRowHeight="15"/>
  <cols>
    <col min="1" max="1" width="6.85546875" style="150" customWidth="1"/>
    <col min="2" max="2" width="10.42578125" style="146" customWidth="1"/>
    <col min="3" max="3" width="9.140625" style="146"/>
    <col min="4" max="4" width="24.28515625" style="146" customWidth="1"/>
    <col min="5" max="5" width="10.85546875" style="146" customWidth="1"/>
    <col min="6" max="6" width="10.5703125" style="146" customWidth="1"/>
    <col min="7" max="7" width="13.7109375" style="146" customWidth="1"/>
    <col min="8" max="9" width="12.140625" style="146" customWidth="1"/>
    <col min="10" max="10" width="9.140625" style="146"/>
    <col min="11" max="11" width="11.28515625" style="146" bestFit="1" customWidth="1"/>
    <col min="12" max="16384" width="9.140625" style="146"/>
  </cols>
  <sheetData>
    <row r="2" spans="1:11" s="141" customFormat="1" ht="28.5" customHeight="1">
      <c r="A2" s="376" t="s">
        <v>204</v>
      </c>
      <c r="B2" s="376"/>
      <c r="C2" s="376"/>
      <c r="D2" s="376"/>
      <c r="E2" s="376"/>
      <c r="F2" s="376"/>
      <c r="G2" s="376"/>
      <c r="H2" s="376"/>
      <c r="I2" s="376"/>
      <c r="J2" s="376"/>
    </row>
    <row r="3" spans="1:11" s="143" customFormat="1" ht="33.75" customHeight="1">
      <c r="A3" s="304" t="s">
        <v>0</v>
      </c>
      <c r="B3" s="304" t="s">
        <v>205</v>
      </c>
      <c r="C3" s="304" t="s">
        <v>206</v>
      </c>
      <c r="D3" s="304" t="s">
        <v>207</v>
      </c>
      <c r="E3" s="304" t="s">
        <v>7</v>
      </c>
      <c r="F3" s="304" t="s">
        <v>8</v>
      </c>
      <c r="G3" s="304" t="s">
        <v>9</v>
      </c>
      <c r="H3" s="304" t="s">
        <v>208</v>
      </c>
      <c r="I3" s="322" t="s">
        <v>466</v>
      </c>
      <c r="J3" s="304" t="s">
        <v>82</v>
      </c>
    </row>
    <row r="4" spans="1:11" ht="22.5" customHeight="1">
      <c r="A4" s="144">
        <v>1</v>
      </c>
      <c r="B4" s="305">
        <v>42736</v>
      </c>
      <c r="C4" s="152" t="s">
        <v>484</v>
      </c>
      <c r="D4" s="145" t="s">
        <v>218</v>
      </c>
      <c r="E4" s="139">
        <v>2027</v>
      </c>
      <c r="F4" s="138">
        <v>8500</v>
      </c>
      <c r="G4" s="138">
        <f t="shared" ref="G4:G13" si="0">E4*F4</f>
        <v>17229500</v>
      </c>
      <c r="H4" s="138">
        <f t="shared" ref="H4:H13" si="1">G4*10%</f>
        <v>1722950</v>
      </c>
      <c r="I4" s="138">
        <f>G4+H4</f>
        <v>18952450</v>
      </c>
      <c r="J4" s="147"/>
      <c r="K4" s="157"/>
    </row>
    <row r="5" spans="1:11" ht="22.5" customHeight="1">
      <c r="A5" s="144">
        <v>2</v>
      </c>
      <c r="B5" s="305">
        <v>42737</v>
      </c>
      <c r="C5" s="152" t="s">
        <v>467</v>
      </c>
      <c r="D5" s="145" t="s">
        <v>218</v>
      </c>
      <c r="E5" s="139">
        <v>2027</v>
      </c>
      <c r="F5" s="138">
        <v>8500</v>
      </c>
      <c r="G5" s="138">
        <f t="shared" si="0"/>
        <v>17229500</v>
      </c>
      <c r="H5" s="138">
        <f t="shared" si="1"/>
        <v>1722950</v>
      </c>
      <c r="I5" s="138">
        <f t="shared" ref="I5:I13" si="2">G5+H5</f>
        <v>18952450</v>
      </c>
      <c r="J5" s="147"/>
      <c r="K5" s="157"/>
    </row>
    <row r="6" spans="1:11" ht="22.5" customHeight="1">
      <c r="A6" s="144">
        <v>3</v>
      </c>
      <c r="B6" s="305">
        <v>42737</v>
      </c>
      <c r="C6" s="156" t="s">
        <v>485</v>
      </c>
      <c r="D6" s="145" t="s">
        <v>218</v>
      </c>
      <c r="E6" s="139">
        <v>2027</v>
      </c>
      <c r="F6" s="138">
        <v>8500</v>
      </c>
      <c r="G6" s="138">
        <f t="shared" si="0"/>
        <v>17229500</v>
      </c>
      <c r="H6" s="138">
        <f t="shared" si="1"/>
        <v>1722950</v>
      </c>
      <c r="I6" s="138">
        <f t="shared" si="2"/>
        <v>18952450</v>
      </c>
      <c r="J6" s="147"/>
      <c r="K6" s="157"/>
    </row>
    <row r="7" spans="1:11" ht="22.5" customHeight="1">
      <c r="A7" s="144">
        <v>4</v>
      </c>
      <c r="B7" s="305">
        <v>42738</v>
      </c>
      <c r="C7" s="156" t="s">
        <v>486</v>
      </c>
      <c r="D7" s="145" t="s">
        <v>218</v>
      </c>
      <c r="E7" s="139">
        <v>2027</v>
      </c>
      <c r="F7" s="138">
        <v>8500</v>
      </c>
      <c r="G7" s="138">
        <f t="shared" si="0"/>
        <v>17229500</v>
      </c>
      <c r="H7" s="138">
        <f t="shared" si="1"/>
        <v>1722950</v>
      </c>
      <c r="I7" s="138">
        <f t="shared" si="2"/>
        <v>18952450</v>
      </c>
      <c r="J7" s="147"/>
      <c r="K7" s="157"/>
    </row>
    <row r="8" spans="1:11" ht="22.5" customHeight="1">
      <c r="A8" s="144">
        <v>5</v>
      </c>
      <c r="B8" s="305">
        <v>42739</v>
      </c>
      <c r="C8" s="156" t="s">
        <v>468</v>
      </c>
      <c r="D8" s="145" t="s">
        <v>218</v>
      </c>
      <c r="E8" s="139">
        <v>2027</v>
      </c>
      <c r="F8" s="138">
        <v>8500</v>
      </c>
      <c r="G8" s="138">
        <f t="shared" si="0"/>
        <v>17229500</v>
      </c>
      <c r="H8" s="138">
        <f t="shared" si="1"/>
        <v>1722950</v>
      </c>
      <c r="I8" s="138">
        <f t="shared" si="2"/>
        <v>18952450</v>
      </c>
      <c r="J8" s="147"/>
      <c r="K8" s="157"/>
    </row>
    <row r="9" spans="1:11" ht="22.5" customHeight="1">
      <c r="A9" s="144">
        <v>6</v>
      </c>
      <c r="B9" s="305">
        <v>42740</v>
      </c>
      <c r="C9" s="156" t="s">
        <v>469</v>
      </c>
      <c r="D9" s="145" t="s">
        <v>218</v>
      </c>
      <c r="E9" s="139">
        <v>2026</v>
      </c>
      <c r="F9" s="138">
        <v>8500</v>
      </c>
      <c r="G9" s="138">
        <f t="shared" si="0"/>
        <v>17221000</v>
      </c>
      <c r="H9" s="138">
        <f t="shared" si="1"/>
        <v>1722100</v>
      </c>
      <c r="I9" s="138">
        <f t="shared" si="2"/>
        <v>18943100</v>
      </c>
      <c r="J9" s="147"/>
      <c r="K9" s="157"/>
    </row>
    <row r="10" spans="1:11" ht="22.5" customHeight="1">
      <c r="A10" s="144">
        <v>7</v>
      </c>
      <c r="B10" s="305">
        <v>42742</v>
      </c>
      <c r="C10" s="156" t="s">
        <v>487</v>
      </c>
      <c r="D10" s="145" t="s">
        <v>218</v>
      </c>
      <c r="E10" s="139"/>
      <c r="F10" s="138">
        <v>8500</v>
      </c>
      <c r="G10" s="138">
        <f t="shared" si="0"/>
        <v>0</v>
      </c>
      <c r="H10" s="138">
        <f t="shared" si="1"/>
        <v>0</v>
      </c>
      <c r="I10" s="138">
        <f t="shared" si="2"/>
        <v>0</v>
      </c>
      <c r="J10" s="147"/>
      <c r="K10" s="157"/>
    </row>
    <row r="11" spans="1:11" ht="22.5" customHeight="1">
      <c r="A11" s="144">
        <v>8</v>
      </c>
      <c r="B11" s="305">
        <v>42744</v>
      </c>
      <c r="C11" s="156" t="s">
        <v>470</v>
      </c>
      <c r="D11" s="145" t="s">
        <v>218</v>
      </c>
      <c r="E11" s="139"/>
      <c r="F11" s="138">
        <v>8500</v>
      </c>
      <c r="G11" s="138">
        <f t="shared" si="0"/>
        <v>0</v>
      </c>
      <c r="H11" s="138">
        <f t="shared" si="1"/>
        <v>0</v>
      </c>
      <c r="I11" s="138">
        <f t="shared" si="2"/>
        <v>0</v>
      </c>
      <c r="J11" s="147"/>
      <c r="K11" s="157"/>
    </row>
    <row r="12" spans="1:11" ht="22.5" customHeight="1">
      <c r="A12" s="144">
        <v>9</v>
      </c>
      <c r="B12" s="305">
        <v>42747</v>
      </c>
      <c r="C12" s="156" t="s">
        <v>488</v>
      </c>
      <c r="D12" s="145" t="s">
        <v>218</v>
      </c>
      <c r="E12" s="139"/>
      <c r="F12" s="138">
        <v>8500</v>
      </c>
      <c r="G12" s="138">
        <f t="shared" si="0"/>
        <v>0</v>
      </c>
      <c r="H12" s="138">
        <f t="shared" si="1"/>
        <v>0</v>
      </c>
      <c r="I12" s="138">
        <f t="shared" si="2"/>
        <v>0</v>
      </c>
      <c r="J12" s="147"/>
      <c r="K12" s="157"/>
    </row>
    <row r="13" spans="1:11" ht="22.5" customHeight="1">
      <c r="A13" s="144">
        <v>10</v>
      </c>
      <c r="B13" s="305">
        <v>42749</v>
      </c>
      <c r="C13" s="156" t="s">
        <v>471</v>
      </c>
      <c r="D13" s="145" t="s">
        <v>218</v>
      </c>
      <c r="E13" s="139"/>
      <c r="F13" s="138">
        <v>8500</v>
      </c>
      <c r="G13" s="138">
        <f t="shared" si="0"/>
        <v>0</v>
      </c>
      <c r="H13" s="138">
        <f t="shared" si="1"/>
        <v>0</v>
      </c>
      <c r="I13" s="138">
        <f t="shared" si="2"/>
        <v>0</v>
      </c>
      <c r="J13" s="147"/>
      <c r="K13" s="157"/>
    </row>
    <row r="14" spans="1:11" ht="22.5" customHeight="1">
      <c r="A14" s="144">
        <v>11</v>
      </c>
      <c r="B14" s="323">
        <v>42751</v>
      </c>
      <c r="C14" s="156" t="s">
        <v>472</v>
      </c>
      <c r="D14" s="145" t="s">
        <v>218</v>
      </c>
      <c r="E14" s="139"/>
      <c r="F14" s="138">
        <v>8500</v>
      </c>
      <c r="G14" s="138">
        <f t="shared" ref="G14:G21" si="3">E14*F14</f>
        <v>0</v>
      </c>
      <c r="H14" s="138">
        <f t="shared" ref="H14:H21" si="4">G14*10%</f>
        <v>0</v>
      </c>
      <c r="I14" s="138">
        <f t="shared" ref="I14:I21" si="5">G14+H14</f>
        <v>0</v>
      </c>
      <c r="J14" s="147"/>
      <c r="K14" s="157"/>
    </row>
    <row r="15" spans="1:11" ht="22.5" customHeight="1">
      <c r="A15" s="144">
        <v>12</v>
      </c>
      <c r="B15" s="323">
        <v>42751</v>
      </c>
      <c r="C15" s="156" t="s">
        <v>489</v>
      </c>
      <c r="D15" s="145" t="s">
        <v>218</v>
      </c>
      <c r="E15" s="139"/>
      <c r="F15" s="138">
        <v>8500</v>
      </c>
      <c r="G15" s="138">
        <f t="shared" si="3"/>
        <v>0</v>
      </c>
      <c r="H15" s="138">
        <f t="shared" si="4"/>
        <v>0</v>
      </c>
      <c r="I15" s="138">
        <f t="shared" si="5"/>
        <v>0</v>
      </c>
      <c r="J15" s="147"/>
      <c r="K15" s="157"/>
    </row>
    <row r="16" spans="1:11" ht="22.5" customHeight="1">
      <c r="A16" s="144">
        <v>13</v>
      </c>
      <c r="B16" s="323">
        <v>42753</v>
      </c>
      <c r="C16" s="156" t="s">
        <v>473</v>
      </c>
      <c r="D16" s="145" t="s">
        <v>218</v>
      </c>
      <c r="E16" s="139"/>
      <c r="F16" s="138">
        <v>8500</v>
      </c>
      <c r="G16" s="138">
        <f t="shared" si="3"/>
        <v>0</v>
      </c>
      <c r="H16" s="138">
        <f t="shared" si="4"/>
        <v>0</v>
      </c>
      <c r="I16" s="138">
        <f t="shared" si="5"/>
        <v>0</v>
      </c>
      <c r="J16" s="147"/>
      <c r="K16" s="157"/>
    </row>
    <row r="17" spans="1:11" ht="22.5" customHeight="1">
      <c r="A17" s="144">
        <v>14</v>
      </c>
      <c r="B17" s="323">
        <v>42756</v>
      </c>
      <c r="C17" s="156" t="s">
        <v>490</v>
      </c>
      <c r="D17" s="145" t="s">
        <v>218</v>
      </c>
      <c r="E17" s="139"/>
      <c r="F17" s="138">
        <v>8500</v>
      </c>
      <c r="G17" s="138">
        <f t="shared" si="3"/>
        <v>0</v>
      </c>
      <c r="H17" s="138">
        <f t="shared" si="4"/>
        <v>0</v>
      </c>
      <c r="I17" s="138">
        <f t="shared" si="5"/>
        <v>0</v>
      </c>
      <c r="J17" s="147"/>
      <c r="K17" s="157"/>
    </row>
    <row r="18" spans="1:11" ht="22.5" customHeight="1">
      <c r="A18" s="144">
        <v>15</v>
      </c>
      <c r="B18" s="323">
        <v>42756</v>
      </c>
      <c r="C18" s="156" t="s">
        <v>491</v>
      </c>
      <c r="D18" s="145" t="s">
        <v>218</v>
      </c>
      <c r="E18" s="139"/>
      <c r="F18" s="138">
        <v>8500</v>
      </c>
      <c r="G18" s="138">
        <f t="shared" si="3"/>
        <v>0</v>
      </c>
      <c r="H18" s="138">
        <f t="shared" si="4"/>
        <v>0</v>
      </c>
      <c r="I18" s="138">
        <f t="shared" si="5"/>
        <v>0</v>
      </c>
      <c r="J18" s="147"/>
      <c r="K18" s="157"/>
    </row>
    <row r="19" spans="1:11" ht="22.5" customHeight="1">
      <c r="A19" s="144">
        <v>16</v>
      </c>
      <c r="B19" s="323">
        <v>42772</v>
      </c>
      <c r="C19" s="156" t="s">
        <v>474</v>
      </c>
      <c r="D19" s="145" t="s">
        <v>218</v>
      </c>
      <c r="E19" s="139"/>
      <c r="F19" s="138">
        <v>8500</v>
      </c>
      <c r="G19" s="138">
        <f t="shared" si="3"/>
        <v>0</v>
      </c>
      <c r="H19" s="138">
        <f t="shared" si="4"/>
        <v>0</v>
      </c>
      <c r="I19" s="138">
        <f t="shared" si="5"/>
        <v>0</v>
      </c>
      <c r="J19" s="147"/>
      <c r="K19" s="157"/>
    </row>
    <row r="20" spans="1:11" ht="22.5" customHeight="1">
      <c r="A20" s="144">
        <v>17</v>
      </c>
      <c r="B20" s="323">
        <v>42773</v>
      </c>
      <c r="C20" s="156" t="s">
        <v>492</v>
      </c>
      <c r="D20" s="145" t="s">
        <v>218</v>
      </c>
      <c r="E20" s="139"/>
      <c r="F20" s="138">
        <v>8500</v>
      </c>
      <c r="G20" s="138">
        <f t="shared" si="3"/>
        <v>0</v>
      </c>
      <c r="H20" s="138">
        <f t="shared" si="4"/>
        <v>0</v>
      </c>
      <c r="I20" s="138">
        <f t="shared" si="5"/>
        <v>0</v>
      </c>
      <c r="J20" s="147"/>
      <c r="K20" s="157"/>
    </row>
    <row r="21" spans="1:11" ht="22.5" customHeight="1">
      <c r="A21" s="144">
        <v>18</v>
      </c>
      <c r="B21" s="323">
        <v>42780</v>
      </c>
      <c r="C21" s="156" t="s">
        <v>493</v>
      </c>
      <c r="D21" s="145" t="s">
        <v>218</v>
      </c>
      <c r="E21" s="139"/>
      <c r="F21" s="138">
        <v>8500</v>
      </c>
      <c r="G21" s="138">
        <f t="shared" si="3"/>
        <v>0</v>
      </c>
      <c r="H21" s="138">
        <f t="shared" si="4"/>
        <v>0</v>
      </c>
      <c r="I21" s="138">
        <f t="shared" si="5"/>
        <v>0</v>
      </c>
      <c r="J21" s="147"/>
      <c r="K21" s="157"/>
    </row>
    <row r="22" spans="1:11" ht="22.5" customHeight="1">
      <c r="A22" s="144">
        <v>19</v>
      </c>
      <c r="B22" s="323">
        <v>42784</v>
      </c>
      <c r="C22" s="156" t="s">
        <v>475</v>
      </c>
      <c r="D22" s="145" t="s">
        <v>218</v>
      </c>
      <c r="E22" s="139"/>
      <c r="F22" s="138">
        <v>8500</v>
      </c>
      <c r="G22" s="138">
        <f t="shared" ref="G22:G33" si="6">E22*F22</f>
        <v>0</v>
      </c>
      <c r="H22" s="138">
        <f t="shared" ref="H22:H33" si="7">G22*10%</f>
        <v>0</v>
      </c>
      <c r="I22" s="138">
        <f t="shared" ref="I22:I33" si="8">G22+H22</f>
        <v>0</v>
      </c>
      <c r="J22" s="147"/>
      <c r="K22" s="157"/>
    </row>
    <row r="23" spans="1:11" ht="22.5" customHeight="1">
      <c r="A23" s="144">
        <v>20</v>
      </c>
      <c r="B23" s="323">
        <v>42787</v>
      </c>
      <c r="C23" s="156" t="s">
        <v>476</v>
      </c>
      <c r="D23" s="145" t="s">
        <v>218</v>
      </c>
      <c r="E23" s="139"/>
      <c r="F23" s="138">
        <v>8500</v>
      </c>
      <c r="G23" s="138">
        <f t="shared" si="6"/>
        <v>0</v>
      </c>
      <c r="H23" s="138">
        <f t="shared" si="7"/>
        <v>0</v>
      </c>
      <c r="I23" s="138">
        <f t="shared" si="8"/>
        <v>0</v>
      </c>
      <c r="J23" s="147"/>
      <c r="K23" s="157"/>
    </row>
    <row r="24" spans="1:11" ht="22.5" customHeight="1">
      <c r="A24" s="144">
        <v>21</v>
      </c>
      <c r="B24" s="323">
        <v>42787</v>
      </c>
      <c r="C24" s="156" t="s">
        <v>494</v>
      </c>
      <c r="D24" s="145" t="s">
        <v>218</v>
      </c>
      <c r="E24" s="139"/>
      <c r="F24" s="138">
        <v>8500</v>
      </c>
      <c r="G24" s="138">
        <f t="shared" si="6"/>
        <v>0</v>
      </c>
      <c r="H24" s="138">
        <f t="shared" si="7"/>
        <v>0</v>
      </c>
      <c r="I24" s="138">
        <f t="shared" si="8"/>
        <v>0</v>
      </c>
      <c r="J24" s="147"/>
      <c r="K24" s="157"/>
    </row>
    <row r="25" spans="1:11" ht="22.5" customHeight="1">
      <c r="A25" s="144">
        <v>22</v>
      </c>
      <c r="B25" s="323">
        <v>42790</v>
      </c>
      <c r="C25" s="156" t="s">
        <v>477</v>
      </c>
      <c r="D25" s="145" t="s">
        <v>218</v>
      </c>
      <c r="E25" s="139"/>
      <c r="F25" s="138">
        <v>8500</v>
      </c>
      <c r="G25" s="138">
        <f t="shared" si="6"/>
        <v>0</v>
      </c>
      <c r="H25" s="138">
        <f t="shared" si="7"/>
        <v>0</v>
      </c>
      <c r="I25" s="138">
        <f t="shared" si="8"/>
        <v>0</v>
      </c>
      <c r="J25" s="147"/>
      <c r="K25" s="157"/>
    </row>
    <row r="26" spans="1:11" ht="22.5" customHeight="1">
      <c r="A26" s="144">
        <v>23</v>
      </c>
      <c r="B26" s="323">
        <v>42791</v>
      </c>
      <c r="C26" s="156" t="s">
        <v>495</v>
      </c>
      <c r="D26" s="145" t="s">
        <v>218</v>
      </c>
      <c r="E26" s="139"/>
      <c r="F26" s="138">
        <v>8500</v>
      </c>
      <c r="G26" s="138">
        <f t="shared" si="6"/>
        <v>0</v>
      </c>
      <c r="H26" s="138">
        <f t="shared" si="7"/>
        <v>0</v>
      </c>
      <c r="I26" s="138">
        <f t="shared" si="8"/>
        <v>0</v>
      </c>
      <c r="J26" s="147"/>
      <c r="K26" s="157"/>
    </row>
    <row r="27" spans="1:11" ht="22.5" customHeight="1">
      <c r="A27" s="144">
        <v>24</v>
      </c>
      <c r="B27" s="323">
        <v>42795</v>
      </c>
      <c r="C27" s="156" t="s">
        <v>478</v>
      </c>
      <c r="D27" s="145" t="s">
        <v>218</v>
      </c>
      <c r="E27" s="139"/>
      <c r="F27" s="138">
        <v>8500</v>
      </c>
      <c r="G27" s="138">
        <f t="shared" si="6"/>
        <v>0</v>
      </c>
      <c r="H27" s="138">
        <f t="shared" si="7"/>
        <v>0</v>
      </c>
      <c r="I27" s="138">
        <f t="shared" si="8"/>
        <v>0</v>
      </c>
      <c r="J27" s="147"/>
      <c r="K27" s="157"/>
    </row>
    <row r="28" spans="1:11" ht="22.5" customHeight="1">
      <c r="A28" s="144">
        <v>25</v>
      </c>
      <c r="B28" s="323">
        <v>42801</v>
      </c>
      <c r="C28" s="156" t="s">
        <v>479</v>
      </c>
      <c r="D28" s="145" t="s">
        <v>218</v>
      </c>
      <c r="E28" s="139"/>
      <c r="F28" s="138">
        <v>8500</v>
      </c>
      <c r="G28" s="138">
        <f t="shared" si="6"/>
        <v>0</v>
      </c>
      <c r="H28" s="138">
        <f t="shared" si="7"/>
        <v>0</v>
      </c>
      <c r="I28" s="138">
        <f t="shared" si="8"/>
        <v>0</v>
      </c>
      <c r="J28" s="147"/>
      <c r="K28" s="157"/>
    </row>
    <row r="29" spans="1:11" ht="22.5" customHeight="1">
      <c r="A29" s="144">
        <v>26</v>
      </c>
      <c r="B29" s="323">
        <v>42804</v>
      </c>
      <c r="C29" s="156" t="s">
        <v>480</v>
      </c>
      <c r="D29" s="145" t="s">
        <v>218</v>
      </c>
      <c r="E29" s="139"/>
      <c r="F29" s="138">
        <v>8500</v>
      </c>
      <c r="G29" s="138">
        <f t="shared" si="6"/>
        <v>0</v>
      </c>
      <c r="H29" s="138">
        <f t="shared" si="7"/>
        <v>0</v>
      </c>
      <c r="I29" s="138">
        <f t="shared" si="8"/>
        <v>0</v>
      </c>
      <c r="J29" s="147"/>
      <c r="K29" s="157"/>
    </row>
    <row r="30" spans="1:11" ht="22.5" customHeight="1">
      <c r="A30" s="144">
        <v>27</v>
      </c>
      <c r="B30" s="323">
        <v>42805</v>
      </c>
      <c r="C30" s="156" t="s">
        <v>496</v>
      </c>
      <c r="D30" s="145" t="s">
        <v>218</v>
      </c>
      <c r="E30" s="139"/>
      <c r="F30" s="138">
        <v>8500</v>
      </c>
      <c r="G30" s="138">
        <f t="shared" si="6"/>
        <v>0</v>
      </c>
      <c r="H30" s="138">
        <f t="shared" si="7"/>
        <v>0</v>
      </c>
      <c r="I30" s="138">
        <f t="shared" si="8"/>
        <v>0</v>
      </c>
      <c r="J30" s="147"/>
      <c r="K30" s="157"/>
    </row>
    <row r="31" spans="1:11" ht="22.5" customHeight="1">
      <c r="A31" s="144">
        <v>28</v>
      </c>
      <c r="B31" s="323">
        <v>42807</v>
      </c>
      <c r="C31" s="156" t="s">
        <v>481</v>
      </c>
      <c r="D31" s="145" t="s">
        <v>218</v>
      </c>
      <c r="E31" s="139"/>
      <c r="F31" s="138">
        <v>8500</v>
      </c>
      <c r="G31" s="138">
        <f t="shared" si="6"/>
        <v>0</v>
      </c>
      <c r="H31" s="138">
        <f t="shared" si="7"/>
        <v>0</v>
      </c>
      <c r="I31" s="138">
        <f t="shared" si="8"/>
        <v>0</v>
      </c>
      <c r="J31" s="147"/>
      <c r="K31" s="157"/>
    </row>
    <row r="32" spans="1:11" ht="22.5" customHeight="1">
      <c r="A32" s="144">
        <v>29</v>
      </c>
      <c r="B32" s="323">
        <v>42809</v>
      </c>
      <c r="C32" s="156" t="s">
        <v>482</v>
      </c>
      <c r="D32" s="145" t="s">
        <v>218</v>
      </c>
      <c r="E32" s="139"/>
      <c r="F32" s="138">
        <v>8500</v>
      </c>
      <c r="G32" s="138">
        <f t="shared" si="6"/>
        <v>0</v>
      </c>
      <c r="H32" s="138">
        <f t="shared" si="7"/>
        <v>0</v>
      </c>
      <c r="I32" s="138">
        <f t="shared" si="8"/>
        <v>0</v>
      </c>
      <c r="J32" s="147"/>
      <c r="K32" s="157"/>
    </row>
    <row r="33" spans="1:11" ht="22.5" customHeight="1">
      <c r="A33" s="144">
        <v>30</v>
      </c>
      <c r="B33" s="323">
        <v>42811</v>
      </c>
      <c r="C33" s="156" t="s">
        <v>483</v>
      </c>
      <c r="D33" s="145" t="s">
        <v>218</v>
      </c>
      <c r="E33" s="139"/>
      <c r="F33" s="138">
        <v>8500</v>
      </c>
      <c r="G33" s="138">
        <f t="shared" si="6"/>
        <v>0</v>
      </c>
      <c r="H33" s="138">
        <f t="shared" si="7"/>
        <v>0</v>
      </c>
      <c r="I33" s="138">
        <f t="shared" si="8"/>
        <v>0</v>
      </c>
      <c r="J33" s="147"/>
      <c r="K33" s="157"/>
    </row>
    <row r="34" spans="1:11" ht="22.5" customHeight="1">
      <c r="A34" s="148"/>
      <c r="B34" s="149"/>
      <c r="C34" s="149"/>
      <c r="D34" s="149"/>
      <c r="E34" s="140"/>
      <c r="F34" s="140"/>
      <c r="G34" s="140"/>
      <c r="H34" s="140"/>
      <c r="I34" s="140"/>
      <c r="J34" s="149"/>
    </row>
    <row r="35" spans="1:11" s="155" customFormat="1" ht="21" customHeight="1">
      <c r="A35" s="377" t="s">
        <v>19</v>
      </c>
      <c r="B35" s="377"/>
      <c r="C35" s="377"/>
      <c r="D35" s="377"/>
      <c r="E35" s="153"/>
      <c r="F35" s="153"/>
      <c r="G35" s="153">
        <f>SUM(G4:G34)</f>
        <v>103368500</v>
      </c>
      <c r="H35" s="153">
        <f>SUM(H4:H34)</f>
        <v>10336850</v>
      </c>
      <c r="I35" s="153"/>
      <c r="J35" s="154"/>
    </row>
    <row r="37" spans="1:11" s="141" customFormat="1" ht="14.25">
      <c r="A37" s="141" t="s">
        <v>221</v>
      </c>
    </row>
    <row r="38" spans="1:11" s="141" customFormat="1" ht="14.25">
      <c r="A38" s="141" t="s">
        <v>222</v>
      </c>
    </row>
    <row r="39" spans="1:11" s="141" customFormat="1" ht="14.25">
      <c r="A39" s="141" t="s">
        <v>223</v>
      </c>
    </row>
  </sheetData>
  <sortState ref="B4:C33">
    <sortCondition ref="B4:B33"/>
  </sortState>
  <mergeCells count="2">
    <mergeCell ref="A2:J2"/>
    <mergeCell ref="A35:D35"/>
  </mergeCells>
  <pageMargins left="0.72" right="0.13" top="0.16" bottom="0.16" header="0.3" footer="0.3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TD-TQ 2016</vt:lpstr>
      <vt:lpstr>CT-2016</vt:lpstr>
      <vt:lpstr>GC - TQ 2016</vt:lpstr>
      <vt:lpstr>BSHĐ - 2016</vt:lpstr>
      <vt:lpstr>TQ 2017</vt:lpstr>
      <vt:lpstr>CT-2017</vt:lpstr>
      <vt:lpstr>BSHĐ - 2017</vt:lpstr>
      <vt:lpstr>'BSHĐ - 2016'!Print_Area</vt:lpstr>
      <vt:lpstr>'CT-2016'!Print_Area</vt:lpstr>
      <vt:lpstr>'TD-TQ 2016'!Print_Titles</vt:lpstr>
      <vt:lpstr>'TQ 2017'!Print_Titles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An Lac Seafood</cp:lastModifiedBy>
  <cp:lastPrinted>2017-03-09T03:56:39Z</cp:lastPrinted>
  <dcterms:created xsi:type="dcterms:W3CDTF">2016-10-31T06:49:38Z</dcterms:created>
  <dcterms:modified xsi:type="dcterms:W3CDTF">2017-03-29T03:01:43Z</dcterms:modified>
</cp:coreProperties>
</file>