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45" windowWidth="21840" windowHeight="793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</sheets>
  <externalReferences>
    <externalReference r:id="rId10"/>
    <externalReference r:id="rId11"/>
  </externalReferences>
  <definedNames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'01-17'!$A$3:$R$27</definedName>
    <definedName name="_xlnm._FilterDatabase" localSheetId="8" hidden="1">'02-17'!$A$3:$S$22</definedName>
    <definedName name="_xlnm._FilterDatabase" localSheetId="0" hidden="1">TH!$B$3:$X$227</definedName>
    <definedName name="Dong">IF(Loai="p1",ROW(Loai)-1,"")</definedName>
    <definedName name="DS">TH!$A$4:$Q$226</definedName>
    <definedName name="Loai">OFFSET(TH!$R$4,,,COUNTA(TH!$R$4:$R$39797))</definedName>
    <definedName name="N_1">TH!$R$4:$R$226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</definedNames>
  <calcPr calcId="144525"/>
</workbook>
</file>

<file path=xl/calcChain.xml><?xml version="1.0" encoding="utf-8"?>
<calcChain xmlns="http://schemas.openxmlformats.org/spreadsheetml/2006/main">
  <c r="E7" i="2" l="1"/>
  <c r="B210" i="5" l="1"/>
  <c r="B211" i="5"/>
  <c r="B212" i="5"/>
  <c r="B213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04" i="5"/>
  <c r="B205" i="5"/>
  <c r="B206" i="5"/>
  <c r="B207" i="5"/>
  <c r="B208" i="5"/>
  <c r="B20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R200" i="5"/>
  <c r="R201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180" i="5" l="1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18" i="5"/>
  <c r="R219" i="5"/>
  <c r="R220" i="5"/>
  <c r="R221" i="5"/>
  <c r="R222" i="5"/>
  <c r="R223" i="5"/>
  <c r="R224" i="5"/>
  <c r="R225" i="5"/>
  <c r="R226" i="5"/>
  <c r="P202" i="5" l="1"/>
  <c r="R202" i="5" s="1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R178" i="5"/>
  <c r="R179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P169" i="5"/>
  <c r="R169" i="5" s="1"/>
  <c r="R5" i="5"/>
  <c r="P22" i="5"/>
  <c r="R22" i="5"/>
  <c r="P62" i="5"/>
  <c r="R62" i="5" s="1"/>
  <c r="P66" i="5"/>
  <c r="R66" i="5" s="1"/>
  <c r="P67" i="5"/>
  <c r="R67" i="5" s="1"/>
  <c r="P92" i="5"/>
  <c r="R92" i="5" s="1"/>
  <c r="P96" i="5"/>
  <c r="R96" i="5" s="1"/>
  <c r="P121" i="5"/>
  <c r="R121" i="5" s="1"/>
  <c r="P157" i="5"/>
  <c r="R157" i="5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R4" i="5"/>
  <c r="A4" i="5"/>
  <c r="A1" i="6"/>
  <c r="O22" i="6"/>
  <c r="B4" i="5"/>
  <c r="A1" i="2"/>
  <c r="K8" i="2"/>
  <c r="L8" i="2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  <c r="N22" i="6"/>
  <c r="C18" i="6"/>
  <c r="E17" i="2"/>
  <c r="J13" i="4"/>
  <c r="H10" i="6"/>
  <c r="L19" i="7"/>
  <c r="H16" i="4"/>
  <c r="C12" i="6"/>
  <c r="E16" i="2"/>
  <c r="E14" i="4"/>
  <c r="C24" i="7"/>
  <c r="C13" i="7"/>
  <c r="C7" i="7"/>
  <c r="N13" i="4"/>
  <c r="E13" i="4"/>
  <c r="O23" i="7"/>
  <c r="L17" i="7"/>
  <c r="C23" i="6"/>
  <c r="F12" i="4"/>
  <c r="L15" i="7"/>
  <c r="C6" i="6"/>
  <c r="C8" i="6"/>
  <c r="C9" i="7"/>
  <c r="E8" i="4"/>
  <c r="C14" i="6"/>
  <c r="H11" i="7"/>
  <c r="F13" i="2"/>
  <c r="F11" i="2"/>
  <c r="H13" i="4"/>
  <c r="F8" i="2"/>
  <c r="C16" i="6"/>
  <c r="I13" i="4"/>
  <c r="C21" i="7"/>
  <c r="C20" i="6"/>
  <c r="F9" i="4"/>
  <c r="F9" i="2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<sst xmlns="http://schemas.openxmlformats.org/spreadsheetml/2006/main" count="2164" uniqueCount="509">
  <si>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</si>
  <si>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</si>
  <si>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</si>
  <si>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</si>
  <si>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</si>
  <si>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</si>
  <si>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</si>
  <si>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</si>
  <si>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</si>
  <si>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</si>
  <si>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</si>
  <si>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</si>
  <si>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</si>
  <si>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</si>
  <si>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</si>
  <si>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</si>
  <si>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</si>
  <si>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</si>
  <si>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</si>
  <si>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</si>
  <si>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</si>
  <si>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</si>
  <si>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</si>
  <si>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</si>
  <si>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</si>
  <si>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</si>
  <si>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</si>
  <si>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</si>
  <si>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</si>
  <si>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</si>
  <si>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</si>
  <si>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</si>
  <si>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</si>
  <si>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</si>
  <si>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</si>
  <si>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</si>
  <si>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</si>
  <si>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</si>
  <si>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</si>
  <si>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</si>
  <si>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</si>
  <si>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</si>
  <si>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</si>
  <si>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</si>
  <si>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</si>
  <si>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</si>
  <si>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</si>
  <si>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</si>
  <si>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</si>
  <si>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</si>
  <si>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</si>
  <si>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</si>
  <si>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</si>
  <si>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</si>
  <si>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</si>
  <si>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</si>
  <si>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</si>
  <si>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</si>
  <si>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</si>
  <si>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</si>
  <si>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</si>
  <si>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</si>
  <si>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</si>
  <si>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</si>
  <si>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</si>
  <si>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</si>
  <si>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</si>
  <si>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</si>
  <si>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</si>
  <si>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</si>
  <si>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</si>
  <si>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</si>
  <si>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</si>
  <si>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</si>
  <si>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</si>
  <si>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</si>
  <si>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</si>
  <si>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</si>
  <si>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</si>
  <si>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</si>
  <si>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</si>
  <si>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</si>
  <si>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</si>
  <si>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</si>
  <si>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</si>
  <si>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</si>
  <si>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</si>
  <si>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</si>
  <si>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</si>
  <si>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</si>
  <si>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</si>
  <si>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</si>
  <si>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</si>
  <si>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</si>
  <si>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</si>
  <si>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</si>
  <si>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</si>
  <si>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</si>
  <si>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</si>
  <si>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</si>
  <si>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</si>
  <si>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</si>
  <si>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</si>
  <si>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</si>
  <si>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</si>
  <si>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</si>
  <si>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</si>
  <si>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</si>
  <si>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</si>
  <si>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</si>
  <si>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</si>
  <si>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</si>
  <si>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</si>
  <si>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</si>
  <si>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</si>
  <si>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</si>
  <si>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</si>
  <si>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</si>
  <si>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</si>
  <si>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</si>
  <si>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</si>
  <si>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</si>
  <si>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</si>
  <si>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</si>
  <si>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</si>
  <si>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</si>
  <si>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</si>
  <si>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</si>
  <si>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</si>
  <si>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</si>
  <si>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</si>
  <si>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</si>
  <si>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</si>
  <si>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</si>
  <si>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</si>
  <si>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</si>
  <si>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</si>
  <si>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</si>
  <si>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</si>
  <si>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</si>
  <si>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</si>
  <si>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</si>
  <si>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</si>
  <si>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</si>
  <si>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</si>
  <si>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</si>
  <si>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</si>
  <si>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</si>
  <si>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</si>
  <si>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</si>
  <si>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</si>
  <si>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</si>
  <si>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</si>
  <si>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</si>
  <si>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</si>
  <si>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</si>
  <si>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</si>
  <si>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</si>
  <si>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</si>
  <si>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</si>
  <si>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</si>
  <si>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</si>
  <si>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</si>
  <si>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</si>
  <si>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</si>
  <si>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</si>
  <si>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</si>
  <si>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</si>
  <si>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</si>
  <si>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</si>
  <si>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</si>
  <si>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</si>
  <si>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</si>
  <si>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</si>
  <si>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</si>
  <si>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</si>
  <si>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</si>
  <si>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</si>
  <si>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</si>
  <si>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</si>
  <si>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</si>
  <si>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</si>
  <si>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</si>
  <si>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</si>
  <si>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</si>
  <si>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</si>
  <si>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</si>
  <si>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</si>
  <si>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</si>
  <si>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</si>
  <si>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</si>
  <si>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</si>
  <si>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</si>
  <si>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</si>
  <si>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</si>
  <si>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</si>
  <si>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</si>
  <si>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</si>
  <si>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</si>
  <si>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</si>
  <si>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</si>
  <si>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</si>
  <si>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</si>
  <si>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</si>
  <si>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</si>
  <si>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</si>
  <si>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</si>
  <si>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</si>
  <si>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</si>
  <si>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</si>
  <si>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</si>
  <si>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</si>
  <si>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</si>
  <si>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</si>
  <si>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</si>
  <si>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</si>
  <si>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</si>
  <si>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</si>
  <si>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</si>
  <si>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</si>
  <si>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</si>
  <si>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</si>
  <si>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</si>
  <si>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</si>
  <si>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</si>
  <si>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</si>
  <si>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</si>
  <si>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</si>
  <si>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</si>
  <si>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</si>
  <si>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</si>
  <si>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</si>
  <si>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</si>
  <si>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</si>
  <si>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</si>
  <si>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</si>
  <si>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</si>
  <si>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</si>
  <si>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</si>
  <si>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</si>
  <si>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</si>
  <si>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</si>
  <si>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</si>
  <si>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</si>
  <si>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</si>
  <si>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</si>
  <si>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</si>
  <si>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</si>
  <si>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</si>
  <si>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</si>
  <si>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</si>
  <si>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</si>
  <si>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</si>
  <si>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</si>
  <si>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</si>
  <si>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</si>
  <si>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</si>
  <si>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</si>
  <si>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</si>
  <si>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</si>
  <si>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</si>
  <si>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</si>
  <si>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</si>
  <si>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</si>
  <si>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</si>
  <si>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</si>
  <si>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</si>
  <si>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</si>
  <si>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</si>
  <si>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</si>
  <si>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</si>
  <si>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</si>
  <si>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</si>
  <si>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</si>
  <si>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</si>
  <si>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</si>
  <si>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</si>
  <si>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</si>
  <si>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</si>
  <si>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</si>
  <si>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</si>
  <si>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</si>
  <si>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</si>
  <si>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</si>
  <si>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</si>
  <si>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</si>
  <si>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</si>
  <si>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</si>
  <si>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</si>
  <si>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</si>
  <si>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</si>
  <si>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</si>
  <si>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</si>
  <si>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</si>
  <si>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</si>
  <si>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</si>
  <si>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</si>
  <si>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</si>
  <si>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</si>
  <si>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</si>
  <si>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</si>
  <si>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</si>
  <si>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</si>
  <si>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</si>
  <si>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</si>
  <si>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</si>
  <si>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</si>
  <si>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</si>
  <si>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</si>
  <si>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</si>
  <si>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</si>
  <si>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</si>
  <si>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</si>
  <si>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</si>
  <si>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</si>
  <si>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</si>
  <si>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</si>
  <si>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</si>
  <si>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</si>
  <si>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</si>
  <si>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</si>
  <si>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</si>
  <si>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</si>
  <si>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</si>
  <si>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</si>
  <si>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</si>
  <si>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</si>
  <si>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</si>
  <si>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</si>
  <si>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</si>
  <si>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</si>
  <si>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</si>
  <si>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</si>
  <si>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</si>
  <si>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</si>
  <si>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</si>
  <si>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</si>
  <si>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</si>
  <si>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</si>
  <si>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</si>
  <si>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</si>
  <si>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</si>
  <si>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</si>
  <si>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</si>
  <si>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</si>
  <si>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</si>
  <si>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</si>
  <si>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</si>
  <si>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</si>
  <si>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</si>
  <si>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</si>
  <si>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</si>
  <si>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</si>
  <si>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</si>
  <si>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</si>
  <si>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</si>
  <si>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</si>
  <si>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</si>
  <si>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</si>
  <si>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</si>
  <si>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</si>
  <si>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</si>
  <si>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</si>
  <si>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</si>
  <si>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</si>
  <si>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</si>
  <si>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</si>
  <si>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</si>
  <si>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</si>
  <si>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</si>
  <si>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</si>
  <si>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</si>
  <si>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</si>
  <si>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</si>
  <si>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</si>
  <si>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</si>
  <si>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</si>
  <si>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</si>
  <si>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</si>
  <si>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</si>
  <si>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</si>
  <si>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</si>
  <si>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</si>
  <si>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</si>
  <si>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</si>
  <si>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</si>
  <si>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</si>
  <si>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</si>
  <si>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</si>
  <si>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</si>
  <si>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</si>
  <si>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</si>
  <si>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</si>
  <si>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</si>
  <si>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</si>
  <si>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</si>
  <si>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</si>
  <si>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</si>
  <si>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</si>
  <si>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</si>
  <si>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</si>
  <si>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</si>
  <si>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</si>
  <si>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</si>
  <si>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</si>
  <si>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</si>
  <si>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</si>
  <si>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</si>
  <si>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</si>
  <si>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</si>
  <si>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</si>
  <si>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</si>
  <si>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</si>
  <si>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</si>
  <si>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</si>
  <si>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</si>
  <si>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</si>
  <si>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</si>
  <si>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</si>
  <si>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</si>
  <si>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</si>
  <si>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</si>
  <si>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</si>
  <si>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</si>
  <si>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</si>
  <si>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</si>
  <si>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</si>
  <si>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</si>
  <si>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</si>
  <si>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</si>
  <si>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</si>
  <si>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</si>
  <si>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</si>
  <si>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</si>
  <si>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</si>
  <si>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</si>
  <si>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</si>
  <si>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</si>
  <si>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</si>
  <si>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</si>
  <si>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</si>
  <si>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</si>
  <si>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</si>
  <si>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</si>
  <si>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</si>
  <si>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</si>
  <si>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</si>
  <si>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</si>
  <si>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</si>
  <si>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</si>
  <si>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</si>
  <si>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</si>
  <si>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</si>
  <si>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</si>
  <si>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</si>
  <si>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</si>
  <si>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</si>
  <si>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</si>
  <si>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</si>
  <si>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</si>
  <si>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</si>
  <si>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</si>
  <si>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</si>
  <si>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</si>
  <si>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</si>
  <si>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</si>
  <si>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</si>
  <si>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</si>
  <si>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</si>
  <si>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</si>
  <si>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</si>
  <si>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</si>
  <si>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</si>
  <si>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</si>
  <si>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Thanh toán dự án Trà Vinh</t>
  </si>
  <si>
    <t>CTY TNHH MTV THANH HOÀNG THANH</t>
  </si>
  <si>
    <t>017 100 325 7097</t>
  </si>
  <si>
    <t>NH TMCP An Bình – PGD Khánh Hội</t>
  </si>
  <si>
    <t>Thanh toán tiền thi công công trình - Thanh Hoàng Thanh</t>
  </si>
  <si>
    <t>VIETCOMBANK – CN. BÌNH TÂY</t>
  </si>
  <si>
    <t>Thanh toán VLXD Trà Vinh</t>
  </si>
  <si>
    <t>CTY TNHH PHI HẢI</t>
  </si>
  <si>
    <t>07 000 443 4690</t>
  </si>
  <si>
    <t>NH Sacombank – CN Sóc Trăng</t>
  </si>
  <si>
    <t>1025 037000 2116</t>
  </si>
  <si>
    <t>MKH: PB06030022841- Tiền điện kỳ 1&amp;2 tháng 01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</si>
  <si>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</si>
  <si>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</si>
  <si>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</si>
  <si>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</si>
  <si>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Thanh toán tiền cước vận chuyển &amp; phí liên quan - asia</t>
  </si>
  <si>
    <t>CTY CỔ PHẦN BẢO HIỂM VIỄN ĐÔNG-SỞ GIAO DỊCH TPHCM</t>
  </si>
  <si>
    <t>0600 0598 0634</t>
  </si>
  <si>
    <t>Sacombank - CN Trung Tân</t>
  </si>
  <si>
    <t>Thanh toán tiền BH của HĐ: 16-99-11-020303-0056862</t>
  </si>
  <si>
    <t>Thanh toán tiền hàng - Trà Vinh</t>
  </si>
  <si>
    <t>PB16010048099 - Thanh toán tiền điện kỳ 2/T1 &amp; kỳ 1,2/T2 năm 2017</t>
  </si>
  <si>
    <t>MKH: PB06030022841- Tiền điện kỳ 3/T1 &amp; kỳ 1,2/T2 năm 2017</t>
  </si>
  <si>
    <t>1402LDS201700049</t>
  </si>
  <si>
    <t>Thanh toán phí kiểm nghiệm T01/2017</t>
  </si>
  <si>
    <t>117.00000.4257</t>
  </si>
  <si>
    <t>CTY TNHH THƯƠNG MẠI VÀ DỊCH VỤ MAI PHƯƠNG HUY</t>
  </si>
  <si>
    <t>0040 9362.0001</t>
  </si>
  <si>
    <t>NH Đông Á - CN Phường Cầu Kho</t>
  </si>
  <si>
    <t>Thanh toán tiền máy photocopy</t>
  </si>
  <si>
    <t>CÔNG TY CỔ PHẦN SÀI GÒN TRUNG TÍN</t>
  </si>
  <si>
    <t>101 103 679</t>
  </si>
  <si>
    <t>NH Á Châu - CN Lê Ngô Cát</t>
  </si>
  <si>
    <t>Thanh toán tiền nhiệt kế tự 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</si>
</sst>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40" fillId="4" borderId="1" xfId="3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4" fontId="35" fillId="4" borderId="0" xfId="4" applyNumberFormat="1" applyFont="1" applyFill="1" applyAlignment="1">
      <alignment horizontal="center" vertical="center"/>
    </xf>
    <xf numFmtId="14" fontId="44" fillId="4" borderId="15" xfId="3" applyNumberFormat="1" applyFont="1" applyFill="1" applyBorder="1" applyAlignment="1">
      <alignment horizontal="center"/>
    </xf>
    <xf numFmtId="14" fontId="31" fillId="4" borderId="1" xfId="4" applyNumberFormat="1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49" fontId="44" fillId="4" borderId="3" xfId="4" applyNumberFormat="1" applyFont="1" applyFill="1" applyBorder="1" applyAlignment="1">
      <alignment vertical="center"/>
    </xf>
    <xf numFmtId="0" fontId="44" fillId="4" borderId="17" xfId="4" applyNumberFormat="1" applyFont="1" applyFill="1" applyBorder="1" applyAlignment="1">
      <alignment horizontal="center" vertical="center"/>
    </xf>
    <xf numFmtId="49" fontId="44" fillId="4" borderId="17" xfId="4" applyNumberFormat="1" applyFont="1" applyFill="1" applyBorder="1" applyAlignment="1">
      <alignment vertical="center"/>
    </xf>
    <xf numFmtId="43" fontId="44" fillId="4" borderId="17" xfId="4" applyFont="1" applyFill="1" applyBorder="1" applyAlignment="1">
      <alignment vertical="center"/>
    </xf>
    <xf numFmtId="164" fontId="44" fillId="4" borderId="17" xfId="4" applyNumberFormat="1" applyFont="1" applyFill="1" applyBorder="1" applyAlignment="1">
      <alignment vertical="center"/>
    </xf>
    <xf numFmtId="10" fontId="44" fillId="4" borderId="17" xfId="4" applyNumberFormat="1" applyFont="1" applyFill="1" applyBorder="1" applyAlignment="1">
      <alignment horizontal="center" vertical="center"/>
    </xf>
    <xf numFmtId="43" fontId="44" fillId="4" borderId="17" xfId="4" applyFont="1" applyFill="1" applyBorder="1" applyAlignment="1">
      <alignment horizontal="center" vertical="center"/>
    </xf>
    <xf numFmtId="10" fontId="48" fillId="4" borderId="1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/>
    </xf>
    <xf numFmtId="43" fontId="44" fillId="4" borderId="19" xfId="4" applyFont="1" applyFill="1" applyBorder="1" applyAlignment="1">
      <alignment horizontal="center" vertical="center"/>
    </xf>
    <xf numFmtId="14" fontId="51" fillId="4" borderId="0" xfId="4" applyNumberFormat="1" applyFont="1" applyFill="1" applyAlignment="1">
      <alignment horizontal="center"/>
    </xf>
    <xf numFmtId="0" fontId="68" fillId="4" borderId="0" xfId="3" applyFont="1" applyFill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164" fontId="40" fillId="4" borderId="1" xfId="4" applyNumberFormat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6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R227"/>
  <sheetViews>
    <sheetView tabSelected="1" workbookViewId="0">
      <pane xSplit="6" ySplit="3" topLeftCell="G161" activePane="bottomRight" state="frozen"/>
      <selection pane="topRight" activeCell="G1" sqref="G1"/>
      <selection pane="bottomLeft" activeCell="A4" sqref="A4"/>
      <selection pane="bottomRight" activeCell="G230" sqref="G230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39" t="s">
        <v>1</v>
      </c>
      <c r="C2" s="236" t="s">
        <v>10</v>
      </c>
      <c r="D2" s="237"/>
      <c r="E2" s="238"/>
      <c r="F2" s="236" t="s">
        <v>18</v>
      </c>
      <c r="G2" s="237"/>
      <c r="H2" s="237"/>
      <c r="I2" s="237"/>
      <c r="J2" s="237"/>
      <c r="K2" s="237"/>
      <c r="L2" s="237"/>
      <c r="M2" s="238"/>
      <c r="N2" s="231" t="s">
        <v>0</v>
      </c>
      <c r="O2" s="235" t="s">
        <v>19</v>
      </c>
      <c r="P2" s="235"/>
      <c r="Q2" s="233" t="s">
        <v>20</v>
      </c>
      <c r="R2" s="58"/>
    </row>
    <row r="3" spans="1:18" s="59" customFormat="1" ht="36.75" customHeight="1">
      <c r="A3" s="58"/>
      <c r="B3" s="232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32"/>
      <c r="O3" s="61" t="s">
        <v>26</v>
      </c>
      <c r="P3" s="61" t="s">
        <v>27</v>
      </c>
      <c r="Q3" s="234"/>
      <c r="R3" s="58"/>
    </row>
    <row r="4" spans="1:18" ht="18.75" hidden="1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hidden="1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70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hidden="1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hidden="1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hidden="1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hidden="1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hidden="1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hidden="1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hidden="1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hidden="1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hidden="1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hidden="1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hidden="1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hidden="1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hidden="1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hidden="1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hidden="1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hidden="1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hidden="1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hidden="1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hidden="1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hidden="1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hidden="1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hidden="1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hidden="1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hidden="1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hidden="1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hidden="1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hidden="1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hidden="1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hidden="1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hidden="1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hidden="1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hidden="1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hidden="1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hidden="1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hidden="1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hidden="1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hidden="1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hidden="1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hidden="1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hidden="1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hidden="1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hidden="1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hidden="1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hidden="1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hidden="1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hidden="1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hidden="1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hidden="1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hidden="1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hidden="1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hidden="1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hidden="1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hidden="1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hidden="1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hidden="1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hidden="1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hidden="1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hidden="1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hidden="1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hidden="1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hidden="1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hidden="1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hidden="1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hidden="1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hidden="1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hidden="1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hidden="1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hidden="1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hidden="1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hidden="1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hidden="1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hidden="1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hidden="1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hidden="1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hidden="1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hidden="1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hidden="1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hidden="1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hidden="1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hidden="1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hidden="1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hidden="1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hidden="1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hidden="1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hidden="1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hidden="1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hidden="1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hidden="1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hidden="1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hidden="1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hidden="1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hidden="1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hidden="1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hidden="1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hidden="1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hidden="1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hidden="1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hidden="1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hidden="1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hidden="1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hidden="1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hidden="1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hidden="1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hidden="1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hidden="1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hidden="1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hidden="1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hidden="1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hidden="1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hidden="1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hidden="1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hidden="1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hidden="1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hidden="1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hidden="1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hidden="1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hidden="1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hidden="1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hidden="1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hidden="1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hidden="1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hidden="1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hidden="1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hidden="1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hidden="1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hidden="1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443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hidden="1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443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hidden="1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hidden="1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448</v>
      </c>
      <c r="G172" s="64" t="s">
        <v>446</v>
      </c>
      <c r="H172" s="64" t="s">
        <v>224</v>
      </c>
      <c r="I172" s="65" t="s">
        <v>447</v>
      </c>
      <c r="J172" s="66"/>
      <c r="K172" s="67"/>
      <c r="L172" s="65"/>
      <c r="M172" s="65"/>
      <c r="N172" s="64" t="s">
        <v>449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450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451</v>
      </c>
      <c r="G174" s="64" t="s">
        <v>452</v>
      </c>
      <c r="H174" s="64" t="s">
        <v>453</v>
      </c>
      <c r="I174" s="65" t="s">
        <v>454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hidden="1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444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hidden="1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455</v>
      </c>
      <c r="I176" s="94" t="s">
        <v>9</v>
      </c>
      <c r="J176" s="66"/>
      <c r="K176" s="67"/>
      <c r="L176" s="65"/>
      <c r="M176" s="65"/>
      <c r="N176" s="64" t="s">
        <v>445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hidden="1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445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hidden="1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hidden="1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hidden="1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hidden="1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hidden="1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456</v>
      </c>
      <c r="G182" s="96" t="s">
        <v>457</v>
      </c>
      <c r="H182" s="96" t="s">
        <v>458</v>
      </c>
      <c r="I182" s="99" t="s">
        <v>9</v>
      </c>
      <c r="J182" s="97"/>
      <c r="K182" s="98"/>
      <c r="L182" s="99"/>
      <c r="M182" s="99"/>
      <c r="N182" s="96" t="s">
        <v>459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si="12"/>
        <v>181</v>
      </c>
      <c r="C184" s="62" t="s">
        <v>102</v>
      </c>
      <c r="D184" s="67">
        <v>42759</v>
      </c>
      <c r="E184" s="192" t="s">
        <v>21</v>
      </c>
      <c r="F184" s="96" t="s">
        <v>132</v>
      </c>
      <c r="G184" s="96" t="s">
        <v>133</v>
      </c>
      <c r="H184" s="96" t="s">
        <v>135</v>
      </c>
      <c r="I184" s="99" t="s">
        <v>134</v>
      </c>
      <c r="J184" s="97"/>
      <c r="K184" s="98"/>
      <c r="L184" s="99"/>
      <c r="M184" s="99"/>
      <c r="N184" s="96" t="s">
        <v>474</v>
      </c>
      <c r="O184" s="100"/>
      <c r="P184" s="101">
        <v>100000000</v>
      </c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2"/>
        <v>182</v>
      </c>
      <c r="C185" s="62" t="s">
        <v>102</v>
      </c>
      <c r="D185" s="67">
        <v>42759</v>
      </c>
      <c r="E185" s="192" t="s">
        <v>22</v>
      </c>
      <c r="F185" s="64" t="s">
        <v>475</v>
      </c>
      <c r="G185" s="64" t="s">
        <v>476</v>
      </c>
      <c r="H185" s="64" t="s">
        <v>477</v>
      </c>
      <c r="I185" s="62" t="s">
        <v>9</v>
      </c>
      <c r="J185" s="66"/>
      <c r="K185" s="67"/>
      <c r="L185" s="65"/>
      <c r="M185" s="65"/>
      <c r="N185" s="64" t="s">
        <v>478</v>
      </c>
      <c r="O185" s="68"/>
      <c r="P185" s="101">
        <v>100000000</v>
      </c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ref="B186:B195" si="13">IF(C186&lt;&gt;"",ROW()-3,"")</f>
        <v>183</v>
      </c>
      <c r="C186" s="62" t="s">
        <v>102</v>
      </c>
      <c r="D186" s="67">
        <v>42759</v>
      </c>
      <c r="E186" s="192" t="s">
        <v>23</v>
      </c>
      <c r="F186" s="64" t="s">
        <v>481</v>
      </c>
      <c r="G186" s="64" t="s">
        <v>482</v>
      </c>
      <c r="H186" s="64" t="s">
        <v>483</v>
      </c>
      <c r="I186" s="65" t="s">
        <v>183</v>
      </c>
      <c r="J186" s="66"/>
      <c r="K186" s="67"/>
      <c r="L186" s="65"/>
      <c r="M186" s="65"/>
      <c r="N186" s="96" t="s">
        <v>474</v>
      </c>
      <c r="O186" s="68"/>
      <c r="P186" s="101">
        <v>100000000</v>
      </c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102</v>
      </c>
      <c r="D187" s="67">
        <v>42759</v>
      </c>
      <c r="E187" s="192" t="s">
        <v>24</v>
      </c>
      <c r="F187" s="64" t="s">
        <v>338</v>
      </c>
      <c r="G187" s="64" t="s">
        <v>339</v>
      </c>
      <c r="H187" s="64" t="s">
        <v>479</v>
      </c>
      <c r="I187" s="62" t="s">
        <v>9</v>
      </c>
      <c r="J187" s="66"/>
      <c r="K187" s="67"/>
      <c r="L187" s="65"/>
      <c r="M187" s="65"/>
      <c r="N187" s="64" t="s">
        <v>480</v>
      </c>
      <c r="O187" s="68"/>
      <c r="P187" s="69">
        <v>105612482</v>
      </c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hidden="1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141</v>
      </c>
      <c r="D188" s="67">
        <v>42774</v>
      </c>
      <c r="E188" s="192" t="s">
        <v>21</v>
      </c>
      <c r="F188" s="96" t="s">
        <v>128</v>
      </c>
      <c r="G188" s="96" t="s">
        <v>296</v>
      </c>
      <c r="H188" s="96" t="s">
        <v>126</v>
      </c>
      <c r="I188" s="94" t="s">
        <v>9</v>
      </c>
      <c r="J188" s="66"/>
      <c r="K188" s="67"/>
      <c r="L188" s="65"/>
      <c r="M188" s="65"/>
      <c r="N188" s="64" t="s">
        <v>166</v>
      </c>
      <c r="O188" s="68">
        <v>53000</v>
      </c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hidden="1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124</v>
      </c>
      <c r="D189" s="67">
        <v>42779</v>
      </c>
      <c r="E189" s="192" t="s">
        <v>21</v>
      </c>
      <c r="F189" s="64" t="s">
        <v>34</v>
      </c>
      <c r="G189" s="64" t="s">
        <v>30</v>
      </c>
      <c r="H189" s="64" t="s">
        <v>31</v>
      </c>
      <c r="I189" s="65" t="s">
        <v>33</v>
      </c>
      <c r="J189" s="66"/>
      <c r="K189" s="67"/>
      <c r="L189" s="65"/>
      <c r="M189" s="65"/>
      <c r="N189" s="64" t="s">
        <v>485</v>
      </c>
      <c r="O189" s="68"/>
      <c r="P189" s="69">
        <v>66142120</v>
      </c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hidden="1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141</v>
      </c>
      <c r="D190" s="67">
        <v>42779</v>
      </c>
      <c r="E190" s="192" t="s">
        <v>22</v>
      </c>
      <c r="F190" s="96" t="s">
        <v>129</v>
      </c>
      <c r="G190" s="96" t="s">
        <v>130</v>
      </c>
      <c r="H190" s="96" t="s">
        <v>126</v>
      </c>
      <c r="I190" s="94" t="s">
        <v>9</v>
      </c>
      <c r="J190" s="66"/>
      <c r="K190" s="67"/>
      <c r="L190" s="65"/>
      <c r="M190" s="65"/>
      <c r="N190" s="96" t="s">
        <v>387</v>
      </c>
      <c r="O190" s="68"/>
      <c r="P190" s="69">
        <v>6280000000</v>
      </c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hidden="1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3"/>
        <v>188</v>
      </c>
      <c r="C191" s="62" t="s">
        <v>124</v>
      </c>
      <c r="D191" s="67">
        <v>42780</v>
      </c>
      <c r="E191" s="192" t="s">
        <v>21</v>
      </c>
      <c r="F191" s="64" t="s">
        <v>486</v>
      </c>
      <c r="G191" s="64" t="s">
        <v>487</v>
      </c>
      <c r="H191" s="64" t="s">
        <v>488</v>
      </c>
      <c r="I191" s="94" t="s">
        <v>9</v>
      </c>
      <c r="J191" s="66"/>
      <c r="K191" s="67"/>
      <c r="L191" s="65"/>
      <c r="M191" s="65"/>
      <c r="N191" s="64" t="s">
        <v>489</v>
      </c>
      <c r="O191" s="68"/>
      <c r="P191" s="69">
        <v>100000000</v>
      </c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hidden="1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3"/>
        <v>189</v>
      </c>
      <c r="C192" s="62" t="s">
        <v>124</v>
      </c>
      <c r="D192" s="67">
        <v>42780</v>
      </c>
      <c r="E192" s="192" t="s">
        <v>22</v>
      </c>
      <c r="F192" s="64" t="s">
        <v>169</v>
      </c>
      <c r="G192" s="71" t="s">
        <v>170</v>
      </c>
      <c r="H192" s="64" t="s">
        <v>171</v>
      </c>
      <c r="I192" s="94" t="s">
        <v>9</v>
      </c>
      <c r="J192" s="66"/>
      <c r="K192" s="67"/>
      <c r="L192" s="65"/>
      <c r="M192" s="65"/>
      <c r="N192" s="64" t="s">
        <v>490</v>
      </c>
      <c r="O192" s="68"/>
      <c r="P192" s="69">
        <v>100000000</v>
      </c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hidden="1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3"/>
        <v>190</v>
      </c>
      <c r="C193" s="62" t="s">
        <v>124</v>
      </c>
      <c r="D193" s="67">
        <v>42780</v>
      </c>
      <c r="E193" s="192" t="s">
        <v>23</v>
      </c>
      <c r="F193" s="96" t="s">
        <v>129</v>
      </c>
      <c r="G193" s="96" t="s">
        <v>130</v>
      </c>
      <c r="H193" s="96" t="s">
        <v>126</v>
      </c>
      <c r="I193" s="94" t="s">
        <v>9</v>
      </c>
      <c r="J193" s="66"/>
      <c r="K193" s="67"/>
      <c r="L193" s="65"/>
      <c r="M193" s="65"/>
      <c r="N193" s="96" t="s">
        <v>387</v>
      </c>
      <c r="O193" s="68"/>
      <c r="P193" s="69">
        <v>180000000</v>
      </c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3"/>
        <v>191</v>
      </c>
      <c r="C194" s="62" t="s">
        <v>102</v>
      </c>
      <c r="D194" s="67">
        <v>42780</v>
      </c>
      <c r="E194" s="192" t="s">
        <v>24</v>
      </c>
      <c r="F194" s="64" t="s">
        <v>350</v>
      </c>
      <c r="G194" s="64" t="s">
        <v>351</v>
      </c>
      <c r="H194" s="64" t="s">
        <v>352</v>
      </c>
      <c r="I194" s="99" t="s">
        <v>156</v>
      </c>
      <c r="J194" s="66"/>
      <c r="K194" s="67"/>
      <c r="L194" s="65"/>
      <c r="M194" s="65"/>
      <c r="N194" s="64" t="s">
        <v>354</v>
      </c>
      <c r="O194" s="68"/>
      <c r="P194" s="69">
        <v>180000000</v>
      </c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3"/>
        <v>192</v>
      </c>
      <c r="C195" s="62" t="s">
        <v>102</v>
      </c>
      <c r="D195" s="67">
        <v>42783</v>
      </c>
      <c r="E195" s="192" t="s">
        <v>21</v>
      </c>
      <c r="F195" s="64" t="s">
        <v>491</v>
      </c>
      <c r="G195" s="64" t="s">
        <v>492</v>
      </c>
      <c r="H195" s="64" t="s">
        <v>493</v>
      </c>
      <c r="I195" s="94" t="s">
        <v>9</v>
      </c>
      <c r="J195" s="66"/>
      <c r="K195" s="67"/>
      <c r="L195" s="65"/>
      <c r="M195" s="65"/>
      <c r="N195" s="64" t="s">
        <v>494</v>
      </c>
      <c r="O195" s="68"/>
      <c r="P195" s="69">
        <v>24578195</v>
      </c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ht="18.75" hidden="1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ref="B196:B226" si="14">IF(C196&lt;&gt;"",ROW()-3,"")</f>
        <v>193</v>
      </c>
      <c r="C196" s="62" t="s">
        <v>80</v>
      </c>
      <c r="D196" s="67">
        <v>42788</v>
      </c>
      <c r="E196" s="192" t="s">
        <v>21</v>
      </c>
      <c r="F196" s="96" t="s">
        <v>128</v>
      </c>
      <c r="G196" s="96" t="s">
        <v>127</v>
      </c>
      <c r="H196" s="96" t="s">
        <v>126</v>
      </c>
      <c r="I196" s="94" t="s">
        <v>9</v>
      </c>
      <c r="J196" s="66"/>
      <c r="K196" s="67"/>
      <c r="L196" s="65"/>
      <c r="M196" s="65"/>
      <c r="N196" s="64" t="s">
        <v>160</v>
      </c>
      <c r="O196" s="68"/>
      <c r="P196" s="69">
        <v>22500000</v>
      </c>
      <c r="Q196" s="92"/>
      <c r="R196" s="202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ht="18.75" hidden="1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si="14"/>
        <v>194</v>
      </c>
      <c r="C197" s="62" t="s">
        <v>124</v>
      </c>
      <c r="D197" s="67">
        <v>42788</v>
      </c>
      <c r="E197" s="192" t="s">
        <v>22</v>
      </c>
      <c r="F197" s="96" t="s">
        <v>129</v>
      </c>
      <c r="G197" s="96" t="s">
        <v>130</v>
      </c>
      <c r="H197" s="96" t="s">
        <v>126</v>
      </c>
      <c r="I197" s="94" t="s">
        <v>9</v>
      </c>
      <c r="J197" s="66"/>
      <c r="K197" s="67"/>
      <c r="L197" s="65"/>
      <c r="M197" s="65"/>
      <c r="N197" s="96" t="s">
        <v>495</v>
      </c>
      <c r="O197" s="68"/>
      <c r="P197" s="69">
        <v>80000000</v>
      </c>
      <c r="Q197" s="92"/>
      <c r="R197" s="202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ht="18.75" hidden="1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>
        <f t="shared" si="14"/>
        <v>195</v>
      </c>
      <c r="C198" s="62" t="s">
        <v>141</v>
      </c>
      <c r="D198" s="67">
        <v>42793</v>
      </c>
      <c r="E198" s="192" t="s">
        <v>21</v>
      </c>
      <c r="F198" s="96" t="s">
        <v>128</v>
      </c>
      <c r="G198" s="96" t="s">
        <v>296</v>
      </c>
      <c r="H198" s="96" t="s">
        <v>126</v>
      </c>
      <c r="I198" s="94" t="s">
        <v>9</v>
      </c>
      <c r="J198" s="66"/>
      <c r="K198" s="67"/>
      <c r="L198" s="65"/>
      <c r="M198" s="65"/>
      <c r="N198" s="64" t="s">
        <v>166</v>
      </c>
      <c r="O198" s="68">
        <v>450000</v>
      </c>
      <c r="P198" s="69"/>
      <c r="Q198" s="92"/>
      <c r="R198" s="202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ht="18.75" hidden="1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124</v>
      </c>
      <c r="D199" s="67">
        <v>42793</v>
      </c>
      <c r="E199" s="192" t="s">
        <v>22</v>
      </c>
      <c r="F199" s="96" t="s">
        <v>128</v>
      </c>
      <c r="G199" s="96" t="s">
        <v>127</v>
      </c>
      <c r="H199" s="96" t="s">
        <v>126</v>
      </c>
      <c r="I199" s="94" t="s">
        <v>9</v>
      </c>
      <c r="J199" s="97"/>
      <c r="K199" s="67"/>
      <c r="L199" s="65"/>
      <c r="M199" s="65"/>
      <c r="N199" s="64" t="s">
        <v>125</v>
      </c>
      <c r="O199" s="68">
        <v>450000</v>
      </c>
      <c r="P199" s="69"/>
      <c r="Q199" s="92"/>
      <c r="R199" s="202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ht="18.75" hidden="1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124</v>
      </c>
      <c r="D200" s="67">
        <v>42793</v>
      </c>
      <c r="E200" s="192" t="s">
        <v>23</v>
      </c>
      <c r="F200" s="96" t="s">
        <v>129</v>
      </c>
      <c r="G200" s="96" t="s">
        <v>130</v>
      </c>
      <c r="H200" s="96" t="s">
        <v>126</v>
      </c>
      <c r="I200" s="94" t="s">
        <v>9</v>
      </c>
      <c r="J200" s="66"/>
      <c r="K200" s="67"/>
      <c r="L200" s="65"/>
      <c r="M200" s="65"/>
      <c r="N200" s="96" t="s">
        <v>495</v>
      </c>
      <c r="O200" s="68"/>
      <c r="P200" s="69">
        <v>5249911000</v>
      </c>
      <c r="Q200" s="92"/>
      <c r="R200" s="202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102</v>
      </c>
      <c r="D201" s="67">
        <v>42793</v>
      </c>
      <c r="E201" s="192" t="s">
        <v>24</v>
      </c>
      <c r="F201" s="64" t="s">
        <v>162</v>
      </c>
      <c r="G201" s="64" t="s">
        <v>198</v>
      </c>
      <c r="H201" s="64" t="s">
        <v>163</v>
      </c>
      <c r="I201" s="99" t="s">
        <v>156</v>
      </c>
      <c r="J201" s="66"/>
      <c r="K201" s="67"/>
      <c r="L201" s="65"/>
      <c r="M201" s="65"/>
      <c r="N201" s="104" t="s">
        <v>496</v>
      </c>
      <c r="O201" s="68"/>
      <c r="P201" s="69">
        <v>75820800</v>
      </c>
      <c r="Q201" s="92"/>
      <c r="R201" s="202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ht="18.75" hidden="1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124</v>
      </c>
      <c r="D202" s="67">
        <v>42793</v>
      </c>
      <c r="E202" s="192" t="s">
        <v>82</v>
      </c>
      <c r="F202" s="64" t="s">
        <v>34</v>
      </c>
      <c r="G202" s="64" t="s">
        <v>30</v>
      </c>
      <c r="H202" s="64" t="s">
        <v>31</v>
      </c>
      <c r="I202" s="65" t="s">
        <v>33</v>
      </c>
      <c r="J202" s="66"/>
      <c r="K202" s="67"/>
      <c r="L202" s="65"/>
      <c r="M202" s="65"/>
      <c r="N202" s="64" t="s">
        <v>497</v>
      </c>
      <c r="O202" s="68"/>
      <c r="P202" s="69">
        <f>20062790+10497850+14927330</f>
        <v>45487970</v>
      </c>
      <c r="Q202" s="92"/>
      <c r="R202" s="202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ht="18.75" hidden="1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141</v>
      </c>
      <c r="D203" s="67">
        <v>42807</v>
      </c>
      <c r="E203" s="192" t="s">
        <v>21</v>
      </c>
      <c r="F203" s="64" t="s">
        <v>173</v>
      </c>
      <c r="G203" s="71" t="s">
        <v>500</v>
      </c>
      <c r="H203" s="64" t="s">
        <v>175</v>
      </c>
      <c r="I203" s="94" t="s">
        <v>9</v>
      </c>
      <c r="J203" s="66"/>
      <c r="K203" s="67"/>
      <c r="L203" s="65"/>
      <c r="M203" s="65"/>
      <c r="N203" s="64" t="s">
        <v>499</v>
      </c>
      <c r="O203" s="68"/>
      <c r="P203" s="69">
        <v>5735000</v>
      </c>
      <c r="Q203" s="92"/>
      <c r="R203" s="202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ht="18.75" hidden="1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141</v>
      </c>
      <c r="D204" s="67">
        <v>42807</v>
      </c>
      <c r="E204" s="192" t="s">
        <v>22</v>
      </c>
      <c r="F204" s="64" t="s">
        <v>173</v>
      </c>
      <c r="G204" s="71" t="s">
        <v>176</v>
      </c>
      <c r="H204" s="64" t="s">
        <v>177</v>
      </c>
      <c r="I204" s="94" t="s">
        <v>9</v>
      </c>
      <c r="J204" s="66"/>
      <c r="K204" s="67"/>
      <c r="L204" s="65"/>
      <c r="M204" s="65"/>
      <c r="N204" s="64" t="s">
        <v>499</v>
      </c>
      <c r="O204" s="68"/>
      <c r="P204" s="69">
        <v>950000</v>
      </c>
      <c r="Q204" s="92"/>
      <c r="R204" s="202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ht="18.75" hidden="1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124</v>
      </c>
      <c r="D205" s="67">
        <v>42808</v>
      </c>
      <c r="E205" s="192" t="s">
        <v>21</v>
      </c>
      <c r="F205" s="64" t="s">
        <v>89</v>
      </c>
      <c r="G205" s="64" t="s">
        <v>90</v>
      </c>
      <c r="H205" s="64" t="s">
        <v>91</v>
      </c>
      <c r="I205" s="65" t="s">
        <v>33</v>
      </c>
      <c r="J205" s="66"/>
      <c r="K205" s="67"/>
      <c r="L205" s="65"/>
      <c r="M205" s="65"/>
      <c r="N205" s="64" t="s">
        <v>92</v>
      </c>
      <c r="O205" s="68"/>
      <c r="P205" s="69">
        <v>146107151</v>
      </c>
      <c r="Q205" s="92"/>
      <c r="R205" s="202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ht="18.75" hidden="1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124</v>
      </c>
      <c r="D206" s="67">
        <v>42808</v>
      </c>
      <c r="E206" s="192" t="s">
        <v>22</v>
      </c>
      <c r="F206" s="64" t="s">
        <v>361</v>
      </c>
      <c r="G206" s="64" t="s">
        <v>362</v>
      </c>
      <c r="H206" s="64" t="s">
        <v>363</v>
      </c>
      <c r="I206" s="62" t="s">
        <v>9</v>
      </c>
      <c r="J206" s="66"/>
      <c r="K206" s="67"/>
      <c r="L206" s="65"/>
      <c r="M206" s="65"/>
      <c r="N206" s="64" t="s">
        <v>364</v>
      </c>
      <c r="O206" s="68"/>
      <c r="P206" s="69">
        <v>35661417</v>
      </c>
      <c r="Q206" s="92"/>
      <c r="R206" s="202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ht="18.75" hidden="1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124</v>
      </c>
      <c r="D207" s="67">
        <v>42808</v>
      </c>
      <c r="E207" s="192" t="s">
        <v>23</v>
      </c>
      <c r="F207" s="64" t="s">
        <v>169</v>
      </c>
      <c r="G207" s="71" t="s">
        <v>170</v>
      </c>
      <c r="H207" s="64" t="s">
        <v>171</v>
      </c>
      <c r="I207" s="94" t="s">
        <v>9</v>
      </c>
      <c r="J207" s="66"/>
      <c r="K207" s="67"/>
      <c r="L207" s="65"/>
      <c r="M207" s="65"/>
      <c r="N207" s="64" t="s">
        <v>172</v>
      </c>
      <c r="O207" s="68"/>
      <c r="P207" s="69">
        <v>100000000</v>
      </c>
      <c r="Q207" s="92"/>
      <c r="R207" s="202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ht="18.75" hidden="1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124</v>
      </c>
      <c r="D208" s="67">
        <v>42808</v>
      </c>
      <c r="E208" s="192" t="s">
        <v>24</v>
      </c>
      <c r="F208" s="64" t="s">
        <v>93</v>
      </c>
      <c r="G208" s="71" t="s">
        <v>96</v>
      </c>
      <c r="H208" s="64" t="s">
        <v>94</v>
      </c>
      <c r="I208" s="62" t="s">
        <v>9</v>
      </c>
      <c r="J208" s="66"/>
      <c r="K208" s="67"/>
      <c r="L208" s="65"/>
      <c r="M208" s="65"/>
      <c r="N208" s="64" t="s">
        <v>95</v>
      </c>
      <c r="O208" s="68"/>
      <c r="P208" s="69">
        <v>40000000</v>
      </c>
      <c r="Q208" s="92"/>
      <c r="R208" s="202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ht="18.75" hidden="1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124</v>
      </c>
      <c r="D209" s="67">
        <v>42808</v>
      </c>
      <c r="E209" s="192" t="s">
        <v>82</v>
      </c>
      <c r="F209" s="64" t="s">
        <v>486</v>
      </c>
      <c r="G209" s="64" t="s">
        <v>487</v>
      </c>
      <c r="H209" s="64" t="s">
        <v>488</v>
      </c>
      <c r="I209" s="94" t="s">
        <v>9</v>
      </c>
      <c r="J209" s="66"/>
      <c r="K209" s="67"/>
      <c r="L209" s="65"/>
      <c r="M209" s="65"/>
      <c r="N209" s="64" t="s">
        <v>489</v>
      </c>
      <c r="O209" s="68"/>
      <c r="P209" s="69">
        <v>150000000</v>
      </c>
      <c r="Q209" s="92"/>
      <c r="R209" s="202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ht="18.75" hidden="1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124</v>
      </c>
      <c r="D210" s="67">
        <v>42808</v>
      </c>
      <c r="E210" s="192" t="s">
        <v>83</v>
      </c>
      <c r="F210" s="64" t="s">
        <v>501</v>
      </c>
      <c r="G210" s="64" t="s">
        <v>502</v>
      </c>
      <c r="H210" s="64" t="s">
        <v>503</v>
      </c>
      <c r="I210" s="94" t="s">
        <v>9</v>
      </c>
      <c r="J210" s="66"/>
      <c r="K210" s="67"/>
      <c r="L210" s="65"/>
      <c r="M210" s="65"/>
      <c r="N210" s="64" t="s">
        <v>504</v>
      </c>
      <c r="O210" s="68"/>
      <c r="P210" s="69">
        <v>21000000</v>
      </c>
      <c r="Q210" s="92"/>
      <c r="R210" s="202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ht="18.75" hidden="1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>x</v>
      </c>
      <c r="B211" s="62">
        <f t="shared" si="14"/>
        <v>208</v>
      </c>
      <c r="C211" s="62" t="s">
        <v>141</v>
      </c>
      <c r="D211" s="67">
        <v>42815</v>
      </c>
      <c r="E211" s="192" t="s">
        <v>21</v>
      </c>
      <c r="F211" s="64" t="s">
        <v>185</v>
      </c>
      <c r="G211" s="64" t="s">
        <v>191</v>
      </c>
      <c r="H211" s="64" t="s">
        <v>186</v>
      </c>
      <c r="I211" s="94" t="s">
        <v>9</v>
      </c>
      <c r="J211" s="66"/>
      <c r="K211" s="67"/>
      <c r="L211" s="65"/>
      <c r="M211" s="65"/>
      <c r="N211" s="64" t="s">
        <v>187</v>
      </c>
      <c r="O211" s="68"/>
      <c r="P211" s="69">
        <v>29375000</v>
      </c>
      <c r="Q211" s="92"/>
      <c r="R211" s="202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>p</v>
      </c>
    </row>
    <row r="212" spans="1:18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102</v>
      </c>
      <c r="D212" s="67">
        <v>42815</v>
      </c>
      <c r="E212" s="192" t="s">
        <v>22</v>
      </c>
      <c r="F212" s="64" t="s">
        <v>350</v>
      </c>
      <c r="G212" s="64" t="s">
        <v>351</v>
      </c>
      <c r="H212" s="64" t="s">
        <v>352</v>
      </c>
      <c r="I212" s="99" t="s">
        <v>156</v>
      </c>
      <c r="J212" s="66"/>
      <c r="K212" s="67"/>
      <c r="L212" s="65"/>
      <c r="M212" s="65"/>
      <c r="N212" s="64" t="s">
        <v>354</v>
      </c>
      <c r="O212" s="68"/>
      <c r="P212" s="69">
        <v>51000000</v>
      </c>
      <c r="Q212" s="92"/>
      <c r="R212" s="202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4"/>
        <v>210</v>
      </c>
      <c r="C213" s="62" t="s">
        <v>102</v>
      </c>
      <c r="D213" s="67">
        <v>42815</v>
      </c>
      <c r="E213" s="192" t="s">
        <v>23</v>
      </c>
      <c r="F213" s="64" t="s">
        <v>505</v>
      </c>
      <c r="G213" s="64" t="s">
        <v>506</v>
      </c>
      <c r="H213" s="64" t="s">
        <v>507</v>
      </c>
      <c r="I213" s="94" t="s">
        <v>9</v>
      </c>
      <c r="J213" s="66"/>
      <c r="K213" s="67"/>
      <c r="L213" s="65"/>
      <c r="M213" s="65"/>
      <c r="N213" s="64" t="s">
        <v>508</v>
      </c>
      <c r="O213" s="68"/>
      <c r="P213" s="69">
        <v>27115000</v>
      </c>
      <c r="Q213" s="92"/>
      <c r="R213" s="202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ht="18.75" hidden="1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v>211</v>
      </c>
      <c r="C214" s="62" t="s">
        <v>124</v>
      </c>
      <c r="D214" s="67">
        <v>42816</v>
      </c>
      <c r="E214" s="194" t="s">
        <v>167</v>
      </c>
      <c r="F214" s="96" t="s">
        <v>129</v>
      </c>
      <c r="G214" s="96" t="s">
        <v>130</v>
      </c>
      <c r="H214" s="96" t="s">
        <v>126</v>
      </c>
      <c r="I214" s="94" t="s">
        <v>9</v>
      </c>
      <c r="J214" s="66"/>
      <c r="K214" s="67"/>
      <c r="L214" s="65"/>
      <c r="M214" s="65"/>
      <c r="N214" s="64" t="s">
        <v>131</v>
      </c>
      <c r="O214" s="68"/>
      <c r="P214" s="69">
        <v>15000000</v>
      </c>
      <c r="Q214" s="92"/>
      <c r="R214" s="202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ht="18.75" hidden="1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>x1</v>
      </c>
      <c r="B215" s="62">
        <f t="shared" si="14"/>
        <v>212</v>
      </c>
      <c r="C215" s="62" t="s">
        <v>124</v>
      </c>
      <c r="D215" s="67">
        <v>42821</v>
      </c>
      <c r="E215" s="192" t="s">
        <v>21</v>
      </c>
      <c r="F215" s="96" t="s">
        <v>129</v>
      </c>
      <c r="G215" s="96" t="s">
        <v>130</v>
      </c>
      <c r="H215" s="96" t="s">
        <v>126</v>
      </c>
      <c r="I215" s="94" t="s">
        <v>9</v>
      </c>
      <c r="J215" s="66"/>
      <c r="K215" s="67"/>
      <c r="L215" s="65"/>
      <c r="M215" s="65"/>
      <c r="N215" s="64" t="s">
        <v>131</v>
      </c>
      <c r="O215" s="68"/>
      <c r="P215" s="69">
        <v>270000000</v>
      </c>
      <c r="Q215" s="92"/>
      <c r="R215" s="202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>e</v>
      </c>
    </row>
    <row r="216" spans="1:18" ht="18.75" hidden="1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 t="str">
        <f t="shared" si="14"/>
        <v/>
      </c>
      <c r="C216" s="62"/>
      <c r="D216" s="67"/>
      <c r="E216" s="65"/>
      <c r="F216" s="64"/>
      <c r="G216" s="64"/>
      <c r="H216" s="64"/>
      <c r="I216" s="65"/>
      <c r="J216" s="66"/>
      <c r="K216" s="67"/>
      <c r="L216" s="65"/>
      <c r="M216" s="65"/>
      <c r="N216" s="64"/>
      <c r="O216" s="68"/>
      <c r="P216" s="69"/>
      <c r="Q216" s="92"/>
      <c r="R216" s="202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ht="18.75" hidden="1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 t="str">
        <f t="shared" si="14"/>
        <v/>
      </c>
      <c r="C217" s="62"/>
      <c r="D217" s="67"/>
      <c r="E217" s="65"/>
      <c r="F217" s="64"/>
      <c r="G217" s="64"/>
      <c r="H217" s="64"/>
      <c r="I217" s="65"/>
      <c r="J217" s="66"/>
      <c r="K217" s="67"/>
      <c r="L217" s="65"/>
      <c r="M217" s="65"/>
      <c r="N217" s="64"/>
      <c r="O217" s="68"/>
      <c r="P217" s="69"/>
      <c r="Q217" s="92"/>
      <c r="R217" s="202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ht="18.75" hidden="1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 t="str">
        <f t="shared" si="14"/>
        <v/>
      </c>
      <c r="C218" s="62"/>
      <c r="D218" s="67"/>
      <c r="E218" s="65"/>
      <c r="F218" s="64"/>
      <c r="G218" s="64"/>
      <c r="H218" s="64"/>
      <c r="I218" s="65"/>
      <c r="J218" s="66"/>
      <c r="K218" s="67"/>
      <c r="L218" s="65"/>
      <c r="M218" s="65"/>
      <c r="N218" s="64"/>
      <c r="O218" s="68"/>
      <c r="P218" s="69"/>
      <c r="Q218" s="92"/>
      <c r="R218" s="202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ht="18.75" hidden="1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 t="str">
        <f t="shared" si="14"/>
        <v/>
      </c>
      <c r="C219" s="62"/>
      <c r="D219" s="67"/>
      <c r="E219" s="65"/>
      <c r="F219" s="64"/>
      <c r="G219" s="64"/>
      <c r="H219" s="64"/>
      <c r="I219" s="65"/>
      <c r="J219" s="66"/>
      <c r="K219" s="67"/>
      <c r="L219" s="65"/>
      <c r="M219" s="65"/>
      <c r="N219" s="64"/>
      <c r="O219" s="68"/>
      <c r="P219" s="69"/>
      <c r="Q219" s="92"/>
      <c r="R219" s="202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ht="18.75" hidden="1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 t="str">
        <f t="shared" si="14"/>
        <v/>
      </c>
      <c r="C220" s="62"/>
      <c r="D220" s="67"/>
      <c r="E220" s="65"/>
      <c r="F220" s="64"/>
      <c r="G220" s="64"/>
      <c r="H220" s="64"/>
      <c r="I220" s="65"/>
      <c r="J220" s="66"/>
      <c r="K220" s="67"/>
      <c r="L220" s="65"/>
      <c r="M220" s="65"/>
      <c r="N220" s="64"/>
      <c r="O220" s="68"/>
      <c r="P220" s="69"/>
      <c r="Q220" s="92"/>
      <c r="R220" s="202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ht="18.75" hidden="1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 t="str">
        <f t="shared" si="14"/>
        <v/>
      </c>
      <c r="C221" s="62"/>
      <c r="D221" s="67"/>
      <c r="E221" s="65"/>
      <c r="F221" s="64"/>
      <c r="G221" s="64"/>
      <c r="H221" s="64"/>
      <c r="I221" s="65"/>
      <c r="J221" s="66"/>
      <c r="K221" s="67"/>
      <c r="L221" s="65"/>
      <c r="M221" s="65"/>
      <c r="N221" s="64"/>
      <c r="O221" s="68"/>
      <c r="P221" s="69"/>
      <c r="Q221" s="92"/>
      <c r="R221" s="202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ht="18.75" hidden="1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 t="str">
        <f t="shared" si="14"/>
        <v/>
      </c>
      <c r="C222" s="62"/>
      <c r="D222" s="67"/>
      <c r="E222" s="65"/>
      <c r="F222" s="64"/>
      <c r="G222" s="64"/>
      <c r="H222" s="64"/>
      <c r="I222" s="65"/>
      <c r="J222" s="66"/>
      <c r="K222" s="67"/>
      <c r="L222" s="65"/>
      <c r="M222" s="65"/>
      <c r="N222" s="64"/>
      <c r="O222" s="68"/>
      <c r="P222" s="69"/>
      <c r="Q222" s="92"/>
      <c r="R222" s="202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ht="18.75" hidden="1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 t="str">
        <f t="shared" si="14"/>
        <v/>
      </c>
      <c r="C223" s="62"/>
      <c r="D223" s="67"/>
      <c r="E223" s="65"/>
      <c r="F223" s="64"/>
      <c r="G223" s="64"/>
      <c r="H223" s="64"/>
      <c r="I223" s="65"/>
      <c r="J223" s="66"/>
      <c r="K223" s="67"/>
      <c r="L223" s="65"/>
      <c r="M223" s="65"/>
      <c r="N223" s="64"/>
      <c r="O223" s="68"/>
      <c r="P223" s="69"/>
      <c r="Q223" s="92"/>
      <c r="R223" s="202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ht="18.75" hidden="1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 t="str">
        <f t="shared" si="14"/>
        <v/>
      </c>
      <c r="C224" s="62"/>
      <c r="D224" s="67"/>
      <c r="E224" s="65"/>
      <c r="F224" s="64"/>
      <c r="G224" s="64"/>
      <c r="H224" s="64"/>
      <c r="I224" s="65"/>
      <c r="J224" s="66"/>
      <c r="K224" s="67"/>
      <c r="L224" s="65"/>
      <c r="M224" s="65"/>
      <c r="N224" s="64"/>
      <c r="O224" s="68"/>
      <c r="P224" s="69"/>
      <c r="Q224" s="92"/>
      <c r="R224" s="202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ht="18.75" hidden="1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 t="str">
        <f t="shared" si="14"/>
        <v/>
      </c>
      <c r="C225" s="62"/>
      <c r="D225" s="67"/>
      <c r="E225" s="65"/>
      <c r="F225" s="64"/>
      <c r="G225" s="64"/>
      <c r="H225" s="64"/>
      <c r="I225" s="65"/>
      <c r="J225" s="66"/>
      <c r="K225" s="67"/>
      <c r="L225" s="65"/>
      <c r="M225" s="65"/>
      <c r="N225" s="64"/>
      <c r="O225" s="68"/>
      <c r="P225" s="69"/>
      <c r="Q225" s="92"/>
      <c r="R225" s="202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ht="18.75" hidden="1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 t="str">
        <f t="shared" si="14"/>
        <v/>
      </c>
      <c r="C226" s="62"/>
      <c r="D226" s="67"/>
      <c r="E226" s="65"/>
      <c r="F226" s="64"/>
      <c r="G226" s="64"/>
      <c r="H226" s="64"/>
      <c r="I226" s="65"/>
      <c r="J226" s="66"/>
      <c r="K226" s="67"/>
      <c r="L226" s="65"/>
      <c r="M226" s="65"/>
      <c r="N226" s="64"/>
      <c r="O226" s="68"/>
      <c r="P226" s="69"/>
      <c r="Q226" s="92"/>
      <c r="R226" s="202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ht="18.75" hidden="1" customHeight="1"/>
  </sheetData>
  <autoFilter ref="B3:X227">
    <filterColumn colId="1">
      <filters>
        <filter val="EIB-TV"/>
      </filters>
    </filterColumn>
  </autoFilter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2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42821</v>
      </c>
      <c r="U2" s="11"/>
      <c r="V2" s="12" t="s">
        <v>21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1402 148 5100 7445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Eximbank - CN Q4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TPHCM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Hai trăm bảy mươi triệu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40" t="s">
        <v>61</v>
      </c>
      <c r="O20" s="240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41" t="s">
        <v>62</v>
      </c>
      <c r="O21" s="241"/>
      <c r="P21" s="32"/>
    </row>
    <row r="22" spans="1:16">
      <c r="A22" s="18"/>
      <c r="B22" s="18"/>
      <c r="M22" s="31"/>
      <c r="N22" s="50">
        <f>IF($R$2="VNĐ",VLOOKUP("X1",DS,16,0),VLOOKUP("X1",DS,15,0))</f>
        <v>270000000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Ứng vốn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D14" sqref="D14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7.285156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18.75" customHeight="1" thickBot="1">
      <c r="O2" s="13" t="s">
        <v>27</v>
      </c>
      <c r="Q2" s="10">
        <v>42815</v>
      </c>
      <c r="R2" s="11"/>
      <c r="S2" s="12" t="s">
        <v>21</v>
      </c>
    </row>
    <row r="6" spans="1:19" ht="21" customHeight="1">
      <c r="G6" s="1" t="s">
        <v>2</v>
      </c>
    </row>
    <row r="7" spans="1:19" ht="17.25" customHeight="1">
      <c r="E7" s="2" t="str">
        <f>IF($O$2="USD"," 1    0    1    0    0   0    2    6    8    6    1    4"," 1    0    7    0    0   0   2    6    8    6    1    5")</f>
        <v xml:space="preserve"> 1    0    7    0    0   0   2    6    8    6    1    5</v>
      </c>
      <c r="L7" s="7" t="s">
        <v>7</v>
      </c>
    </row>
    <row r="8" spans="1:19" ht="21" customHeight="1">
      <c r="F8" s="242">
        <f>IF($O$2="VNĐ",VLOOKUP("X",DS,16,0),VLOOKUP("X",DS,15,0))</f>
        <v>29375000</v>
      </c>
      <c r="G8" s="242"/>
      <c r="K8" s="7" t="str">
        <f>IF(O2="vnđ","x","")</f>
        <v>x</v>
      </c>
      <c r="L8" s="7" t="str">
        <f>IF(O2="usd","x","")</f>
        <v/>
      </c>
    </row>
    <row r="9" spans="1:19" ht="16.5" customHeight="1">
      <c r="F9" s="7" t="e">
        <f ca="1">[2]!VND(F8,FALSE)&amp;IF($O$2="USD"," đô la mỹ."," đồng.")</f>
        <v>#NAME?</v>
      </c>
    </row>
    <row r="10" spans="1:19" ht="15" customHeight="1">
      <c r="G10" s="1" t="s">
        <v>3</v>
      </c>
    </row>
    <row r="11" spans="1:19" ht="17.25" customHeight="1">
      <c r="F11" s="7" t="str">
        <f>VLOOKUP("X",DS,14,0)</f>
        <v>Thanh toán tiền chlorine dioxide - Hải Trung Anh</v>
      </c>
    </row>
    <row r="13" spans="1:19" ht="21" customHeight="1">
      <c r="F13" s="203" t="str">
        <f>VLOOKUP("X",DS,6,0)</f>
        <v>CTY TNHH THƯƠNG MẠI DỊCH VỤ HẢI TRUNG ANH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1403 148 5101 7230</v>
      </c>
    </row>
    <row r="17" spans="5:5" ht="15.75" customHeight="1">
      <c r="E17" s="7" t="str">
        <f>VLOOKUP("X",DS,8,0)&amp;", "&amp;VLOOKUP("X",DS,9,0)</f>
        <v>EXIMBANK - CN Quận 7,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42" t="e">
        <f>VLOOKUP("X2",DS,16,0)</f>
        <v>#N/A</v>
      </c>
      <c r="F8" s="242"/>
      <c r="G8" s="5"/>
      <c r="L8" s="1" t="s">
        <v>3</v>
      </c>
    </row>
    <row r="9" spans="5:18" ht="17.25" customHeight="1">
      <c r="F9" s="1" t="e">
        <f ca="1">[2]!VND(E8,TRUE)</f>
        <v>#NAME?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46" t="e">
        <f>VLOOKUP("X3",DS,11,0)</f>
        <v>#N/A</v>
      </c>
      <c r="M17" s="246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e">
        <f ca="1">[2]!VND(O23,TRUE)</f>
        <v>#NAME?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43" t="s">
        <v>61</v>
      </c>
      <c r="O21" s="244"/>
      <c r="P21" s="244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45" t="s">
        <v>62</v>
      </c>
      <c r="O22" s="241"/>
      <c r="P22" s="241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09" customWidth="1"/>
    <col min="2" max="2" width="2.42578125" style="209" customWidth="1"/>
    <col min="3" max="3" width="48.28515625" style="209" customWidth="1"/>
    <col min="4" max="4" width="0.85546875" style="209" hidden="1" customWidth="1"/>
    <col min="5" max="5" width="48.28515625" style="209" customWidth="1"/>
    <col min="6" max="6" width="2.42578125" style="209" customWidth="1"/>
    <col min="7" max="7" width="50.7109375" style="209" customWidth="1"/>
    <col min="8" max="8" width="48.28515625" style="209" customWidth="1"/>
    <col min="9" max="9" width="2.42578125" style="209" customWidth="1"/>
    <col min="10" max="10" width="50.7109375" style="209" customWidth="1"/>
    <col min="11" max="16384" width="9.140625" style="209"/>
  </cols>
  <sheetData>
    <row r="1" spans="1:10" ht="21" customHeight="1">
      <c r="A1" s="208" t="s">
        <v>128</v>
      </c>
      <c r="C1" s="210" t="s">
        <v>430</v>
      </c>
      <c r="E1" s="208" t="s">
        <v>432</v>
      </c>
      <c r="G1" s="208" t="s">
        <v>128</v>
      </c>
      <c r="H1" s="208" t="s">
        <v>439</v>
      </c>
      <c r="J1" s="208" t="s">
        <v>128</v>
      </c>
    </row>
    <row r="2" spans="1:10" ht="17.25" customHeight="1">
      <c r="A2" s="247" t="s">
        <v>435</v>
      </c>
      <c r="C2" s="247" t="s">
        <v>431</v>
      </c>
      <c r="E2" s="212" t="s">
        <v>433</v>
      </c>
      <c r="G2" s="247" t="s">
        <v>435</v>
      </c>
      <c r="H2" s="212" t="s">
        <v>440</v>
      </c>
      <c r="J2" s="247" t="s">
        <v>435</v>
      </c>
    </row>
    <row r="3" spans="1:10" ht="17.25" customHeight="1">
      <c r="A3" s="247"/>
      <c r="C3" s="247"/>
      <c r="E3" s="212" t="s">
        <v>438</v>
      </c>
      <c r="G3" s="247"/>
      <c r="H3" s="212" t="s">
        <v>441</v>
      </c>
      <c r="J3" s="247"/>
    </row>
    <row r="4" spans="1:10" ht="18.75" customHeight="1" thickBot="1">
      <c r="A4" s="211" t="s">
        <v>437</v>
      </c>
      <c r="C4" s="211" t="s">
        <v>436</v>
      </c>
      <c r="E4" s="211" t="s">
        <v>434</v>
      </c>
      <c r="G4" s="211" t="s">
        <v>437</v>
      </c>
      <c r="H4" s="211" t="s">
        <v>442</v>
      </c>
      <c r="J4" s="211" t="s">
        <v>437</v>
      </c>
    </row>
    <row r="5" spans="1:10" ht="11.25" customHeight="1" thickBot="1"/>
    <row r="6" spans="1:10" ht="21" customHeight="1">
      <c r="A6" s="208" t="s">
        <v>128</v>
      </c>
      <c r="C6" s="210" t="s">
        <v>430</v>
      </c>
      <c r="E6" s="208" t="s">
        <v>432</v>
      </c>
      <c r="G6" s="208" t="s">
        <v>128</v>
      </c>
      <c r="H6" s="208" t="s">
        <v>439</v>
      </c>
      <c r="J6" s="208" t="s">
        <v>128</v>
      </c>
    </row>
    <row r="7" spans="1:10" ht="18.75" customHeight="1">
      <c r="A7" s="247" t="s">
        <v>435</v>
      </c>
      <c r="C7" s="247" t="s">
        <v>431</v>
      </c>
      <c r="E7" s="212" t="s">
        <v>433</v>
      </c>
      <c r="G7" s="247" t="s">
        <v>435</v>
      </c>
      <c r="H7" s="212" t="s">
        <v>440</v>
      </c>
      <c r="J7" s="247" t="s">
        <v>435</v>
      </c>
    </row>
    <row r="8" spans="1:10" ht="18.75" customHeight="1">
      <c r="A8" s="247"/>
      <c r="C8" s="247"/>
      <c r="E8" s="212" t="s">
        <v>438</v>
      </c>
      <c r="G8" s="247"/>
      <c r="H8" s="212" t="s">
        <v>441</v>
      </c>
      <c r="J8" s="247"/>
    </row>
    <row r="9" spans="1:10" ht="18.75" customHeight="1" thickBot="1">
      <c r="A9" s="211" t="s">
        <v>437</v>
      </c>
      <c r="C9" s="211" t="s">
        <v>436</v>
      </c>
      <c r="E9" s="211" t="s">
        <v>434</v>
      </c>
      <c r="G9" s="211" t="s">
        <v>437</v>
      </c>
      <c r="H9" s="211" t="s">
        <v>442</v>
      </c>
      <c r="J9" s="211" t="s">
        <v>437</v>
      </c>
    </row>
    <row r="10" spans="1:10" ht="11.25" customHeight="1" thickBot="1"/>
    <row r="11" spans="1:10" ht="21" customHeight="1">
      <c r="A11" s="208" t="s">
        <v>128</v>
      </c>
      <c r="C11" s="210" t="s">
        <v>430</v>
      </c>
      <c r="E11" s="208" t="s">
        <v>432</v>
      </c>
      <c r="G11" s="208" t="s">
        <v>128</v>
      </c>
      <c r="H11" s="208" t="s">
        <v>439</v>
      </c>
      <c r="J11" s="208" t="s">
        <v>128</v>
      </c>
    </row>
    <row r="12" spans="1:10" ht="18.75" customHeight="1">
      <c r="A12" s="247" t="s">
        <v>435</v>
      </c>
      <c r="C12" s="247" t="s">
        <v>431</v>
      </c>
      <c r="E12" s="212" t="s">
        <v>433</v>
      </c>
      <c r="G12" s="247" t="s">
        <v>435</v>
      </c>
      <c r="H12" s="212" t="s">
        <v>440</v>
      </c>
      <c r="J12" s="247" t="s">
        <v>435</v>
      </c>
    </row>
    <row r="13" spans="1:10" ht="18.75" customHeight="1">
      <c r="A13" s="247"/>
      <c r="C13" s="247"/>
      <c r="E13" s="212" t="s">
        <v>438</v>
      </c>
      <c r="G13" s="247"/>
      <c r="H13" s="212" t="s">
        <v>441</v>
      </c>
      <c r="J13" s="247"/>
    </row>
    <row r="14" spans="1:10" ht="18.75" customHeight="1" thickBot="1">
      <c r="A14" s="211" t="s">
        <v>437</v>
      </c>
      <c r="C14" s="211" t="s">
        <v>436</v>
      </c>
      <c r="E14" s="211" t="s">
        <v>434</v>
      </c>
      <c r="G14" s="211" t="s">
        <v>437</v>
      </c>
      <c r="H14" s="211" t="s">
        <v>442</v>
      </c>
      <c r="J14" s="211" t="s">
        <v>437</v>
      </c>
    </row>
    <row r="15" spans="1:10" ht="11.25" customHeight="1" thickBot="1"/>
    <row r="16" spans="1:10" ht="21" customHeight="1">
      <c r="A16" s="208" t="s">
        <v>128</v>
      </c>
      <c r="C16" s="210" t="s">
        <v>430</v>
      </c>
      <c r="E16" s="208" t="s">
        <v>432</v>
      </c>
      <c r="G16" s="208" t="s">
        <v>128</v>
      </c>
      <c r="H16" s="208" t="s">
        <v>439</v>
      </c>
      <c r="J16" s="208" t="s">
        <v>128</v>
      </c>
    </row>
    <row r="17" spans="1:10" ht="18.75" customHeight="1">
      <c r="A17" s="247" t="s">
        <v>435</v>
      </c>
      <c r="C17" s="247" t="s">
        <v>431</v>
      </c>
      <c r="E17" s="212" t="s">
        <v>433</v>
      </c>
      <c r="G17" s="247" t="s">
        <v>435</v>
      </c>
      <c r="H17" s="212" t="s">
        <v>440</v>
      </c>
      <c r="J17" s="247" t="s">
        <v>435</v>
      </c>
    </row>
    <row r="18" spans="1:10" ht="18.75" customHeight="1">
      <c r="A18" s="247"/>
      <c r="C18" s="247"/>
      <c r="E18" s="212" t="s">
        <v>438</v>
      </c>
      <c r="G18" s="247"/>
      <c r="H18" s="212" t="s">
        <v>441</v>
      </c>
      <c r="J18" s="247"/>
    </row>
    <row r="19" spans="1:10" ht="18.75" customHeight="1" thickBot="1">
      <c r="A19" s="211" t="s">
        <v>437</v>
      </c>
      <c r="C19" s="211" t="s">
        <v>436</v>
      </c>
      <c r="E19" s="211" t="s">
        <v>434</v>
      </c>
      <c r="G19" s="211" t="s">
        <v>437</v>
      </c>
      <c r="H19" s="211" t="s">
        <v>442</v>
      </c>
      <c r="J19" s="211" t="s">
        <v>437</v>
      </c>
    </row>
    <row r="20" spans="1:10" ht="11.25" customHeight="1" thickBot="1"/>
    <row r="21" spans="1:10" ht="21" customHeight="1">
      <c r="A21" s="208" t="s">
        <v>128</v>
      </c>
      <c r="C21" s="210" t="s">
        <v>430</v>
      </c>
      <c r="E21" s="208" t="s">
        <v>432</v>
      </c>
      <c r="G21" s="208" t="s">
        <v>128</v>
      </c>
      <c r="H21" s="208" t="s">
        <v>439</v>
      </c>
      <c r="J21" s="208" t="s">
        <v>128</v>
      </c>
    </row>
    <row r="22" spans="1:10" ht="18.75" customHeight="1">
      <c r="A22" s="247" t="s">
        <v>435</v>
      </c>
      <c r="C22" s="247" t="s">
        <v>431</v>
      </c>
      <c r="E22" s="212" t="s">
        <v>433</v>
      </c>
      <c r="G22" s="247" t="s">
        <v>435</v>
      </c>
      <c r="H22" s="212" t="s">
        <v>440</v>
      </c>
      <c r="J22" s="247" t="s">
        <v>435</v>
      </c>
    </row>
    <row r="23" spans="1:10" ht="18.75" customHeight="1">
      <c r="A23" s="247"/>
      <c r="C23" s="247"/>
      <c r="E23" s="212" t="s">
        <v>438</v>
      </c>
      <c r="G23" s="247"/>
      <c r="H23" s="212" t="s">
        <v>441</v>
      </c>
      <c r="J23" s="247"/>
    </row>
    <row r="24" spans="1:10" ht="18.75" customHeight="1" thickBot="1">
      <c r="A24" s="211" t="s">
        <v>437</v>
      </c>
      <c r="C24" s="211" t="s">
        <v>436</v>
      </c>
      <c r="E24" s="211" t="s">
        <v>434</v>
      </c>
      <c r="G24" s="211" t="s">
        <v>437</v>
      </c>
      <c r="H24" s="211" t="s">
        <v>442</v>
      </c>
      <c r="J24" s="211" t="s">
        <v>437</v>
      </c>
    </row>
    <row r="25" spans="1:10" ht="11.25" customHeight="1" thickBot="1"/>
    <row r="26" spans="1:10" ht="21" customHeight="1">
      <c r="A26" s="208" t="s">
        <v>128</v>
      </c>
      <c r="C26" s="210" t="s">
        <v>430</v>
      </c>
      <c r="E26" s="208" t="s">
        <v>432</v>
      </c>
      <c r="G26" s="208" t="s">
        <v>128</v>
      </c>
      <c r="H26" s="208" t="s">
        <v>439</v>
      </c>
      <c r="J26" s="208" t="s">
        <v>128</v>
      </c>
    </row>
    <row r="27" spans="1:10" ht="18.75" customHeight="1">
      <c r="A27" s="247" t="s">
        <v>435</v>
      </c>
      <c r="C27" s="247" t="s">
        <v>431</v>
      </c>
      <c r="E27" s="212" t="s">
        <v>433</v>
      </c>
      <c r="G27" s="247" t="s">
        <v>435</v>
      </c>
      <c r="H27" s="212" t="s">
        <v>440</v>
      </c>
      <c r="J27" s="247" t="s">
        <v>435</v>
      </c>
    </row>
    <row r="28" spans="1:10" ht="18.75" customHeight="1">
      <c r="A28" s="247"/>
      <c r="C28" s="247"/>
      <c r="E28" s="212" t="s">
        <v>438</v>
      </c>
      <c r="G28" s="247"/>
      <c r="H28" s="212" t="s">
        <v>441</v>
      </c>
      <c r="J28" s="247"/>
    </row>
    <row r="29" spans="1:10" ht="17.25" customHeight="1" thickBot="1">
      <c r="A29" s="211" t="s">
        <v>437</v>
      </c>
      <c r="C29" s="211" t="s">
        <v>436</v>
      </c>
      <c r="E29" s="211" t="s">
        <v>434</v>
      </c>
      <c r="G29" s="211" t="s">
        <v>437</v>
      </c>
      <c r="H29" s="211" t="s">
        <v>442</v>
      </c>
      <c r="J29" s="211" t="s">
        <v>437</v>
      </c>
    </row>
    <row r="30" spans="1:10" ht="11.25" customHeight="1" thickBot="1"/>
    <row r="31" spans="1:10" ht="21" customHeight="1">
      <c r="A31" s="208" t="s">
        <v>128</v>
      </c>
      <c r="C31" s="210" t="s">
        <v>430</v>
      </c>
      <c r="E31" s="208" t="s">
        <v>432</v>
      </c>
      <c r="G31" s="208" t="s">
        <v>128</v>
      </c>
      <c r="H31" s="208" t="s">
        <v>439</v>
      </c>
      <c r="J31" s="208" t="s">
        <v>128</v>
      </c>
    </row>
    <row r="32" spans="1:10" ht="18.75" customHeight="1">
      <c r="A32" s="247" t="s">
        <v>435</v>
      </c>
      <c r="C32" s="247" t="s">
        <v>431</v>
      </c>
      <c r="E32" s="212" t="s">
        <v>433</v>
      </c>
      <c r="G32" s="247" t="s">
        <v>435</v>
      </c>
      <c r="H32" s="212" t="s">
        <v>440</v>
      </c>
      <c r="J32" s="247" t="s">
        <v>435</v>
      </c>
    </row>
    <row r="33" spans="1:10" ht="18.75" customHeight="1">
      <c r="A33" s="247"/>
      <c r="C33" s="247"/>
      <c r="E33" s="212" t="s">
        <v>438</v>
      </c>
      <c r="G33" s="247"/>
      <c r="H33" s="212" t="s">
        <v>441</v>
      </c>
      <c r="J33" s="247"/>
    </row>
    <row r="34" spans="1:10" ht="18.75" customHeight="1" thickBot="1">
      <c r="A34" s="211" t="s">
        <v>437</v>
      </c>
      <c r="C34" s="211" t="s">
        <v>436</v>
      </c>
      <c r="E34" s="211" t="s">
        <v>434</v>
      </c>
      <c r="G34" s="211" t="s">
        <v>437</v>
      </c>
      <c r="H34" s="211" t="s">
        <v>442</v>
      </c>
      <c r="J34" s="211" t="s">
        <v>437</v>
      </c>
    </row>
    <row r="35" spans="1:10" ht="13.5" thickBot="1"/>
    <row r="36" spans="1:10" ht="21" customHeight="1">
      <c r="A36" s="208" t="s">
        <v>128</v>
      </c>
      <c r="C36" s="210" t="s">
        <v>430</v>
      </c>
      <c r="E36" s="208" t="s">
        <v>432</v>
      </c>
      <c r="G36" s="208" t="s">
        <v>128</v>
      </c>
      <c r="H36" s="208" t="s">
        <v>439</v>
      </c>
      <c r="J36" s="208" t="s">
        <v>128</v>
      </c>
    </row>
    <row r="37" spans="1:10" ht="18.75" customHeight="1">
      <c r="A37" s="247" t="s">
        <v>435</v>
      </c>
      <c r="C37" s="247" t="s">
        <v>431</v>
      </c>
      <c r="E37" s="212" t="s">
        <v>433</v>
      </c>
      <c r="G37" s="247" t="s">
        <v>435</v>
      </c>
      <c r="H37" s="212" t="s">
        <v>440</v>
      </c>
      <c r="J37" s="247" t="s">
        <v>435</v>
      </c>
    </row>
    <row r="38" spans="1:10" ht="18.75" customHeight="1">
      <c r="A38" s="247"/>
      <c r="C38" s="247"/>
      <c r="E38" s="212" t="s">
        <v>438</v>
      </c>
      <c r="G38" s="247"/>
      <c r="H38" s="212" t="s">
        <v>441</v>
      </c>
      <c r="J38" s="247"/>
    </row>
    <row r="39" spans="1:10" ht="17.25" customHeight="1" thickBot="1">
      <c r="A39" s="211" t="s">
        <v>437</v>
      </c>
      <c r="C39" s="211" t="s">
        <v>436</v>
      </c>
      <c r="E39" s="211" t="s">
        <v>434</v>
      </c>
      <c r="G39" s="211" t="s">
        <v>437</v>
      </c>
      <c r="H39" s="211" t="s">
        <v>442</v>
      </c>
      <c r="J39" s="211" t="s">
        <v>437</v>
      </c>
    </row>
    <row r="40" spans="1:10" ht="11.25" customHeight="1" thickBot="1"/>
    <row r="41" spans="1:10" ht="21" customHeight="1">
      <c r="A41" s="208" t="s">
        <v>128</v>
      </c>
      <c r="C41" s="210" t="s">
        <v>430</v>
      </c>
      <c r="E41" s="208" t="s">
        <v>432</v>
      </c>
      <c r="G41" s="208" t="s">
        <v>128</v>
      </c>
      <c r="H41" s="208" t="s">
        <v>439</v>
      </c>
      <c r="J41" s="208" t="s">
        <v>128</v>
      </c>
    </row>
    <row r="42" spans="1:10" ht="18.75" customHeight="1">
      <c r="A42" s="247" t="s">
        <v>435</v>
      </c>
      <c r="C42" s="247" t="s">
        <v>431</v>
      </c>
      <c r="E42" s="212" t="s">
        <v>433</v>
      </c>
      <c r="G42" s="247" t="s">
        <v>435</v>
      </c>
      <c r="H42" s="212" t="s">
        <v>440</v>
      </c>
      <c r="J42" s="247" t="s">
        <v>435</v>
      </c>
    </row>
    <row r="43" spans="1:10" ht="18.75" customHeight="1">
      <c r="A43" s="247"/>
      <c r="C43" s="247"/>
      <c r="E43" s="212" t="s">
        <v>438</v>
      </c>
      <c r="G43" s="247"/>
      <c r="H43" s="212" t="s">
        <v>441</v>
      </c>
      <c r="J43" s="247"/>
    </row>
    <row r="44" spans="1:10" ht="18.75" customHeight="1" thickBot="1">
      <c r="A44" s="211" t="s">
        <v>437</v>
      </c>
      <c r="C44" s="211" t="s">
        <v>436</v>
      </c>
      <c r="E44" s="211" t="s">
        <v>434</v>
      </c>
      <c r="G44" s="211" t="s">
        <v>437</v>
      </c>
      <c r="H44" s="211" t="s">
        <v>442</v>
      </c>
      <c r="J44" s="211" t="s">
        <v>437</v>
      </c>
    </row>
  </sheetData>
  <mergeCells count="36">
    <mergeCell ref="J27:J28"/>
    <mergeCell ref="J32:J33"/>
    <mergeCell ref="J37:J38"/>
    <mergeCell ref="J42:J43"/>
    <mergeCell ref="J2:J3"/>
    <mergeCell ref="J7:J8"/>
    <mergeCell ref="J12:J13"/>
    <mergeCell ref="J17:J18"/>
    <mergeCell ref="J22:J23"/>
    <mergeCell ref="A37:A38"/>
    <mergeCell ref="C37:C38"/>
    <mergeCell ref="G37:G38"/>
    <mergeCell ref="A42:A43"/>
    <mergeCell ref="C42:C43"/>
    <mergeCell ref="G42:G4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C2:C3"/>
    <mergeCell ref="A7:A8"/>
    <mergeCell ref="C7:C8"/>
    <mergeCell ref="A12:A13"/>
    <mergeCell ref="C12:C1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7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174" customWidth="1"/>
    <col min="2" max="2" width="16.140625" style="175" customWidth="1"/>
    <col min="3" max="4" width="8.28515625" style="176" customWidth="1"/>
    <col min="5" max="5" width="12.7109375" style="177" customWidth="1"/>
    <col min="6" max="6" width="11" style="181" customWidth="1"/>
    <col min="7" max="7" width="8" style="177" hidden="1" customWidth="1"/>
    <col min="8" max="8" width="7.5703125" style="229" customWidth="1"/>
    <col min="9" max="9" width="11" style="177" customWidth="1"/>
    <col min="10" max="10" width="10" style="177" hidden="1" customWidth="1"/>
    <col min="11" max="11" width="13.140625" style="177" customWidth="1"/>
    <col min="12" max="12" width="11" style="181" customWidth="1"/>
    <col min="13" max="13" width="10.7109375" style="177" customWidth="1"/>
    <col min="14" max="14" width="7.28515625" style="177" customWidth="1"/>
    <col min="15" max="15" width="8.140625" style="175" customWidth="1"/>
    <col min="16" max="16" width="8" style="174" customWidth="1"/>
    <col min="17" max="17" width="6.28515625" style="174" customWidth="1"/>
    <col min="18" max="18" width="16.28515625" style="174" customWidth="1"/>
    <col min="19" max="19" width="15.85546875" style="175" customWidth="1"/>
    <col min="20" max="16384" width="9.140625" style="175"/>
  </cols>
  <sheetData>
    <row r="1" spans="1:19" s="121" customFormat="1" ht="17.25" customHeight="1">
      <c r="A1" s="111"/>
      <c r="B1" s="230" t="s">
        <v>447</v>
      </c>
      <c r="C1" s="113"/>
      <c r="D1" s="114"/>
      <c r="E1" s="115"/>
      <c r="F1" s="116"/>
      <c r="G1" s="115"/>
      <c r="H1" s="215"/>
      <c r="I1" s="115"/>
      <c r="J1" s="115"/>
      <c r="K1" s="115"/>
      <c r="L1" s="216"/>
      <c r="M1" s="216"/>
      <c r="N1" s="216"/>
      <c r="O1" s="216"/>
      <c r="P1" s="216"/>
      <c r="Q1" s="111"/>
      <c r="R1" s="111"/>
    </row>
    <row r="2" spans="1:19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48" t="s">
        <v>263</v>
      </c>
      <c r="I2" s="248"/>
      <c r="J2" s="248"/>
      <c r="K2" s="248" t="s">
        <v>264</v>
      </c>
      <c r="L2" s="248"/>
      <c r="M2" s="248" t="s">
        <v>265</v>
      </c>
      <c r="N2" s="248"/>
      <c r="O2" s="248"/>
      <c r="P2" s="248"/>
      <c r="Q2" s="249" t="s">
        <v>266</v>
      </c>
      <c r="R2" s="250" t="s">
        <v>267</v>
      </c>
    </row>
    <row r="3" spans="1:19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217" t="s">
        <v>271</v>
      </c>
      <c r="I3" s="214" t="s">
        <v>270</v>
      </c>
      <c r="J3" s="214" t="s">
        <v>26</v>
      </c>
      <c r="K3" s="214" t="s">
        <v>270</v>
      </c>
      <c r="L3" s="125" t="s">
        <v>26</v>
      </c>
      <c r="M3" s="214" t="s">
        <v>273</v>
      </c>
      <c r="N3" s="213" t="s">
        <v>275</v>
      </c>
      <c r="O3" s="218" t="s">
        <v>307</v>
      </c>
      <c r="P3" s="218" t="s">
        <v>276</v>
      </c>
      <c r="Q3" s="249"/>
      <c r="R3" s="250"/>
    </row>
    <row r="4" spans="1:19" s="132" customFormat="1" ht="17.25" customHeight="1">
      <c r="A4" s="128">
        <f>ROW()-3</f>
        <v>1</v>
      </c>
      <c r="B4" s="133" t="s">
        <v>304</v>
      </c>
      <c r="C4" s="134">
        <v>42552</v>
      </c>
      <c r="D4" s="134">
        <v>42736</v>
      </c>
      <c r="E4" s="135"/>
      <c r="F4" s="135">
        <v>43000</v>
      </c>
      <c r="G4" s="136"/>
      <c r="H4" s="134"/>
      <c r="I4" s="135"/>
      <c r="J4" s="135"/>
      <c r="K4" s="130"/>
      <c r="L4" s="130">
        <f>F4-J4</f>
        <v>43000</v>
      </c>
      <c r="M4" s="135"/>
      <c r="N4" s="135">
        <f>IF((LEFT(B4,4)="1402"),F4*Q4*DATEDIF(DATE(YEAR(P4),MONTH(P4)-1,IF(MONTH(C4)=(MONTH(P4)-1),DAY(C4),16)),P4,"d")/360,0)</f>
        <v>92.569444444444443</v>
      </c>
      <c r="O4" s="135">
        <f>IF((LEFT(B4,4)="1025"),F4*Q4*DATEDIF(DATE(YEAR(P4),MONTH(P4)-1,IF(MONTH(C4)=(MONTH($N$1)-1),DAY(C4),16)),P4,"d")/360,0)</f>
        <v>0</v>
      </c>
      <c r="P4" s="129">
        <v>42751</v>
      </c>
      <c r="Q4" s="187">
        <v>2.5000000000000001E-2</v>
      </c>
      <c r="R4" s="138" t="s">
        <v>277</v>
      </c>
    </row>
    <row r="5" spans="1:19" s="132" customFormat="1" ht="17.25" customHeight="1">
      <c r="A5" s="128">
        <f t="shared" ref="A5:A7" si="0">ROW()-3</f>
        <v>2</v>
      </c>
      <c r="B5" s="133" t="s">
        <v>303</v>
      </c>
      <c r="C5" s="134">
        <v>42586</v>
      </c>
      <c r="D5" s="134">
        <v>42770</v>
      </c>
      <c r="E5" s="135"/>
      <c r="F5" s="135">
        <v>52300</v>
      </c>
      <c r="G5" s="136"/>
      <c r="H5" s="134"/>
      <c r="I5" s="135"/>
      <c r="J5" s="135"/>
      <c r="K5" s="130"/>
      <c r="L5" s="130">
        <f>F5-J5</f>
        <v>52300</v>
      </c>
      <c r="M5" s="135"/>
      <c r="N5" s="135">
        <f>IF((LEFT(B5,4)="1402"),F5*Q5*DATEDIF(DATE(YEAR(P5),MONTH(P5)-1,IF(MONTH(C5)=(MONTH(P5)-1),DAY(C5),16)),P5,"d")/360,0)</f>
        <v>112.59027777777777</v>
      </c>
      <c r="O5" s="135">
        <f>IF((LEFT(B5,4)="1025"),F5*Q5*DATEDIF(DATE(YEAR(P5),MONTH(P5)-1,IF(MONTH(C5)=(MONTH($N$1)-1),DAY(C5),16)),P5,"d")/360,0)</f>
        <v>0</v>
      </c>
      <c r="P5" s="129">
        <v>42751</v>
      </c>
      <c r="Q5" s="187">
        <v>2.5000000000000001E-2</v>
      </c>
      <c r="R5" s="138" t="s">
        <v>278</v>
      </c>
    </row>
    <row r="6" spans="1:19" s="132" customFormat="1" ht="17.25" customHeight="1">
      <c r="A6" s="128">
        <f t="shared" si="0"/>
        <v>3</v>
      </c>
      <c r="B6" s="133" t="s">
        <v>428</v>
      </c>
      <c r="C6" s="134">
        <v>42718</v>
      </c>
      <c r="D6" s="134">
        <v>42900</v>
      </c>
      <c r="E6" s="135"/>
      <c r="F6" s="135">
        <v>93000</v>
      </c>
      <c r="G6" s="136"/>
      <c r="H6" s="134"/>
      <c r="I6" s="135"/>
      <c r="J6" s="135"/>
      <c r="K6" s="130"/>
      <c r="L6" s="130">
        <f>F6-J6</f>
        <v>93000</v>
      </c>
      <c r="M6" s="135"/>
      <c r="N6" s="135">
        <f>IF((LEFT(B6,4)="1402"),F6*Q6*DATEDIF(DATE(YEAR(P6),MONTH(P6)-1,IF(MONTH(C6)=(MONTH(P6)-1),DAY(C6),16)),P6,"d")/360,0)</f>
        <v>200.20833333333334</v>
      </c>
      <c r="O6" s="135">
        <f>IF((LEFT(B6,4)="1025"),F6*Q6*DATEDIF(DATE(YEAR(P6),MONTH(P6)-1,IF(MONTH(C6)=(MONTH($N$1)-1),DAY(C6),16)),P6,"d")/360,0)</f>
        <v>0</v>
      </c>
      <c r="P6" s="129">
        <v>42751</v>
      </c>
      <c r="Q6" s="187">
        <v>2.5000000000000001E-2</v>
      </c>
      <c r="R6" s="138" t="s">
        <v>277</v>
      </c>
    </row>
    <row r="7" spans="1:19" s="132" customFormat="1" ht="17.25" customHeight="1">
      <c r="A7" s="128">
        <f t="shared" si="0"/>
        <v>4</v>
      </c>
      <c r="B7" s="219" t="s">
        <v>427</v>
      </c>
      <c r="C7" s="134">
        <v>42710</v>
      </c>
      <c r="D7" s="134">
        <v>42892</v>
      </c>
      <c r="E7" s="135"/>
      <c r="F7" s="135">
        <v>70500</v>
      </c>
      <c r="G7" s="136"/>
      <c r="H7" s="134"/>
      <c r="I7" s="135"/>
      <c r="J7" s="135"/>
      <c r="K7" s="130"/>
      <c r="L7" s="130">
        <f>F7-J7</f>
        <v>70500</v>
      </c>
      <c r="M7" s="135"/>
      <c r="N7" s="135">
        <f>IF((LEFT(B7,4)="1402"),F7*Q7*DATEDIF(DATE(YEAR(P7),MONTH(P7)-1,IF(MONTH(C7)=(MONTH(P7)-1),DAY(C7),16)),P7,"d")/360,0)</f>
        <v>151.77083333333334</v>
      </c>
      <c r="O7" s="135">
        <f>IF((LEFT(B7,4)="1025"),F7*Q7*DATEDIF(DATE(YEAR(P7),MONTH(P7)-1,IF(MONTH(C7)=(MONTH($N$1)-1),DAY(C7),16)),P7,"d")/360,0)</f>
        <v>0</v>
      </c>
      <c r="P7" s="129">
        <v>42751</v>
      </c>
      <c r="Q7" s="187">
        <v>2.5000000000000001E-2</v>
      </c>
      <c r="R7" s="138" t="s">
        <v>277</v>
      </c>
    </row>
    <row r="8" spans="1:19" s="132" customFormat="1" ht="17.25" customHeight="1">
      <c r="A8" s="220"/>
      <c r="B8" s="221"/>
      <c r="C8" s="158"/>
      <c r="D8" s="158"/>
      <c r="E8" s="222"/>
      <c r="F8" s="222"/>
      <c r="G8" s="223"/>
      <c r="H8" s="158"/>
      <c r="I8" s="222"/>
      <c r="J8" s="222"/>
      <c r="K8" s="222"/>
      <c r="L8" s="222"/>
      <c r="M8" s="222"/>
      <c r="N8" s="222"/>
      <c r="O8" s="222"/>
      <c r="P8" s="158"/>
      <c r="Q8" s="224"/>
      <c r="R8" s="225"/>
    </row>
    <row r="9" spans="1:19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1">
        <f>SUM(N4:N8)</f>
        <v>557.13888888888891</v>
      </c>
      <c r="O9" s="141">
        <f>SUM(O4:O8)</f>
        <v>0</v>
      </c>
      <c r="P9" s="139"/>
      <c r="Q9" s="226"/>
      <c r="R9" s="143"/>
      <c r="S9" s="132"/>
    </row>
    <row r="10" spans="1:19" s="132" customFormat="1" ht="17.25" customHeight="1">
      <c r="A10" s="128">
        <f t="shared" ref="A10:A25" si="1">ROW()-9</f>
        <v>1</v>
      </c>
      <c r="B10" s="133" t="s">
        <v>301</v>
      </c>
      <c r="C10" s="134">
        <v>42600</v>
      </c>
      <c r="D10" s="134">
        <v>42784</v>
      </c>
      <c r="E10" s="136"/>
      <c r="F10" s="135">
        <v>63000</v>
      </c>
      <c r="G10" s="136"/>
      <c r="H10" s="134"/>
      <c r="I10" s="135"/>
      <c r="J10" s="135"/>
      <c r="K10" s="130"/>
      <c r="L10" s="130">
        <f t="shared" ref="L10:L25" si="2">F10-J10</f>
        <v>63000</v>
      </c>
      <c r="M10" s="135"/>
      <c r="N10" s="135">
        <f t="shared" ref="N10:N25" si="3">IF((LEFT(B10,4)="1402"),F10*Q10*DATEDIF(DATE(YEAR(P10),MONTH(P10)-1,IF(MONTH(C10)=(MONTH(P10)-1),DAY(C10),16)),P10,"d")/360,0)</f>
        <v>0</v>
      </c>
      <c r="O10" s="13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29">
        <v>42757</v>
      </c>
      <c r="Q10" s="187">
        <v>0.03</v>
      </c>
      <c r="R10" s="138" t="s">
        <v>380</v>
      </c>
      <c r="S10" s="191"/>
    </row>
    <row r="11" spans="1:19" s="132" customFormat="1" ht="17.25" customHeight="1">
      <c r="A11" s="128">
        <f t="shared" si="1"/>
        <v>2</v>
      </c>
      <c r="B11" s="133" t="s">
        <v>306</v>
      </c>
      <c r="C11" s="134">
        <v>42612</v>
      </c>
      <c r="D11" s="134">
        <v>42794</v>
      </c>
      <c r="E11" s="136"/>
      <c r="F11" s="135">
        <v>89500</v>
      </c>
      <c r="G11" s="136"/>
      <c r="H11" s="134"/>
      <c r="I11" s="135"/>
      <c r="J11" s="135"/>
      <c r="K11" s="130"/>
      <c r="L11" s="130">
        <f t="shared" si="2"/>
        <v>89500</v>
      </c>
      <c r="M11" s="135"/>
      <c r="N11" s="135">
        <f t="shared" si="3"/>
        <v>0</v>
      </c>
      <c r="O11" s="135">
        <f t="shared" si="4"/>
        <v>231.20833333333334</v>
      </c>
      <c r="P11" s="129">
        <v>42757</v>
      </c>
      <c r="Q11" s="187">
        <v>0.03</v>
      </c>
      <c r="R11" s="138" t="s">
        <v>380</v>
      </c>
      <c r="S11" s="191"/>
    </row>
    <row r="12" spans="1:19" s="132" customFormat="1" ht="17.25" customHeight="1">
      <c r="A12" s="128">
        <f t="shared" si="1"/>
        <v>3</v>
      </c>
      <c r="B12" s="133" t="s">
        <v>314</v>
      </c>
      <c r="C12" s="134">
        <v>42626</v>
      </c>
      <c r="D12" s="134">
        <v>42807</v>
      </c>
      <c r="E12" s="136"/>
      <c r="F12" s="135">
        <v>88000</v>
      </c>
      <c r="G12" s="136"/>
      <c r="H12" s="134"/>
      <c r="I12" s="135"/>
      <c r="J12" s="135"/>
      <c r="K12" s="130"/>
      <c r="L12" s="130">
        <f t="shared" si="2"/>
        <v>88000</v>
      </c>
      <c r="M12" s="135"/>
      <c r="N12" s="135">
        <f t="shared" si="3"/>
        <v>0</v>
      </c>
      <c r="O12" s="135">
        <f t="shared" si="4"/>
        <v>227.33333333333334</v>
      </c>
      <c r="P12" s="129">
        <v>42757</v>
      </c>
      <c r="Q12" s="187">
        <v>0.03</v>
      </c>
      <c r="R12" s="138" t="s">
        <v>380</v>
      </c>
    </row>
    <row r="13" spans="1:19" s="132" customFormat="1" ht="17.25" customHeight="1">
      <c r="A13" s="128">
        <f t="shared" si="1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0"/>
      <c r="L13" s="130">
        <f t="shared" si="2"/>
        <v>96000</v>
      </c>
      <c r="M13" s="135"/>
      <c r="N13" s="135">
        <f t="shared" si="3"/>
        <v>0</v>
      </c>
      <c r="O13" s="135">
        <f t="shared" si="4"/>
        <v>248</v>
      </c>
      <c r="P13" s="129">
        <v>42757</v>
      </c>
      <c r="Q13" s="187">
        <v>0.03</v>
      </c>
      <c r="R13" s="138" t="s">
        <v>380</v>
      </c>
      <c r="S13" s="191"/>
    </row>
    <row r="14" spans="1:19" s="132" customFormat="1" ht="17.25" customHeight="1">
      <c r="A14" s="128">
        <f t="shared" si="1"/>
        <v>5</v>
      </c>
      <c r="B14" s="133" t="s">
        <v>379</v>
      </c>
      <c r="C14" s="134">
        <v>42660</v>
      </c>
      <c r="D14" s="134">
        <v>42842</v>
      </c>
      <c r="E14" s="136"/>
      <c r="F14" s="135">
        <v>96000</v>
      </c>
      <c r="G14" s="136"/>
      <c r="H14" s="134"/>
      <c r="I14" s="135"/>
      <c r="J14" s="135"/>
      <c r="K14" s="130"/>
      <c r="L14" s="130">
        <f t="shared" si="2"/>
        <v>96000</v>
      </c>
      <c r="M14" s="135"/>
      <c r="N14" s="135">
        <f t="shared" si="3"/>
        <v>0</v>
      </c>
      <c r="O14" s="135">
        <f t="shared" si="4"/>
        <v>248</v>
      </c>
      <c r="P14" s="129">
        <v>42757</v>
      </c>
      <c r="Q14" s="187">
        <v>0.03</v>
      </c>
      <c r="R14" s="138" t="s">
        <v>380</v>
      </c>
    </row>
    <row r="15" spans="1:19" s="132" customFormat="1" ht="17.25" customHeight="1">
      <c r="A15" s="128">
        <f t="shared" si="1"/>
        <v>6</v>
      </c>
      <c r="B15" s="133" t="s">
        <v>466</v>
      </c>
      <c r="C15" s="134">
        <v>42684</v>
      </c>
      <c r="D15" s="134">
        <v>42865</v>
      </c>
      <c r="E15" s="136"/>
      <c r="F15" s="135">
        <v>82000</v>
      </c>
      <c r="G15" s="136"/>
      <c r="H15" s="134"/>
      <c r="I15" s="135"/>
      <c r="J15" s="135"/>
      <c r="K15" s="130"/>
      <c r="L15" s="130">
        <f t="shared" si="2"/>
        <v>82000</v>
      </c>
      <c r="M15" s="135"/>
      <c r="N15" s="135">
        <f t="shared" si="3"/>
        <v>0</v>
      </c>
      <c r="O15" s="135">
        <f t="shared" si="4"/>
        <v>211.83333333333334</v>
      </c>
      <c r="P15" s="129">
        <v>42757</v>
      </c>
      <c r="Q15" s="187">
        <v>0.03</v>
      </c>
      <c r="R15" s="138" t="s">
        <v>380</v>
      </c>
    </row>
    <row r="16" spans="1:19" s="132" customFormat="1" ht="17.25" customHeight="1">
      <c r="A16" s="128">
        <f t="shared" si="1"/>
        <v>7</v>
      </c>
      <c r="B16" s="133" t="s">
        <v>467</v>
      </c>
      <c r="C16" s="134">
        <v>42689</v>
      </c>
      <c r="D16" s="134">
        <v>42870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2"/>
        <v>89000</v>
      </c>
      <c r="M16" s="135"/>
      <c r="N16" s="135">
        <f t="shared" si="3"/>
        <v>0</v>
      </c>
      <c r="O16" s="135">
        <f t="shared" si="4"/>
        <v>229.91666666666666</v>
      </c>
      <c r="P16" s="129">
        <v>42757</v>
      </c>
      <c r="Q16" s="187">
        <v>0.03</v>
      </c>
      <c r="R16" s="138" t="s">
        <v>380</v>
      </c>
      <c r="S16" s="191"/>
    </row>
    <row r="17" spans="1:19" s="132" customFormat="1" ht="17.25" customHeight="1">
      <c r="A17" s="128">
        <f t="shared" si="1"/>
        <v>8</v>
      </c>
      <c r="B17" s="133" t="s">
        <v>468</v>
      </c>
      <c r="C17" s="162">
        <v>42717</v>
      </c>
      <c r="D17" s="134">
        <v>42899</v>
      </c>
      <c r="E17" s="136"/>
      <c r="F17" s="163">
        <v>50400</v>
      </c>
      <c r="G17" s="136"/>
      <c r="H17" s="162"/>
      <c r="I17" s="163"/>
      <c r="J17" s="163"/>
      <c r="K17" s="130"/>
      <c r="L17" s="130">
        <f t="shared" si="2"/>
        <v>50400</v>
      </c>
      <c r="M17" s="163"/>
      <c r="N17" s="135">
        <f t="shared" si="3"/>
        <v>0</v>
      </c>
      <c r="O17" s="135">
        <f t="shared" si="4"/>
        <v>130.19999999999999</v>
      </c>
      <c r="P17" s="129">
        <v>42757</v>
      </c>
      <c r="Q17" s="187">
        <v>0.03</v>
      </c>
      <c r="R17" s="138" t="s">
        <v>460</v>
      </c>
    </row>
    <row r="18" spans="1:19" s="132" customFormat="1" ht="17.25" customHeight="1">
      <c r="A18" s="128">
        <f t="shared" si="1"/>
        <v>9</v>
      </c>
      <c r="B18" s="133" t="s">
        <v>426</v>
      </c>
      <c r="C18" s="162">
        <v>42718</v>
      </c>
      <c r="D18" s="134">
        <v>42900</v>
      </c>
      <c r="E18" s="164"/>
      <c r="F18" s="163">
        <v>137000</v>
      </c>
      <c r="G18" s="136"/>
      <c r="H18" s="162"/>
      <c r="I18" s="163"/>
      <c r="J18" s="163"/>
      <c r="K18" s="130"/>
      <c r="L18" s="130">
        <f t="shared" si="2"/>
        <v>137000</v>
      </c>
      <c r="M18" s="163"/>
      <c r="N18" s="135">
        <f t="shared" si="3"/>
        <v>0</v>
      </c>
      <c r="O18" s="135">
        <f t="shared" si="4"/>
        <v>353.91666666666669</v>
      </c>
      <c r="P18" s="129">
        <v>42757</v>
      </c>
      <c r="Q18" s="187">
        <v>0.03</v>
      </c>
      <c r="R18" s="138" t="s">
        <v>380</v>
      </c>
      <c r="S18" s="201">
        <f>E17*Q17/12</f>
        <v>0</v>
      </c>
    </row>
    <row r="19" spans="1:19" s="132" customFormat="1" ht="17.25" customHeight="1">
      <c r="A19" s="128">
        <f t="shared" si="1"/>
        <v>10</v>
      </c>
      <c r="B19" s="133" t="s">
        <v>465</v>
      </c>
      <c r="C19" s="162">
        <v>42733</v>
      </c>
      <c r="D19" s="134">
        <v>42915</v>
      </c>
      <c r="E19" s="164"/>
      <c r="F19" s="163">
        <v>85000</v>
      </c>
      <c r="G19" s="136"/>
      <c r="H19" s="162"/>
      <c r="I19" s="163"/>
      <c r="J19" s="163"/>
      <c r="K19" s="130"/>
      <c r="L19" s="130">
        <f t="shared" si="2"/>
        <v>85000</v>
      </c>
      <c r="M19" s="163"/>
      <c r="N19" s="135">
        <f t="shared" si="3"/>
        <v>0</v>
      </c>
      <c r="O19" s="135">
        <f t="shared" si="4"/>
        <v>219.58333333333334</v>
      </c>
      <c r="P19" s="129">
        <v>42757</v>
      </c>
      <c r="Q19" s="187">
        <v>0.03</v>
      </c>
      <c r="R19" s="138" t="s">
        <v>380</v>
      </c>
      <c r="S19" s="191"/>
    </row>
    <row r="20" spans="1:19" s="132" customFormat="1" ht="17.25" customHeight="1">
      <c r="A20" s="128">
        <f t="shared" si="1"/>
        <v>11</v>
      </c>
      <c r="B20" s="133" t="s">
        <v>300</v>
      </c>
      <c r="C20" s="162">
        <v>42741</v>
      </c>
      <c r="D20" s="134">
        <v>42922</v>
      </c>
      <c r="E20" s="164"/>
      <c r="F20" s="163">
        <v>93000</v>
      </c>
      <c r="G20" s="164"/>
      <c r="H20" s="162"/>
      <c r="I20" s="163"/>
      <c r="J20" s="163"/>
      <c r="K20" s="130"/>
      <c r="L20" s="130">
        <f t="shared" si="2"/>
        <v>93000</v>
      </c>
      <c r="M20" s="163"/>
      <c r="N20" s="135">
        <f t="shared" si="3"/>
        <v>0</v>
      </c>
      <c r="O20" s="135">
        <f t="shared" si="4"/>
        <v>124</v>
      </c>
      <c r="P20" s="129">
        <v>42757</v>
      </c>
      <c r="Q20" s="187">
        <v>0.03</v>
      </c>
      <c r="R20" s="138" t="s">
        <v>380</v>
      </c>
      <c r="S20" s="191"/>
    </row>
    <row r="21" spans="1:19" s="132" customFormat="1" ht="17.25" customHeight="1">
      <c r="A21" s="128">
        <f t="shared" si="1"/>
        <v>12</v>
      </c>
      <c r="B21" s="133" t="s">
        <v>469</v>
      </c>
      <c r="C21" s="162">
        <v>42748</v>
      </c>
      <c r="D21" s="134">
        <v>42787</v>
      </c>
      <c r="E21" s="164"/>
      <c r="F21" s="163">
        <v>40000</v>
      </c>
      <c r="G21" s="164"/>
      <c r="H21" s="162"/>
      <c r="I21" s="163"/>
      <c r="J21" s="163"/>
      <c r="K21" s="130"/>
      <c r="L21" s="130">
        <f t="shared" si="2"/>
        <v>40000</v>
      </c>
      <c r="M21" s="163"/>
      <c r="N21" s="135">
        <f t="shared" si="3"/>
        <v>0</v>
      </c>
      <c r="O21" s="135">
        <f t="shared" si="4"/>
        <v>30</v>
      </c>
      <c r="P21" s="129">
        <v>42757</v>
      </c>
      <c r="Q21" s="187">
        <v>0.03</v>
      </c>
      <c r="R21" s="138" t="s">
        <v>461</v>
      </c>
    </row>
    <row r="22" spans="1:19" s="132" customFormat="1" ht="17.25" customHeight="1">
      <c r="A22" s="128">
        <f t="shared" si="1"/>
        <v>13</v>
      </c>
      <c r="B22" s="133" t="s">
        <v>470</v>
      </c>
      <c r="C22" s="162">
        <v>42751</v>
      </c>
      <c r="D22" s="134">
        <v>42791</v>
      </c>
      <c r="E22" s="164"/>
      <c r="F22" s="163">
        <v>102600</v>
      </c>
      <c r="G22" s="164"/>
      <c r="H22" s="162"/>
      <c r="I22" s="163"/>
      <c r="J22" s="163"/>
      <c r="K22" s="130"/>
      <c r="L22" s="130">
        <f t="shared" si="2"/>
        <v>102600</v>
      </c>
      <c r="M22" s="163"/>
      <c r="N22" s="135">
        <f t="shared" si="3"/>
        <v>0</v>
      </c>
      <c r="O22" s="135">
        <f t="shared" si="4"/>
        <v>51.3</v>
      </c>
      <c r="P22" s="129">
        <v>42757</v>
      </c>
      <c r="Q22" s="187">
        <v>0.03</v>
      </c>
      <c r="R22" s="138" t="s">
        <v>462</v>
      </c>
    </row>
    <row r="23" spans="1:19" s="132" customFormat="1" ht="17.25" customHeight="1">
      <c r="A23" s="128">
        <f t="shared" si="1"/>
        <v>14</v>
      </c>
      <c r="B23" s="133" t="s">
        <v>471</v>
      </c>
      <c r="C23" s="162">
        <v>42754</v>
      </c>
      <c r="D23" s="134">
        <v>42844</v>
      </c>
      <c r="E23" s="164"/>
      <c r="F23" s="163">
        <v>37584</v>
      </c>
      <c r="G23" s="164"/>
      <c r="H23" s="162"/>
      <c r="I23" s="163"/>
      <c r="J23" s="163"/>
      <c r="K23" s="130"/>
      <c r="L23" s="130">
        <f t="shared" si="2"/>
        <v>37584</v>
      </c>
      <c r="M23" s="163"/>
      <c r="N23" s="135">
        <f t="shared" si="3"/>
        <v>0</v>
      </c>
      <c r="O23" s="135">
        <f t="shared" si="4"/>
        <v>9.395999999999999</v>
      </c>
      <c r="P23" s="129">
        <v>42757</v>
      </c>
      <c r="Q23" s="187">
        <v>0.03</v>
      </c>
      <c r="R23" s="138" t="s">
        <v>463</v>
      </c>
    </row>
    <row r="24" spans="1:19" s="132" customFormat="1" ht="17.25" customHeight="1">
      <c r="A24" s="128">
        <f t="shared" si="1"/>
        <v>15</v>
      </c>
      <c r="B24" s="133" t="s">
        <v>472</v>
      </c>
      <c r="C24" s="162">
        <v>42754</v>
      </c>
      <c r="D24" s="134">
        <v>42788</v>
      </c>
      <c r="E24" s="164"/>
      <c r="F24" s="163">
        <v>41200</v>
      </c>
      <c r="G24" s="164"/>
      <c r="H24" s="162"/>
      <c r="I24" s="163"/>
      <c r="J24" s="163"/>
      <c r="K24" s="130"/>
      <c r="L24" s="130">
        <f t="shared" si="2"/>
        <v>41200</v>
      </c>
      <c r="M24" s="163"/>
      <c r="N24" s="135">
        <f t="shared" si="3"/>
        <v>0</v>
      </c>
      <c r="O24" s="135">
        <f t="shared" si="4"/>
        <v>10.3</v>
      </c>
      <c r="P24" s="129">
        <v>42757</v>
      </c>
      <c r="Q24" s="187">
        <v>0.03</v>
      </c>
      <c r="R24" s="138" t="s">
        <v>464</v>
      </c>
    </row>
    <row r="25" spans="1:19" s="132" customFormat="1" ht="17.25" customHeight="1">
      <c r="A25" s="128">
        <f t="shared" si="1"/>
        <v>16</v>
      </c>
      <c r="B25" s="133" t="s">
        <v>473</v>
      </c>
      <c r="C25" s="162">
        <v>42754</v>
      </c>
      <c r="D25" s="134">
        <v>42935</v>
      </c>
      <c r="E25" s="164"/>
      <c r="F25" s="163">
        <v>51100</v>
      </c>
      <c r="G25" s="164"/>
      <c r="H25" s="162"/>
      <c r="I25" s="163"/>
      <c r="J25" s="163"/>
      <c r="K25" s="130"/>
      <c r="L25" s="130">
        <f t="shared" si="2"/>
        <v>51100</v>
      </c>
      <c r="M25" s="163"/>
      <c r="N25" s="135">
        <f t="shared" si="3"/>
        <v>0</v>
      </c>
      <c r="O25" s="135">
        <f t="shared" si="4"/>
        <v>12.775</v>
      </c>
      <c r="P25" s="129">
        <v>42757</v>
      </c>
      <c r="Q25" s="187">
        <v>0.03</v>
      </c>
      <c r="R25" s="138" t="s">
        <v>460</v>
      </c>
    </row>
    <row r="26" spans="1:19" s="132" customFormat="1" ht="17.25" customHeight="1">
      <c r="A26" s="128"/>
      <c r="B26" s="133"/>
      <c r="C26" s="162"/>
      <c r="D26" s="134"/>
      <c r="E26" s="163"/>
      <c r="F26" s="163"/>
      <c r="G26" s="164"/>
      <c r="H26" s="162"/>
      <c r="I26" s="163"/>
      <c r="J26" s="163"/>
      <c r="K26" s="130"/>
      <c r="L26" s="130"/>
      <c r="M26" s="163"/>
      <c r="N26" s="135"/>
      <c r="O26" s="135"/>
      <c r="P26" s="129"/>
      <c r="Q26" s="187"/>
      <c r="R26" s="138"/>
    </row>
    <row r="27" spans="1:19" s="168" customFormat="1" ht="17.25" customHeight="1">
      <c r="A27" s="252" t="s">
        <v>305</v>
      </c>
      <c r="B27" s="252"/>
      <c r="C27" s="165"/>
      <c r="D27" s="165"/>
      <c r="E27" s="140">
        <f>SUM(E4:E26)</f>
        <v>0</v>
      </c>
      <c r="F27" s="141">
        <f>SUM(F10:F26)</f>
        <v>1241384</v>
      </c>
      <c r="G27" s="140">
        <f>SUM(G4:G16)</f>
        <v>0</v>
      </c>
      <c r="H27" s="139"/>
      <c r="I27" s="141">
        <f>SUM(I10:I26)</f>
        <v>0</v>
      </c>
      <c r="J27" s="141">
        <f>SUM(J10:J26)</f>
        <v>0</v>
      </c>
      <c r="K27" s="141">
        <f>SUM(K10:K26)</f>
        <v>0</v>
      </c>
      <c r="L27" s="141">
        <f>SUM(L10:L26)</f>
        <v>1241384</v>
      </c>
      <c r="M27" s="141">
        <f>SUM(M4:M14)</f>
        <v>0</v>
      </c>
      <c r="N27" s="141">
        <f>SUM(N10:N26)</f>
        <v>0</v>
      </c>
      <c r="O27" s="141">
        <f>SUM(O10:O26)</f>
        <v>2500.5126666666674</v>
      </c>
      <c r="P27" s="141"/>
      <c r="Q27" s="143"/>
      <c r="R27" s="143"/>
    </row>
    <row r="28" spans="1:19" s="132" customFormat="1" ht="17.25" customHeight="1">
      <c r="A28" s="128">
        <f>ROW()-27</f>
        <v>1</v>
      </c>
      <c r="B28" s="133" t="s">
        <v>280</v>
      </c>
      <c r="C28" s="134">
        <v>41870</v>
      </c>
      <c r="D28" s="134">
        <v>46253</v>
      </c>
      <c r="E28" s="136">
        <v>966640000</v>
      </c>
      <c r="F28" s="135"/>
      <c r="G28" s="136"/>
      <c r="H28" s="134">
        <v>42755</v>
      </c>
      <c r="I28" s="136">
        <v>8340000</v>
      </c>
      <c r="J28" s="135"/>
      <c r="K28" s="136">
        <f t="shared" ref="K28:K42" si="5">E28-I28</f>
        <v>958300000</v>
      </c>
      <c r="L28" s="135"/>
      <c r="M28" s="136">
        <f t="shared" ref="M28:M41" si="6">IF((LEFT(B28,4)="1402"),E28*Q28*DATEDIF(DATE(YEAR(P28),MONTH(P28)-1,IF(MONTH(C28)=(MONTH(P28)-1),DAY(C28),DAY(P28))),P28,"d")/360,0)</f>
        <v>7491460</v>
      </c>
      <c r="N28" s="135">
        <f t="shared" ref="N28:N42" si="7">IF((LEFT(B28,4)="1402"),F28*Q28*DATEDIF(DATE(YEAR(P28),MONTH(P28)-1,IF(MONTH(C28)=(MONTH(P28)-1),DAY(C28),16)),P28,"d")/360,0)</f>
        <v>0</v>
      </c>
      <c r="O28" s="135">
        <f t="shared" ref="O28:O42" si="8">IF((LEFT(B28,4)="1015"),F28*Q28*DATEDIF(P28,P$1,"d")/360,0)</f>
        <v>0</v>
      </c>
      <c r="P28" s="227">
        <f>H28</f>
        <v>42755</v>
      </c>
      <c r="Q28" s="187">
        <v>0.09</v>
      </c>
      <c r="R28" s="228" t="s">
        <v>281</v>
      </c>
    </row>
    <row r="29" spans="1:19" s="132" customFormat="1" ht="17.25" customHeight="1">
      <c r="A29" s="128">
        <f t="shared" ref="A29:A42" si="9">ROW()-27</f>
        <v>2</v>
      </c>
      <c r="B29" s="133" t="s">
        <v>282</v>
      </c>
      <c r="C29" s="134">
        <v>41905</v>
      </c>
      <c r="D29" s="134">
        <v>46253</v>
      </c>
      <c r="E29" s="136">
        <v>1933320000</v>
      </c>
      <c r="F29" s="135"/>
      <c r="G29" s="136"/>
      <c r="H29" s="134">
        <v>42755</v>
      </c>
      <c r="I29" s="136">
        <v>16670000</v>
      </c>
      <c r="J29" s="135"/>
      <c r="K29" s="136">
        <f t="shared" si="5"/>
        <v>1916650000</v>
      </c>
      <c r="L29" s="135"/>
      <c r="M29" s="136">
        <f t="shared" si="6"/>
        <v>14983230</v>
      </c>
      <c r="N29" s="135">
        <f t="shared" si="7"/>
        <v>0</v>
      </c>
      <c r="O29" s="135">
        <f t="shared" si="8"/>
        <v>0</v>
      </c>
      <c r="P29" s="227">
        <f t="shared" ref="P29:P42" si="10">H29</f>
        <v>42755</v>
      </c>
      <c r="Q29" s="187">
        <v>0.09</v>
      </c>
      <c r="R29" s="138" t="s">
        <v>281</v>
      </c>
    </row>
    <row r="30" spans="1:19" s="132" customFormat="1" ht="17.25" customHeight="1">
      <c r="A30" s="128">
        <f t="shared" si="9"/>
        <v>3</v>
      </c>
      <c r="B30" s="133" t="s">
        <v>283</v>
      </c>
      <c r="C30" s="162">
        <v>41934</v>
      </c>
      <c r="D30" s="134">
        <v>46253</v>
      </c>
      <c r="E30" s="164">
        <v>1546640000</v>
      </c>
      <c r="F30" s="163"/>
      <c r="G30" s="164"/>
      <c r="H30" s="134">
        <v>42755</v>
      </c>
      <c r="I30" s="164">
        <v>13340000</v>
      </c>
      <c r="J30" s="163"/>
      <c r="K30" s="136">
        <f t="shared" si="5"/>
        <v>1533300000</v>
      </c>
      <c r="L30" s="163"/>
      <c r="M30" s="136">
        <f t="shared" si="6"/>
        <v>11986460</v>
      </c>
      <c r="N30" s="135">
        <f t="shared" si="7"/>
        <v>0</v>
      </c>
      <c r="O30" s="135">
        <f t="shared" si="8"/>
        <v>0</v>
      </c>
      <c r="P30" s="227">
        <f t="shared" si="10"/>
        <v>42755</v>
      </c>
      <c r="Q30" s="187">
        <v>0.09</v>
      </c>
      <c r="R30" s="138" t="s">
        <v>281</v>
      </c>
    </row>
    <row r="31" spans="1:19" s="132" customFormat="1" ht="17.25" customHeight="1">
      <c r="A31" s="128">
        <f t="shared" si="9"/>
        <v>4</v>
      </c>
      <c r="B31" s="133" t="s">
        <v>284</v>
      </c>
      <c r="C31" s="162">
        <v>41963</v>
      </c>
      <c r="D31" s="134">
        <v>46253</v>
      </c>
      <c r="E31" s="164">
        <v>1475000000</v>
      </c>
      <c r="F31" s="163"/>
      <c r="G31" s="164"/>
      <c r="H31" s="134">
        <v>42755</v>
      </c>
      <c r="I31" s="164">
        <v>12500000</v>
      </c>
      <c r="J31" s="163"/>
      <c r="K31" s="136">
        <f t="shared" si="5"/>
        <v>1462500000</v>
      </c>
      <c r="L31" s="163"/>
      <c r="M31" s="136">
        <f t="shared" si="6"/>
        <v>11431250</v>
      </c>
      <c r="N31" s="135">
        <f t="shared" si="7"/>
        <v>0</v>
      </c>
      <c r="O31" s="135">
        <f t="shared" si="8"/>
        <v>0</v>
      </c>
      <c r="P31" s="227">
        <f t="shared" si="10"/>
        <v>42755</v>
      </c>
      <c r="Q31" s="187">
        <v>0.09</v>
      </c>
      <c r="R31" s="138" t="s">
        <v>281</v>
      </c>
    </row>
    <row r="32" spans="1:19" s="132" customFormat="1" ht="17.25" customHeight="1">
      <c r="A32" s="128">
        <f t="shared" si="9"/>
        <v>5</v>
      </c>
      <c r="B32" s="133" t="s">
        <v>285</v>
      </c>
      <c r="C32" s="162">
        <v>41984</v>
      </c>
      <c r="D32" s="134">
        <v>46253</v>
      </c>
      <c r="E32" s="164">
        <v>966680000</v>
      </c>
      <c r="F32" s="163"/>
      <c r="G32" s="164"/>
      <c r="H32" s="134">
        <v>42755</v>
      </c>
      <c r="I32" s="164">
        <v>8330000</v>
      </c>
      <c r="J32" s="163"/>
      <c r="K32" s="164">
        <f t="shared" si="5"/>
        <v>958350000</v>
      </c>
      <c r="L32" s="163"/>
      <c r="M32" s="136">
        <f t="shared" si="6"/>
        <v>7491770</v>
      </c>
      <c r="N32" s="135">
        <f t="shared" si="7"/>
        <v>0</v>
      </c>
      <c r="O32" s="135">
        <f t="shared" si="8"/>
        <v>0</v>
      </c>
      <c r="P32" s="227">
        <f t="shared" si="10"/>
        <v>42755</v>
      </c>
      <c r="Q32" s="187">
        <v>0.09</v>
      </c>
      <c r="R32" s="138" t="s">
        <v>281</v>
      </c>
    </row>
    <row r="33" spans="1:18" s="132" customFormat="1" ht="17.25" customHeight="1">
      <c r="A33" s="128">
        <f t="shared" si="9"/>
        <v>6</v>
      </c>
      <c r="B33" s="133" t="s">
        <v>286</v>
      </c>
      <c r="C33" s="162">
        <v>42033</v>
      </c>
      <c r="D33" s="134">
        <v>46253</v>
      </c>
      <c r="E33" s="164">
        <v>1450000000</v>
      </c>
      <c r="F33" s="163"/>
      <c r="G33" s="164"/>
      <c r="H33" s="134">
        <v>42755</v>
      </c>
      <c r="I33" s="164">
        <v>12500000</v>
      </c>
      <c r="J33" s="163"/>
      <c r="K33" s="164">
        <f t="shared" si="5"/>
        <v>1437500000</v>
      </c>
      <c r="L33" s="163"/>
      <c r="M33" s="136">
        <f t="shared" si="6"/>
        <v>11237500</v>
      </c>
      <c r="N33" s="135">
        <f t="shared" si="7"/>
        <v>0</v>
      </c>
      <c r="O33" s="135">
        <f t="shared" si="8"/>
        <v>0</v>
      </c>
      <c r="P33" s="227">
        <f t="shared" si="10"/>
        <v>42755</v>
      </c>
      <c r="Q33" s="187">
        <v>0.09</v>
      </c>
      <c r="R33" s="138" t="s">
        <v>281</v>
      </c>
    </row>
    <row r="34" spans="1:18" s="132" customFormat="1" ht="17.25" customHeight="1">
      <c r="A34" s="128">
        <f t="shared" si="9"/>
        <v>7</v>
      </c>
      <c r="B34" s="133" t="s">
        <v>287</v>
      </c>
      <c r="C34" s="162">
        <v>42088</v>
      </c>
      <c r="D34" s="134">
        <v>46253</v>
      </c>
      <c r="E34" s="164">
        <v>1933320000</v>
      </c>
      <c r="F34" s="163"/>
      <c r="G34" s="164"/>
      <c r="H34" s="134">
        <v>42755</v>
      </c>
      <c r="I34" s="164">
        <v>16670000</v>
      </c>
      <c r="J34" s="163"/>
      <c r="K34" s="164">
        <f t="shared" si="5"/>
        <v>1916650000</v>
      </c>
      <c r="L34" s="163"/>
      <c r="M34" s="136">
        <f t="shared" si="6"/>
        <v>14983230</v>
      </c>
      <c r="N34" s="135">
        <f t="shared" si="7"/>
        <v>0</v>
      </c>
      <c r="O34" s="135">
        <f t="shared" si="8"/>
        <v>0</v>
      </c>
      <c r="P34" s="227">
        <f t="shared" si="10"/>
        <v>42755</v>
      </c>
      <c r="Q34" s="187">
        <v>0.09</v>
      </c>
      <c r="R34" s="138" t="s">
        <v>281</v>
      </c>
    </row>
    <row r="35" spans="1:18" s="132" customFormat="1" ht="17.25" customHeight="1">
      <c r="A35" s="128">
        <f t="shared" si="9"/>
        <v>8</v>
      </c>
      <c r="B35" s="133" t="s">
        <v>288</v>
      </c>
      <c r="C35" s="162">
        <v>42114</v>
      </c>
      <c r="D35" s="134">
        <v>46253</v>
      </c>
      <c r="E35" s="164">
        <v>1353320000</v>
      </c>
      <c r="F35" s="163"/>
      <c r="G35" s="164"/>
      <c r="H35" s="134">
        <v>42755</v>
      </c>
      <c r="I35" s="164">
        <v>11670000</v>
      </c>
      <c r="J35" s="163"/>
      <c r="K35" s="164">
        <f t="shared" si="5"/>
        <v>1341650000</v>
      </c>
      <c r="L35" s="163"/>
      <c r="M35" s="136">
        <f t="shared" si="6"/>
        <v>10488230</v>
      </c>
      <c r="N35" s="135">
        <f t="shared" si="7"/>
        <v>0</v>
      </c>
      <c r="O35" s="135">
        <f t="shared" si="8"/>
        <v>0</v>
      </c>
      <c r="P35" s="227">
        <f t="shared" si="10"/>
        <v>42755</v>
      </c>
      <c r="Q35" s="187">
        <v>0.09</v>
      </c>
      <c r="R35" s="138" t="s">
        <v>281</v>
      </c>
    </row>
    <row r="36" spans="1:18" s="132" customFormat="1" ht="17.25" customHeight="1">
      <c r="A36" s="128">
        <f t="shared" si="9"/>
        <v>9</v>
      </c>
      <c r="B36" s="133" t="s">
        <v>289</v>
      </c>
      <c r="C36" s="162">
        <v>42138</v>
      </c>
      <c r="D36" s="134">
        <v>46253</v>
      </c>
      <c r="E36" s="164">
        <v>1450000000</v>
      </c>
      <c r="F36" s="163"/>
      <c r="G36" s="164"/>
      <c r="H36" s="134">
        <v>42755</v>
      </c>
      <c r="I36" s="164">
        <v>12500000</v>
      </c>
      <c r="J36" s="163"/>
      <c r="K36" s="164">
        <f t="shared" si="5"/>
        <v>1437500000</v>
      </c>
      <c r="L36" s="163"/>
      <c r="M36" s="136">
        <f t="shared" si="6"/>
        <v>11237500</v>
      </c>
      <c r="N36" s="135">
        <f t="shared" si="7"/>
        <v>0</v>
      </c>
      <c r="O36" s="135">
        <f t="shared" si="8"/>
        <v>0</v>
      </c>
      <c r="P36" s="227">
        <f t="shared" si="10"/>
        <v>42755</v>
      </c>
      <c r="Q36" s="187">
        <v>0.09</v>
      </c>
      <c r="R36" s="138" t="s">
        <v>281</v>
      </c>
    </row>
    <row r="37" spans="1:18" s="132" customFormat="1" ht="17.25" customHeight="1">
      <c r="A37" s="128">
        <f t="shared" si="9"/>
        <v>10</v>
      </c>
      <c r="B37" s="133" t="s">
        <v>290</v>
      </c>
      <c r="C37" s="162">
        <v>42164</v>
      </c>
      <c r="D37" s="134">
        <v>46253</v>
      </c>
      <c r="E37" s="164">
        <v>1450000000</v>
      </c>
      <c r="F37" s="163"/>
      <c r="G37" s="164"/>
      <c r="H37" s="134">
        <v>42755</v>
      </c>
      <c r="I37" s="164">
        <v>12500000</v>
      </c>
      <c r="J37" s="163"/>
      <c r="K37" s="164">
        <f t="shared" si="5"/>
        <v>1437500000</v>
      </c>
      <c r="L37" s="163"/>
      <c r="M37" s="136">
        <f t="shared" si="6"/>
        <v>11237500</v>
      </c>
      <c r="N37" s="135">
        <f t="shared" si="7"/>
        <v>0</v>
      </c>
      <c r="O37" s="135">
        <f t="shared" si="8"/>
        <v>0</v>
      </c>
      <c r="P37" s="227">
        <f t="shared" si="10"/>
        <v>42755</v>
      </c>
      <c r="Q37" s="187">
        <v>0.09</v>
      </c>
      <c r="R37" s="138" t="s">
        <v>281</v>
      </c>
    </row>
    <row r="38" spans="1:18" s="132" customFormat="1" ht="17.25" customHeight="1">
      <c r="A38" s="128">
        <f t="shared" si="9"/>
        <v>11</v>
      </c>
      <c r="B38" s="133" t="s">
        <v>291</v>
      </c>
      <c r="C38" s="162">
        <v>42187</v>
      </c>
      <c r="D38" s="134">
        <v>46253</v>
      </c>
      <c r="E38" s="164">
        <v>1450000000</v>
      </c>
      <c r="F38" s="163"/>
      <c r="G38" s="164"/>
      <c r="H38" s="134">
        <v>42755</v>
      </c>
      <c r="I38" s="164">
        <v>12500000</v>
      </c>
      <c r="J38" s="163"/>
      <c r="K38" s="164">
        <f t="shared" si="5"/>
        <v>1437500000</v>
      </c>
      <c r="L38" s="163"/>
      <c r="M38" s="136">
        <f t="shared" si="6"/>
        <v>11237500</v>
      </c>
      <c r="N38" s="135">
        <f t="shared" si="7"/>
        <v>0</v>
      </c>
      <c r="O38" s="135">
        <f t="shared" si="8"/>
        <v>0</v>
      </c>
      <c r="P38" s="227">
        <f t="shared" si="10"/>
        <v>42755</v>
      </c>
      <c r="Q38" s="187">
        <v>0.09</v>
      </c>
      <c r="R38" s="138" t="s">
        <v>281</v>
      </c>
    </row>
    <row r="39" spans="1:18" s="132" customFormat="1" ht="17.25" customHeight="1">
      <c r="A39" s="128">
        <f t="shared" si="9"/>
        <v>12</v>
      </c>
      <c r="B39" s="133" t="s">
        <v>292</v>
      </c>
      <c r="C39" s="162">
        <v>42195</v>
      </c>
      <c r="D39" s="134">
        <v>46253</v>
      </c>
      <c r="E39" s="164">
        <v>1450000000</v>
      </c>
      <c r="F39" s="163"/>
      <c r="G39" s="164"/>
      <c r="H39" s="134">
        <v>42755</v>
      </c>
      <c r="I39" s="164">
        <v>12500000</v>
      </c>
      <c r="J39" s="163"/>
      <c r="K39" s="164">
        <f t="shared" si="5"/>
        <v>1437500000</v>
      </c>
      <c r="L39" s="163"/>
      <c r="M39" s="136">
        <f t="shared" si="6"/>
        <v>11237500</v>
      </c>
      <c r="N39" s="135">
        <f t="shared" si="7"/>
        <v>0</v>
      </c>
      <c r="O39" s="135">
        <f t="shared" si="8"/>
        <v>0</v>
      </c>
      <c r="P39" s="227">
        <f t="shared" si="10"/>
        <v>42755</v>
      </c>
      <c r="Q39" s="187">
        <v>0.09</v>
      </c>
      <c r="R39" s="138" t="s">
        <v>281</v>
      </c>
    </row>
    <row r="40" spans="1:18" s="132" customFormat="1" ht="17.25" customHeight="1">
      <c r="A40" s="128">
        <f t="shared" si="9"/>
        <v>13</v>
      </c>
      <c r="B40" s="133" t="s">
        <v>293</v>
      </c>
      <c r="C40" s="162">
        <v>42215</v>
      </c>
      <c r="D40" s="134">
        <v>46253</v>
      </c>
      <c r="E40" s="164">
        <v>966640000</v>
      </c>
      <c r="F40" s="163"/>
      <c r="G40" s="164"/>
      <c r="H40" s="134">
        <v>42755</v>
      </c>
      <c r="I40" s="164">
        <v>8330000</v>
      </c>
      <c r="J40" s="163"/>
      <c r="K40" s="164">
        <f t="shared" si="5"/>
        <v>958310000</v>
      </c>
      <c r="L40" s="163"/>
      <c r="M40" s="136">
        <f t="shared" si="6"/>
        <v>7491460</v>
      </c>
      <c r="N40" s="135">
        <f t="shared" si="7"/>
        <v>0</v>
      </c>
      <c r="O40" s="135">
        <f t="shared" si="8"/>
        <v>0</v>
      </c>
      <c r="P40" s="227">
        <f t="shared" si="10"/>
        <v>42755</v>
      </c>
      <c r="Q40" s="187">
        <v>0.09</v>
      </c>
      <c r="R40" s="138" t="s">
        <v>281</v>
      </c>
    </row>
    <row r="41" spans="1:18" s="132" customFormat="1" ht="17.25" customHeight="1">
      <c r="A41" s="128">
        <f t="shared" si="9"/>
        <v>14</v>
      </c>
      <c r="B41" s="133" t="s">
        <v>294</v>
      </c>
      <c r="C41" s="162">
        <v>42229</v>
      </c>
      <c r="D41" s="134">
        <v>46253</v>
      </c>
      <c r="E41" s="164">
        <v>966640000</v>
      </c>
      <c r="F41" s="163"/>
      <c r="G41" s="164"/>
      <c r="H41" s="134">
        <v>42755</v>
      </c>
      <c r="I41" s="164">
        <v>8330000</v>
      </c>
      <c r="J41" s="163"/>
      <c r="K41" s="164">
        <f t="shared" si="5"/>
        <v>958310000</v>
      </c>
      <c r="L41" s="163"/>
      <c r="M41" s="136">
        <f t="shared" si="6"/>
        <v>7491460</v>
      </c>
      <c r="N41" s="135">
        <f t="shared" si="7"/>
        <v>0</v>
      </c>
      <c r="O41" s="135">
        <f t="shared" si="8"/>
        <v>0</v>
      </c>
      <c r="P41" s="227">
        <f t="shared" si="10"/>
        <v>42755</v>
      </c>
      <c r="Q41" s="187">
        <v>0.09</v>
      </c>
      <c r="R41" s="138" t="s">
        <v>281</v>
      </c>
    </row>
    <row r="42" spans="1:18" s="132" customFormat="1" ht="17.25" customHeight="1">
      <c r="A42" s="128">
        <f t="shared" si="9"/>
        <v>15</v>
      </c>
      <c r="B42" s="133" t="s">
        <v>429</v>
      </c>
      <c r="C42" s="162">
        <v>42730</v>
      </c>
      <c r="D42" s="162">
        <v>42851</v>
      </c>
      <c r="E42" s="164"/>
      <c r="F42" s="163">
        <v>87000</v>
      </c>
      <c r="G42" s="164"/>
      <c r="H42" s="162">
        <v>42750</v>
      </c>
      <c r="I42" s="164"/>
      <c r="J42" s="163"/>
      <c r="K42" s="164">
        <f t="shared" si="5"/>
        <v>0</v>
      </c>
      <c r="L42" s="163">
        <f>F42</f>
        <v>87000</v>
      </c>
      <c r="M42" s="136"/>
      <c r="N42" s="135">
        <f t="shared" si="7"/>
        <v>181.25</v>
      </c>
      <c r="O42" s="135">
        <f t="shared" si="8"/>
        <v>0</v>
      </c>
      <c r="P42" s="227">
        <f t="shared" si="10"/>
        <v>42750</v>
      </c>
      <c r="Q42" s="187">
        <v>2.5000000000000001E-2</v>
      </c>
      <c r="R42" s="138"/>
    </row>
    <row r="43" spans="1:18" s="132" customFormat="1" ht="17.25" customHeight="1">
      <c r="A43" s="128"/>
      <c r="B43" s="133"/>
      <c r="C43" s="162"/>
      <c r="D43" s="162"/>
      <c r="E43" s="164"/>
      <c r="F43" s="163"/>
      <c r="G43" s="164"/>
      <c r="H43" s="162"/>
      <c r="I43" s="164"/>
      <c r="J43" s="163"/>
      <c r="K43" s="164"/>
      <c r="L43" s="163"/>
      <c r="M43" s="164"/>
      <c r="N43" s="163"/>
      <c r="O43" s="163"/>
      <c r="P43" s="129"/>
      <c r="Q43" s="161"/>
      <c r="R43" s="138"/>
    </row>
    <row r="44" spans="1:18" s="168" customFormat="1" ht="17.25" customHeight="1">
      <c r="A44" s="252" t="s">
        <v>295</v>
      </c>
      <c r="B44" s="252"/>
      <c r="C44" s="165"/>
      <c r="D44" s="165"/>
      <c r="E44" s="140">
        <f>SUM(E28:E43)</f>
        <v>19358200000</v>
      </c>
      <c r="F44" s="141">
        <f>SUM(F28:F43)</f>
        <v>87000</v>
      </c>
      <c r="G44" s="140">
        <f>SUM(G28:G43)</f>
        <v>0</v>
      </c>
      <c r="H44" s="141"/>
      <c r="I44" s="140">
        <f t="shared" ref="I44:O44" si="11">SUM(I28:I43)</f>
        <v>166680000</v>
      </c>
      <c r="J44" s="141">
        <f t="shared" si="11"/>
        <v>0</v>
      </c>
      <c r="K44" s="140">
        <f t="shared" si="11"/>
        <v>19191520000</v>
      </c>
      <c r="L44" s="141">
        <f t="shared" si="11"/>
        <v>87000</v>
      </c>
      <c r="M44" s="140">
        <f t="shared" si="11"/>
        <v>150026050</v>
      </c>
      <c r="N44" s="141">
        <f t="shared" si="11"/>
        <v>181.25</v>
      </c>
      <c r="O44" s="141">
        <f t="shared" si="11"/>
        <v>0</v>
      </c>
      <c r="P44" s="141"/>
      <c r="Q44" s="143"/>
      <c r="R44" s="143"/>
    </row>
    <row r="45" spans="1:18" ht="17.25" customHeight="1">
      <c r="F45" s="178"/>
    </row>
    <row r="46" spans="1:18" ht="17.25" customHeight="1">
      <c r="F46" s="178"/>
    </row>
    <row r="47" spans="1:18" ht="17.25" customHeight="1">
      <c r="F47" s="175"/>
    </row>
    <row r="48" spans="1:18" ht="17.25" customHeight="1">
      <c r="F48" s="175"/>
    </row>
    <row r="50" spans="6:14" ht="17.25" customHeight="1">
      <c r="F50" s="178"/>
    </row>
    <row r="58" spans="6:14" ht="17.25" customHeight="1">
      <c r="M58" s="181"/>
      <c r="N58" s="181"/>
    </row>
  </sheetData>
  <autoFilter ref="A3:R27"/>
  <sortState ref="A10:T25">
    <sortCondition ref="C10:C25"/>
  </sortState>
  <mergeCells count="12">
    <mergeCell ref="A44:B44"/>
    <mergeCell ref="A2:A3"/>
    <mergeCell ref="B2:B3"/>
    <mergeCell ref="C2:D2"/>
    <mergeCell ref="E2:G2"/>
    <mergeCell ref="M2:P2"/>
    <mergeCell ref="Q2:Q3"/>
    <mergeCell ref="R2:R3"/>
    <mergeCell ref="A9:B9"/>
    <mergeCell ref="A27:B27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57" t="s">
        <v>263</v>
      </c>
      <c r="I2" s="257"/>
      <c r="J2" s="257"/>
      <c r="K2" s="248" t="s">
        <v>264</v>
      </c>
      <c r="L2" s="248"/>
      <c r="M2" s="255" t="s">
        <v>265</v>
      </c>
      <c r="N2" s="255"/>
      <c r="O2" s="255"/>
      <c r="P2" s="255"/>
      <c r="Q2" s="255"/>
      <c r="R2" s="256" t="s">
        <v>266</v>
      </c>
      <c r="S2" s="250" t="s">
        <v>267</v>
      </c>
    </row>
    <row r="3" spans="1:20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6" t="s">
        <v>270</v>
      </c>
      <c r="J3" s="206" t="s">
        <v>272</v>
      </c>
      <c r="K3" s="207" t="s">
        <v>270</v>
      </c>
      <c r="L3" s="125" t="s">
        <v>272</v>
      </c>
      <c r="M3" s="204" t="s">
        <v>273</v>
      </c>
      <c r="N3" s="204" t="s">
        <v>274</v>
      </c>
      <c r="O3" s="127" t="s">
        <v>275</v>
      </c>
      <c r="P3" s="205" t="s">
        <v>307</v>
      </c>
      <c r="Q3" s="205" t="s">
        <v>276</v>
      </c>
      <c r="R3" s="256"/>
      <c r="S3" s="250"/>
    </row>
    <row r="4" spans="1:20" s="147" customFormat="1" ht="17.25" customHeight="1">
      <c r="A4" s="145">
        <f>ROW()-3</f>
        <v>1</v>
      </c>
      <c r="B4" s="148" t="s">
        <v>498</v>
      </c>
      <c r="C4" s="149">
        <v>42742</v>
      </c>
      <c r="D4" s="149">
        <v>42923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428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427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465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484</v>
      </c>
      <c r="C16" s="134">
        <v>42741</v>
      </c>
      <c r="D16" s="134">
        <v>42922</v>
      </c>
      <c r="E16" s="136"/>
      <c r="F16" s="135">
        <v>93000</v>
      </c>
      <c r="G16" s="136"/>
      <c r="H16" s="134"/>
      <c r="I16" s="135"/>
      <c r="J16" s="135"/>
      <c r="K16" s="130"/>
      <c r="L16" s="130">
        <f t="shared" si="4"/>
        <v>93000</v>
      </c>
      <c r="M16" s="135"/>
      <c r="N16" s="135"/>
      <c r="O16" s="137">
        <f t="shared" si="5"/>
        <v>0</v>
      </c>
      <c r="P16" s="137">
        <f t="shared" si="6"/>
        <v>240.25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42754</v>
      </c>
      <c r="D20" s="134"/>
      <c r="E20" s="164"/>
      <c r="F20" s="163">
        <v>51100</v>
      </c>
      <c r="G20" s="164"/>
      <c r="H20" s="162"/>
      <c r="I20" s="163"/>
      <c r="J20" s="163"/>
      <c r="K20" s="131"/>
      <c r="L20" s="130">
        <f t="shared" si="4"/>
        <v>51100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52" t="s">
        <v>305</v>
      </c>
      <c r="B22" s="252"/>
      <c r="C22" s="165"/>
      <c r="D22" s="165"/>
      <c r="E22" s="140">
        <f>SUM(E4:E21)</f>
        <v>0</v>
      </c>
      <c r="F22" s="141">
        <f>SUM(F10:F21)</f>
        <v>969600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969600</v>
      </c>
      <c r="M22" s="141">
        <f>SUM(M4:M14)</f>
        <v>0</v>
      </c>
      <c r="N22" s="141"/>
      <c r="O22" s="141">
        <f>SUM(O10:O21)</f>
        <v>0</v>
      </c>
      <c r="P22" s="141">
        <f>SUM(P10:P21)</f>
        <v>2372.791666666667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'01-17'!K28</f>
        <v>958300000</v>
      </c>
      <c r="F23" s="137"/>
      <c r="G23" s="150"/>
      <c r="H23" s="149">
        <v>42785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8145550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42785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'01-17'!K29</f>
        <v>1916650000</v>
      </c>
      <c r="F24" s="137"/>
      <c r="G24" s="150"/>
      <c r="H24" s="149">
        <v>42785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42785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'01-17'!K30</f>
        <v>1533300000</v>
      </c>
      <c r="F25" s="173"/>
      <c r="G25" s="172"/>
      <c r="H25" s="149">
        <v>42785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42785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'01-17'!K31</f>
        <v>1462500000</v>
      </c>
      <c r="F26" s="173"/>
      <c r="G26" s="172"/>
      <c r="H26" s="149">
        <v>42785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42785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'01-17'!K32</f>
        <v>958350000</v>
      </c>
      <c r="F27" s="173"/>
      <c r="G27" s="172"/>
      <c r="H27" s="149">
        <v>42785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42785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'01-17'!K33</f>
        <v>1437500000</v>
      </c>
      <c r="F28" s="173"/>
      <c r="G28" s="172"/>
      <c r="H28" s="149">
        <v>42785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7546875</v>
      </c>
      <c r="N28" s="173"/>
      <c r="O28" s="137">
        <f t="shared" si="11"/>
        <v>0</v>
      </c>
      <c r="P28" s="137">
        <f t="shared" si="8"/>
        <v>0</v>
      </c>
      <c r="Q28" s="189">
        <v>42785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'01-17'!K34</f>
        <v>1916650000</v>
      </c>
      <c r="F29" s="173"/>
      <c r="G29" s="172"/>
      <c r="H29" s="149">
        <v>42785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42785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'01-17'!K35</f>
        <v>1341650000</v>
      </c>
      <c r="F30" s="173"/>
      <c r="G30" s="172"/>
      <c r="H30" s="149">
        <v>42785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42785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'01-17'!K36</f>
        <v>1437500000</v>
      </c>
      <c r="F31" s="173"/>
      <c r="G31" s="172"/>
      <c r="H31" s="149">
        <v>42785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42785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'01-17'!K37</f>
        <v>1437500000</v>
      </c>
      <c r="F32" s="173"/>
      <c r="G32" s="172"/>
      <c r="H32" s="149">
        <v>42785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42785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'01-17'!K38</f>
        <v>1437500000</v>
      </c>
      <c r="F33" s="173"/>
      <c r="G33" s="172"/>
      <c r="H33" s="149">
        <v>42785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42785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'01-17'!K39</f>
        <v>1437500000</v>
      </c>
      <c r="F34" s="173"/>
      <c r="G34" s="172"/>
      <c r="H34" s="149">
        <v>42785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42785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'01-17'!K40</f>
        <v>958310000</v>
      </c>
      <c r="F35" s="173"/>
      <c r="G35" s="172"/>
      <c r="H35" s="149">
        <v>42785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42785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'01-17'!K41</f>
        <v>958310000</v>
      </c>
      <c r="F36" s="173"/>
      <c r="G36" s="172"/>
      <c r="H36" s="149">
        <v>42785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8145635</v>
      </c>
      <c r="N36" s="173"/>
      <c r="O36" s="137">
        <f t="shared" si="11"/>
        <v>0</v>
      </c>
      <c r="P36" s="137">
        <f t="shared" si="8"/>
        <v>0</v>
      </c>
      <c r="Q36" s="189">
        <v>42785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429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205.41666666666666</v>
      </c>
      <c r="P37" s="137">
        <f t="shared" si="8"/>
        <v>0</v>
      </c>
      <c r="Q37" s="189">
        <v>42785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52" t="s">
        <v>295</v>
      </c>
      <c r="B40" s="252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158456045</v>
      </c>
      <c r="N40" s="141">
        <f t="shared" si="12"/>
        <v>0</v>
      </c>
      <c r="O40" s="141">
        <f t="shared" si="12"/>
        <v>205.41666666666666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2017-03-27T07:56:28Z</cp:lastPrinted>
  <dcterms:created xsi:type="dcterms:W3CDTF">2016-07-02T08:51:17Z</dcterms:created>
  <dcterms:modified xsi:type="dcterms:W3CDTF">2017-03-30T02:30:48Z</dcterms:modified>
</cp:coreProperties>
</file>