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firstSheet="9" activeTab="22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  <sheet name="CC - 09" sheetId="41" r:id="rId18"/>
    <sheet name="L - 09" sheetId="42" r:id="rId19"/>
    <sheet name="CC - 10" sheetId="43" r:id="rId20"/>
    <sheet name="L - 10" sheetId="44" r:id="rId21"/>
    <sheet name="CC - 11" sheetId="45" r:id="rId22"/>
    <sheet name="TH (2)" sheetId="50" r:id="rId23"/>
    <sheet name="L - 11" sheetId="46" r:id="rId24"/>
    <sheet name="CC - 12" sheetId="47" r:id="rId25"/>
    <sheet name="L - 12" sheetId="48" r:id="rId26"/>
    <sheet name="Sheet1" sheetId="49" r:id="rId27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4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3" hidden="1">{"'Sheet1'!$L$16"}</definedName>
    <definedName name="_a1" localSheetId="25" hidden="1">{"'Sheet1'!$L$16"}</definedName>
    <definedName name="_a1" localSheetId="0" hidden="1">{"'Sheet1'!$L$16"}</definedName>
    <definedName name="_a1" localSheetId="22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4" hidden="1">#REF!</definedName>
    <definedName name="_Fill" localSheetId="14" hidden="1">#REF!</definedName>
    <definedName name="_Fill" localSheetId="16" hidden="1">#REF!</definedName>
    <definedName name="_Fill" localSheetId="18" hidden="1">#REF!</definedName>
    <definedName name="_Fill" localSheetId="20" hidden="1">#REF!</definedName>
    <definedName name="_Fill" localSheetId="23" hidden="1">#REF!</definedName>
    <definedName name="_Fill" localSheetId="25" hidden="1">#REF!</definedName>
    <definedName name="_Fill" localSheetId="22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4" hidden="1">'CC - 12'!$A$7:$AS$7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18" hidden="1">'L - 09'!$A$7:$AE$10</definedName>
    <definedName name="_xlnm._FilterDatabase" localSheetId="20" hidden="1">'L - 10'!$A$7:$AE$10</definedName>
    <definedName name="_xlnm._FilterDatabase" localSheetId="23" hidden="1">'L - 11'!$A$7:$AE$10</definedName>
    <definedName name="_xlnm._FilterDatabase" localSheetId="25" hidden="1">'L - 12'!$A$7:$AE$10</definedName>
    <definedName name="_xlnm._FilterDatabase" localSheetId="0" hidden="1">TH!$A$10:$Z$52</definedName>
    <definedName name="_xlnm._FilterDatabase" localSheetId="22" hidden="1">'TH (2)'!$A$10:$Z$52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24" hidden="1">#REF!</definedName>
    <definedName name="_Key1" localSheetId="14" hidden="1">#REF!</definedName>
    <definedName name="_Key1" localSheetId="16" hidden="1">#REF!</definedName>
    <definedName name="_Key1" localSheetId="18" hidden="1">#REF!</definedName>
    <definedName name="_Key1" localSheetId="20" hidden="1">#REF!</definedName>
    <definedName name="_Key1" localSheetId="23" hidden="1">#REF!</definedName>
    <definedName name="_Key1" localSheetId="25" hidden="1">#REF!</definedName>
    <definedName name="_Key1" localSheetId="22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24" hidden="1">#REF!</definedName>
    <definedName name="_Key2" localSheetId="14" hidden="1">#REF!</definedName>
    <definedName name="_Key2" localSheetId="16" hidden="1">#REF!</definedName>
    <definedName name="_Key2" localSheetId="18" hidden="1">#REF!</definedName>
    <definedName name="_Key2" localSheetId="20" hidden="1">#REF!</definedName>
    <definedName name="_Key2" localSheetId="23" hidden="1">#REF!</definedName>
    <definedName name="_Key2" localSheetId="25" hidden="1">#REF!</definedName>
    <definedName name="_Key2" localSheetId="22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4" hidden="1">#REF!</definedName>
    <definedName name="_Sort" localSheetId="14" hidden="1">#REF!</definedName>
    <definedName name="_Sort" localSheetId="16" hidden="1">#REF!</definedName>
    <definedName name="_Sort" localSheetId="18" hidden="1">#REF!</definedName>
    <definedName name="_Sort" localSheetId="20" hidden="1">#REF!</definedName>
    <definedName name="_Sort" localSheetId="23" hidden="1">#REF!</definedName>
    <definedName name="_Sort" localSheetId="25" hidden="1">#REF!</definedName>
    <definedName name="_Sort" localSheetId="22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localSheetId="19" hidden="1">#REF!</definedName>
    <definedName name="CP" localSheetId="21" hidden="1">#REF!</definedName>
    <definedName name="CP" localSheetId="24" hidden="1">#REF!</definedName>
    <definedName name="CP" localSheetId="14" hidden="1">#REF!</definedName>
    <definedName name="CP" localSheetId="16" hidden="1">#REF!</definedName>
    <definedName name="CP" localSheetId="18" hidden="1">#REF!</definedName>
    <definedName name="CP" localSheetId="20" hidden="1">#REF!</definedName>
    <definedName name="CP" localSheetId="23" hidden="1">#REF!</definedName>
    <definedName name="CP" localSheetId="25" hidden="1">#REF!</definedName>
    <definedName name="CP" localSheetId="22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4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0" hidden="1">{#N/A,#N/A,FALSE,"Chi tiÆt"}</definedName>
    <definedName name="dh" localSheetId="22" hidden="1">{#N/A,#N/A,FALSE,"Chi tiÆt"}</definedName>
    <definedName name="dh" hidden="1">{#N/A,#N/A,FALSE,"Chi tiÆt"}</definedName>
    <definedName name="DS" localSheetId="22">'TH (2)'!$B$11:$X$57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4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3" hidden="1">{"'Sheet1'!$L$16"}</definedName>
    <definedName name="GFSAH" localSheetId="25" hidden="1">{"'Sheet1'!$L$16"}</definedName>
    <definedName name="GFSAH" localSheetId="0" hidden="1">{"'Sheet1'!$L$16"}</definedName>
    <definedName name="GFSAH" localSheetId="22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4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0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4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3" hidden="1">{"'Sheet1'!$L$16"}</definedName>
    <definedName name="h" localSheetId="25" hidden="1">{"'Sheet1'!$L$16"}</definedName>
    <definedName name="h" localSheetId="0" hidden="1">{"'Sheet1'!$L$16"}</definedName>
    <definedName name="h" localSheetId="22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4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0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4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0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4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3" hidden="1">{"'Sheet1'!$L$16"}</definedName>
    <definedName name="huy" localSheetId="25" hidden="1">{"'Sheet1'!$L$16"}</definedName>
    <definedName name="huy" localSheetId="0" hidden="1">{"'Sheet1'!$L$16"}</definedName>
    <definedName name="huy" localSheetId="22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4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3" hidden="1">{"'Sheet1'!$L$16"}</definedName>
    <definedName name="khkl" localSheetId="25" hidden="1">{"'Sheet1'!$L$16"}</definedName>
    <definedName name="khkl" localSheetId="0" hidden="1">{"'Sheet1'!$L$16"}</definedName>
    <definedName name="khkl" localSheetId="22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4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3" hidden="1">{"'Sheet1'!$L$16"}</definedName>
    <definedName name="kjjh" localSheetId="25" hidden="1">{"'Sheet1'!$L$16"}</definedName>
    <definedName name="kjjh" localSheetId="0" hidden="1">{"'Sheet1'!$L$16"}</definedName>
    <definedName name="kjjh" localSheetId="22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4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0" hidden="1">{"'Sheet1'!$L$16"}</definedName>
    <definedName name="KTLDLAN3" localSheetId="22" hidden="1">{"'Sheet1'!$L$16"}</definedName>
    <definedName name="KTLDLAN3" hidden="1">{"'Sheet1'!$L$16"}</definedName>
    <definedName name="_xlnm.Print_Area" localSheetId="1">'CC - 01'!$A$104:$AS$128</definedName>
    <definedName name="_xlnm.Print_Area" localSheetId="3">'CC - 02'!$A$102:$AS$126</definedName>
    <definedName name="_xlnm.Print_Area" localSheetId="5">'CC - 03'!$A$102:$AS$126</definedName>
    <definedName name="_xlnm.Print_Area" localSheetId="7">'CC - 04'!$A$100:$AS$124</definedName>
    <definedName name="_xlnm.Print_Area" localSheetId="9">'CC - 05'!$A$96:$AS$120</definedName>
    <definedName name="_xlnm.Print_Area" localSheetId="11">'CC - 06'!$A$84:$AS$109</definedName>
    <definedName name="_xlnm.Print_Area" localSheetId="13">'CC - 07'!$A$78:$AS$105</definedName>
    <definedName name="_xlnm.Print_Area" localSheetId="15">'CC - 08'!$A$76:$AS$101</definedName>
    <definedName name="_xlnm.Print_Area" localSheetId="17">'CC - 09'!$A$76:$AS$101</definedName>
    <definedName name="_xlnm.Print_Area" localSheetId="19">'CC - 10'!$A$76:$AS$103</definedName>
    <definedName name="_xlnm.Print_Area" localSheetId="21">'CC - 11'!$A$76:$AS$103</definedName>
    <definedName name="_xlnm.Print_Area" localSheetId="24">'CC - 12'!$A$76:$AS$103</definedName>
    <definedName name="_xlnm.Print_Area" localSheetId="2">'L - 01'!$A$59:$T$79</definedName>
    <definedName name="_xlnm.Print_Area" localSheetId="4">'L - 02'!$A$58:$T$77</definedName>
    <definedName name="_xlnm.Print_Area" localSheetId="6">'L - 03'!$A$58:$T$77</definedName>
    <definedName name="_xlnm.Print_Area" localSheetId="8">'L - 04'!$A$57:$T$77</definedName>
    <definedName name="_xlnm.Print_Area" localSheetId="10">'L - 05'!$A$54:$T$76</definedName>
    <definedName name="_xlnm.Print_Area" localSheetId="12">'L - 06'!$A$49:$T$70</definedName>
    <definedName name="_xlnm.Print_Area" localSheetId="14">'L - 07'!$A$46:$T$67</definedName>
    <definedName name="_xlnm.Print_Area" localSheetId="16">'L - 08'!$A$45:$T$67</definedName>
    <definedName name="_xlnm.Print_Area" localSheetId="18">'L - 09'!$A$45:$T$67</definedName>
    <definedName name="_xlnm.Print_Area" localSheetId="20">'L - 10'!$A$45:$T$68</definedName>
    <definedName name="_xlnm.Print_Area" localSheetId="23">'L - 11'!$A$43:$T$66</definedName>
    <definedName name="_xlnm.Print_Area" localSheetId="25">'L - 12'!$A$43:$T$66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4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3" hidden="1">{"'Sheet1'!$L$16"}</definedName>
    <definedName name="ưer" localSheetId="25" hidden="1">{"'Sheet1'!$L$16"}</definedName>
    <definedName name="ưer" localSheetId="0" hidden="1">{"'Sheet1'!$L$16"}</definedName>
    <definedName name="ưer" localSheetId="22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4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3" hidden="1">{"'Sheet1'!$L$16"}</definedName>
    <definedName name="UU" localSheetId="25" hidden="1">{"'Sheet1'!$L$16"}</definedName>
    <definedName name="UU" localSheetId="0" hidden="1">{"'Sheet1'!$L$16"}</definedName>
    <definedName name="UU" localSheetId="22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4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0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V12" i="50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11"/>
  <c r="M51"/>
  <c r="M50"/>
  <c r="M49"/>
  <c r="M48"/>
  <c r="M47"/>
  <c r="M46"/>
  <c r="M45"/>
  <c r="M44"/>
  <c r="M43"/>
  <c r="M42"/>
  <c r="K66" i="18"/>
  <c r="M112" i="50"/>
  <c r="N142" s="1"/>
  <c r="M111"/>
  <c r="N140" s="1"/>
  <c r="M110"/>
  <c r="N138" s="1"/>
  <c r="M109"/>
  <c r="N136" s="1"/>
  <c r="M108"/>
  <c r="N134" s="1"/>
  <c r="M107"/>
  <c r="N132" s="1"/>
  <c r="M106"/>
  <c r="N130" s="1"/>
  <c r="M105"/>
  <c r="N128" s="1"/>
  <c r="M104"/>
  <c r="N126" s="1"/>
  <c r="M103"/>
  <c r="N124" s="1"/>
  <c r="M102"/>
  <c r="N122" s="1"/>
  <c r="M101"/>
  <c r="N120" s="1"/>
  <c r="M100"/>
  <c r="N118" s="1"/>
  <c r="M99"/>
  <c r="N116" s="1"/>
  <c r="M98"/>
  <c r="N114" s="1"/>
  <c r="M97"/>
  <c r="N112" s="1"/>
  <c r="M96"/>
  <c r="N110" s="1"/>
  <c r="M95"/>
  <c r="N108" s="1"/>
  <c r="M94"/>
  <c r="N106" s="1"/>
  <c r="M93"/>
  <c r="N104" s="1"/>
  <c r="M92"/>
  <c r="N102" s="1"/>
  <c r="M91"/>
  <c r="N100" s="1"/>
  <c r="N90"/>
  <c r="M90"/>
  <c r="N98" s="1"/>
  <c r="M89"/>
  <c r="N96" s="1"/>
  <c r="M88"/>
  <c r="N94" s="1"/>
  <c r="M87"/>
  <c r="N92" s="1"/>
  <c r="M86"/>
  <c r="M85"/>
  <c r="N88" s="1"/>
  <c r="M84"/>
  <c r="N86" s="1"/>
  <c r="M83"/>
  <c r="N84" s="1"/>
  <c r="M82"/>
  <c r="N82" s="1"/>
  <c r="U56" a="1"/>
  <c r="U56" s="1"/>
  <c r="T56" a="1"/>
  <c r="T56" s="1"/>
  <c r="S56" a="1"/>
  <c r="S56" s="1"/>
  <c r="R56" a="1"/>
  <c r="R56" s="1"/>
  <c r="Q56" a="1"/>
  <c r="Q56" s="1"/>
  <c r="P56" a="1"/>
  <c r="P56" s="1"/>
  <c r="O56" a="1"/>
  <c r="O56" s="1"/>
  <c r="N56" a="1"/>
  <c r="N56" s="1"/>
  <c r="M56" a="1"/>
  <c r="L56"/>
  <c r="L56" a="1"/>
  <c r="K56"/>
  <c r="K56" a="1"/>
  <c r="J56"/>
  <c r="J56" a="1"/>
  <c r="U55"/>
  <c r="T55"/>
  <c r="S55"/>
  <c r="R55"/>
  <c r="Q55"/>
  <c r="P55"/>
  <c r="O55"/>
  <c r="N55"/>
  <c r="M55"/>
  <c r="L55"/>
  <c r="K55"/>
  <c r="J55"/>
  <c r="H55"/>
  <c r="G55"/>
  <c r="F55"/>
  <c r="E55"/>
  <c r="A52"/>
  <c r="AA51"/>
  <c r="AB51" s="1"/>
  <c r="Y51"/>
  <c r="A51"/>
  <c r="AA50"/>
  <c r="AB50" s="1"/>
  <c r="Y50"/>
  <c r="A50"/>
  <c r="AA49"/>
  <c r="AB49" s="1"/>
  <c r="Y49"/>
  <c r="A49"/>
  <c r="AA48"/>
  <c r="AB48" s="1"/>
  <c r="Y48"/>
  <c r="A48"/>
  <c r="AA47"/>
  <c r="AB47" s="1"/>
  <c r="Y47"/>
  <c r="A47"/>
  <c r="AA46"/>
  <c r="AB46" s="1"/>
  <c r="Y46"/>
  <c r="A46"/>
  <c r="AA45"/>
  <c r="AB45" s="1"/>
  <c r="Y45"/>
  <c r="A45"/>
  <c r="AA44"/>
  <c r="AB44" s="1"/>
  <c r="Y44"/>
  <c r="A44"/>
  <c r="AA43"/>
  <c r="AB43" s="1"/>
  <c r="Y43"/>
  <c r="A43"/>
  <c r="AA42"/>
  <c r="AB42" s="1"/>
  <c r="Y42"/>
  <c r="A42"/>
  <c r="AA41"/>
  <c r="AB41" s="1"/>
  <c r="Y41"/>
  <c r="A41"/>
  <c r="AA40"/>
  <c r="AB40" s="1"/>
  <c r="Y40"/>
  <c r="A40"/>
  <c r="AA39"/>
  <c r="AB39" s="1"/>
  <c r="Y39"/>
  <c r="A39"/>
  <c r="AA38"/>
  <c r="AB38" s="1"/>
  <c r="Y38"/>
  <c r="A38"/>
  <c r="AA37"/>
  <c r="AB37" s="1"/>
  <c r="Y37"/>
  <c r="A37"/>
  <c r="AA36"/>
  <c r="AB36" s="1"/>
  <c r="Y36"/>
  <c r="A36"/>
  <c r="AA35"/>
  <c r="AB35" s="1"/>
  <c r="Y35"/>
  <c r="A35"/>
  <c r="AA34"/>
  <c r="AB34" s="1"/>
  <c r="Y34"/>
  <c r="A34"/>
  <c r="AA33"/>
  <c r="AB33" s="1"/>
  <c r="Y33"/>
  <c r="A33"/>
  <c r="AA32"/>
  <c r="AB32" s="1"/>
  <c r="Y32"/>
  <c r="A32"/>
  <c r="AA31"/>
  <c r="AB31" s="1"/>
  <c r="Y31"/>
  <c r="A31"/>
  <c r="AA30"/>
  <c r="AB30" s="1"/>
  <c r="Y30"/>
  <c r="A30"/>
  <c r="AA29"/>
  <c r="AB29" s="1"/>
  <c r="Y29"/>
  <c r="A29"/>
  <c r="AA28"/>
  <c r="AB28" s="1"/>
  <c r="Y28"/>
  <c r="A28"/>
  <c r="AA27"/>
  <c r="AB27" s="1"/>
  <c r="Y27"/>
  <c r="A27"/>
  <c r="AA26"/>
  <c r="AB26" s="1"/>
  <c r="Y26"/>
  <c r="A26"/>
  <c r="AA25"/>
  <c r="AB25" s="1"/>
  <c r="Y25"/>
  <c r="A25"/>
  <c r="AA24"/>
  <c r="AB24" s="1"/>
  <c r="Y24"/>
  <c r="A24"/>
  <c r="AA23"/>
  <c r="AB23" s="1"/>
  <c r="Y23"/>
  <c r="A23"/>
  <c r="AA22"/>
  <c r="AB22" s="1"/>
  <c r="Y22"/>
  <c r="A22"/>
  <c r="AA21"/>
  <c r="AB21" s="1"/>
  <c r="Y21"/>
  <c r="A21"/>
  <c r="AA20"/>
  <c r="AB20" s="1"/>
  <c r="Y20"/>
  <c r="A20"/>
  <c r="AA19"/>
  <c r="AB19" s="1"/>
  <c r="Y19"/>
  <c r="A19"/>
  <c r="AA18"/>
  <c r="AB18" s="1"/>
  <c r="Y18"/>
  <c r="A18"/>
  <c r="AA17"/>
  <c r="AB17" s="1"/>
  <c r="Y17"/>
  <c r="A17"/>
  <c r="AA16"/>
  <c r="AB16" s="1"/>
  <c r="Y16"/>
  <c r="A16"/>
  <c r="AA15"/>
  <c r="AB15" s="1"/>
  <c r="Y15"/>
  <c r="A15"/>
  <c r="AA14"/>
  <c r="AB14" s="1"/>
  <c r="Y14"/>
  <c r="A14"/>
  <c r="AA13"/>
  <c r="AB13" s="1"/>
  <c r="Y13"/>
  <c r="A13"/>
  <c r="AA12"/>
  <c r="AB12" s="1"/>
  <c r="Y12"/>
  <c r="A12"/>
  <c r="AA11"/>
  <c r="AB11" s="1"/>
  <c r="Y11"/>
  <c r="A11"/>
  <c r="A6"/>
  <c r="AB51" i="15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11"/>
  <c r="AA5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11"/>
  <c r="Y20"/>
  <c r="J55"/>
  <c r="Y50"/>
  <c r="Y49"/>
  <c r="Y46"/>
  <c r="Y45"/>
  <c r="Y44"/>
  <c r="Y43"/>
  <c r="Y36"/>
  <c r="Y35"/>
  <c r="Y34"/>
  <c r="Y33"/>
  <c r="Y32"/>
  <c r="Y30"/>
  <c r="Y27"/>
  <c r="Y26"/>
  <c r="Y25"/>
  <c r="Y21"/>
  <c r="Y22"/>
  <c r="Y23"/>
  <c r="Y24"/>
  <c r="Y28"/>
  <c r="Y29"/>
  <c r="Y31"/>
  <c r="Y37"/>
  <c r="Y38"/>
  <c r="Y39"/>
  <c r="Y40"/>
  <c r="Y41"/>
  <c r="Y42"/>
  <c r="Y47"/>
  <c r="Y48"/>
  <c r="Y51"/>
  <c r="Y12"/>
  <c r="Y13"/>
  <c r="Y14"/>
  <c r="Y15"/>
  <c r="Y16"/>
  <c r="Y17"/>
  <c r="Y18"/>
  <c r="Y19"/>
  <c r="Y11"/>
  <c r="U55"/>
  <c r="M56" i="50" l="1"/>
  <c r="C29" i="42"/>
  <c r="D29"/>
  <c r="E29"/>
  <c r="N29" s="1"/>
  <c r="O29"/>
  <c r="R29"/>
  <c r="C26"/>
  <c r="D26"/>
  <c r="E26"/>
  <c r="N26" s="1"/>
  <c r="R26"/>
  <c r="E4" i="46"/>
  <c r="E4" i="48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7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G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58" i="46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5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E4" i="44"/>
  <c r="E4" i="42"/>
  <c r="R60" i="44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3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2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R62" s="1"/>
  <c r="E53"/>
  <c r="E62" s="1"/>
  <c r="D53"/>
  <c r="C53"/>
  <c r="A47"/>
  <c r="A46"/>
  <c r="R30"/>
  <c r="E30"/>
  <c r="O30" s="1"/>
  <c r="D30"/>
  <c r="C30"/>
  <c r="R28"/>
  <c r="E28"/>
  <c r="O28" s="1"/>
  <c r="D28"/>
  <c r="C28"/>
  <c r="R27"/>
  <c r="E27"/>
  <c r="O27" s="1"/>
  <c r="D27"/>
  <c r="C27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D10"/>
  <c r="C10"/>
  <c r="S34"/>
  <c r="S64" s="1"/>
  <c r="A3"/>
  <c r="A2"/>
  <c r="AL97" i="41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AL97" i="29"/>
  <c r="D97"/>
  <c r="C97"/>
  <c r="C60" i="30"/>
  <c r="D60"/>
  <c r="E60"/>
  <c r="R60"/>
  <c r="AL99" i="27"/>
  <c r="D99"/>
  <c r="C99"/>
  <c r="C61" i="28"/>
  <c r="D61"/>
  <c r="E61"/>
  <c r="O61" s="1"/>
  <c r="R61"/>
  <c r="E83" i="16"/>
  <c r="F5" i="29"/>
  <c r="E4" i="30"/>
  <c r="S1" i="29"/>
  <c r="S76" s="1"/>
  <c r="R59" i="30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D53"/>
  <c r="C53"/>
  <c r="A47"/>
  <c r="A46"/>
  <c r="R30"/>
  <c r="E30"/>
  <c r="O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R32" s="1"/>
  <c r="E10"/>
  <c r="P10" s="1"/>
  <c r="D10"/>
  <c r="C10"/>
  <c r="S34"/>
  <c r="S64" s="1"/>
  <c r="A3"/>
  <c r="A2"/>
  <c r="AL95" i="29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6"/>
  <c r="A3"/>
  <c r="A78" s="1"/>
  <c r="A2"/>
  <c r="A77" s="1"/>
  <c r="E32" i="42" l="1"/>
  <c r="R32"/>
  <c r="P29"/>
  <c r="O26"/>
  <c r="R30" i="46"/>
  <c r="N17"/>
  <c r="N28"/>
  <c r="N15" i="48"/>
  <c r="N51"/>
  <c r="N19"/>
  <c r="N13"/>
  <c r="N17"/>
  <c r="P10"/>
  <c r="N10"/>
  <c r="R30"/>
  <c r="P13"/>
  <c r="P15"/>
  <c r="P17"/>
  <c r="N21"/>
  <c r="N23"/>
  <c r="N27"/>
  <c r="N28"/>
  <c r="N52"/>
  <c r="N54"/>
  <c r="N56"/>
  <c r="N58"/>
  <c r="P21"/>
  <c r="P23"/>
  <c r="P27"/>
  <c r="P52"/>
  <c r="P54"/>
  <c r="P56"/>
  <c r="P26" i="42"/>
  <c r="G5" i="47"/>
  <c r="H5" s="1"/>
  <c r="O11" i="48"/>
  <c r="O14"/>
  <c r="O16"/>
  <c r="O18"/>
  <c r="P19"/>
  <c r="O20"/>
  <c r="O22"/>
  <c r="O25"/>
  <c r="O26"/>
  <c r="P28"/>
  <c r="E30"/>
  <c r="S32"/>
  <c r="S62" s="1"/>
  <c r="O51"/>
  <c r="O53"/>
  <c r="O55"/>
  <c r="O57"/>
  <c r="P58"/>
  <c r="E60"/>
  <c r="N11"/>
  <c r="N14"/>
  <c r="N16"/>
  <c r="N18"/>
  <c r="N20"/>
  <c r="N22"/>
  <c r="N25"/>
  <c r="N26"/>
  <c r="N53"/>
  <c r="N55"/>
  <c r="N57"/>
  <c r="H6" i="47"/>
  <c r="I5"/>
  <c r="G81"/>
  <c r="H80"/>
  <c r="N21" i="46"/>
  <c r="G6" i="47"/>
  <c r="F81"/>
  <c r="P27" i="46"/>
  <c r="N15"/>
  <c r="N19"/>
  <c r="N23"/>
  <c r="N27"/>
  <c r="N10"/>
  <c r="P10"/>
  <c r="O11"/>
  <c r="N13"/>
  <c r="P13"/>
  <c r="O14"/>
  <c r="P15"/>
  <c r="O16"/>
  <c r="P17"/>
  <c r="O18"/>
  <c r="P19"/>
  <c r="O20"/>
  <c r="P21"/>
  <c r="O22"/>
  <c r="P23"/>
  <c r="O25"/>
  <c r="O26"/>
  <c r="P28"/>
  <c r="E30"/>
  <c r="S32"/>
  <c r="S62" s="1"/>
  <c r="O51"/>
  <c r="N52"/>
  <c r="P52"/>
  <c r="O53"/>
  <c r="N54"/>
  <c r="P54"/>
  <c r="O55"/>
  <c r="N56"/>
  <c r="P56"/>
  <c r="O57"/>
  <c r="N58"/>
  <c r="P58"/>
  <c r="E60"/>
  <c r="D70" i="44"/>
  <c r="N11" i="46"/>
  <c r="N14"/>
  <c r="N16"/>
  <c r="N18"/>
  <c r="N20"/>
  <c r="N22"/>
  <c r="N25"/>
  <c r="N26"/>
  <c r="N51"/>
  <c r="N53"/>
  <c r="N55"/>
  <c r="N57"/>
  <c r="G80" i="45"/>
  <c r="F81"/>
  <c r="P10" i="44"/>
  <c r="P13"/>
  <c r="P15"/>
  <c r="P17"/>
  <c r="P19"/>
  <c r="P21"/>
  <c r="P23"/>
  <c r="P26"/>
  <c r="P28"/>
  <c r="P30"/>
  <c r="P54"/>
  <c r="P56"/>
  <c r="P58"/>
  <c r="P60"/>
  <c r="G5" i="45"/>
  <c r="N10" i="44"/>
  <c r="N13"/>
  <c r="N15"/>
  <c r="N17"/>
  <c r="N19"/>
  <c r="N21"/>
  <c r="N23"/>
  <c r="N26"/>
  <c r="N28"/>
  <c r="N30"/>
  <c r="N54"/>
  <c r="R62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3"/>
  <c r="F81"/>
  <c r="P10" i="42"/>
  <c r="P13"/>
  <c r="P15"/>
  <c r="P17"/>
  <c r="P19"/>
  <c r="P21"/>
  <c r="P23"/>
  <c r="P28"/>
  <c r="P30"/>
  <c r="P54"/>
  <c r="P56"/>
  <c r="P58"/>
  <c r="P60"/>
  <c r="G5" i="43"/>
  <c r="N10" i="42"/>
  <c r="N13"/>
  <c r="N15"/>
  <c r="N17"/>
  <c r="N19"/>
  <c r="N21"/>
  <c r="N23"/>
  <c r="N28"/>
  <c r="N30"/>
  <c r="N54"/>
  <c r="N56"/>
  <c r="N58"/>
  <c r="N60"/>
  <c r="D1"/>
  <c r="D45" s="1"/>
  <c r="O10"/>
  <c r="N11"/>
  <c r="P11"/>
  <c r="N14"/>
  <c r="P14"/>
  <c r="N16"/>
  <c r="P16"/>
  <c r="N18"/>
  <c r="P18"/>
  <c r="N20"/>
  <c r="P20"/>
  <c r="N22"/>
  <c r="P22"/>
  <c r="N25"/>
  <c r="P25"/>
  <c r="N27"/>
  <c r="P27"/>
  <c r="N53"/>
  <c r="P53"/>
  <c r="N55"/>
  <c r="P55"/>
  <c r="N57"/>
  <c r="P57"/>
  <c r="N59"/>
  <c r="P59"/>
  <c r="O53"/>
  <c r="O62" s="1"/>
  <c r="G80" i="41"/>
  <c r="F81"/>
  <c r="G5"/>
  <c r="R62" i="30"/>
  <c r="A20" i="29"/>
  <c r="A22" s="1"/>
  <c r="A24" s="1"/>
  <c r="O60" i="30"/>
  <c r="E62"/>
  <c r="P60"/>
  <c r="N60"/>
  <c r="N14"/>
  <c r="P61" i="28"/>
  <c r="N61"/>
  <c r="N10" i="30"/>
  <c r="N16"/>
  <c r="N53"/>
  <c r="N55"/>
  <c r="N57"/>
  <c r="N59"/>
  <c r="P53"/>
  <c r="P55"/>
  <c r="P57"/>
  <c r="P59"/>
  <c r="D1"/>
  <c r="D45" s="1"/>
  <c r="O10"/>
  <c r="N11"/>
  <c r="P11"/>
  <c r="N13"/>
  <c r="P13"/>
  <c r="O14"/>
  <c r="N15"/>
  <c r="P15"/>
  <c r="O16"/>
  <c r="N17"/>
  <c r="P17"/>
  <c r="N18"/>
  <c r="P18"/>
  <c r="N19"/>
  <c r="P19"/>
  <c r="O20"/>
  <c r="N21"/>
  <c r="P21"/>
  <c r="O22"/>
  <c r="N23"/>
  <c r="P23"/>
  <c r="O25"/>
  <c r="N26"/>
  <c r="P26"/>
  <c r="N27"/>
  <c r="P27"/>
  <c r="O28"/>
  <c r="N29"/>
  <c r="P29"/>
  <c r="N30"/>
  <c r="P30"/>
  <c r="E32"/>
  <c r="O53"/>
  <c r="O62" s="1"/>
  <c r="N54"/>
  <c r="P54"/>
  <c r="N56"/>
  <c r="P56"/>
  <c r="N58"/>
  <c r="P58"/>
  <c r="N20"/>
  <c r="N22"/>
  <c r="N25"/>
  <c r="N28"/>
  <c r="F81" i="29"/>
  <c r="G80"/>
  <c r="G5"/>
  <c r="O32" i="42" l="1"/>
  <c r="P60" i="48"/>
  <c r="D68" i="46"/>
  <c r="N30" i="48"/>
  <c r="P30"/>
  <c r="O30"/>
  <c r="N60"/>
  <c r="O60"/>
  <c r="I80" i="47"/>
  <c r="H81"/>
  <c r="J5"/>
  <c r="I6"/>
  <c r="P60" i="46"/>
  <c r="O30"/>
  <c r="O60"/>
  <c r="P30"/>
  <c r="N60"/>
  <c r="N30"/>
  <c r="G81" i="45"/>
  <c r="H80"/>
  <c r="P32" i="44"/>
  <c r="H5" i="45"/>
  <c r="G6"/>
  <c r="N32" i="44"/>
  <c r="N62"/>
  <c r="P62"/>
  <c r="H5" i="43"/>
  <c r="G6"/>
  <c r="G81"/>
  <c r="H80"/>
  <c r="N32" i="42"/>
  <c r="P32"/>
  <c r="N62"/>
  <c r="P62"/>
  <c r="H5" i="41"/>
  <c r="G6"/>
  <c r="G81"/>
  <c r="H80"/>
  <c r="A26" i="29"/>
  <c r="A28" s="1"/>
  <c r="A30" s="1"/>
  <c r="A32" s="1"/>
  <c r="A34" s="1"/>
  <c r="A37" s="1"/>
  <c r="A39" s="1"/>
  <c r="P32" i="30"/>
  <c r="N62"/>
  <c r="P62"/>
  <c r="N32"/>
  <c r="O32"/>
  <c r="H5" i="29"/>
  <c r="G6"/>
  <c r="H80"/>
  <c r="G81"/>
  <c r="J6" i="47" l="1"/>
  <c r="K5"/>
  <c r="I81"/>
  <c r="J80"/>
  <c r="H6" i="45"/>
  <c r="I5"/>
  <c r="I80"/>
  <c r="H81"/>
  <c r="I80" i="43"/>
  <c r="H81"/>
  <c r="H6"/>
  <c r="I5"/>
  <c r="I80" i="41"/>
  <c r="H81"/>
  <c r="H6"/>
  <c r="I5"/>
  <c r="A41" i="29"/>
  <c r="A43" s="1"/>
  <c r="A45" s="1"/>
  <c r="A47" s="1"/>
  <c r="H81"/>
  <c r="I80"/>
  <c r="H6"/>
  <c r="I5"/>
  <c r="K80" i="47" l="1"/>
  <c r="J81"/>
  <c r="L5"/>
  <c r="K6"/>
  <c r="I81" i="45"/>
  <c r="J80"/>
  <c r="J5"/>
  <c r="I6"/>
  <c r="I81" i="43"/>
  <c r="J80"/>
  <c r="J5"/>
  <c r="I6"/>
  <c r="J5" i="41"/>
  <c r="I6"/>
  <c r="I81"/>
  <c r="J80"/>
  <c r="J5" i="29"/>
  <c r="I6"/>
  <c r="J80"/>
  <c r="I81"/>
  <c r="L6" i="47" l="1"/>
  <c r="M5"/>
  <c r="K81"/>
  <c r="L80"/>
  <c r="K80" i="45"/>
  <c r="J81"/>
  <c r="J6"/>
  <c r="K5"/>
  <c r="K80" i="43"/>
  <c r="J81"/>
  <c r="J6"/>
  <c r="K5"/>
  <c r="J6" i="41"/>
  <c r="K5"/>
  <c r="K80"/>
  <c r="J81"/>
  <c r="J81" i="29"/>
  <c r="K80"/>
  <c r="J6"/>
  <c r="K5"/>
  <c r="M80" i="47" l="1"/>
  <c r="L81"/>
  <c r="N5"/>
  <c r="M6"/>
  <c r="L5" i="45"/>
  <c r="K6"/>
  <c r="K81"/>
  <c r="L80"/>
  <c r="L5" i="43"/>
  <c r="K6"/>
  <c r="K81"/>
  <c r="L80"/>
  <c r="L5" i="41"/>
  <c r="K6"/>
  <c r="K81"/>
  <c r="L80"/>
  <c r="L5" i="29"/>
  <c r="K6"/>
  <c r="L80"/>
  <c r="K81"/>
  <c r="N6" i="47" l="1"/>
  <c r="O5"/>
  <c r="M81"/>
  <c r="N80"/>
  <c r="M80" i="45"/>
  <c r="L81"/>
  <c r="L6"/>
  <c r="M5"/>
  <c r="M80" i="43"/>
  <c r="L81"/>
  <c r="L6"/>
  <c r="M5"/>
  <c r="M80" i="41"/>
  <c r="L81"/>
  <c r="L6"/>
  <c r="M5"/>
  <c r="L81" i="29"/>
  <c r="M80"/>
  <c r="L6"/>
  <c r="M5"/>
  <c r="O80" i="47" l="1"/>
  <c r="N81"/>
  <c r="P5"/>
  <c r="O6"/>
  <c r="N5" i="45"/>
  <c r="M6"/>
  <c r="M81"/>
  <c r="N80"/>
  <c r="N5" i="43"/>
  <c r="M6"/>
  <c r="M81"/>
  <c r="N80"/>
  <c r="N5" i="41"/>
  <c r="M6"/>
  <c r="M81"/>
  <c r="N80"/>
  <c r="N5" i="29"/>
  <c r="M6"/>
  <c r="N80"/>
  <c r="M81"/>
  <c r="P6" i="47" l="1"/>
  <c r="Q5"/>
  <c r="O81"/>
  <c r="P80"/>
  <c r="O80" i="45"/>
  <c r="N81"/>
  <c r="N6"/>
  <c r="O5"/>
  <c r="O80" i="43"/>
  <c r="N81"/>
  <c r="N6"/>
  <c r="O5"/>
  <c r="O80" i="41"/>
  <c r="N81"/>
  <c r="N6"/>
  <c r="O5"/>
  <c r="N81" i="29"/>
  <c r="O80"/>
  <c r="N6"/>
  <c r="O5"/>
  <c r="Q80" i="47" l="1"/>
  <c r="P81"/>
  <c r="R5"/>
  <c r="Q6"/>
  <c r="P5" i="45"/>
  <c r="O6"/>
  <c r="O81"/>
  <c r="P80"/>
  <c r="O81" i="43"/>
  <c r="P80"/>
  <c r="P5"/>
  <c r="O6"/>
  <c r="P5" i="41"/>
  <c r="O6"/>
  <c r="O81"/>
  <c r="P80"/>
  <c r="P5" i="29"/>
  <c r="O6"/>
  <c r="P80"/>
  <c r="O81"/>
  <c r="R6" i="47" l="1"/>
  <c r="S5"/>
  <c r="Q81"/>
  <c r="R80"/>
  <c r="Q80" i="45"/>
  <c r="P81"/>
  <c r="P6"/>
  <c r="Q5"/>
  <c r="Q80" i="43"/>
  <c r="P81"/>
  <c r="P6"/>
  <c r="Q5"/>
  <c r="Q80" i="41"/>
  <c r="P81"/>
  <c r="P6"/>
  <c r="Q5"/>
  <c r="P81" i="29"/>
  <c r="Q80"/>
  <c r="P6"/>
  <c r="Q5"/>
  <c r="S80" i="47" l="1"/>
  <c r="R81"/>
  <c r="T5"/>
  <c r="S6"/>
  <c r="R5" i="45"/>
  <c r="Q6"/>
  <c r="Q81"/>
  <c r="R80"/>
  <c r="R5" i="43"/>
  <c r="Q6"/>
  <c r="Q81"/>
  <c r="R80"/>
  <c r="R5" i="41"/>
  <c r="Q6"/>
  <c r="Q81"/>
  <c r="R80"/>
  <c r="R5" i="29"/>
  <c r="Q6"/>
  <c r="R80"/>
  <c r="Q81"/>
  <c r="T6" i="47" l="1"/>
  <c r="U5"/>
  <c r="S81"/>
  <c r="T80"/>
  <c r="S80" i="45"/>
  <c r="R81"/>
  <c r="R6"/>
  <c r="S5"/>
  <c r="S80" i="43"/>
  <c r="R81"/>
  <c r="R6"/>
  <c r="S5"/>
  <c r="S80" i="41"/>
  <c r="R81"/>
  <c r="R6"/>
  <c r="S5"/>
  <c r="R81" i="29"/>
  <c r="S80"/>
  <c r="R6"/>
  <c r="S5"/>
  <c r="U80" i="47" l="1"/>
  <c r="T81"/>
  <c r="V5"/>
  <c r="U6"/>
  <c r="T5" i="45"/>
  <c r="S6"/>
  <c r="S81"/>
  <c r="T80"/>
  <c r="T5" i="43"/>
  <c r="S6"/>
  <c r="S81"/>
  <c r="T80"/>
  <c r="T5" i="41"/>
  <c r="S6"/>
  <c r="S81"/>
  <c r="T80"/>
  <c r="T5" i="29"/>
  <c r="S6"/>
  <c r="T80"/>
  <c r="S81"/>
  <c r="V6" i="47" l="1"/>
  <c r="W5"/>
  <c r="U81"/>
  <c r="V80"/>
  <c r="U80" i="45"/>
  <c r="T81"/>
  <c r="T6"/>
  <c r="U5"/>
  <c r="U80" i="43"/>
  <c r="T81"/>
  <c r="T6"/>
  <c r="U5"/>
  <c r="U80" i="41"/>
  <c r="T81"/>
  <c r="T6"/>
  <c r="U5"/>
  <c r="T81" i="29"/>
  <c r="U80"/>
  <c r="T6"/>
  <c r="U5"/>
  <c r="W80" i="47" l="1"/>
  <c r="V81"/>
  <c r="X5"/>
  <c r="W6"/>
  <c r="V5" i="45"/>
  <c r="U6"/>
  <c r="U81"/>
  <c r="V80"/>
  <c r="V5" i="43"/>
  <c r="U6"/>
  <c r="U81"/>
  <c r="V80"/>
  <c r="V5" i="41"/>
  <c r="U6"/>
  <c r="U81"/>
  <c r="V80"/>
  <c r="V5" i="29"/>
  <c r="U6"/>
  <c r="V80"/>
  <c r="U81"/>
  <c r="X6" i="47" l="1"/>
  <c r="Y5"/>
  <c r="W81"/>
  <c r="X80"/>
  <c r="W80" i="45"/>
  <c r="V81"/>
  <c r="V6"/>
  <c r="W5"/>
  <c r="W80" i="43"/>
  <c r="V81"/>
  <c r="V6"/>
  <c r="W5"/>
  <c r="W80" i="41"/>
  <c r="V81"/>
  <c r="V6"/>
  <c r="W5"/>
  <c r="V81" i="29"/>
  <c r="W80"/>
  <c r="V6"/>
  <c r="W5"/>
  <c r="Y80" i="47" l="1"/>
  <c r="X81"/>
  <c r="Z5"/>
  <c r="Y6"/>
  <c r="X5" i="45"/>
  <c r="W6"/>
  <c r="W81"/>
  <c r="X80"/>
  <c r="X5" i="43"/>
  <c r="W6"/>
  <c r="W81"/>
  <c r="X80"/>
  <c r="X5" i="41"/>
  <c r="W6"/>
  <c r="W81"/>
  <c r="X80"/>
  <c r="X5" i="29"/>
  <c r="W6"/>
  <c r="X80"/>
  <c r="W81"/>
  <c r="Z6" i="47" l="1"/>
  <c r="AA5"/>
  <c r="Y81"/>
  <c r="Z80"/>
  <c r="Y80" i="45"/>
  <c r="X81"/>
  <c r="X6"/>
  <c r="Y5"/>
  <c r="Y80" i="43"/>
  <c r="X81"/>
  <c r="X6"/>
  <c r="Y5"/>
  <c r="Y80" i="41"/>
  <c r="X81"/>
  <c r="X6"/>
  <c r="Y5"/>
  <c r="X81" i="29"/>
  <c r="Y80"/>
  <c r="X6"/>
  <c r="Y5"/>
  <c r="AA80" i="47" l="1"/>
  <c r="Z81"/>
  <c r="AB5"/>
  <c r="AA6"/>
  <c r="Z5" i="45"/>
  <c r="Y6"/>
  <c r="Y81"/>
  <c r="Z80"/>
  <c r="Z5" i="43"/>
  <c r="Y6"/>
  <c r="Y81"/>
  <c r="Z80"/>
  <c r="Z5" i="41"/>
  <c r="Y6"/>
  <c r="Y81"/>
  <c r="Z80"/>
  <c r="Z5" i="29"/>
  <c r="Y6"/>
  <c r="Z80"/>
  <c r="Y81"/>
  <c r="AB6" i="47" l="1"/>
  <c r="AC5"/>
  <c r="AA81"/>
  <c r="AB80"/>
  <c r="AA80" i="45"/>
  <c r="Z81"/>
  <c r="Z6"/>
  <c r="AA5"/>
  <c r="AA80" i="43"/>
  <c r="Z81"/>
  <c r="Z6"/>
  <c r="AA5"/>
  <c r="AA80" i="41"/>
  <c r="Z81"/>
  <c r="Z6"/>
  <c r="AA5"/>
  <c r="Z81" i="29"/>
  <c r="AA80"/>
  <c r="Z6"/>
  <c r="AA5"/>
  <c r="AC80" i="47" l="1"/>
  <c r="AB81"/>
  <c r="AD5"/>
  <c r="AC6"/>
  <c r="AB5" i="45"/>
  <c r="AA6"/>
  <c r="AA81"/>
  <c r="AB80"/>
  <c r="AB5" i="43"/>
  <c r="AA6"/>
  <c r="AA81"/>
  <c r="AB80"/>
  <c r="AB5" i="41"/>
  <c r="AA6"/>
  <c r="AA81"/>
  <c r="AB80"/>
  <c r="AB5" i="29"/>
  <c r="AA6"/>
  <c r="AB80"/>
  <c r="AA81"/>
  <c r="AD6" i="47" l="1"/>
  <c r="AE5"/>
  <c r="AC81"/>
  <c r="AD80"/>
  <c r="AB6" i="45"/>
  <c r="AC5"/>
  <c r="AC80"/>
  <c r="AB81"/>
  <c r="AC80" i="43"/>
  <c r="AB81"/>
  <c r="AB6"/>
  <c r="AC5"/>
  <c r="AC80" i="41"/>
  <c r="AB81"/>
  <c r="AB6"/>
  <c r="AC5"/>
  <c r="AB81" i="29"/>
  <c r="AC80"/>
  <c r="AB6"/>
  <c r="AC5"/>
  <c r="AE80" i="47" l="1"/>
  <c r="AD81"/>
  <c r="AF5"/>
  <c r="AE6"/>
  <c r="AC81" i="45"/>
  <c r="AD80"/>
  <c r="AD5"/>
  <c r="AC6"/>
  <c r="AD5" i="43"/>
  <c r="AC6"/>
  <c r="AC81"/>
  <c r="AD80"/>
  <c r="AD5" i="41"/>
  <c r="AC6"/>
  <c r="AC81"/>
  <c r="AD80"/>
  <c r="AD5" i="29"/>
  <c r="AC6"/>
  <c r="AD80"/>
  <c r="AC81"/>
  <c r="AF6" i="47" l="1"/>
  <c r="AG5"/>
  <c r="AE81"/>
  <c r="AF80"/>
  <c r="AD6" i="45"/>
  <c r="AE5"/>
  <c r="AE80"/>
  <c r="AD81"/>
  <c r="AE80" i="43"/>
  <c r="AD81"/>
  <c r="AD6"/>
  <c r="AE5"/>
  <c r="AE80" i="41"/>
  <c r="AD81"/>
  <c r="AD6"/>
  <c r="AE5"/>
  <c r="AD81" i="29"/>
  <c r="AE80"/>
  <c r="AD6"/>
  <c r="AE5"/>
  <c r="AG80" i="47" l="1"/>
  <c r="AF81"/>
  <c r="AH5"/>
  <c r="AG6"/>
  <c r="AE81" i="45"/>
  <c r="AF80"/>
  <c r="AF5"/>
  <c r="AE6"/>
  <c r="AF5" i="43"/>
  <c r="AE6"/>
  <c r="AE81"/>
  <c r="AF80"/>
  <c r="AF5" i="41"/>
  <c r="AE6"/>
  <c r="AE81"/>
  <c r="AF80"/>
  <c r="AF5" i="29"/>
  <c r="AE6"/>
  <c r="AF80"/>
  <c r="AE81"/>
  <c r="AH6" i="47" l="1"/>
  <c r="AI5"/>
  <c r="AI6" s="1"/>
  <c r="AG81"/>
  <c r="AH80"/>
  <c r="AF6" i="45"/>
  <c r="AG5"/>
  <c r="AG80"/>
  <c r="AF81"/>
  <c r="AG80" i="43"/>
  <c r="AF81"/>
  <c r="AF6"/>
  <c r="AG5"/>
  <c r="AG80" i="41"/>
  <c r="AF81"/>
  <c r="AF6"/>
  <c r="AG5"/>
  <c r="AF81" i="29"/>
  <c r="AG80"/>
  <c r="AF6"/>
  <c r="AG5"/>
  <c r="AI80" i="47" l="1"/>
  <c r="AI81" s="1"/>
  <c r="AH81"/>
  <c r="AK97"/>
  <c r="F58" i="48" s="1"/>
  <c r="AK14" i="47"/>
  <c r="F13" i="48" s="1"/>
  <c r="AM11" i="47"/>
  <c r="AM41"/>
  <c r="AM30"/>
  <c r="AM28"/>
  <c r="AM18"/>
  <c r="AM26"/>
  <c r="AM87"/>
  <c r="AM89"/>
  <c r="AM93"/>
  <c r="AM47"/>
  <c r="AM45"/>
  <c r="AM34"/>
  <c r="AM85"/>
  <c r="AM39"/>
  <c r="AM20"/>
  <c r="AK30"/>
  <c r="AM95"/>
  <c r="AM97"/>
  <c r="AM83"/>
  <c r="AM37"/>
  <c r="AM32"/>
  <c r="AM22"/>
  <c r="AM43"/>
  <c r="AM24"/>
  <c r="AM14"/>
  <c r="AM9"/>
  <c r="AM91"/>
  <c r="AM16"/>
  <c r="AK16"/>
  <c r="AK26"/>
  <c r="AK89"/>
  <c r="AK41"/>
  <c r="AK83"/>
  <c r="AK37"/>
  <c r="AK87"/>
  <c r="AK11"/>
  <c r="AK20"/>
  <c r="AK24"/>
  <c r="AK34"/>
  <c r="AK45"/>
  <c r="AN45" s="1"/>
  <c r="AK39"/>
  <c r="AN39" s="1"/>
  <c r="AK85"/>
  <c r="F52" i="48" s="1"/>
  <c r="AK91" i="47"/>
  <c r="AK95"/>
  <c r="F57" i="48" s="1"/>
  <c r="AK18" i="47"/>
  <c r="AK28"/>
  <c r="AK22"/>
  <c r="AK32"/>
  <c r="AK43"/>
  <c r="AK47"/>
  <c r="AK93"/>
  <c r="AK9"/>
  <c r="AG81" i="45"/>
  <c r="AH80"/>
  <c r="AH5"/>
  <c r="AI5" s="1"/>
  <c r="AJ5" s="1"/>
  <c r="AJ6" s="1"/>
  <c r="AG6"/>
  <c r="AH5" i="43"/>
  <c r="AG6"/>
  <c r="AG81"/>
  <c r="AH80"/>
  <c r="AH5" i="41"/>
  <c r="AG6"/>
  <c r="AG81"/>
  <c r="AH80"/>
  <c r="AH5" i="29"/>
  <c r="AG6"/>
  <c r="AH80"/>
  <c r="AG81"/>
  <c r="AN93" i="47" l="1"/>
  <c r="F56" i="48"/>
  <c r="AN91" i="47"/>
  <c r="F55" i="48"/>
  <c r="AN87" i="47"/>
  <c r="F53" i="48"/>
  <c r="AN89" i="47"/>
  <c r="F54" i="48"/>
  <c r="L58"/>
  <c r="G58"/>
  <c r="L57"/>
  <c r="G57"/>
  <c r="L52"/>
  <c r="G52"/>
  <c r="AN83" i="47"/>
  <c r="F51" i="48"/>
  <c r="AN9" i="47"/>
  <c r="F10" i="48"/>
  <c r="AN32" i="47"/>
  <c r="F22" i="48"/>
  <c r="AN11" i="47"/>
  <c r="F11" i="48"/>
  <c r="AN43" i="47"/>
  <c r="F27" i="48"/>
  <c r="AN22" i="47"/>
  <c r="F17" i="48"/>
  <c r="AN18" i="47"/>
  <c r="F15" i="48"/>
  <c r="AN34" i="47"/>
  <c r="F23" i="48"/>
  <c r="AN20" i="47"/>
  <c r="F16" i="48"/>
  <c r="AN16" i="47"/>
  <c r="F14" i="48"/>
  <c r="AN47" i="47"/>
  <c r="F28" i="48"/>
  <c r="AN28" i="47"/>
  <c r="F20" i="48"/>
  <c r="AN24" i="47"/>
  <c r="F18" i="48"/>
  <c r="AN37" i="47"/>
  <c r="F25" i="48"/>
  <c r="AN41" i="47"/>
  <c r="F26" i="48"/>
  <c r="AN26" i="47"/>
  <c r="F19" i="48"/>
  <c r="AN30" i="47"/>
  <c r="F21" i="48"/>
  <c r="L13"/>
  <c r="G13"/>
  <c r="AN95" i="47"/>
  <c r="AN85"/>
  <c r="AN97"/>
  <c r="AN14"/>
  <c r="AH6" i="45"/>
  <c r="AI6"/>
  <c r="AI80"/>
  <c r="AI81" s="1"/>
  <c r="AH81"/>
  <c r="AI80" i="43"/>
  <c r="AI81" s="1"/>
  <c r="AH81"/>
  <c r="AH6"/>
  <c r="AI5"/>
  <c r="AI6" s="1"/>
  <c r="AI80" i="41"/>
  <c r="AI81" s="1"/>
  <c r="AH81"/>
  <c r="AH6"/>
  <c r="AI5"/>
  <c r="AH81" i="29"/>
  <c r="AI80"/>
  <c r="AH6"/>
  <c r="AI5"/>
  <c r="AI6" s="1"/>
  <c r="AI81" l="1"/>
  <c r="AJ80"/>
  <c r="AJ81" s="1"/>
  <c r="L54" i="48"/>
  <c r="G54"/>
  <c r="L53"/>
  <c r="G53"/>
  <c r="L55"/>
  <c r="G55"/>
  <c r="L56"/>
  <c r="G56"/>
  <c r="L51"/>
  <c r="G51"/>
  <c r="L19"/>
  <c r="G19"/>
  <c r="L25"/>
  <c r="G25"/>
  <c r="L28"/>
  <c r="G28"/>
  <c r="L23"/>
  <c r="G23"/>
  <c r="L17"/>
  <c r="G17"/>
  <c r="L21"/>
  <c r="G21"/>
  <c r="L26"/>
  <c r="G26"/>
  <c r="L18"/>
  <c r="G18"/>
  <c r="L20"/>
  <c r="G20"/>
  <c r="L14"/>
  <c r="G14"/>
  <c r="L16"/>
  <c r="G16"/>
  <c r="L15"/>
  <c r="G15"/>
  <c r="L27"/>
  <c r="G27"/>
  <c r="L11"/>
  <c r="G11"/>
  <c r="L22"/>
  <c r="G22"/>
  <c r="L10"/>
  <c r="G10"/>
  <c r="AK93" i="45"/>
  <c r="F56" i="46" s="1"/>
  <c r="AK24" i="45"/>
  <c r="F18" i="46" s="1"/>
  <c r="AM91" i="45"/>
  <c r="AK18"/>
  <c r="F15" i="46" s="1"/>
  <c r="AM26" i="45"/>
  <c r="AK47"/>
  <c r="F28" i="46" s="1"/>
  <c r="AM37" i="45"/>
  <c r="AK97"/>
  <c r="F58" i="46" s="1"/>
  <c r="AK83" i="45"/>
  <c r="F51" i="46" s="1"/>
  <c r="AM41" i="45"/>
  <c r="AM30"/>
  <c r="AK14"/>
  <c r="F13" i="46" s="1"/>
  <c r="AK28" i="45"/>
  <c r="F20" i="46" s="1"/>
  <c r="AM95" i="45"/>
  <c r="AM47"/>
  <c r="AM93"/>
  <c r="AK9"/>
  <c r="F10" i="46" s="1"/>
  <c r="AM34" i="45"/>
  <c r="AM89"/>
  <c r="AK95"/>
  <c r="AK43"/>
  <c r="F27" i="46" s="1"/>
  <c r="AM97" i="45"/>
  <c r="AK91"/>
  <c r="AK85"/>
  <c r="F52" i="46" s="1"/>
  <c r="AM28" i="45"/>
  <c r="AK26"/>
  <c r="AM14"/>
  <c r="AM24"/>
  <c r="AK34"/>
  <c r="F23" i="46" s="1"/>
  <c r="AK45" i="45"/>
  <c r="AM20"/>
  <c r="AK30"/>
  <c r="AK41"/>
  <c r="F26" i="46" s="1"/>
  <c r="AM11" i="45"/>
  <c r="AK11"/>
  <c r="F11" i="46" s="1"/>
  <c r="AM43" i="45"/>
  <c r="AK16"/>
  <c r="F14" i="46" s="1"/>
  <c r="AM85" i="45"/>
  <c r="AM18"/>
  <c r="AK87"/>
  <c r="F53" i="46" s="1"/>
  <c r="AM22" i="45"/>
  <c r="AK89"/>
  <c r="AK39"/>
  <c r="AM16"/>
  <c r="AK37"/>
  <c r="AK22"/>
  <c r="F17" i="46" s="1"/>
  <c r="AM87" i="45"/>
  <c r="AK20"/>
  <c r="AM39"/>
  <c r="AM45"/>
  <c r="AM32"/>
  <c r="AM83"/>
  <c r="AM9"/>
  <c r="AK32"/>
  <c r="F22" i="46" s="1"/>
  <c r="AI6" i="41"/>
  <c r="AJ5"/>
  <c r="AJ6" s="1"/>
  <c r="AK32" i="43"/>
  <c r="F22" i="44" s="1"/>
  <c r="AM20" i="43"/>
  <c r="AM11"/>
  <c r="AM22"/>
  <c r="AM89"/>
  <c r="AM16"/>
  <c r="AM26"/>
  <c r="AK39"/>
  <c r="F26" i="44" s="1"/>
  <c r="AM30" i="43"/>
  <c r="AM41"/>
  <c r="AK83"/>
  <c r="F53" i="44" s="1"/>
  <c r="AK97" i="43"/>
  <c r="F60" i="44" s="1"/>
  <c r="AK30" i="43"/>
  <c r="AK89"/>
  <c r="AM91"/>
  <c r="AK16"/>
  <c r="AM47"/>
  <c r="AM93"/>
  <c r="AK9"/>
  <c r="F10" i="44" s="1"/>
  <c r="AM34" i="43"/>
  <c r="AK37"/>
  <c r="F25" i="44" s="1"/>
  <c r="AK20" i="43"/>
  <c r="AK87"/>
  <c r="F55" i="44" s="1"/>
  <c r="AK43" i="43"/>
  <c r="F28" i="44" s="1"/>
  <c r="AM87" i="43"/>
  <c r="AK22"/>
  <c r="AK11"/>
  <c r="AK85"/>
  <c r="F54" i="44" s="1"/>
  <c r="AM85" i="43"/>
  <c r="AM37"/>
  <c r="AK41"/>
  <c r="AM95"/>
  <c r="AK18"/>
  <c r="F15" i="44" s="1"/>
  <c r="AK28" i="43"/>
  <c r="F20" i="44" s="1"/>
  <c r="AM9" i="43"/>
  <c r="AK93"/>
  <c r="AK14"/>
  <c r="F13" i="44" s="1"/>
  <c r="AM97" i="43"/>
  <c r="AM14"/>
  <c r="AM24"/>
  <c r="AK34"/>
  <c r="AK45"/>
  <c r="F29" i="44" s="1"/>
  <c r="AM45" i="43"/>
  <c r="AK91"/>
  <c r="AM18"/>
  <c r="AK47"/>
  <c r="AM83"/>
  <c r="AM43"/>
  <c r="AM39"/>
  <c r="AK26"/>
  <c r="AK95"/>
  <c r="F59" i="44" s="1"/>
  <c r="AM28" i="43"/>
  <c r="AK24"/>
  <c r="AM32"/>
  <c r="AK93" i="41"/>
  <c r="F58" i="42" s="1"/>
  <c r="AK85" i="41"/>
  <c r="F54" i="42" s="1"/>
  <c r="AK9" i="41"/>
  <c r="F10" i="42" s="1"/>
  <c r="AM93" i="41"/>
  <c r="AM47"/>
  <c r="AK89"/>
  <c r="F56" i="42" s="1"/>
  <c r="AK43" i="41"/>
  <c r="F28" i="42" s="1"/>
  <c r="AM32" i="41"/>
  <c r="AM22"/>
  <c r="AK45"/>
  <c r="F29" i="42" s="1"/>
  <c r="AK34" i="41"/>
  <c r="F23" i="42" s="1"/>
  <c r="AM24" i="41"/>
  <c r="AM14"/>
  <c r="AK20"/>
  <c r="F16" i="42" s="1"/>
  <c r="AK11" i="41"/>
  <c r="F11" i="42" s="1"/>
  <c r="AM87" i="41"/>
  <c r="AM39"/>
  <c r="AM85"/>
  <c r="AK91"/>
  <c r="F57" i="42" s="1"/>
  <c r="AK41" i="41"/>
  <c r="F27" i="42" s="1"/>
  <c r="AM95" i="41"/>
  <c r="AK18"/>
  <c r="F15" i="42" s="1"/>
  <c r="AK28" i="41"/>
  <c r="F20" i="42" s="1"/>
  <c r="AM26" i="41"/>
  <c r="AM37"/>
  <c r="AK47"/>
  <c r="AM34"/>
  <c r="AM45"/>
  <c r="AK87"/>
  <c r="F55" i="42" s="1"/>
  <c r="AM16" i="41"/>
  <c r="AK26"/>
  <c r="F19" i="42" s="1"/>
  <c r="AK37" i="41"/>
  <c r="AM30"/>
  <c r="AM41"/>
  <c r="AK83"/>
  <c r="F53" i="42" s="1"/>
  <c r="AK97" i="41"/>
  <c r="F60" i="42" s="1"/>
  <c r="AM91" i="41"/>
  <c r="AK14"/>
  <c r="AK24"/>
  <c r="F18" i="42" s="1"/>
  <c r="AM9" i="41"/>
  <c r="AK22"/>
  <c r="AK32"/>
  <c r="AK16"/>
  <c r="F14" i="42" s="1"/>
  <c r="AM97" i="41"/>
  <c r="AM83"/>
  <c r="AK95"/>
  <c r="AM89"/>
  <c r="AM43"/>
  <c r="AK39"/>
  <c r="F26" i="42" s="1"/>
  <c r="AM28" i="41"/>
  <c r="AM18"/>
  <c r="AK30"/>
  <c r="AM20"/>
  <c r="AM11"/>
  <c r="AM97" i="29"/>
  <c r="AK97"/>
  <c r="AK83"/>
  <c r="AM28"/>
  <c r="AK16"/>
  <c r="AK93"/>
  <c r="AK47"/>
  <c r="AM30"/>
  <c r="AK18"/>
  <c r="AK91"/>
  <c r="AK85"/>
  <c r="AK41"/>
  <c r="AM32"/>
  <c r="AM18"/>
  <c r="AM91"/>
  <c r="AK43"/>
  <c r="AK39"/>
  <c r="AM24"/>
  <c r="AK89"/>
  <c r="AK45"/>
  <c r="AK30"/>
  <c r="AM95"/>
  <c r="AK26"/>
  <c r="AM26"/>
  <c r="AM9"/>
  <c r="AK11"/>
  <c r="AM89"/>
  <c r="AM45"/>
  <c r="AK32"/>
  <c r="AM20"/>
  <c r="AM14"/>
  <c r="AM87"/>
  <c r="AK34"/>
  <c r="AK24"/>
  <c r="AM11"/>
  <c r="AK9"/>
  <c r="AM34"/>
  <c r="AK95"/>
  <c r="AM85"/>
  <c r="AM41"/>
  <c r="AK28"/>
  <c r="AK20"/>
  <c r="AK14"/>
  <c r="AK87"/>
  <c r="AM43"/>
  <c r="AM39"/>
  <c r="AK22"/>
  <c r="AM93"/>
  <c r="AK37"/>
  <c r="AM37"/>
  <c r="AM16"/>
  <c r="AM83"/>
  <c r="AM22"/>
  <c r="AM47"/>
  <c r="G29" i="42" l="1"/>
  <c r="L29"/>
  <c r="AN26" i="43"/>
  <c r="F19" i="44"/>
  <c r="AN47" i="43"/>
  <c r="F30" i="44"/>
  <c r="AN91" i="43"/>
  <c r="F57" i="44"/>
  <c r="AN93" i="43"/>
  <c r="F58" i="44"/>
  <c r="AN22" i="43"/>
  <c r="F17" i="44"/>
  <c r="AN20" i="43"/>
  <c r="F16" i="44"/>
  <c r="AN16" i="43"/>
  <c r="F14" i="44"/>
  <c r="AN89" i="43"/>
  <c r="F56" i="44"/>
  <c r="L60" i="48"/>
  <c r="L26" i="42"/>
  <c r="G26"/>
  <c r="AN24" i="43"/>
  <c r="F18" i="44"/>
  <c r="AN34" i="43"/>
  <c r="F23" i="44"/>
  <c r="AN41" i="43"/>
  <c r="F27" i="44"/>
  <c r="AN11" i="43"/>
  <c r="F11" i="44"/>
  <c r="AN30" i="43"/>
  <c r="F21" i="44"/>
  <c r="G60" i="48"/>
  <c r="L30"/>
  <c r="G30"/>
  <c r="AN37" i="45"/>
  <c r="F25" i="46"/>
  <c r="AN91" i="45"/>
  <c r="F55" i="46"/>
  <c r="AN20" i="45"/>
  <c r="F16" i="46"/>
  <c r="AN89" i="45"/>
  <c r="F54" i="46"/>
  <c r="AN30" i="45"/>
  <c r="F21" i="46"/>
  <c r="AN26" i="45"/>
  <c r="F19" i="46"/>
  <c r="AN95" i="45"/>
  <c r="F57" i="46"/>
  <c r="AN41" i="45"/>
  <c r="AN34"/>
  <c r="F25" i="30"/>
  <c r="F17"/>
  <c r="F23"/>
  <c r="F19"/>
  <c r="F56"/>
  <c r="F26"/>
  <c r="L26" s="1"/>
  <c r="F54"/>
  <c r="F15"/>
  <c r="F30"/>
  <c r="G30" s="1"/>
  <c r="F14"/>
  <c r="F53"/>
  <c r="AN39" i="41"/>
  <c r="L14" i="42"/>
  <c r="G14"/>
  <c r="AN22" i="41"/>
  <c r="F17" i="42"/>
  <c r="L18"/>
  <c r="G18"/>
  <c r="L19"/>
  <c r="G19"/>
  <c r="L20"/>
  <c r="G20"/>
  <c r="L11"/>
  <c r="G11"/>
  <c r="L23"/>
  <c r="G23"/>
  <c r="L28"/>
  <c r="G28"/>
  <c r="L10"/>
  <c r="G10"/>
  <c r="F55" i="30"/>
  <c r="F11"/>
  <c r="F29"/>
  <c r="L29" s="1"/>
  <c r="F28"/>
  <c r="G28" s="1"/>
  <c r="F27"/>
  <c r="G27" s="1"/>
  <c r="F57"/>
  <c r="F58"/>
  <c r="AN30" i="41"/>
  <c r="F21" i="42"/>
  <c r="AN32" i="41"/>
  <c r="F22" i="42"/>
  <c r="AN14" i="41"/>
  <c r="F13" i="42"/>
  <c r="AN37" i="41"/>
  <c r="F25" i="42"/>
  <c r="AN47" i="41"/>
  <c r="F30" i="42"/>
  <c r="L15"/>
  <c r="G15"/>
  <c r="L27"/>
  <c r="G27"/>
  <c r="L16"/>
  <c r="G16"/>
  <c r="AN32" i="45"/>
  <c r="AN22"/>
  <c r="AN39"/>
  <c r="AN16"/>
  <c r="AN11"/>
  <c r="AN43"/>
  <c r="AN9"/>
  <c r="AN28"/>
  <c r="AN83"/>
  <c r="AN93"/>
  <c r="AN87"/>
  <c r="AN45"/>
  <c r="AN85"/>
  <c r="AN14"/>
  <c r="AN97"/>
  <c r="AN47"/>
  <c r="AN18"/>
  <c r="AN24"/>
  <c r="AN95" i="43"/>
  <c r="AN85"/>
  <c r="AN45"/>
  <c r="L53" i="42"/>
  <c r="G53"/>
  <c r="L55"/>
  <c r="G55"/>
  <c r="L57"/>
  <c r="G57"/>
  <c r="L58"/>
  <c r="G58"/>
  <c r="AN95" i="41"/>
  <c r="F59" i="42"/>
  <c r="L60"/>
  <c r="G60"/>
  <c r="L56"/>
  <c r="G56"/>
  <c r="L54"/>
  <c r="G54"/>
  <c r="AN18" i="41"/>
  <c r="AN20"/>
  <c r="AN89"/>
  <c r="AN14" i="43"/>
  <c r="AN18"/>
  <c r="AN87"/>
  <c r="AN37"/>
  <c r="AN9"/>
  <c r="AN83"/>
  <c r="AN32"/>
  <c r="AN28"/>
  <c r="AN43"/>
  <c r="AN97"/>
  <c r="AN39"/>
  <c r="AN41" i="41"/>
  <c r="AN45"/>
  <c r="AN16"/>
  <c r="AN24"/>
  <c r="AN83"/>
  <c r="AN26"/>
  <c r="AN87"/>
  <c r="AN28"/>
  <c r="AN91"/>
  <c r="AN11"/>
  <c r="AN34"/>
  <c r="AN43"/>
  <c r="AN9"/>
  <c r="AN93"/>
  <c r="AN97"/>
  <c r="AN85"/>
  <c r="AN14" i="29"/>
  <c r="F13" i="30"/>
  <c r="AN95" i="29"/>
  <c r="F59" i="30"/>
  <c r="AN24" i="29"/>
  <c r="F18" i="30"/>
  <c r="AN32" i="29"/>
  <c r="F22" i="30"/>
  <c r="AN30" i="29"/>
  <c r="F21" i="30"/>
  <c r="AN20" i="29"/>
  <c r="F16" i="30"/>
  <c r="AN28" i="29"/>
  <c r="F20" i="30"/>
  <c r="AN9" i="29"/>
  <c r="F10" i="30"/>
  <c r="AN97" i="29"/>
  <c r="F60" i="30"/>
  <c r="AN87" i="29"/>
  <c r="L30" i="30"/>
  <c r="AN34" i="29"/>
  <c r="AN18"/>
  <c r="AN37"/>
  <c r="AN22"/>
  <c r="AN26"/>
  <c r="AN45"/>
  <c r="AN43"/>
  <c r="AN41"/>
  <c r="AN91"/>
  <c r="AN93"/>
  <c r="AN83"/>
  <c r="AN11"/>
  <c r="AN89"/>
  <c r="AN39"/>
  <c r="AN85"/>
  <c r="AN47"/>
  <c r="AN16"/>
  <c r="G26" i="30" l="1"/>
  <c r="L28"/>
  <c r="L27"/>
  <c r="G29"/>
  <c r="L58" i="46"/>
  <c r="G58"/>
  <c r="L56"/>
  <c r="G56"/>
  <c r="L57" i="44"/>
  <c r="G57"/>
  <c r="L26" i="46"/>
  <c r="G26"/>
  <c r="L28" i="44"/>
  <c r="G28"/>
  <c r="L11"/>
  <c r="G11"/>
  <c r="L18" i="46"/>
  <c r="G18"/>
  <c r="L10"/>
  <c r="G10"/>
  <c r="L57"/>
  <c r="G57"/>
  <c r="L16"/>
  <c r="G16"/>
  <c r="L53"/>
  <c r="G53"/>
  <c r="L53" i="44"/>
  <c r="G53"/>
  <c r="L14" i="46"/>
  <c r="G14"/>
  <c r="L30" i="44"/>
  <c r="G30"/>
  <c r="L15" i="46"/>
  <c r="G15"/>
  <c r="L54" i="44"/>
  <c r="G54"/>
  <c r="L56"/>
  <c r="G56"/>
  <c r="L21" i="46"/>
  <c r="G21"/>
  <c r="L19"/>
  <c r="G19"/>
  <c r="L22" i="44"/>
  <c r="G22"/>
  <c r="L23"/>
  <c r="G23"/>
  <c r="L20" i="46"/>
  <c r="G20"/>
  <c r="L13"/>
  <c r="G13"/>
  <c r="L17"/>
  <c r="G17"/>
  <c r="L25" i="44"/>
  <c r="G25"/>
  <c r="L30" i="42"/>
  <c r="G30"/>
  <c r="L25"/>
  <c r="G25"/>
  <c r="L13"/>
  <c r="G13"/>
  <c r="L22"/>
  <c r="G22"/>
  <c r="L21"/>
  <c r="G21"/>
  <c r="L60" i="44"/>
  <c r="G60"/>
  <c r="L58"/>
  <c r="G58"/>
  <c r="L55" i="46"/>
  <c r="G55"/>
  <c r="L27" i="44"/>
  <c r="G27"/>
  <c r="L27" i="46"/>
  <c r="G27"/>
  <c r="L29" i="44"/>
  <c r="G29"/>
  <c r="L11" i="46"/>
  <c r="G11"/>
  <c r="L18" i="44"/>
  <c r="G18"/>
  <c r="L10"/>
  <c r="G10"/>
  <c r="L59"/>
  <c r="G59"/>
  <c r="L16"/>
  <c r="G16"/>
  <c r="L55"/>
  <c r="G55"/>
  <c r="L17" i="42"/>
  <c r="G17"/>
  <c r="L51" i="46"/>
  <c r="G51"/>
  <c r="L14" i="44"/>
  <c r="G14"/>
  <c r="L28" i="46"/>
  <c r="G28"/>
  <c r="L15" i="44"/>
  <c r="G15"/>
  <c r="L52" i="46"/>
  <c r="G52"/>
  <c r="L26" i="44"/>
  <c r="G26"/>
  <c r="L54" i="46"/>
  <c r="G54"/>
  <c r="L21" i="44"/>
  <c r="G21"/>
  <c r="L19"/>
  <c r="G19"/>
  <c r="L22" i="46"/>
  <c r="G22"/>
  <c r="L23"/>
  <c r="G23"/>
  <c r="L20" i="44"/>
  <c r="G20"/>
  <c r="L13"/>
  <c r="G13"/>
  <c r="L17"/>
  <c r="G17"/>
  <c r="L25" i="46"/>
  <c r="G25"/>
  <c r="L59" i="42"/>
  <c r="L62" s="1"/>
  <c r="G59"/>
  <c r="G60" i="30"/>
  <c r="L60"/>
  <c r="C14" i="19"/>
  <c r="F5" i="14"/>
  <c r="G5" s="1"/>
  <c r="E10" i="28"/>
  <c r="O10" s="1"/>
  <c r="E4"/>
  <c r="D1" s="1"/>
  <c r="D46" s="1"/>
  <c r="C64" i="26"/>
  <c r="D64"/>
  <c r="E64"/>
  <c r="O64" s="1"/>
  <c r="R64"/>
  <c r="AL105" i="25"/>
  <c r="D105"/>
  <c r="C105"/>
  <c r="A20" i="15"/>
  <c r="AL117" i="23"/>
  <c r="D117"/>
  <c r="C117"/>
  <c r="C69" i="24"/>
  <c r="D69"/>
  <c r="E69"/>
  <c r="N69" s="1"/>
  <c r="R69"/>
  <c r="R60" i="28"/>
  <c r="E60"/>
  <c r="D60"/>
  <c r="C60"/>
  <c r="R59"/>
  <c r="E59"/>
  <c r="D59"/>
  <c r="C59"/>
  <c r="R58"/>
  <c r="E58"/>
  <c r="D58"/>
  <c r="C58"/>
  <c r="R57"/>
  <c r="E57"/>
  <c r="D57"/>
  <c r="C57"/>
  <c r="R56"/>
  <c r="E56"/>
  <c r="D56"/>
  <c r="C56"/>
  <c r="R55"/>
  <c r="E55"/>
  <c r="D55"/>
  <c r="C55"/>
  <c r="R54"/>
  <c r="E54"/>
  <c r="P54" s="1"/>
  <c r="D54"/>
  <c r="C54"/>
  <c r="A48"/>
  <c r="A47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E26"/>
  <c r="D26"/>
  <c r="C26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D10"/>
  <c r="C10"/>
  <c r="A3"/>
  <c r="A2"/>
  <c r="AL97" i="27"/>
  <c r="D97"/>
  <c r="C97"/>
  <c r="AL95"/>
  <c r="D95"/>
  <c r="C95"/>
  <c r="AL93"/>
  <c r="D93"/>
  <c r="C93"/>
  <c r="AL91"/>
  <c r="D91"/>
  <c r="C91"/>
  <c r="AL89"/>
  <c r="D89"/>
  <c r="C89"/>
  <c r="AL87"/>
  <c r="D87"/>
  <c r="C87"/>
  <c r="A87"/>
  <c r="A89" s="1"/>
  <c r="A91" s="1"/>
  <c r="A93" s="1"/>
  <c r="A95" s="1"/>
  <c r="A97" s="1"/>
  <c r="A99" s="1"/>
  <c r="AL85"/>
  <c r="D85"/>
  <c r="C85"/>
  <c r="E81"/>
  <c r="F82" s="1"/>
  <c r="AL49"/>
  <c r="D49"/>
  <c r="C49"/>
  <c r="AL47"/>
  <c r="D47"/>
  <c r="C47"/>
  <c r="AL45"/>
  <c r="D45"/>
  <c r="C45"/>
  <c r="AL43"/>
  <c r="D43"/>
  <c r="C43"/>
  <c r="AL41"/>
  <c r="D41"/>
  <c r="C41"/>
  <c r="AL39"/>
  <c r="D39"/>
  <c r="C39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5"/>
  <c r="F6" s="1"/>
  <c r="A3"/>
  <c r="A80" s="1"/>
  <c r="A2"/>
  <c r="A79" s="1"/>
  <c r="S1"/>
  <c r="S78" s="1"/>
  <c r="L32" i="42" l="1"/>
  <c r="F6" i="14"/>
  <c r="G60" i="46"/>
  <c r="G30"/>
  <c r="L32" i="44"/>
  <c r="L30" i="46"/>
  <c r="G32" i="44"/>
  <c r="G62"/>
  <c r="L60" i="46"/>
  <c r="G32" i="42"/>
  <c r="L62" i="44"/>
  <c r="G62" i="42"/>
  <c r="A20" i="27"/>
  <c r="A22" s="1"/>
  <c r="A24" s="1"/>
  <c r="A26" s="1"/>
  <c r="S35" i="28"/>
  <c r="S65" s="1"/>
  <c r="N64" i="26"/>
  <c r="O69" i="24"/>
  <c r="P69"/>
  <c r="P64" i="26"/>
  <c r="G5" i="27"/>
  <c r="G6" s="1"/>
  <c r="P11" i="28"/>
  <c r="N11"/>
  <c r="N10"/>
  <c r="P10"/>
  <c r="O11"/>
  <c r="N13"/>
  <c r="P13"/>
  <c r="O14"/>
  <c r="N15"/>
  <c r="P15"/>
  <c r="O16"/>
  <c r="N17"/>
  <c r="P17"/>
  <c r="O18"/>
  <c r="N19"/>
  <c r="P19"/>
  <c r="N20"/>
  <c r="P20"/>
  <c r="O21"/>
  <c r="N22"/>
  <c r="P22"/>
  <c r="O23"/>
  <c r="N24"/>
  <c r="P24"/>
  <c r="O26"/>
  <c r="N27"/>
  <c r="P27"/>
  <c r="N28"/>
  <c r="P28"/>
  <c r="O29"/>
  <c r="N30"/>
  <c r="P30"/>
  <c r="N31"/>
  <c r="P31"/>
  <c r="O54"/>
  <c r="N55"/>
  <c r="P55"/>
  <c r="O56"/>
  <c r="N57"/>
  <c r="P57"/>
  <c r="O58"/>
  <c r="N59"/>
  <c r="P59"/>
  <c r="O60"/>
  <c r="O13"/>
  <c r="N14"/>
  <c r="P14"/>
  <c r="O15"/>
  <c r="N16"/>
  <c r="P16"/>
  <c r="O17"/>
  <c r="N18"/>
  <c r="P18"/>
  <c r="O19"/>
  <c r="O20"/>
  <c r="N21"/>
  <c r="P21"/>
  <c r="O22"/>
  <c r="N23"/>
  <c r="P23"/>
  <c r="O24"/>
  <c r="N26"/>
  <c r="P26"/>
  <c r="O27"/>
  <c r="O28"/>
  <c r="N29"/>
  <c r="P29"/>
  <c r="O30"/>
  <c r="O31"/>
  <c r="N54"/>
  <c r="O55"/>
  <c r="N56"/>
  <c r="P56"/>
  <c r="O57"/>
  <c r="N58"/>
  <c r="P58"/>
  <c r="O59"/>
  <c r="N60"/>
  <c r="P60"/>
  <c r="E63"/>
  <c r="R63"/>
  <c r="E33"/>
  <c r="R33"/>
  <c r="H5" i="27"/>
  <c r="F83"/>
  <c r="G82"/>
  <c r="AL57" i="19"/>
  <c r="AL59"/>
  <c r="AL61"/>
  <c r="AL63"/>
  <c r="AL65"/>
  <c r="AL67"/>
  <c r="AL69"/>
  <c r="AL71"/>
  <c r="AL73"/>
  <c r="AL55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14"/>
  <c r="AL11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93" i="25"/>
  <c r="AL95"/>
  <c r="AL97"/>
  <c r="AL99"/>
  <c r="AL101"/>
  <c r="AL103"/>
  <c r="AL91"/>
  <c r="AL45"/>
  <c r="AL47"/>
  <c r="AL49"/>
  <c r="AL51"/>
  <c r="AL53"/>
  <c r="AL55"/>
  <c r="AL43"/>
  <c r="AL16"/>
  <c r="AL18"/>
  <c r="AL20"/>
  <c r="AL22"/>
  <c r="AL24"/>
  <c r="AL26"/>
  <c r="AL28"/>
  <c r="AL30"/>
  <c r="AL32"/>
  <c r="AL34"/>
  <c r="AL36"/>
  <c r="AL38"/>
  <c r="AL40"/>
  <c r="AL14"/>
  <c r="AL11"/>
  <c r="AL9"/>
  <c r="A28" i="27" l="1"/>
  <c r="A30" s="1"/>
  <c r="A32" s="1"/>
  <c r="A34" s="1"/>
  <c r="A36" s="1"/>
  <c r="A39" s="1"/>
  <c r="A41" s="1"/>
  <c r="A43" s="1"/>
  <c r="A45" s="1"/>
  <c r="A47" s="1"/>
  <c r="A49" s="1"/>
  <c r="N63" i="28"/>
  <c r="N33"/>
  <c r="O63"/>
  <c r="P33"/>
  <c r="O33"/>
  <c r="P63"/>
  <c r="H6" i="27"/>
  <c r="I5"/>
  <c r="H82"/>
  <c r="G83"/>
  <c r="AL111" i="19"/>
  <c r="AL113"/>
  <c r="AL115"/>
  <c r="AL117"/>
  <c r="AL119"/>
  <c r="AL121"/>
  <c r="AL109"/>
  <c r="AL9"/>
  <c r="AL9" i="21"/>
  <c r="AL9" i="23"/>
  <c r="H83" i="27" l="1"/>
  <c r="I82"/>
  <c r="J5"/>
  <c r="I6"/>
  <c r="J6" l="1"/>
  <c r="K5"/>
  <c r="J82"/>
  <c r="I83"/>
  <c r="R63" i="26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R58"/>
  <c r="E58"/>
  <c r="P58" s="1"/>
  <c r="D58"/>
  <c r="C58"/>
  <c r="R57"/>
  <c r="R66" s="1"/>
  <c r="E57"/>
  <c r="O57" s="1"/>
  <c r="D57"/>
  <c r="C57"/>
  <c r="A51"/>
  <c r="A50"/>
  <c r="R34"/>
  <c r="E34"/>
  <c r="P34" s="1"/>
  <c r="D34"/>
  <c r="C34"/>
  <c r="R33"/>
  <c r="E33"/>
  <c r="O33" s="1"/>
  <c r="D33"/>
  <c r="C33"/>
  <c r="R32"/>
  <c r="E32"/>
  <c r="P32" s="1"/>
  <c r="D32"/>
  <c r="C32"/>
  <c r="R31"/>
  <c r="E31"/>
  <c r="O31" s="1"/>
  <c r="D31"/>
  <c r="C31"/>
  <c r="R30"/>
  <c r="E30"/>
  <c r="P30" s="1"/>
  <c r="D30"/>
  <c r="C30"/>
  <c r="R29"/>
  <c r="E29"/>
  <c r="P29" s="1"/>
  <c r="D29"/>
  <c r="C29"/>
  <c r="R28"/>
  <c r="E28"/>
  <c r="O28" s="1"/>
  <c r="D28"/>
  <c r="C28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P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38" s="1"/>
  <c r="S68" s="1"/>
  <c r="A3"/>
  <c r="A2"/>
  <c r="D103" i="25"/>
  <c r="C103"/>
  <c r="D101"/>
  <c r="C101"/>
  <c r="D99"/>
  <c r="C99"/>
  <c r="D97"/>
  <c r="C97"/>
  <c r="D95"/>
  <c r="C95"/>
  <c r="D93"/>
  <c r="C93"/>
  <c r="A93"/>
  <c r="A95" s="1"/>
  <c r="A97" s="1"/>
  <c r="A99" s="1"/>
  <c r="A101" s="1"/>
  <c r="A103" s="1"/>
  <c r="A105" s="1"/>
  <c r="D91"/>
  <c r="C91"/>
  <c r="E87"/>
  <c r="F88" s="1"/>
  <c r="D55"/>
  <c r="C55"/>
  <c r="D53"/>
  <c r="C53"/>
  <c r="D51"/>
  <c r="C51"/>
  <c r="D49"/>
  <c r="C49"/>
  <c r="D47"/>
  <c r="C47"/>
  <c r="D45"/>
  <c r="C45"/>
  <c r="D43"/>
  <c r="C43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G5" s="1"/>
  <c r="A3"/>
  <c r="A86" s="1"/>
  <c r="A2"/>
  <c r="A85" s="1"/>
  <c r="S1"/>
  <c r="S84" s="1"/>
  <c r="R68" i="24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E71" s="1"/>
  <c r="D62"/>
  <c r="C62"/>
  <c r="A56"/>
  <c r="A55"/>
  <c r="R39"/>
  <c r="E39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D26"/>
  <c r="C26"/>
  <c r="R25"/>
  <c r="E25"/>
  <c r="O25" s="1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1" s="1"/>
  <c r="E10"/>
  <c r="D10"/>
  <c r="C10"/>
  <c r="E4"/>
  <c r="S43" s="1"/>
  <c r="S73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A117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D11"/>
  <c r="C11"/>
  <c r="A11"/>
  <c r="D9"/>
  <c r="C9"/>
  <c r="F5"/>
  <c r="G5" s="1"/>
  <c r="A3"/>
  <c r="A104" s="1"/>
  <c r="A2"/>
  <c r="A103" s="1"/>
  <c r="S1"/>
  <c r="S102" s="1"/>
  <c r="F55" i="1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8"/>
  <c r="A20" s="1"/>
  <c r="A22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P71" i="22" l="1"/>
  <c r="A24" i="17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24" i="19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E41" i="24"/>
  <c r="N10"/>
  <c r="P26"/>
  <c r="N26"/>
  <c r="P39"/>
  <c r="N39"/>
  <c r="A24" i="25"/>
  <c r="A26" s="1"/>
  <c r="A28" s="1"/>
  <c r="N10" i="26"/>
  <c r="P10"/>
  <c r="O11"/>
  <c r="N13"/>
  <c r="P13"/>
  <c r="O14"/>
  <c r="N15"/>
  <c r="P15"/>
  <c r="O16"/>
  <c r="N17"/>
  <c r="P17"/>
  <c r="O18"/>
  <c r="N19"/>
  <c r="P19"/>
  <c r="O20"/>
  <c r="O21"/>
  <c r="O22"/>
  <c r="N23"/>
  <c r="P23"/>
  <c r="O24"/>
  <c r="N25"/>
  <c r="P25"/>
  <c r="O26"/>
  <c r="N28"/>
  <c r="P28"/>
  <c r="O29"/>
  <c r="O30"/>
  <c r="N31"/>
  <c r="P31"/>
  <c r="O32"/>
  <c r="N33"/>
  <c r="P33"/>
  <c r="O34"/>
  <c r="N57"/>
  <c r="P57"/>
  <c r="O58"/>
  <c r="N59"/>
  <c r="P59"/>
  <c r="O60"/>
  <c r="N61"/>
  <c r="P61"/>
  <c r="O62"/>
  <c r="N63"/>
  <c r="P63"/>
  <c r="N11"/>
  <c r="N14"/>
  <c r="N16"/>
  <c r="N18"/>
  <c r="N20"/>
  <c r="N21"/>
  <c r="N22"/>
  <c r="N24"/>
  <c r="N26"/>
  <c r="N29"/>
  <c r="N30"/>
  <c r="N32"/>
  <c r="N34"/>
  <c r="N58"/>
  <c r="N60"/>
  <c r="N62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P10"/>
  <c r="N13"/>
  <c r="N15"/>
  <c r="N17"/>
  <c r="N19"/>
  <c r="N21"/>
  <c r="N23"/>
  <c r="N28"/>
  <c r="N30"/>
  <c r="N33"/>
  <c r="N35"/>
  <c r="N37"/>
  <c r="O62"/>
  <c r="N63"/>
  <c r="N65"/>
  <c r="N67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24" i="23"/>
  <c r="A26" s="1"/>
  <c r="A28" s="1"/>
  <c r="A30" s="1"/>
  <c r="A32" s="1"/>
  <c r="A34" s="1"/>
  <c r="A36" s="1"/>
  <c r="A22" i="21"/>
  <c r="A24" s="1"/>
  <c r="A26" s="1"/>
  <c r="A28" s="1"/>
  <c r="A30" s="1"/>
  <c r="A32" s="1"/>
  <c r="A34" s="1"/>
  <c r="A36" s="1"/>
  <c r="A38" s="1"/>
  <c r="L5" i="27"/>
  <c r="K6"/>
  <c r="P66" i="26"/>
  <c r="J83" i="27"/>
  <c r="K82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49" s="1"/>
  <c r="F6" i="21"/>
  <c r="E36" i="26"/>
  <c r="E66"/>
  <c r="G6" i="25"/>
  <c r="H5"/>
  <c r="F6"/>
  <c r="F89"/>
  <c r="G88"/>
  <c r="N36" i="26"/>
  <c r="R36"/>
  <c r="F101" i="23"/>
  <c r="G100"/>
  <c r="G5"/>
  <c r="D1" i="24"/>
  <c r="D54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E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A38" i="23" l="1"/>
  <c r="A40" s="1"/>
  <c r="A42" s="1"/>
  <c r="A44" s="1"/>
  <c r="A46" s="1"/>
  <c r="A48" s="1"/>
  <c r="A50" s="1"/>
  <c r="A53" s="1"/>
  <c r="A55" s="1"/>
  <c r="A57" s="1"/>
  <c r="A30" i="25"/>
  <c r="A32" s="1"/>
  <c r="A34" s="1"/>
  <c r="A36" s="1"/>
  <c r="A38" s="1"/>
  <c r="A40" s="1"/>
  <c r="A43" s="1"/>
  <c r="A45" s="1"/>
  <c r="P44" i="22"/>
  <c r="O44"/>
  <c r="N71" i="24"/>
  <c r="P71"/>
  <c r="A40" i="2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N41" i="24"/>
  <c r="N44" i="22"/>
  <c r="O71" i="24"/>
  <c r="P41"/>
  <c r="O41"/>
  <c r="N66" i="26"/>
  <c r="O36"/>
  <c r="O66"/>
  <c r="P36"/>
  <c r="L6" i="27"/>
  <c r="M5"/>
  <c r="L82"/>
  <c r="K83"/>
  <c r="G6" i="17"/>
  <c r="S48" i="16"/>
  <c r="P74" i="20"/>
  <c r="N74"/>
  <c r="O74"/>
  <c r="G89" i="25"/>
  <c r="H88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A59" i="23" l="1"/>
  <c r="A61" s="1"/>
  <c r="A63" s="1"/>
  <c r="A65" s="1"/>
  <c r="A67" s="1"/>
  <c r="A47" i="25"/>
  <c r="A49" s="1"/>
  <c r="A51" s="1"/>
  <c r="A53" s="1"/>
  <c r="A55" s="1"/>
  <c r="L83" i="27"/>
  <c r="M82"/>
  <c r="N5"/>
  <c r="M6"/>
  <c r="J5" i="25"/>
  <c r="I6"/>
  <c r="I88"/>
  <c r="H89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82"/>
  <c r="M83"/>
  <c r="J88" i="25"/>
  <c r="I89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83" i="27" l="1"/>
  <c r="O82"/>
  <c r="P5"/>
  <c r="O6"/>
  <c r="J89" i="25"/>
  <c r="K88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82"/>
  <c r="O83"/>
  <c r="L6" i="25"/>
  <c r="M5"/>
  <c r="K89"/>
  <c r="L88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83" i="27" l="1"/>
  <c r="Q82"/>
  <c r="R5"/>
  <c r="Q6"/>
  <c r="M88" i="25"/>
  <c r="L89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82"/>
  <c r="Q83"/>
  <c r="O5" i="25"/>
  <c r="N6"/>
  <c r="N88"/>
  <c r="M89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K55" i="15"/>
  <c r="L55"/>
  <c r="M55"/>
  <c r="N55"/>
  <c r="O55"/>
  <c r="P55"/>
  <c r="Q55"/>
  <c r="R55"/>
  <c r="S55"/>
  <c r="T55"/>
  <c r="G55"/>
  <c r="H55"/>
  <c r="E67" i="16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N67" i="16" l="1"/>
  <c r="E75"/>
  <c r="E46"/>
  <c r="R83" i="27"/>
  <c r="S82"/>
  <c r="T5"/>
  <c r="S6"/>
  <c r="O6" i="25"/>
  <c r="P5"/>
  <c r="N89"/>
  <c r="O88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D11" i="14"/>
  <c r="D9"/>
  <c r="C9"/>
  <c r="F108"/>
  <c r="G108" s="1"/>
  <c r="D111"/>
  <c r="D113"/>
  <c r="D115"/>
  <c r="D117"/>
  <c r="D119"/>
  <c r="D121"/>
  <c r="T6" i="27" l="1"/>
  <c r="U5"/>
  <c r="T82"/>
  <c r="S83"/>
  <c r="O89" i="25"/>
  <c r="P88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83" i="27" l="1"/>
  <c r="U82"/>
  <c r="V5"/>
  <c r="U6"/>
  <c r="R5" i="25"/>
  <c r="Q6"/>
  <c r="Q88"/>
  <c r="P89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82"/>
  <c r="U83"/>
  <c r="R88" i="25"/>
  <c r="Q89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83" i="27" l="1"/>
  <c r="W82"/>
  <c r="X5"/>
  <c r="W6"/>
  <c r="S6" i="25"/>
  <c r="T5"/>
  <c r="R89"/>
  <c r="S88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82"/>
  <c r="W83"/>
  <c r="T6" i="25"/>
  <c r="U5"/>
  <c r="S89"/>
  <c r="T88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83" i="27" l="1"/>
  <c r="Y82"/>
  <c r="Z5"/>
  <c r="Y6"/>
  <c r="V5" i="25"/>
  <c r="U6"/>
  <c r="U88"/>
  <c r="T89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82"/>
  <c r="Y83"/>
  <c r="V88" i="25"/>
  <c r="U89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83" i="27" l="1"/>
  <c r="AA82"/>
  <c r="AB5"/>
  <c r="AA6"/>
  <c r="W6" i="25"/>
  <c r="X5"/>
  <c r="V89"/>
  <c r="W88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82"/>
  <c r="AA83"/>
  <c r="X6" i="25"/>
  <c r="Y5"/>
  <c r="W89"/>
  <c r="X88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83" i="27" l="1"/>
  <c r="AC82"/>
  <c r="AD5"/>
  <c r="AC6"/>
  <c r="Y88" i="25"/>
  <c r="X89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82"/>
  <c r="AC83"/>
  <c r="AA5" i="25"/>
  <c r="Z6"/>
  <c r="Z88"/>
  <c r="Y89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83" i="27" l="1"/>
  <c r="AE82"/>
  <c r="AF5"/>
  <c r="AE6"/>
  <c r="Z89" i="25"/>
  <c r="AA88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82"/>
  <c r="AE83"/>
  <c r="AB6" i="25"/>
  <c r="AC5"/>
  <c r="AA89"/>
  <c r="AB88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83" i="27" l="1"/>
  <c r="AG82"/>
  <c r="AH5"/>
  <c r="AG6"/>
  <c r="AC88" i="25"/>
  <c r="AB89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H82"/>
  <c r="AG83"/>
  <c r="AE5" i="25"/>
  <c r="AD6"/>
  <c r="AD88"/>
  <c r="AC89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I6" i="27" l="1"/>
  <c r="AM99" s="1"/>
  <c r="H58" i="48" s="1"/>
  <c r="AJ5" i="27"/>
  <c r="AJ6" s="1"/>
  <c r="AK99" s="1"/>
  <c r="AH83"/>
  <c r="AI82"/>
  <c r="AI83" s="1"/>
  <c r="AK93"/>
  <c r="AK26"/>
  <c r="AM87"/>
  <c r="H52" i="48" s="1"/>
  <c r="AK30" i="27"/>
  <c r="AM24"/>
  <c r="AM18"/>
  <c r="H15" i="48" s="1"/>
  <c r="AM93" i="27"/>
  <c r="H55" i="48" s="1"/>
  <c r="AK45" i="27"/>
  <c r="F29" i="28" s="1"/>
  <c r="AK41" i="27"/>
  <c r="F27" i="28" s="1"/>
  <c r="AM97" i="27"/>
  <c r="H57" i="48" s="1"/>
  <c r="AM9" i="27"/>
  <c r="H10" i="48" s="1"/>
  <c r="AM85" i="27"/>
  <c r="H51" i="48" s="1"/>
  <c r="AK32" i="27"/>
  <c r="AM20"/>
  <c r="H16" i="48" s="1"/>
  <c r="AM14" i="27"/>
  <c r="H13" i="48" s="1"/>
  <c r="AM89" i="27"/>
  <c r="H53" i="48" s="1"/>
  <c r="AK36" i="27"/>
  <c r="AM91"/>
  <c r="H54" i="48" s="1"/>
  <c r="AM47" i="27"/>
  <c r="H29" i="42" s="1"/>
  <c r="AK34" i="27"/>
  <c r="AM16"/>
  <c r="H14" i="48" s="1"/>
  <c r="AM95" i="27"/>
  <c r="H56" i="48" s="1"/>
  <c r="AM49" i="27"/>
  <c r="H28" i="48" s="1"/>
  <c r="AK39" i="27"/>
  <c r="AK85"/>
  <c r="AM22"/>
  <c r="H17" i="48" s="1"/>
  <c r="AK11" i="27"/>
  <c r="AK87"/>
  <c r="AK43"/>
  <c r="AM26"/>
  <c r="H18" i="48" s="1"/>
  <c r="AK91" i="27"/>
  <c r="AK47"/>
  <c r="AM36"/>
  <c r="H23" i="48" s="1"/>
  <c r="AK97" i="27"/>
  <c r="AM45"/>
  <c r="H27" i="48" s="1"/>
  <c r="AM41" i="27"/>
  <c r="H26" i="42" s="1"/>
  <c r="AK22" i="27"/>
  <c r="AK28"/>
  <c r="AM39"/>
  <c r="H25" i="48" s="1"/>
  <c r="AM28" i="27"/>
  <c r="H19" i="48" s="1"/>
  <c r="AK20" i="27"/>
  <c r="AK14"/>
  <c r="AK89"/>
  <c r="AM32"/>
  <c r="H21" i="48" s="1"/>
  <c r="AK24" i="27"/>
  <c r="AK18"/>
  <c r="AM30"/>
  <c r="H20" i="48" s="1"/>
  <c r="AK16" i="27"/>
  <c r="AK95"/>
  <c r="AK49"/>
  <c r="AM34"/>
  <c r="H22" i="48" s="1"/>
  <c r="AK9" i="27"/>
  <c r="AD89" i="25"/>
  <c r="AE88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AM43" i="27" l="1"/>
  <c r="H26" i="48" s="1"/>
  <c r="I26" s="1"/>
  <c r="K26" s="1"/>
  <c r="M26" s="1"/>
  <c r="Q26" s="1"/>
  <c r="S26" s="1"/>
  <c r="AM11" i="27"/>
  <c r="H11" i="48" s="1"/>
  <c r="I11" s="1"/>
  <c r="K11" s="1"/>
  <c r="M11" s="1"/>
  <c r="Q11" s="1"/>
  <c r="S11" s="1"/>
  <c r="I20"/>
  <c r="K20" s="1"/>
  <c r="M20" s="1"/>
  <c r="Q20" s="1"/>
  <c r="S20" s="1"/>
  <c r="J20"/>
  <c r="I25"/>
  <c r="K25" s="1"/>
  <c r="M25" s="1"/>
  <c r="Q25" s="1"/>
  <c r="S25" s="1"/>
  <c r="J25"/>
  <c r="I27"/>
  <c r="K27" s="1"/>
  <c r="M27" s="1"/>
  <c r="Q27" s="1"/>
  <c r="S27" s="1"/>
  <c r="J27"/>
  <c r="I23"/>
  <c r="K23" s="1"/>
  <c r="M23" s="1"/>
  <c r="Q23" s="1"/>
  <c r="S23" s="1"/>
  <c r="J23"/>
  <c r="I28"/>
  <c r="K28" s="1"/>
  <c r="M28" s="1"/>
  <c r="Q28" s="1"/>
  <c r="S28" s="1"/>
  <c r="J28"/>
  <c r="I14"/>
  <c r="K14" s="1"/>
  <c r="M14" s="1"/>
  <c r="Q14" s="1"/>
  <c r="S14" s="1"/>
  <c r="J14"/>
  <c r="I29" i="42"/>
  <c r="K29" s="1"/>
  <c r="M29" s="1"/>
  <c r="Q29" s="1"/>
  <c r="S29" s="1"/>
  <c r="J29"/>
  <c r="I13" i="48"/>
  <c r="K13" s="1"/>
  <c r="M13" s="1"/>
  <c r="Q13" s="1"/>
  <c r="S13" s="1"/>
  <c r="J13"/>
  <c r="I10"/>
  <c r="J10"/>
  <c r="I55"/>
  <c r="K55" s="1"/>
  <c r="M55" s="1"/>
  <c r="Q55" s="1"/>
  <c r="S55" s="1"/>
  <c r="J55"/>
  <c r="I58"/>
  <c r="K58" s="1"/>
  <c r="M58" s="1"/>
  <c r="Q58" s="1"/>
  <c r="S58" s="1"/>
  <c r="J58"/>
  <c r="I22"/>
  <c r="K22" s="1"/>
  <c r="M22" s="1"/>
  <c r="Q22" s="1"/>
  <c r="S22" s="1"/>
  <c r="J22"/>
  <c r="I21"/>
  <c r="K21" s="1"/>
  <c r="M21" s="1"/>
  <c r="Q21" s="1"/>
  <c r="S21" s="1"/>
  <c r="J21"/>
  <c r="I19"/>
  <c r="K19" s="1"/>
  <c r="M19" s="1"/>
  <c r="Q19" s="1"/>
  <c r="S19" s="1"/>
  <c r="J19"/>
  <c r="I26" i="42"/>
  <c r="K26" s="1"/>
  <c r="M26" s="1"/>
  <c r="Q26" s="1"/>
  <c r="S26" s="1"/>
  <c r="J26"/>
  <c r="I18" i="48"/>
  <c r="K18" s="1"/>
  <c r="M18" s="1"/>
  <c r="Q18" s="1"/>
  <c r="S18" s="1"/>
  <c r="J18"/>
  <c r="I17"/>
  <c r="K17" s="1"/>
  <c r="M17" s="1"/>
  <c r="Q17" s="1"/>
  <c r="S17" s="1"/>
  <c r="J17"/>
  <c r="I56"/>
  <c r="K56" s="1"/>
  <c r="M56" s="1"/>
  <c r="Q56" s="1"/>
  <c r="S56" s="1"/>
  <c r="J56"/>
  <c r="I54"/>
  <c r="K54" s="1"/>
  <c r="M54" s="1"/>
  <c r="Q54" s="1"/>
  <c r="S54" s="1"/>
  <c r="J54"/>
  <c r="I53"/>
  <c r="K53" s="1"/>
  <c r="M53" s="1"/>
  <c r="Q53" s="1"/>
  <c r="S53" s="1"/>
  <c r="J53"/>
  <c r="I16"/>
  <c r="K16" s="1"/>
  <c r="M16" s="1"/>
  <c r="Q16" s="1"/>
  <c r="S16" s="1"/>
  <c r="J16"/>
  <c r="H60"/>
  <c r="I51"/>
  <c r="J51"/>
  <c r="I57"/>
  <c r="K57" s="1"/>
  <c r="M57" s="1"/>
  <c r="Q57" s="1"/>
  <c r="S57" s="1"/>
  <c r="J57"/>
  <c r="I15"/>
  <c r="K15" s="1"/>
  <c r="M15" s="1"/>
  <c r="Q15" s="1"/>
  <c r="S15" s="1"/>
  <c r="J15"/>
  <c r="I52"/>
  <c r="K52" s="1"/>
  <c r="M52" s="1"/>
  <c r="Q52" s="1"/>
  <c r="S52" s="1"/>
  <c r="J52"/>
  <c r="H22" i="44"/>
  <c r="H22" i="46"/>
  <c r="H22" i="42"/>
  <c r="H20" i="44"/>
  <c r="H20" i="46"/>
  <c r="H20" i="42"/>
  <c r="H25" i="44"/>
  <c r="H25" i="46"/>
  <c r="H25" i="42"/>
  <c r="H28"/>
  <c r="H28" i="44"/>
  <c r="H27" i="46"/>
  <c r="H23" i="42"/>
  <c r="H23" i="44"/>
  <c r="H23" i="46"/>
  <c r="H30" i="44"/>
  <c r="H28" i="46"/>
  <c r="H30" i="42"/>
  <c r="H14"/>
  <c r="H14" i="44"/>
  <c r="H14" i="46"/>
  <c r="H29" i="44"/>
  <c r="H13" i="42"/>
  <c r="H13" i="44"/>
  <c r="H13" i="46"/>
  <c r="H10" i="42"/>
  <c r="H10" i="44"/>
  <c r="H10" i="46"/>
  <c r="H57" i="44"/>
  <c r="H55" i="46"/>
  <c r="H57" i="42"/>
  <c r="H27" i="44"/>
  <c r="H26" i="46"/>
  <c r="H27" i="42"/>
  <c r="H11" i="44"/>
  <c r="H11" i="46"/>
  <c r="H11" i="42"/>
  <c r="H60" i="44"/>
  <c r="H58" i="46"/>
  <c r="H60" i="42"/>
  <c r="H21" i="46"/>
  <c r="H21" i="42"/>
  <c r="H21" i="44"/>
  <c r="H19" i="42"/>
  <c r="H19" i="44"/>
  <c r="H19" i="46"/>
  <c r="H26" i="44"/>
  <c r="H18"/>
  <c r="H18" i="46"/>
  <c r="H18" i="42"/>
  <c r="H17" i="44"/>
  <c r="H17" i="46"/>
  <c r="H17" i="42"/>
  <c r="H56" i="46"/>
  <c r="H58" i="42"/>
  <c r="H58" i="44"/>
  <c r="H56"/>
  <c r="H54" i="46"/>
  <c r="H56" i="42"/>
  <c r="H53" i="46"/>
  <c r="H55" i="42"/>
  <c r="H55" i="44"/>
  <c r="H16" i="46"/>
  <c r="H16" i="42"/>
  <c r="H16" i="44"/>
  <c r="H53"/>
  <c r="H51" i="46"/>
  <c r="H53" i="42"/>
  <c r="H57" i="46"/>
  <c r="H59" i="42"/>
  <c r="H59" i="44"/>
  <c r="H15"/>
  <c r="H15" i="46"/>
  <c r="H15" i="42"/>
  <c r="H52" i="46"/>
  <c r="H54" i="42"/>
  <c r="H54" i="44"/>
  <c r="H60" i="30"/>
  <c r="H61" i="28"/>
  <c r="I61" s="1"/>
  <c r="AN99" i="27"/>
  <c r="F61" i="28"/>
  <c r="H23"/>
  <c r="I23" s="1"/>
  <c r="H22" i="30"/>
  <c r="I22" s="1"/>
  <c r="L58"/>
  <c r="G58"/>
  <c r="L15"/>
  <c r="G15"/>
  <c r="H22" i="28"/>
  <c r="I22" s="1"/>
  <c r="H21" i="30"/>
  <c r="I21" s="1"/>
  <c r="L55"/>
  <c r="G55"/>
  <c r="L16"/>
  <c r="G16"/>
  <c r="H26" i="28"/>
  <c r="I26" s="1"/>
  <c r="H25" i="30"/>
  <c r="I25" s="1"/>
  <c r="L17"/>
  <c r="G17"/>
  <c r="H27" i="28"/>
  <c r="I27" s="1"/>
  <c r="H26" i="30"/>
  <c r="L59"/>
  <c r="G59"/>
  <c r="L56"/>
  <c r="G56"/>
  <c r="H19" i="28"/>
  <c r="I19" s="1"/>
  <c r="H18" i="30"/>
  <c r="I18" s="1"/>
  <c r="L11"/>
  <c r="G11"/>
  <c r="F26" i="28"/>
  <c r="G26" s="1"/>
  <c r="H59"/>
  <c r="I59" s="1"/>
  <c r="H58" i="30"/>
  <c r="I58" s="1"/>
  <c r="H30" i="28"/>
  <c r="I30" s="1"/>
  <c r="H29" i="30"/>
  <c r="F24" i="28"/>
  <c r="G24" s="1"/>
  <c r="H56"/>
  <c r="I56" s="1"/>
  <c r="H55" i="30"/>
  <c r="I55" s="1"/>
  <c r="H16" i="28"/>
  <c r="I16" s="1"/>
  <c r="H16" i="30"/>
  <c r="I16" s="1"/>
  <c r="H10" i="28"/>
  <c r="I10" s="1"/>
  <c r="H10" i="30"/>
  <c r="I10" s="1"/>
  <c r="H60" i="28"/>
  <c r="I60" s="1"/>
  <c r="H59" i="30"/>
  <c r="I59" s="1"/>
  <c r="H15" i="28"/>
  <c r="I15" s="1"/>
  <c r="H15" i="30"/>
  <c r="I15" s="1"/>
  <c r="H28" i="28"/>
  <c r="I28" s="1"/>
  <c r="H27" i="30"/>
  <c r="H11" i="28"/>
  <c r="I11" s="1"/>
  <c r="H11" i="30"/>
  <c r="I11" s="1"/>
  <c r="F58" i="28"/>
  <c r="L58" s="1"/>
  <c r="L10" i="30"/>
  <c r="G10"/>
  <c r="L14"/>
  <c r="G14"/>
  <c r="H21" i="28"/>
  <c r="I21" s="1"/>
  <c r="H20" i="30"/>
  <c r="I20" s="1"/>
  <c r="L13"/>
  <c r="G13"/>
  <c r="H20" i="28"/>
  <c r="I20" s="1"/>
  <c r="H19" i="30"/>
  <c r="I19" s="1"/>
  <c r="F20" i="28"/>
  <c r="L20" s="1"/>
  <c r="H29"/>
  <c r="I29" s="1"/>
  <c r="H28" i="30"/>
  <c r="H24" i="28"/>
  <c r="I24" s="1"/>
  <c r="H23" i="30"/>
  <c r="I23" s="1"/>
  <c r="L54"/>
  <c r="G54"/>
  <c r="H17" i="28"/>
  <c r="I17" s="1"/>
  <c r="H17" i="30"/>
  <c r="I17" s="1"/>
  <c r="L53"/>
  <c r="G53"/>
  <c r="H31" i="28"/>
  <c r="I31" s="1"/>
  <c r="H30" i="30"/>
  <c r="H14" i="28"/>
  <c r="I14" s="1"/>
  <c r="H14" i="30"/>
  <c r="I14" s="1"/>
  <c r="F23" i="28"/>
  <c r="G23" s="1"/>
  <c r="H57"/>
  <c r="I57" s="1"/>
  <c r="H56" i="30"/>
  <c r="I56" s="1"/>
  <c r="H13" i="28"/>
  <c r="I13" s="1"/>
  <c r="H13" i="30"/>
  <c r="I13" s="1"/>
  <c r="F22" i="28"/>
  <c r="H54"/>
  <c r="I54" s="1"/>
  <c r="H53" i="30"/>
  <c r="H58" i="28"/>
  <c r="I58" s="1"/>
  <c r="H57" i="30"/>
  <c r="I57" s="1"/>
  <c r="H18" i="28"/>
  <c r="I18" s="1"/>
  <c r="F21"/>
  <c r="G21" s="1"/>
  <c r="H55"/>
  <c r="I55" s="1"/>
  <c r="H54" i="30"/>
  <c r="I54" s="1"/>
  <c r="F19" i="28"/>
  <c r="L19" s="1"/>
  <c r="AN89" i="27"/>
  <c r="F56" i="28"/>
  <c r="AN97" i="27"/>
  <c r="F60" i="28"/>
  <c r="AN91" i="27"/>
  <c r="F57" i="28"/>
  <c r="AN95" i="27"/>
  <c r="F59" i="28"/>
  <c r="AN87" i="27"/>
  <c r="F55" i="28"/>
  <c r="AN85" i="27"/>
  <c r="F54" i="28"/>
  <c r="AN18" i="27"/>
  <c r="F15" i="28"/>
  <c r="AN20" i="27"/>
  <c r="F16" i="28"/>
  <c r="AN22" i="27"/>
  <c r="F17" i="28"/>
  <c r="AN43" i="27"/>
  <c r="F28" i="28"/>
  <c r="AN11" i="27"/>
  <c r="F11" i="28"/>
  <c r="L24"/>
  <c r="L29"/>
  <c r="G29"/>
  <c r="AN9" i="27"/>
  <c r="F10" i="28"/>
  <c r="AN49" i="27"/>
  <c r="F31" i="28"/>
  <c r="AN16" i="27"/>
  <c r="F14" i="28"/>
  <c r="AN24" i="27"/>
  <c r="F18" i="28"/>
  <c r="AN14" i="27"/>
  <c r="F13" i="28"/>
  <c r="J20"/>
  <c r="AN47" i="27"/>
  <c r="F30" i="28"/>
  <c r="L27"/>
  <c r="J27"/>
  <c r="G27"/>
  <c r="AN39" i="27"/>
  <c r="AN36"/>
  <c r="AN45"/>
  <c r="AN93"/>
  <c r="AN28"/>
  <c r="AN34"/>
  <c r="AN32"/>
  <c r="AN41"/>
  <c r="AN30"/>
  <c r="AN26"/>
  <c r="AF6" i="25"/>
  <c r="AG5"/>
  <c r="AE89"/>
  <c r="AF88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J26" i="48" l="1"/>
  <c r="L21" i="28"/>
  <c r="G20"/>
  <c r="K20" s="1"/>
  <c r="J11" i="48"/>
  <c r="M20" i="28"/>
  <c r="Q20" s="1"/>
  <c r="S20" s="1"/>
  <c r="I30" i="48"/>
  <c r="K10"/>
  <c r="J60"/>
  <c r="I60"/>
  <c r="K51"/>
  <c r="I54" i="44"/>
  <c r="K54" s="1"/>
  <c r="M54" s="1"/>
  <c r="Q54" s="1"/>
  <c r="S54" s="1"/>
  <c r="J54"/>
  <c r="I52" i="46"/>
  <c r="K52" s="1"/>
  <c r="M52" s="1"/>
  <c r="Q52" s="1"/>
  <c r="S52" s="1"/>
  <c r="J52"/>
  <c r="I15"/>
  <c r="K15" s="1"/>
  <c r="M15" s="1"/>
  <c r="Q15" s="1"/>
  <c r="S15" s="1"/>
  <c r="J15"/>
  <c r="I59" i="44"/>
  <c r="K59" s="1"/>
  <c r="M59" s="1"/>
  <c r="Q59" s="1"/>
  <c r="S59" s="1"/>
  <c r="J59"/>
  <c r="I57" i="46"/>
  <c r="K57" s="1"/>
  <c r="M57" s="1"/>
  <c r="Q57" s="1"/>
  <c r="S57" s="1"/>
  <c r="J57"/>
  <c r="H60"/>
  <c r="I51"/>
  <c r="J51"/>
  <c r="I16" i="44"/>
  <c r="K16" s="1"/>
  <c r="M16" s="1"/>
  <c r="Q16" s="1"/>
  <c r="S16" s="1"/>
  <c r="J16"/>
  <c r="I16" i="46"/>
  <c r="K16" s="1"/>
  <c r="M16" s="1"/>
  <c r="Q16" s="1"/>
  <c r="S16" s="1"/>
  <c r="J16"/>
  <c r="I55" i="42"/>
  <c r="K55" s="1"/>
  <c r="M55" s="1"/>
  <c r="Q55" s="1"/>
  <c r="S55" s="1"/>
  <c r="J55"/>
  <c r="I56"/>
  <c r="K56" s="1"/>
  <c r="M56" s="1"/>
  <c r="Q56" s="1"/>
  <c r="S56" s="1"/>
  <c r="J56"/>
  <c r="I56" i="44"/>
  <c r="K56" s="1"/>
  <c r="M56" s="1"/>
  <c r="Q56" s="1"/>
  <c r="S56" s="1"/>
  <c r="J56"/>
  <c r="I58" i="42"/>
  <c r="K58" s="1"/>
  <c r="M58" s="1"/>
  <c r="Q58" s="1"/>
  <c r="S58" s="1"/>
  <c r="J58"/>
  <c r="I17"/>
  <c r="K17" s="1"/>
  <c r="M17" s="1"/>
  <c r="Q17" s="1"/>
  <c r="S17" s="1"/>
  <c r="J17"/>
  <c r="I17" i="44"/>
  <c r="K17" s="1"/>
  <c r="M17" s="1"/>
  <c r="Q17" s="1"/>
  <c r="S17" s="1"/>
  <c r="J17"/>
  <c r="I18" i="46"/>
  <c r="K18" s="1"/>
  <c r="M18" s="1"/>
  <c r="Q18" s="1"/>
  <c r="S18" s="1"/>
  <c r="J18"/>
  <c r="I26" i="44"/>
  <c r="K26" s="1"/>
  <c r="M26" s="1"/>
  <c r="Q26" s="1"/>
  <c r="S26" s="1"/>
  <c r="J26"/>
  <c r="I19"/>
  <c r="K19" s="1"/>
  <c r="M19" s="1"/>
  <c r="Q19" s="1"/>
  <c r="S19" s="1"/>
  <c r="J19"/>
  <c r="I21"/>
  <c r="K21" s="1"/>
  <c r="M21" s="1"/>
  <c r="Q21" s="1"/>
  <c r="S21" s="1"/>
  <c r="J21"/>
  <c r="I21" i="46"/>
  <c r="K21" s="1"/>
  <c r="M21" s="1"/>
  <c r="Q21" s="1"/>
  <c r="S21" s="1"/>
  <c r="J21"/>
  <c r="I58"/>
  <c r="K58" s="1"/>
  <c r="M58" s="1"/>
  <c r="Q58" s="1"/>
  <c r="S58" s="1"/>
  <c r="J58"/>
  <c r="I11" i="42"/>
  <c r="K11" s="1"/>
  <c r="M11" s="1"/>
  <c r="Q11" s="1"/>
  <c r="S11" s="1"/>
  <c r="J11"/>
  <c r="I11" i="44"/>
  <c r="K11" s="1"/>
  <c r="M11" s="1"/>
  <c r="Q11" s="1"/>
  <c r="S11" s="1"/>
  <c r="J11"/>
  <c r="I26" i="46"/>
  <c r="K26" s="1"/>
  <c r="M26" s="1"/>
  <c r="Q26" s="1"/>
  <c r="S26" s="1"/>
  <c r="J26"/>
  <c r="I57" i="42"/>
  <c r="K57" s="1"/>
  <c r="M57" s="1"/>
  <c r="Q57" s="1"/>
  <c r="S57" s="1"/>
  <c r="J57"/>
  <c r="I57" i="44"/>
  <c r="K57" s="1"/>
  <c r="M57" s="1"/>
  <c r="Q57" s="1"/>
  <c r="S57" s="1"/>
  <c r="J57"/>
  <c r="I10"/>
  <c r="J10"/>
  <c r="I13" i="46"/>
  <c r="K13" s="1"/>
  <c r="M13" s="1"/>
  <c r="Q13" s="1"/>
  <c r="S13" s="1"/>
  <c r="J13"/>
  <c r="I13" i="42"/>
  <c r="K13" s="1"/>
  <c r="M13" s="1"/>
  <c r="Q13" s="1"/>
  <c r="S13" s="1"/>
  <c r="J13"/>
  <c r="I29" i="44"/>
  <c r="K29" s="1"/>
  <c r="M29" s="1"/>
  <c r="Q29" s="1"/>
  <c r="S29" s="1"/>
  <c r="J29"/>
  <c r="I14" i="46"/>
  <c r="K14" s="1"/>
  <c r="M14" s="1"/>
  <c r="Q14" s="1"/>
  <c r="S14" s="1"/>
  <c r="J14"/>
  <c r="I14" i="42"/>
  <c r="K14" s="1"/>
  <c r="M14" s="1"/>
  <c r="Q14" s="1"/>
  <c r="S14" s="1"/>
  <c r="J14"/>
  <c r="I28" i="46"/>
  <c r="K28" s="1"/>
  <c r="M28" s="1"/>
  <c r="Q28" s="1"/>
  <c r="S28" s="1"/>
  <c r="J28"/>
  <c r="I23"/>
  <c r="K23" s="1"/>
  <c r="M23" s="1"/>
  <c r="Q23" s="1"/>
  <c r="S23" s="1"/>
  <c r="J23"/>
  <c r="I23" i="42"/>
  <c r="K23" s="1"/>
  <c r="M23" s="1"/>
  <c r="Q23" s="1"/>
  <c r="S23" s="1"/>
  <c r="J23"/>
  <c r="I28" i="44"/>
  <c r="K28" s="1"/>
  <c r="M28" s="1"/>
  <c r="Q28" s="1"/>
  <c r="S28" s="1"/>
  <c r="J28"/>
  <c r="I25" i="42"/>
  <c r="K25" s="1"/>
  <c r="M25" s="1"/>
  <c r="Q25" s="1"/>
  <c r="S25" s="1"/>
  <c r="J25"/>
  <c r="I25" i="44"/>
  <c r="K25" s="1"/>
  <c r="M25" s="1"/>
  <c r="Q25" s="1"/>
  <c r="S25" s="1"/>
  <c r="J25"/>
  <c r="I20" i="46"/>
  <c r="K20" s="1"/>
  <c r="M20" s="1"/>
  <c r="Q20" s="1"/>
  <c r="S20" s="1"/>
  <c r="J20"/>
  <c r="I22" i="42"/>
  <c r="K22" s="1"/>
  <c r="M22" s="1"/>
  <c r="Q22" s="1"/>
  <c r="S22" s="1"/>
  <c r="J22"/>
  <c r="I22" i="44"/>
  <c r="K22" s="1"/>
  <c r="M22" s="1"/>
  <c r="Q22" s="1"/>
  <c r="S22" s="1"/>
  <c r="J22"/>
  <c r="I54" i="42"/>
  <c r="K54" s="1"/>
  <c r="M54" s="1"/>
  <c r="Q54" s="1"/>
  <c r="S54" s="1"/>
  <c r="J54"/>
  <c r="I15"/>
  <c r="K15" s="1"/>
  <c r="M15" s="1"/>
  <c r="Q15" s="1"/>
  <c r="S15" s="1"/>
  <c r="J15"/>
  <c r="I15" i="44"/>
  <c r="K15" s="1"/>
  <c r="M15" s="1"/>
  <c r="Q15" s="1"/>
  <c r="S15" s="1"/>
  <c r="J15"/>
  <c r="I59" i="42"/>
  <c r="K59" s="1"/>
  <c r="M59" s="1"/>
  <c r="Q59" s="1"/>
  <c r="S59" s="1"/>
  <c r="J59"/>
  <c r="H62"/>
  <c r="I53"/>
  <c r="J53"/>
  <c r="H62" i="44"/>
  <c r="I53"/>
  <c r="J53"/>
  <c r="I16" i="42"/>
  <c r="K16" s="1"/>
  <c r="M16" s="1"/>
  <c r="Q16" s="1"/>
  <c r="S16" s="1"/>
  <c r="J16"/>
  <c r="I55" i="44"/>
  <c r="K55" s="1"/>
  <c r="M55" s="1"/>
  <c r="Q55" s="1"/>
  <c r="S55" s="1"/>
  <c r="J55"/>
  <c r="I53" i="46"/>
  <c r="K53" s="1"/>
  <c r="M53" s="1"/>
  <c r="Q53" s="1"/>
  <c r="S53" s="1"/>
  <c r="J53"/>
  <c r="I54"/>
  <c r="K54" s="1"/>
  <c r="M54" s="1"/>
  <c r="Q54" s="1"/>
  <c r="S54" s="1"/>
  <c r="J54"/>
  <c r="I58" i="44"/>
  <c r="K58" s="1"/>
  <c r="M58" s="1"/>
  <c r="Q58" s="1"/>
  <c r="S58" s="1"/>
  <c r="J58"/>
  <c r="I56" i="46"/>
  <c r="K56" s="1"/>
  <c r="M56" s="1"/>
  <c r="Q56" s="1"/>
  <c r="S56" s="1"/>
  <c r="J56"/>
  <c r="I17"/>
  <c r="K17" s="1"/>
  <c r="M17" s="1"/>
  <c r="Q17" s="1"/>
  <c r="S17" s="1"/>
  <c r="J17"/>
  <c r="I18" i="42"/>
  <c r="K18" s="1"/>
  <c r="M18" s="1"/>
  <c r="Q18" s="1"/>
  <c r="S18" s="1"/>
  <c r="J18"/>
  <c r="I18" i="44"/>
  <c r="K18" s="1"/>
  <c r="M18" s="1"/>
  <c r="Q18" s="1"/>
  <c r="S18" s="1"/>
  <c r="J18"/>
  <c r="I19" i="46"/>
  <c r="K19" s="1"/>
  <c r="M19" s="1"/>
  <c r="Q19" s="1"/>
  <c r="S19" s="1"/>
  <c r="J19"/>
  <c r="I19" i="42"/>
  <c r="K19" s="1"/>
  <c r="M19" s="1"/>
  <c r="Q19" s="1"/>
  <c r="S19" s="1"/>
  <c r="J19"/>
  <c r="I21"/>
  <c r="K21" s="1"/>
  <c r="M21" s="1"/>
  <c r="Q21" s="1"/>
  <c r="S21" s="1"/>
  <c r="J21"/>
  <c r="I60"/>
  <c r="K60" s="1"/>
  <c r="M60" s="1"/>
  <c r="Q60" s="1"/>
  <c r="S60" s="1"/>
  <c r="J60"/>
  <c r="I60" i="44"/>
  <c r="K60" s="1"/>
  <c r="M60" s="1"/>
  <c r="Q60" s="1"/>
  <c r="S60" s="1"/>
  <c r="J60"/>
  <c r="I11" i="46"/>
  <c r="K11" s="1"/>
  <c r="M11" s="1"/>
  <c r="Q11" s="1"/>
  <c r="S11" s="1"/>
  <c r="J11"/>
  <c r="I27" i="42"/>
  <c r="K27" s="1"/>
  <c r="M27" s="1"/>
  <c r="Q27" s="1"/>
  <c r="S27" s="1"/>
  <c r="J27"/>
  <c r="I27" i="44"/>
  <c r="K27" s="1"/>
  <c r="M27" s="1"/>
  <c r="Q27" s="1"/>
  <c r="S27" s="1"/>
  <c r="J27"/>
  <c r="I55" i="46"/>
  <c r="K55" s="1"/>
  <c r="M55" s="1"/>
  <c r="Q55" s="1"/>
  <c r="S55" s="1"/>
  <c r="J55"/>
  <c r="I10"/>
  <c r="J10"/>
  <c r="I10" i="42"/>
  <c r="J10"/>
  <c r="I13" i="44"/>
  <c r="K13" s="1"/>
  <c r="M13" s="1"/>
  <c r="Q13" s="1"/>
  <c r="S13" s="1"/>
  <c r="J13"/>
  <c r="I14"/>
  <c r="K14" s="1"/>
  <c r="M14" s="1"/>
  <c r="Q14" s="1"/>
  <c r="S14" s="1"/>
  <c r="J14"/>
  <c r="I30" i="42"/>
  <c r="K30" s="1"/>
  <c r="M30" s="1"/>
  <c r="Q30" s="1"/>
  <c r="S30" s="1"/>
  <c r="J30"/>
  <c r="I30" i="44"/>
  <c r="K30" s="1"/>
  <c r="M30" s="1"/>
  <c r="Q30" s="1"/>
  <c r="S30" s="1"/>
  <c r="J30"/>
  <c r="I23"/>
  <c r="K23" s="1"/>
  <c r="M23" s="1"/>
  <c r="Q23" s="1"/>
  <c r="S23" s="1"/>
  <c r="J23"/>
  <c r="I27" i="46"/>
  <c r="K27" s="1"/>
  <c r="M27" s="1"/>
  <c r="Q27" s="1"/>
  <c r="S27" s="1"/>
  <c r="J27"/>
  <c r="I28" i="42"/>
  <c r="K28" s="1"/>
  <c r="M28" s="1"/>
  <c r="Q28" s="1"/>
  <c r="S28" s="1"/>
  <c r="J28"/>
  <c r="I25" i="46"/>
  <c r="K25" s="1"/>
  <c r="M25" s="1"/>
  <c r="Q25" s="1"/>
  <c r="S25" s="1"/>
  <c r="J25"/>
  <c r="I20" i="42"/>
  <c r="K20" s="1"/>
  <c r="M20" s="1"/>
  <c r="Q20" s="1"/>
  <c r="S20" s="1"/>
  <c r="J20"/>
  <c r="I20" i="44"/>
  <c r="K20" s="1"/>
  <c r="M20" s="1"/>
  <c r="Q20" s="1"/>
  <c r="S20" s="1"/>
  <c r="J20"/>
  <c r="I22" i="46"/>
  <c r="K22" s="1"/>
  <c r="M22" s="1"/>
  <c r="Q22" s="1"/>
  <c r="S22" s="1"/>
  <c r="J22"/>
  <c r="I60" i="30"/>
  <c r="K60" s="1"/>
  <c r="M60" s="1"/>
  <c r="Q60" s="1"/>
  <c r="S60" s="1"/>
  <c r="J60"/>
  <c r="J61" i="28"/>
  <c r="G61"/>
  <c r="K61" s="1"/>
  <c r="L61"/>
  <c r="J10" i="30"/>
  <c r="K27" i="28"/>
  <c r="M27" s="1"/>
  <c r="Q27" s="1"/>
  <c r="S27" s="1"/>
  <c r="J22"/>
  <c r="K26"/>
  <c r="J26"/>
  <c r="J29"/>
  <c r="L26"/>
  <c r="K21"/>
  <c r="M21" s="1"/>
  <c r="Q21" s="1"/>
  <c r="S21" s="1"/>
  <c r="K23"/>
  <c r="J23"/>
  <c r="J19"/>
  <c r="L22"/>
  <c r="K24"/>
  <c r="M24" s="1"/>
  <c r="Q24" s="1"/>
  <c r="S24" s="1"/>
  <c r="J21"/>
  <c r="G22"/>
  <c r="K22" s="1"/>
  <c r="L23"/>
  <c r="G58"/>
  <c r="K58" s="1"/>
  <c r="M58" s="1"/>
  <c r="Q58" s="1"/>
  <c r="S58" s="1"/>
  <c r="J24"/>
  <c r="I33"/>
  <c r="I63"/>
  <c r="G19"/>
  <c r="K19" s="1"/>
  <c r="M19" s="1"/>
  <c r="Q19" s="1"/>
  <c r="S19" s="1"/>
  <c r="K29"/>
  <c r="M29" s="1"/>
  <c r="Q29" s="1"/>
  <c r="S29" s="1"/>
  <c r="J58"/>
  <c r="L18" i="30"/>
  <c r="J18"/>
  <c r="G18"/>
  <c r="K18" s="1"/>
  <c r="L20"/>
  <c r="G20"/>
  <c r="K20" s="1"/>
  <c r="J20"/>
  <c r="H62"/>
  <c r="I53"/>
  <c r="L21"/>
  <c r="J21"/>
  <c r="G21"/>
  <c r="K21" s="1"/>
  <c r="L22"/>
  <c r="G22"/>
  <c r="K22" s="1"/>
  <c r="J22"/>
  <c r="I30"/>
  <c r="K30" s="1"/>
  <c r="M30" s="1"/>
  <c r="Q30" s="1"/>
  <c r="S30" s="1"/>
  <c r="J30"/>
  <c r="I28"/>
  <c r="K28" s="1"/>
  <c r="M28" s="1"/>
  <c r="Q28" s="1"/>
  <c r="S28" s="1"/>
  <c r="J28"/>
  <c r="H63" i="28"/>
  <c r="J53" i="30"/>
  <c r="J54"/>
  <c r="J13"/>
  <c r="K14"/>
  <c r="M14" s="1"/>
  <c r="Q14" s="1"/>
  <c r="S14" s="1"/>
  <c r="J11"/>
  <c r="K56"/>
  <c r="M56" s="1"/>
  <c r="Q56" s="1"/>
  <c r="S56" s="1"/>
  <c r="J59"/>
  <c r="J17"/>
  <c r="J16"/>
  <c r="K55"/>
  <c r="M55" s="1"/>
  <c r="Q55" s="1"/>
  <c r="S55" s="1"/>
  <c r="K15"/>
  <c r="M15" s="1"/>
  <c r="Q15" s="1"/>
  <c r="S15" s="1"/>
  <c r="J58"/>
  <c r="K53"/>
  <c r="L19"/>
  <c r="G19"/>
  <c r="K19" s="1"/>
  <c r="J19"/>
  <c r="K10"/>
  <c r="L57"/>
  <c r="L62" s="1"/>
  <c r="J57"/>
  <c r="G57"/>
  <c r="K57" s="1"/>
  <c r="I27"/>
  <c r="K27" s="1"/>
  <c r="M27" s="1"/>
  <c r="Q27" s="1"/>
  <c r="S27" s="1"/>
  <c r="J27"/>
  <c r="L23"/>
  <c r="J23"/>
  <c r="G23"/>
  <c r="K23" s="1"/>
  <c r="I29"/>
  <c r="K29" s="1"/>
  <c r="M29" s="1"/>
  <c r="Q29" s="1"/>
  <c r="S29" s="1"/>
  <c r="J29"/>
  <c r="L25"/>
  <c r="G25"/>
  <c r="K25" s="1"/>
  <c r="J25"/>
  <c r="I26"/>
  <c r="K26" s="1"/>
  <c r="M26" s="1"/>
  <c r="Q26" s="1"/>
  <c r="S26" s="1"/>
  <c r="J26"/>
  <c r="K54"/>
  <c r="M54" s="1"/>
  <c r="Q54" s="1"/>
  <c r="S54" s="1"/>
  <c r="K13"/>
  <c r="M13" s="1"/>
  <c r="Q13" s="1"/>
  <c r="S13" s="1"/>
  <c r="J14"/>
  <c r="K11"/>
  <c r="M11" s="1"/>
  <c r="Q11" s="1"/>
  <c r="S11" s="1"/>
  <c r="J56"/>
  <c r="K59"/>
  <c r="M59" s="1"/>
  <c r="Q59" s="1"/>
  <c r="S59" s="1"/>
  <c r="K17"/>
  <c r="M17" s="1"/>
  <c r="Q17" s="1"/>
  <c r="S17" s="1"/>
  <c r="K16"/>
  <c r="M16" s="1"/>
  <c r="Q16" s="1"/>
  <c r="S16" s="1"/>
  <c r="J55"/>
  <c r="J15"/>
  <c r="K58"/>
  <c r="M58" s="1"/>
  <c r="Q58" s="1"/>
  <c r="S58" s="1"/>
  <c r="L54" i="28"/>
  <c r="G54"/>
  <c r="J54"/>
  <c r="L55"/>
  <c r="G55"/>
  <c r="K55" s="1"/>
  <c r="J55"/>
  <c r="L59"/>
  <c r="G59"/>
  <c r="K59" s="1"/>
  <c r="J59"/>
  <c r="L57"/>
  <c r="G57"/>
  <c r="K57" s="1"/>
  <c r="J57"/>
  <c r="L60"/>
  <c r="G60"/>
  <c r="K60" s="1"/>
  <c r="J60"/>
  <c r="L56"/>
  <c r="G56"/>
  <c r="K56" s="1"/>
  <c r="J56"/>
  <c r="L13"/>
  <c r="J13"/>
  <c r="G13"/>
  <c r="K13" s="1"/>
  <c r="L18"/>
  <c r="G18"/>
  <c r="K18" s="1"/>
  <c r="J18"/>
  <c r="L14"/>
  <c r="G14"/>
  <c r="K14" s="1"/>
  <c r="J14"/>
  <c r="L30"/>
  <c r="J30"/>
  <c r="G30"/>
  <c r="K30" s="1"/>
  <c r="L31"/>
  <c r="J31"/>
  <c r="G31"/>
  <c r="K31" s="1"/>
  <c r="L10"/>
  <c r="J10"/>
  <c r="G10"/>
  <c r="L11"/>
  <c r="J11"/>
  <c r="G11"/>
  <c r="K11" s="1"/>
  <c r="M11" s="1"/>
  <c r="Q11" s="1"/>
  <c r="S11" s="1"/>
  <c r="L28"/>
  <c r="J28"/>
  <c r="G28"/>
  <c r="K28" s="1"/>
  <c r="L17"/>
  <c r="J17"/>
  <c r="G17"/>
  <c r="K17" s="1"/>
  <c r="L16"/>
  <c r="G16"/>
  <c r="K16" s="1"/>
  <c r="J16"/>
  <c r="L15"/>
  <c r="J15"/>
  <c r="G15"/>
  <c r="K15" s="1"/>
  <c r="M15" s="1"/>
  <c r="Q15" s="1"/>
  <c r="S15" s="1"/>
  <c r="AI6" i="17"/>
  <c r="AJ5"/>
  <c r="AJ6" s="1"/>
  <c r="AH5" i="25"/>
  <c r="AG6"/>
  <c r="AG88"/>
  <c r="AF89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M30" i="28" l="1"/>
  <c r="Q30" s="1"/>
  <c r="S30" s="1"/>
  <c r="M28"/>
  <c r="Q28" s="1"/>
  <c r="S28" s="1"/>
  <c r="M23" i="30"/>
  <c r="Q23" s="1"/>
  <c r="S23" s="1"/>
  <c r="M17" i="28"/>
  <c r="Q17" s="1"/>
  <c r="S17" s="1"/>
  <c r="M31"/>
  <c r="Q31" s="1"/>
  <c r="S31" s="1"/>
  <c r="M13"/>
  <c r="Q13" s="1"/>
  <c r="S13" s="1"/>
  <c r="M57" i="30"/>
  <c r="Q57" s="1"/>
  <c r="S57" s="1"/>
  <c r="M21"/>
  <c r="Q21" s="1"/>
  <c r="S21" s="1"/>
  <c r="K60" i="48"/>
  <c r="M51"/>
  <c r="M10"/>
  <c r="K30"/>
  <c r="J62" i="42"/>
  <c r="I62"/>
  <c r="K53"/>
  <c r="J62" i="44"/>
  <c r="J60" i="46"/>
  <c r="I32" i="42"/>
  <c r="K10"/>
  <c r="I30" i="46"/>
  <c r="K10"/>
  <c r="I62" i="44"/>
  <c r="K53"/>
  <c r="I32"/>
  <c r="K10"/>
  <c r="I60" i="46"/>
  <c r="K51"/>
  <c r="I62" i="30"/>
  <c r="M18"/>
  <c r="Q18" s="1"/>
  <c r="S18" s="1"/>
  <c r="M23" i="28"/>
  <c r="Q23" s="1"/>
  <c r="S23" s="1"/>
  <c r="M61"/>
  <c r="Q61" s="1"/>
  <c r="S61" s="1"/>
  <c r="M26"/>
  <c r="Q26" s="1"/>
  <c r="S26" s="1"/>
  <c r="M22"/>
  <c r="Q22" s="1"/>
  <c r="S22" s="1"/>
  <c r="M18"/>
  <c r="Q18" s="1"/>
  <c r="S18" s="1"/>
  <c r="M56"/>
  <c r="Q56" s="1"/>
  <c r="S56" s="1"/>
  <c r="M57"/>
  <c r="Q57" s="1"/>
  <c r="S57" s="1"/>
  <c r="M55"/>
  <c r="Q55" s="1"/>
  <c r="S55" s="1"/>
  <c r="L32" i="30"/>
  <c r="AK9" i="17"/>
  <c r="AK16"/>
  <c r="M10" i="30"/>
  <c r="K32"/>
  <c r="I32"/>
  <c r="M25"/>
  <c r="Q25" s="1"/>
  <c r="S25" s="1"/>
  <c r="M19"/>
  <c r="Q19" s="1"/>
  <c r="S19" s="1"/>
  <c r="G62"/>
  <c r="J62"/>
  <c r="M22"/>
  <c r="Q22" s="1"/>
  <c r="S22" s="1"/>
  <c r="M20"/>
  <c r="Q20" s="1"/>
  <c r="S20" s="1"/>
  <c r="K62"/>
  <c r="M53"/>
  <c r="G32"/>
  <c r="M16" i="28"/>
  <c r="Q16" s="1"/>
  <c r="S16" s="1"/>
  <c r="J63"/>
  <c r="L63"/>
  <c r="K54"/>
  <c r="G63"/>
  <c r="M60"/>
  <c r="Q60" s="1"/>
  <c r="S60" s="1"/>
  <c r="M59"/>
  <c r="Q59" s="1"/>
  <c r="S59" s="1"/>
  <c r="K10"/>
  <c r="G33"/>
  <c r="L33"/>
  <c r="M14"/>
  <c r="Q14" s="1"/>
  <c r="S14" s="1"/>
  <c r="AH88" i="25"/>
  <c r="AG89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30" i="48" l="1"/>
  <c r="Q10"/>
  <c r="M60"/>
  <c r="Q51"/>
  <c r="M51" i="46"/>
  <c r="K60"/>
  <c r="M10" i="44"/>
  <c r="K32"/>
  <c r="K62"/>
  <c r="M53"/>
  <c r="M10" i="46"/>
  <c r="K30"/>
  <c r="M10" i="42"/>
  <c r="K32"/>
  <c r="K62"/>
  <c r="M53"/>
  <c r="Q53" i="30"/>
  <c r="M62"/>
  <c r="Q10"/>
  <c r="M32"/>
  <c r="M54" i="28"/>
  <c r="K63"/>
  <c r="M10"/>
  <c r="K33"/>
  <c r="AH107" i="19"/>
  <c r="AI106"/>
  <c r="AI6" i="25"/>
  <c r="AH89"/>
  <c r="AI88"/>
  <c r="AH6" i="23"/>
  <c r="AI5"/>
  <c r="AH101"/>
  <c r="AI100"/>
  <c r="AI6" i="21"/>
  <c r="AI105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F13" i="18" s="1"/>
  <c r="AK67" i="17"/>
  <c r="AM111"/>
  <c r="AK59"/>
  <c r="AM36"/>
  <c r="AM9"/>
  <c r="AM22"/>
  <c r="AK24"/>
  <c r="AM119"/>
  <c r="AM61"/>
  <c r="AH107"/>
  <c r="Y109" i="14"/>
  <c r="Z108"/>
  <c r="Z5"/>
  <c r="Y6"/>
  <c r="Q60" i="48" l="1"/>
  <c r="S51"/>
  <c r="S60" s="1"/>
  <c r="Q30"/>
  <c r="S10"/>
  <c r="S30" s="1"/>
  <c r="Q10" i="42"/>
  <c r="M32"/>
  <c r="Q10" i="46"/>
  <c r="M30"/>
  <c r="Q10" i="44"/>
  <c r="M32"/>
  <c r="Q51" i="46"/>
  <c r="M60"/>
  <c r="M62" i="42"/>
  <c r="Q53"/>
  <c r="M62" i="44"/>
  <c r="Q53"/>
  <c r="AM57" i="19"/>
  <c r="H35" i="20" s="1"/>
  <c r="I35" s="1"/>
  <c r="AM24" i="19"/>
  <c r="H18" i="20" s="1"/>
  <c r="I18" s="1"/>
  <c r="AM26" i="19"/>
  <c r="H19" i="20" s="1"/>
  <c r="I19" s="1"/>
  <c r="AK20" i="19"/>
  <c r="AK22"/>
  <c r="AM121"/>
  <c r="H72" i="20" s="1"/>
  <c r="I72" s="1"/>
  <c r="AK11" i="19"/>
  <c r="AK9"/>
  <c r="AM32"/>
  <c r="H22" i="20" s="1"/>
  <c r="I22" s="1"/>
  <c r="AM34" i="19"/>
  <c r="H23" i="20" s="1"/>
  <c r="I23" s="1"/>
  <c r="AK28" i="19"/>
  <c r="AK30"/>
  <c r="AK48"/>
  <c r="AK50"/>
  <c r="AM40"/>
  <c r="H26" i="20" s="1"/>
  <c r="I26" s="1"/>
  <c r="AM42" i="19"/>
  <c r="H27" i="20" s="1"/>
  <c r="I27" s="1"/>
  <c r="AK36" i="19"/>
  <c r="AK38"/>
  <c r="AK40"/>
  <c r="AN40" s="1"/>
  <c r="AK42"/>
  <c r="AN42" s="1"/>
  <c r="AM16"/>
  <c r="H14" i="20" s="1"/>
  <c r="I14" s="1"/>
  <c r="AM18" i="19"/>
  <c r="H15" i="20" s="1"/>
  <c r="I15" s="1"/>
  <c r="AK121" i="19"/>
  <c r="AN121" s="1"/>
  <c r="AK73"/>
  <c r="AM55"/>
  <c r="H34" i="20" s="1"/>
  <c r="I34" s="1"/>
  <c r="AM113" i="19"/>
  <c r="H68" i="20" s="1"/>
  <c r="I68" s="1"/>
  <c r="AK61" i="19"/>
  <c r="AK63"/>
  <c r="AM115"/>
  <c r="H69" i="20" s="1"/>
  <c r="I69" s="1"/>
  <c r="AK117" i="19"/>
  <c r="F70" i="20" s="1"/>
  <c r="AM11" i="19"/>
  <c r="H11" i="20" s="1"/>
  <c r="I11" s="1"/>
  <c r="AK111" i="19"/>
  <c r="F67" i="20" s="1"/>
  <c r="AK52" i="19"/>
  <c r="AM14"/>
  <c r="H13" i="20" s="1"/>
  <c r="I13" s="1"/>
  <c r="AK24" i="19"/>
  <c r="AN24" s="1"/>
  <c r="AK26"/>
  <c r="AN26" s="1"/>
  <c r="AM61"/>
  <c r="H37" i="20" s="1"/>
  <c r="I37" s="1"/>
  <c r="AM63" i="19"/>
  <c r="H38" i="20" s="1"/>
  <c r="I38" s="1"/>
  <c r="AK119" i="19"/>
  <c r="F71" i="20" s="1"/>
  <c r="AK57" i="19"/>
  <c r="AN57" s="1"/>
  <c r="AK59"/>
  <c r="AM111"/>
  <c r="H67" i="20" s="1"/>
  <c r="I67" s="1"/>
  <c r="AK16" i="19"/>
  <c r="AN16" s="1"/>
  <c r="AK18"/>
  <c r="AM117"/>
  <c r="H70" i="20" s="1"/>
  <c r="I70" s="1"/>
  <c r="AM69" i="19"/>
  <c r="H41" i="20" s="1"/>
  <c r="I41" s="1"/>
  <c r="AM71" i="19"/>
  <c r="H42" i="20" s="1"/>
  <c r="I42" s="1"/>
  <c r="AK113" i="19"/>
  <c r="AK65"/>
  <c r="AK67"/>
  <c r="AM119"/>
  <c r="H71" i="20" s="1"/>
  <c r="I71" s="1"/>
  <c r="AK69" i="19"/>
  <c r="AK71"/>
  <c r="AN71" s="1"/>
  <c r="AK109"/>
  <c r="F66" i="20" s="1"/>
  <c r="AM48" i="19"/>
  <c r="H30" i="20" s="1"/>
  <c r="I30" s="1"/>
  <c r="AM50" i="19"/>
  <c r="H31" i="20" s="1"/>
  <c r="I31" s="1"/>
  <c r="AK44" i="19"/>
  <c r="AK46"/>
  <c r="AK32"/>
  <c r="AN32" s="1"/>
  <c r="AK34"/>
  <c r="AN34" s="1"/>
  <c r="AM59"/>
  <c r="H36" i="20" s="1"/>
  <c r="I36" s="1"/>
  <c r="AM36" i="19"/>
  <c r="H24" i="20" s="1"/>
  <c r="I24" s="1"/>
  <c r="AM67" i="19"/>
  <c r="H40" i="20" s="1"/>
  <c r="I40" s="1"/>
  <c r="AM52" i="19"/>
  <c r="H32" i="20" s="1"/>
  <c r="I32" s="1"/>
  <c r="AM22" i="19"/>
  <c r="H17" i="20" s="1"/>
  <c r="I17" s="1"/>
  <c r="AK55" i="19"/>
  <c r="AN55" s="1"/>
  <c r="AM44"/>
  <c r="H28" i="20" s="1"/>
  <c r="I28" s="1"/>
  <c r="AM30" i="19"/>
  <c r="H21" i="20" s="1"/>
  <c r="I21" s="1"/>
  <c r="AK14" i="19"/>
  <c r="AN14" s="1"/>
  <c r="AM65"/>
  <c r="H39" i="20" s="1"/>
  <c r="I39" s="1"/>
  <c r="AM46" i="19"/>
  <c r="H29" i="20" s="1"/>
  <c r="I29" s="1"/>
  <c r="AM109" i="19"/>
  <c r="H66" i="20" s="1"/>
  <c r="I66" s="1"/>
  <c r="AM73" i="19"/>
  <c r="H43" i="20" s="1"/>
  <c r="I43" s="1"/>
  <c r="AK115" i="19"/>
  <c r="AN115" s="1"/>
  <c r="AM9"/>
  <c r="H10" i="20" s="1"/>
  <c r="I10" s="1"/>
  <c r="AM28" i="19"/>
  <c r="H20" i="20" s="1"/>
  <c r="I20" s="1"/>
  <c r="AM38" i="19"/>
  <c r="H25" i="20" s="1"/>
  <c r="I25" s="1"/>
  <c r="AM20" i="19"/>
  <c r="H16" i="20" s="1"/>
  <c r="I16" s="1"/>
  <c r="S10" i="30"/>
  <c r="S32" s="1"/>
  <c r="Q32"/>
  <c r="Q62"/>
  <c r="S53"/>
  <c r="S62" s="1"/>
  <c r="AK105" i="25"/>
  <c r="AM93"/>
  <c r="H58" i="26" s="1"/>
  <c r="I58" s="1"/>
  <c r="AM34" i="25"/>
  <c r="H23" i="26" s="1"/>
  <c r="I23" s="1"/>
  <c r="AK51" i="25"/>
  <c r="AK53"/>
  <c r="AM45"/>
  <c r="H29" i="26" s="1"/>
  <c r="I29" s="1"/>
  <c r="AM101" i="25"/>
  <c r="H62" i="26" s="1"/>
  <c r="I62" s="1"/>
  <c r="AK14" i="25"/>
  <c r="AK93"/>
  <c r="AN93" s="1"/>
  <c r="AK34"/>
  <c r="AM28"/>
  <c r="H20" i="26" s="1"/>
  <c r="I20" s="1"/>
  <c r="AM99" i="25"/>
  <c r="H61" i="26" s="1"/>
  <c r="I61" s="1"/>
  <c r="AM40" i="25"/>
  <c r="H26" i="26" s="1"/>
  <c r="I26" s="1"/>
  <c r="AK99" i="25"/>
  <c r="AK101"/>
  <c r="AN101" s="1"/>
  <c r="AM14"/>
  <c r="H13" i="26" s="1"/>
  <c r="I13" s="1"/>
  <c r="AM91" i="25"/>
  <c r="H57" i="26" s="1"/>
  <c r="I57" s="1"/>
  <c r="AK9" i="25"/>
  <c r="AM32"/>
  <c r="H22" i="26" s="1"/>
  <c r="I22" s="1"/>
  <c r="AK26" i="25"/>
  <c r="AM16"/>
  <c r="H14" i="26" s="1"/>
  <c r="I14" s="1"/>
  <c r="AK18" i="25"/>
  <c r="AM47"/>
  <c r="H30" i="26" s="1"/>
  <c r="I30" s="1"/>
  <c r="AK103" i="25"/>
  <c r="AK43"/>
  <c r="AK47"/>
  <c r="AK49"/>
  <c r="AM103"/>
  <c r="H63" i="26" s="1"/>
  <c r="I63" s="1"/>
  <c r="AM11" i="25"/>
  <c r="H11" i="26" s="1"/>
  <c r="I11" s="1"/>
  <c r="AM105" i="25"/>
  <c r="H64" i="26" s="1"/>
  <c r="I64" s="1"/>
  <c r="AM24" i="25"/>
  <c r="H18" i="26" s="1"/>
  <c r="I18" s="1"/>
  <c r="AM43" i="25"/>
  <c r="H28" i="26" s="1"/>
  <c r="I28" s="1"/>
  <c r="AM20" i="25"/>
  <c r="H16" i="26" s="1"/>
  <c r="I16" s="1"/>
  <c r="AM26" i="25"/>
  <c r="H19" i="26" s="1"/>
  <c r="I19" s="1"/>
  <c r="AM51" i="25"/>
  <c r="H32" i="26" s="1"/>
  <c r="I32" s="1"/>
  <c r="AK22" i="25"/>
  <c r="AM55"/>
  <c r="H34" i="26" s="1"/>
  <c r="I34" s="1"/>
  <c r="AM49" i="25"/>
  <c r="H31" i="26" s="1"/>
  <c r="I31" s="1"/>
  <c r="AK45" i="25"/>
  <c r="AN45" s="1"/>
  <c r="AM95"/>
  <c r="H59" i="26" s="1"/>
  <c r="I59" s="1"/>
  <c r="AM36" i="25"/>
  <c r="H24" i="26" s="1"/>
  <c r="I24" s="1"/>
  <c r="AK97" i="25"/>
  <c r="AK38"/>
  <c r="AM30"/>
  <c r="H21" i="26" s="1"/>
  <c r="I21" s="1"/>
  <c r="AM38" i="25"/>
  <c r="H25" i="26" s="1"/>
  <c r="I25" s="1"/>
  <c r="AK30" i="25"/>
  <c r="AK95"/>
  <c r="AN95" s="1"/>
  <c r="AM97"/>
  <c r="H60" i="26" s="1"/>
  <c r="I60" s="1"/>
  <c r="AK40" i="25"/>
  <c r="AN40" s="1"/>
  <c r="AM9"/>
  <c r="H10" i="26" s="1"/>
  <c r="I10" s="1"/>
  <c r="AK11" i="25"/>
  <c r="AN11" s="1"/>
  <c r="AK36"/>
  <c r="AK55"/>
  <c r="AN55" s="1"/>
  <c r="AK91"/>
  <c r="AN91" s="1"/>
  <c r="AM22"/>
  <c r="H17" i="26" s="1"/>
  <c r="I17" s="1"/>
  <c r="AK28" i="25"/>
  <c r="AN28" s="1"/>
  <c r="AK24"/>
  <c r="AN24" s="1"/>
  <c r="AM18"/>
  <c r="H15" i="26" s="1"/>
  <c r="I15" s="1"/>
  <c r="AK32" i="25"/>
  <c r="AN32" s="1"/>
  <c r="AK20"/>
  <c r="AN20" s="1"/>
  <c r="AM53"/>
  <c r="H33" i="26" s="1"/>
  <c r="I33" s="1"/>
  <c r="AK16" i="25"/>
  <c r="AN16" s="1"/>
  <c r="Q54" i="28"/>
  <c r="M63"/>
  <c r="Q10"/>
  <c r="M33"/>
  <c r="AK109" i="21"/>
  <c r="AM107"/>
  <c r="H65" i="22" s="1"/>
  <c r="I65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M69"/>
  <c r="H41" i="22" s="1"/>
  <c r="I41" s="1"/>
  <c r="AM59" i="21"/>
  <c r="H36" i="22" s="1"/>
  <c r="I36" s="1"/>
  <c r="AK117" i="21"/>
  <c r="AN117" s="1"/>
  <c r="AK11"/>
  <c r="AK44"/>
  <c r="AN44" s="1"/>
  <c r="AM30"/>
  <c r="H21" i="22" s="1"/>
  <c r="I21" s="1"/>
  <c r="AM20" i="21"/>
  <c r="H16" i="22" s="1"/>
  <c r="I16" s="1"/>
  <c r="AK69" i="2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M65"/>
  <c r="H39" i="22" s="1"/>
  <c r="I39" s="1"/>
  <c r="AM55" i="21"/>
  <c r="H34" i="22" s="1"/>
  <c r="I34" s="1"/>
  <c r="AK113" i="21"/>
  <c r="AN113" s="1"/>
  <c r="AK50"/>
  <c r="AK40"/>
  <c r="AN40" s="1"/>
  <c r="AM26"/>
  <c r="H19" i="22" s="1"/>
  <c r="I19" s="1"/>
  <c r="AM16" i="21"/>
  <c r="H14" i="22" s="1"/>
  <c r="I14" s="1"/>
  <c r="AK65" i="21"/>
  <c r="AK55"/>
  <c r="AN55" s="1"/>
  <c r="AM109"/>
  <c r="H66" i="22" s="1"/>
  <c r="I66" s="1"/>
  <c r="AM46" i="21"/>
  <c r="H29" i="22" s="1"/>
  <c r="I29" s="1"/>
  <c r="AK26" i="2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K9"/>
  <c r="F10" i="22" s="1"/>
  <c r="AM42" i="21"/>
  <c r="H27" i="22" s="1"/>
  <c r="I27" s="1"/>
  <c r="AM32" i="21"/>
  <c r="H22" i="22" s="1"/>
  <c r="I22" s="1"/>
  <c r="AK22" i="21"/>
  <c r="AK71"/>
  <c r="AN71" s="1"/>
  <c r="AM57"/>
  <c r="H35" i="22" s="1"/>
  <c r="I35" s="1"/>
  <c r="AM115" i="21"/>
  <c r="H69" i="22" s="1"/>
  <c r="I69" s="1"/>
  <c r="AK14" i="21"/>
  <c r="AK42"/>
  <c r="AN42" s="1"/>
  <c r="AK32"/>
  <c r="AM18"/>
  <c r="H15" i="22" s="1"/>
  <c r="I15" s="1"/>
  <c r="AM67" i="21"/>
  <c r="H40" i="22" s="1"/>
  <c r="I40" s="1"/>
  <c r="AK57" i="21"/>
  <c r="AK115"/>
  <c r="AM14"/>
  <c r="H13" i="22" s="1"/>
  <c r="I13" s="1"/>
  <c r="AM38" i="21"/>
  <c r="H25" i="22" s="1"/>
  <c r="I25" s="1"/>
  <c r="AM28" i="21"/>
  <c r="H20" i="22" s="1"/>
  <c r="I20" s="1"/>
  <c r="AK18" i="21"/>
  <c r="AK67"/>
  <c r="F40" i="22" s="1"/>
  <c r="AK107" i="21"/>
  <c r="AN107" s="1"/>
  <c r="AM111"/>
  <c r="H67" i="22" s="1"/>
  <c r="I67" s="1"/>
  <c r="AM48" i="21"/>
  <c r="H30" i="22" s="1"/>
  <c r="I30" s="1"/>
  <c r="AK38" i="21"/>
  <c r="AK28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F33" i="26"/>
  <c r="F29"/>
  <c r="AI89" i="25"/>
  <c r="F59" i="26"/>
  <c r="F34"/>
  <c r="F60"/>
  <c r="F18"/>
  <c r="F63"/>
  <c r="F25"/>
  <c r="F62"/>
  <c r="F15"/>
  <c r="F14"/>
  <c r="F17"/>
  <c r="F24"/>
  <c r="F26"/>
  <c r="F23"/>
  <c r="F19"/>
  <c r="F61"/>
  <c r="F57"/>
  <c r="F10"/>
  <c r="AN9" i="25"/>
  <c r="F13" i="26"/>
  <c r="F28"/>
  <c r="F31"/>
  <c r="F30"/>
  <c r="F21"/>
  <c r="F58"/>
  <c r="F32"/>
  <c r="F68" i="22"/>
  <c r="F22"/>
  <c r="F67"/>
  <c r="F24"/>
  <c r="F36"/>
  <c r="F21"/>
  <c r="F17"/>
  <c r="F13"/>
  <c r="F39"/>
  <c r="F35"/>
  <c r="F11"/>
  <c r="F26"/>
  <c r="F31"/>
  <c r="F41"/>
  <c r="F66"/>
  <c r="F33"/>
  <c r="F16"/>
  <c r="F25"/>
  <c r="AN9" i="21"/>
  <c r="F71" i="22"/>
  <c r="G71" s="1"/>
  <c r="F19"/>
  <c r="F28"/>
  <c r="F29"/>
  <c r="F18"/>
  <c r="F20"/>
  <c r="F34"/>
  <c r="F70"/>
  <c r="F27"/>
  <c r="F38"/>
  <c r="F15"/>
  <c r="F23"/>
  <c r="F30"/>
  <c r="F69"/>
  <c r="F37" i="20"/>
  <c r="F22"/>
  <c r="F30"/>
  <c r="F16"/>
  <c r="F39"/>
  <c r="F43"/>
  <c r="F31"/>
  <c r="F35"/>
  <c r="F29"/>
  <c r="F17"/>
  <c r="F24"/>
  <c r="F13"/>
  <c r="F42"/>
  <c r="F41"/>
  <c r="F18"/>
  <c r="F21"/>
  <c r="F34"/>
  <c r="F38"/>
  <c r="F36"/>
  <c r="F14"/>
  <c r="F11"/>
  <c r="F25"/>
  <c r="F19"/>
  <c r="F10"/>
  <c r="AN9" i="19"/>
  <c r="F40" i="20"/>
  <c r="F20"/>
  <c r="F26"/>
  <c r="F15"/>
  <c r="F32"/>
  <c r="F27"/>
  <c r="F28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AN113" i="19" l="1"/>
  <c r="AN18"/>
  <c r="V60" i="48"/>
  <c r="I74" i="20"/>
  <c r="I45"/>
  <c r="AN26" i="21"/>
  <c r="AN69" i="19"/>
  <c r="S51" i="46"/>
  <c r="S60" s="1"/>
  <c r="Q60"/>
  <c r="S10" i="44"/>
  <c r="S32" s="1"/>
  <c r="Q32"/>
  <c r="S10" i="46"/>
  <c r="S30" s="1"/>
  <c r="Q30"/>
  <c r="S10" i="42"/>
  <c r="S32" s="1"/>
  <c r="Q32"/>
  <c r="Q62" i="44"/>
  <c r="S53"/>
  <c r="S62" s="1"/>
  <c r="Q62" i="42"/>
  <c r="S53"/>
  <c r="S62" s="1"/>
  <c r="AN65" i="21"/>
  <c r="AN50"/>
  <c r="AN20"/>
  <c r="AN69"/>
  <c r="AN11"/>
  <c r="AN24"/>
  <c r="H66" i="26"/>
  <c r="H74" i="20"/>
  <c r="F16" i="26"/>
  <c r="L16" s="1"/>
  <c r="F20"/>
  <c r="G20" s="1"/>
  <c r="K20" s="1"/>
  <c r="F11"/>
  <c r="L11" s="1"/>
  <c r="AN36" i="25"/>
  <c r="AN30"/>
  <c r="F22" i="26"/>
  <c r="L22" s="1"/>
  <c r="AN43" i="25"/>
  <c r="I66" i="26"/>
  <c r="V62" i="30"/>
  <c r="I36" i="26"/>
  <c r="F69" i="20"/>
  <c r="L69" s="1"/>
  <c r="F72"/>
  <c r="J72" s="1"/>
  <c r="F68"/>
  <c r="J68" s="1"/>
  <c r="AN105" i="25"/>
  <c r="F64" i="26"/>
  <c r="AN38" i="25"/>
  <c r="AN22"/>
  <c r="AN49"/>
  <c r="AN53"/>
  <c r="AN44" i="19"/>
  <c r="AN65"/>
  <c r="AN59"/>
  <c r="AN119"/>
  <c r="AN52"/>
  <c r="AN61"/>
  <c r="AN36"/>
  <c r="AN48"/>
  <c r="AN28"/>
  <c r="AN11"/>
  <c r="AN22"/>
  <c r="AM117" i="23"/>
  <c r="H69" i="24" s="1"/>
  <c r="I69" s="1"/>
  <c r="AK117" i="23"/>
  <c r="F42" i="22"/>
  <c r="F37"/>
  <c r="I73"/>
  <c r="F14"/>
  <c r="AN28" i="21"/>
  <c r="AN18"/>
  <c r="AN115"/>
  <c r="AN32"/>
  <c r="AN14"/>
  <c r="AN22"/>
  <c r="AN119"/>
  <c r="AN97" i="25"/>
  <c r="AN47"/>
  <c r="AN103"/>
  <c r="AN18"/>
  <c r="AN26"/>
  <c r="AN99"/>
  <c r="AN34"/>
  <c r="AN14"/>
  <c r="AN51"/>
  <c r="AN46" i="19"/>
  <c r="AN109"/>
  <c r="AN67"/>
  <c r="AN111"/>
  <c r="AN117"/>
  <c r="AN63"/>
  <c r="AN73"/>
  <c r="AN38"/>
  <c r="AN50"/>
  <c r="AN30"/>
  <c r="AN20"/>
  <c r="Q63" i="28"/>
  <c r="S54"/>
  <c r="S63" s="1"/>
  <c r="Q33"/>
  <c r="S10"/>
  <c r="S33" s="1"/>
  <c r="H73" i="22"/>
  <c r="I44"/>
  <c r="AM111" i="23"/>
  <c r="H66" i="24" s="1"/>
  <c r="I66" s="1"/>
  <c r="AM14" i="23"/>
  <c r="H13" i="24" s="1"/>
  <c r="I13" s="1"/>
  <c r="AK22" i="23"/>
  <c r="F17" i="24" s="1"/>
  <c r="AK32" i="23"/>
  <c r="AM40"/>
  <c r="H25" i="24" s="1"/>
  <c r="I25" s="1"/>
  <c r="AM50" i="23"/>
  <c r="H30" i="24" s="1"/>
  <c r="I30" s="1"/>
  <c r="AM107" i="23"/>
  <c r="H64" i="24" s="1"/>
  <c r="I64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4" i="24" s="1"/>
  <c r="I34" s="1"/>
  <c r="AM67" i="23"/>
  <c r="H39" i="24" s="1"/>
  <c r="I39" s="1"/>
  <c r="AK26" i="23"/>
  <c r="AK36"/>
  <c r="AM44"/>
  <c r="H27" i="24" s="1"/>
  <c r="I27" s="1"/>
  <c r="AM11" i="23"/>
  <c r="H11" i="24" s="1"/>
  <c r="I11" s="1"/>
  <c r="AK46" i="23"/>
  <c r="AM9"/>
  <c r="H10" i="24" s="1"/>
  <c r="I10" s="1"/>
  <c r="AM113" i="23"/>
  <c r="H67" i="24" s="1"/>
  <c r="I67" s="1"/>
  <c r="AM59" i="23"/>
  <c r="H35" i="24" s="1"/>
  <c r="I35" s="1"/>
  <c r="AK18" i="23"/>
  <c r="AK28"/>
  <c r="AM46"/>
  <c r="H28" i="24" s="1"/>
  <c r="I28" s="1"/>
  <c r="AK30" i="23"/>
  <c r="F21" i="24" s="1"/>
  <c r="AK38" i="23"/>
  <c r="AM48"/>
  <c r="H29" i="24" s="1"/>
  <c r="I29" s="1"/>
  <c r="AM105" i="23"/>
  <c r="H63" i="24" s="1"/>
  <c r="I63" s="1"/>
  <c r="AM115" i="23"/>
  <c r="H68" i="24" s="1"/>
  <c r="I68" s="1"/>
  <c r="AK65" i="23"/>
  <c r="AK20"/>
  <c r="AM30"/>
  <c r="H21" i="24" s="1"/>
  <c r="I21" s="1"/>
  <c r="AM38" i="23"/>
  <c r="AM63"/>
  <c r="H37" i="24" s="1"/>
  <c r="I37" s="1"/>
  <c r="AK109" i="23"/>
  <c r="F65" i="24" s="1"/>
  <c r="AK55" i="23"/>
  <c r="AM65"/>
  <c r="H38" i="24" s="1"/>
  <c r="I38" s="1"/>
  <c r="AM20" i="23"/>
  <c r="H16" i="24" s="1"/>
  <c r="I16" s="1"/>
  <c r="AK34" i="23"/>
  <c r="AK42"/>
  <c r="AK14"/>
  <c r="AN14" s="1"/>
  <c r="AM109"/>
  <c r="H65" i="24" s="1"/>
  <c r="I65" s="1"/>
  <c r="AM55" i="23"/>
  <c r="H33" i="24" s="1"/>
  <c r="I33" s="1"/>
  <c r="AM53" i="23"/>
  <c r="H32" i="24" s="1"/>
  <c r="I32" s="1"/>
  <c r="AK24" i="23"/>
  <c r="F18" i="24" s="1"/>
  <c r="AM34" i="23"/>
  <c r="H23" i="24" s="1"/>
  <c r="I23" s="1"/>
  <c r="AM42" i="23"/>
  <c r="H26" i="24" s="1"/>
  <c r="I26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6" i="24" s="1"/>
  <c r="I36" s="1"/>
  <c r="AM16" i="23"/>
  <c r="H14" i="24" s="1"/>
  <c r="I14" s="1"/>
  <c r="AM103" i="23"/>
  <c r="H62" i="24" s="1"/>
  <c r="I62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58" i="26"/>
  <c r="L58"/>
  <c r="G58"/>
  <c r="K58" s="1"/>
  <c r="L30"/>
  <c r="G30"/>
  <c r="K30" s="1"/>
  <c r="J30"/>
  <c r="J28"/>
  <c r="L28"/>
  <c r="G28"/>
  <c r="K28" s="1"/>
  <c r="L57"/>
  <c r="G57"/>
  <c r="J57"/>
  <c r="L61"/>
  <c r="G61"/>
  <c r="K61" s="1"/>
  <c r="J61"/>
  <c r="J19"/>
  <c r="L19"/>
  <c r="G19"/>
  <c r="K19" s="1"/>
  <c r="J26"/>
  <c r="L26"/>
  <c r="G26"/>
  <c r="K26" s="1"/>
  <c r="L15"/>
  <c r="G15"/>
  <c r="K15" s="1"/>
  <c r="J15"/>
  <c r="L25"/>
  <c r="J25"/>
  <c r="G25"/>
  <c r="K25" s="1"/>
  <c r="J63"/>
  <c r="L63"/>
  <c r="G63"/>
  <c r="K63" s="1"/>
  <c r="L60"/>
  <c r="G60"/>
  <c r="K60" s="1"/>
  <c r="J60"/>
  <c r="G22"/>
  <c r="K22" s="1"/>
  <c r="J33"/>
  <c r="L33"/>
  <c r="G33"/>
  <c r="K33" s="1"/>
  <c r="J32"/>
  <c r="L32"/>
  <c r="G32"/>
  <c r="K32" s="1"/>
  <c r="J21"/>
  <c r="L21"/>
  <c r="G21"/>
  <c r="K21" s="1"/>
  <c r="L31"/>
  <c r="J31"/>
  <c r="G31"/>
  <c r="K31" s="1"/>
  <c r="J13"/>
  <c r="L13"/>
  <c r="G13"/>
  <c r="K13" s="1"/>
  <c r="L10"/>
  <c r="G10"/>
  <c r="J10"/>
  <c r="G16"/>
  <c r="K16" s="1"/>
  <c r="J23"/>
  <c r="L23"/>
  <c r="G23"/>
  <c r="K23" s="1"/>
  <c r="L24"/>
  <c r="G24"/>
  <c r="K24" s="1"/>
  <c r="J24"/>
  <c r="L17"/>
  <c r="G17"/>
  <c r="K17" s="1"/>
  <c r="J17"/>
  <c r="J14"/>
  <c r="L14"/>
  <c r="G14"/>
  <c r="K14" s="1"/>
  <c r="L20"/>
  <c r="J20"/>
  <c r="J62"/>
  <c r="L62"/>
  <c r="G62"/>
  <c r="K62" s="1"/>
  <c r="J18"/>
  <c r="L18"/>
  <c r="G18"/>
  <c r="K18" s="1"/>
  <c r="L34"/>
  <c r="G34"/>
  <c r="K34" s="1"/>
  <c r="J34"/>
  <c r="J59"/>
  <c r="L59"/>
  <c r="G59"/>
  <c r="K59" s="1"/>
  <c r="L29"/>
  <c r="G29"/>
  <c r="K29" s="1"/>
  <c r="J29"/>
  <c r="G11"/>
  <c r="K11" s="1"/>
  <c r="F15" i="24"/>
  <c r="F39"/>
  <c r="F10"/>
  <c r="F19"/>
  <c r="F26"/>
  <c r="F23"/>
  <c r="F28"/>
  <c r="F20"/>
  <c r="F33"/>
  <c r="F29"/>
  <c r="F64"/>
  <c r="F27"/>
  <c r="F16"/>
  <c r="F35"/>
  <c r="F62"/>
  <c r="F63"/>
  <c r="F32"/>
  <c r="F24"/>
  <c r="F38"/>
  <c r="F34"/>
  <c r="F22"/>
  <c r="F13"/>
  <c r="F36"/>
  <c r="F30"/>
  <c r="F66"/>
  <c r="F14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K7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G69" i="20" l="1"/>
  <c r="K69" s="1"/>
  <c r="J11" i="26"/>
  <c r="J16"/>
  <c r="I71" i="24"/>
  <c r="V63" i="28"/>
  <c r="V62" i="42"/>
  <c r="V62" i="44"/>
  <c r="V60" i="46"/>
  <c r="J22" i="26"/>
  <c r="L68" i="20"/>
  <c r="L72"/>
  <c r="G72"/>
  <c r="K72" s="1"/>
  <c r="J69"/>
  <c r="J74" s="1"/>
  <c r="G68"/>
  <c r="K68" s="1"/>
  <c r="AN117" i="23"/>
  <c r="F69" i="24"/>
  <c r="L64" i="26"/>
  <c r="G64"/>
  <c r="K64" s="1"/>
  <c r="J64"/>
  <c r="G65" i="22"/>
  <c r="I41" i="24"/>
  <c r="F68"/>
  <c r="J68" s="1"/>
  <c r="H71"/>
  <c r="F37"/>
  <c r="J37" s="1"/>
  <c r="F67"/>
  <c r="J67" s="1"/>
  <c r="AN107" i="23"/>
  <c r="AN40"/>
  <c r="AN111"/>
  <c r="AN16"/>
  <c r="AN42"/>
  <c r="AN55"/>
  <c r="AN65"/>
  <c r="AN38"/>
  <c r="AN28"/>
  <c r="AN26"/>
  <c r="AN11"/>
  <c r="AN67"/>
  <c r="AN22"/>
  <c r="F25" i="24"/>
  <c r="J25" s="1"/>
  <c r="AN103" i="23"/>
  <c r="AN61"/>
  <c r="AN24"/>
  <c r="AN34"/>
  <c r="AN109"/>
  <c r="AN20"/>
  <c r="AN30"/>
  <c r="AN18"/>
  <c r="AN46"/>
  <c r="AN36"/>
  <c r="AN44"/>
  <c r="AN57"/>
  <c r="AN32"/>
  <c r="M59" i="26"/>
  <c r="Q59" s="1"/>
  <c r="S59" s="1"/>
  <c r="M34"/>
  <c r="Q34" s="1"/>
  <c r="S34" s="1"/>
  <c r="M24"/>
  <c r="Q24" s="1"/>
  <c r="S24" s="1"/>
  <c r="M26"/>
  <c r="Q26" s="1"/>
  <c r="S26" s="1"/>
  <c r="M58"/>
  <c r="Q58" s="1"/>
  <c r="S58" s="1"/>
  <c r="M21"/>
  <c r="Q21" s="1"/>
  <c r="S21" s="1"/>
  <c r="M29"/>
  <c r="Q29" s="1"/>
  <c r="S29" s="1"/>
  <c r="M18"/>
  <c r="Q18" s="1"/>
  <c r="S18" s="1"/>
  <c r="M23"/>
  <c r="Q23" s="1"/>
  <c r="S23" s="1"/>
  <c r="M16"/>
  <c r="Q16" s="1"/>
  <c r="S16" s="1"/>
  <c r="M13"/>
  <c r="Q13" s="1"/>
  <c r="S13" s="1"/>
  <c r="M33"/>
  <c r="Q33" s="1"/>
  <c r="S33" s="1"/>
  <c r="M28"/>
  <c r="Q28" s="1"/>
  <c r="S28" s="1"/>
  <c r="M30"/>
  <c r="Q30" s="1"/>
  <c r="S30" s="1"/>
  <c r="M25"/>
  <c r="Q25" s="1"/>
  <c r="S25" s="1"/>
  <c r="M62"/>
  <c r="Q62" s="1"/>
  <c r="S62" s="1"/>
  <c r="M20"/>
  <c r="Q20" s="1"/>
  <c r="S20" s="1"/>
  <c r="M32"/>
  <c r="Q32" s="1"/>
  <c r="S32" s="1"/>
  <c r="M63"/>
  <c r="Q63" s="1"/>
  <c r="S63" s="1"/>
  <c r="M19"/>
  <c r="Q19" s="1"/>
  <c r="S19" s="1"/>
  <c r="L66"/>
  <c r="M11"/>
  <c r="Q11" s="1"/>
  <c r="S11" s="1"/>
  <c r="M61"/>
  <c r="Q61" s="1"/>
  <c r="S61" s="1"/>
  <c r="G36"/>
  <c r="K10"/>
  <c r="J66"/>
  <c r="M69" i="20"/>
  <c r="Q69" s="1"/>
  <c r="S69" s="1"/>
  <c r="M24"/>
  <c r="Q24" s="1"/>
  <c r="S24" s="1"/>
  <c r="M11"/>
  <c r="Q11" s="1"/>
  <c r="S11" s="1"/>
  <c r="M14" i="26"/>
  <c r="Q14" s="1"/>
  <c r="S14" s="1"/>
  <c r="M17"/>
  <c r="Q17" s="1"/>
  <c r="S17" s="1"/>
  <c r="L36"/>
  <c r="M31"/>
  <c r="Q31" s="1"/>
  <c r="S31" s="1"/>
  <c r="M22"/>
  <c r="Q22" s="1"/>
  <c r="S22" s="1"/>
  <c r="M60"/>
  <c r="Q60" s="1"/>
  <c r="S60" s="1"/>
  <c r="M15"/>
  <c r="Q15" s="1"/>
  <c r="S15" s="1"/>
  <c r="K57"/>
  <c r="L68" i="24"/>
  <c r="L14"/>
  <c r="G14"/>
  <c r="K14" s="1"/>
  <c r="J14"/>
  <c r="J30"/>
  <c r="L30"/>
  <c r="G30"/>
  <c r="K30" s="1"/>
  <c r="L36"/>
  <c r="G36"/>
  <c r="K36" s="1"/>
  <c r="J36"/>
  <c r="L22"/>
  <c r="G22"/>
  <c r="K22" s="1"/>
  <c r="J22"/>
  <c r="L34"/>
  <c r="G34"/>
  <c r="K34" s="1"/>
  <c r="J34"/>
  <c r="L37"/>
  <c r="J63"/>
  <c r="L63"/>
  <c r="G63"/>
  <c r="K63" s="1"/>
  <c r="L35"/>
  <c r="G35"/>
  <c r="K35" s="1"/>
  <c r="J35"/>
  <c r="J27"/>
  <c r="L27"/>
  <c r="G27"/>
  <c r="K27" s="1"/>
  <c r="L29"/>
  <c r="G29"/>
  <c r="K29" s="1"/>
  <c r="J29"/>
  <c r="L33"/>
  <c r="G33"/>
  <c r="K33" s="1"/>
  <c r="J33"/>
  <c r="L28"/>
  <c r="G28"/>
  <c r="K28" s="1"/>
  <c r="J28"/>
  <c r="L23"/>
  <c r="J23"/>
  <c r="G23"/>
  <c r="K23" s="1"/>
  <c r="J26"/>
  <c r="L26"/>
  <c r="G26"/>
  <c r="K26" s="1"/>
  <c r="L65"/>
  <c r="G65"/>
  <c r="K65" s="1"/>
  <c r="J65"/>
  <c r="L66"/>
  <c r="G66"/>
  <c r="K66" s="1"/>
  <c r="J66"/>
  <c r="L17"/>
  <c r="G17"/>
  <c r="K17" s="1"/>
  <c r="J17"/>
  <c r="J21"/>
  <c r="L21"/>
  <c r="G21"/>
  <c r="K21" s="1"/>
  <c r="L13"/>
  <c r="G13"/>
  <c r="K13" s="1"/>
  <c r="J13"/>
  <c r="J38"/>
  <c r="L38"/>
  <c r="G38"/>
  <c r="K38" s="1"/>
  <c r="J24"/>
  <c r="L24"/>
  <c r="G24"/>
  <c r="K24" s="1"/>
  <c r="J32"/>
  <c r="L32"/>
  <c r="G32"/>
  <c r="K32" s="1"/>
  <c r="L62"/>
  <c r="G62"/>
  <c r="J62"/>
  <c r="J16"/>
  <c r="L16"/>
  <c r="G16"/>
  <c r="K16" s="1"/>
  <c r="J64"/>
  <c r="L64"/>
  <c r="G64"/>
  <c r="K64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5"/>
  <c r="K25" s="1"/>
  <c r="L19"/>
  <c r="J19"/>
  <c r="G19"/>
  <c r="K19" s="1"/>
  <c r="J10"/>
  <c r="L10"/>
  <c r="G10"/>
  <c r="L39"/>
  <c r="G39"/>
  <c r="K39" s="1"/>
  <c r="J39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K66"/>
  <c r="M23"/>
  <c r="Q23" s="1"/>
  <c r="S23" s="1"/>
  <c r="M22"/>
  <c r="Q22" s="1"/>
  <c r="S22" s="1"/>
  <c r="M35"/>
  <c r="Q35" s="1"/>
  <c r="S35" s="1"/>
  <c r="M41"/>
  <c r="Q41" s="1"/>
  <c r="S41" s="1"/>
  <c r="M19"/>
  <c r="Q19" s="1"/>
  <c r="S19" s="1"/>
  <c r="M42"/>
  <c r="Q42" s="1"/>
  <c r="S42" s="1"/>
  <c r="L45"/>
  <c r="M70"/>
  <c r="Q70" s="1"/>
  <c r="S70" s="1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M68" i="20" l="1"/>
  <c r="Q68" s="1"/>
  <c r="S68" s="1"/>
  <c r="L74"/>
  <c r="M72"/>
  <c r="Q72" s="1"/>
  <c r="S72" s="1"/>
  <c r="G74"/>
  <c r="G66" i="26"/>
  <c r="M64"/>
  <c r="Q64" s="1"/>
  <c r="S64" s="1"/>
  <c r="G69" i="24"/>
  <c r="K69" s="1"/>
  <c r="L69"/>
  <c r="J69"/>
  <c r="G37"/>
  <c r="K37" s="1"/>
  <c r="M37" s="1"/>
  <c r="Q37" s="1"/>
  <c r="S37" s="1"/>
  <c r="G68"/>
  <c r="K68" s="1"/>
  <c r="M68" s="1"/>
  <c r="Q68" s="1"/>
  <c r="S68" s="1"/>
  <c r="L25"/>
  <c r="L41" s="1"/>
  <c r="L67"/>
  <c r="G67"/>
  <c r="K67" s="1"/>
  <c r="K66" i="26"/>
  <c r="M57"/>
  <c r="K36"/>
  <c r="M10"/>
  <c r="M20" i="24"/>
  <c r="Q20" s="1"/>
  <c r="S20" s="1"/>
  <c r="M22"/>
  <c r="Q22" s="1"/>
  <c r="S22" s="1"/>
  <c r="M18"/>
  <c r="Q18" s="1"/>
  <c r="S18" s="1"/>
  <c r="M32"/>
  <c r="Q32" s="1"/>
  <c r="S32" s="1"/>
  <c r="M33"/>
  <c r="Q33" s="1"/>
  <c r="S33" s="1"/>
  <c r="M30"/>
  <c r="Q30" s="1"/>
  <c r="S30" s="1"/>
  <c r="M23"/>
  <c r="Q23" s="1"/>
  <c r="S23" s="1"/>
  <c r="M26"/>
  <c r="Q26" s="1"/>
  <c r="S26" s="1"/>
  <c r="M36"/>
  <c r="Q36" s="1"/>
  <c r="S36" s="1"/>
  <c r="M11"/>
  <c r="Q11" s="1"/>
  <c r="S11" s="1"/>
  <c r="M16"/>
  <c r="Q16" s="1"/>
  <c r="S16" s="1"/>
  <c r="M38"/>
  <c r="Q38" s="1"/>
  <c r="S38" s="1"/>
  <c r="M66"/>
  <c r="Q66" s="1"/>
  <c r="S66" s="1"/>
  <c r="M14"/>
  <c r="Q14" s="1"/>
  <c r="S14" s="1"/>
  <c r="K10"/>
  <c r="M64"/>
  <c r="Q64" s="1"/>
  <c r="S64" s="1"/>
  <c r="M24"/>
  <c r="Q24" s="1"/>
  <c r="S24" s="1"/>
  <c r="M21"/>
  <c r="Q21" s="1"/>
  <c r="S21" s="1"/>
  <c r="M17"/>
  <c r="Q17" s="1"/>
  <c r="S17" s="1"/>
  <c r="M28"/>
  <c r="Q28" s="1"/>
  <c r="S28" s="1"/>
  <c r="M27"/>
  <c r="Q27" s="1"/>
  <c r="S27" s="1"/>
  <c r="M35"/>
  <c r="Q35" s="1"/>
  <c r="S35" s="1"/>
  <c r="M34"/>
  <c r="Q34" s="1"/>
  <c r="S34" s="1"/>
  <c r="M15"/>
  <c r="Q15" s="1"/>
  <c r="S15" s="1"/>
  <c r="M39"/>
  <c r="Q39" s="1"/>
  <c r="S39" s="1"/>
  <c r="J71"/>
  <c r="M13"/>
  <c r="Q13" s="1"/>
  <c r="S13" s="1"/>
  <c r="M29"/>
  <c r="Q29" s="1"/>
  <c r="S29" s="1"/>
  <c r="M63"/>
  <c r="Q63" s="1"/>
  <c r="S63" s="1"/>
  <c r="M19"/>
  <c r="Q19" s="1"/>
  <c r="S19" s="1"/>
  <c r="K62"/>
  <c r="M65"/>
  <c r="Q65" s="1"/>
  <c r="S65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G41" i="24" l="1"/>
  <c r="M25"/>
  <c r="Q25" s="1"/>
  <c r="S25" s="1"/>
  <c r="L71"/>
  <c r="G71"/>
  <c r="M67"/>
  <c r="Q67" s="1"/>
  <c r="S67" s="1"/>
  <c r="M69"/>
  <c r="Q69" s="1"/>
  <c r="S69" s="1"/>
  <c r="M36" i="26"/>
  <c r="Q10"/>
  <c r="M66"/>
  <c r="Q57"/>
  <c r="K71" i="24"/>
  <c r="M62"/>
  <c r="K41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57" i="26" l="1"/>
  <c r="S66" s="1"/>
  <c r="Q66"/>
  <c r="Q36"/>
  <c r="S10"/>
  <c r="S36" s="1"/>
  <c r="M41" i="24"/>
  <c r="Q10"/>
  <c r="M71"/>
  <c r="Q62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66" i="26" l="1"/>
  <c r="V74" i="18"/>
  <c r="V74" i="20"/>
  <c r="V73" i="22"/>
  <c r="S62" i="24"/>
  <c r="S71" s="1"/>
  <c r="Q71"/>
  <c r="Q41"/>
  <c r="S10"/>
  <c r="S41" s="1"/>
  <c r="AF109" i="14"/>
  <c r="AG108"/>
  <c r="AF6"/>
  <c r="AG5"/>
  <c r="V71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65" l="1"/>
  <c r="AK123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K67" l="1"/>
  <c r="M32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<sst xmlns="http://schemas.openxmlformats.org/spreadsheetml/2006/main" count="3940" uniqueCount="196">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</sst>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8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  <numFmt numFmtId="239" formatCode="_(* #,##0_);_(* \(#,##0\);_(* &quot;-&quot;???_);_(@_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505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0" fillId="0" borderId="0" xfId="0" applyFont="1" applyFill="1" applyBorder="1" applyAlignment="1">
      <alignment horizontal="center" vertical="center"/>
    </xf>
    <xf numFmtId="0" fontId="121" fillId="0" borderId="2" xfId="0" applyFont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left" vertical="center"/>
    </xf>
    <xf numFmtId="169" fontId="121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0" fontId="121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0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110" fillId="30" borderId="26" xfId="0" applyNumberFormat="1" applyFont="1" applyFill="1" applyBorder="1" applyAlignment="1"/>
    <xf numFmtId="0" fontId="30" fillId="30" borderId="2" xfId="0" applyFont="1" applyFill="1" applyBorder="1" applyAlignment="1">
      <alignment horizontal="center" vertical="center" wrapText="1"/>
    </xf>
    <xf numFmtId="0" fontId="30" fillId="30" borderId="2" xfId="0" applyFont="1" applyFill="1" applyBorder="1" applyAlignment="1">
      <alignment horizontal="left" vertical="center"/>
    </xf>
    <xf numFmtId="169" fontId="30" fillId="30" borderId="2" xfId="337" applyNumberFormat="1" applyFont="1" applyFill="1" applyBorder="1" applyAlignment="1">
      <alignment horizontal="center" vertical="center" wrapText="1"/>
    </xf>
    <xf numFmtId="169" fontId="119" fillId="30" borderId="0" xfId="337" applyNumberFormat="1" applyFont="1" applyFill="1"/>
    <xf numFmtId="169" fontId="30" fillId="30" borderId="0" xfId="337" applyNumberFormat="1" applyFont="1" applyFill="1"/>
    <xf numFmtId="0" fontId="30" fillId="30" borderId="0" xfId="0" applyFont="1" applyFill="1"/>
    <xf numFmtId="0" fontId="121" fillId="30" borderId="2" xfId="0" applyFont="1" applyFill="1" applyBorder="1" applyAlignment="1">
      <alignment horizontal="center" vertical="center" wrapText="1"/>
    </xf>
    <xf numFmtId="0" fontId="121" fillId="30" borderId="2" xfId="0" applyFont="1" applyFill="1" applyBorder="1" applyAlignment="1">
      <alignment horizontal="left" vertical="center"/>
    </xf>
    <xf numFmtId="169" fontId="121" fillId="30" borderId="2" xfId="337" applyNumberFormat="1" applyFont="1" applyFill="1" applyBorder="1" applyAlignment="1">
      <alignment horizontal="center" vertical="center" wrapText="1"/>
    </xf>
    <xf numFmtId="169" fontId="121" fillId="30" borderId="0" xfId="337" applyNumberFormat="1" applyFont="1" applyFill="1"/>
    <xf numFmtId="0" fontId="121" fillId="30" borderId="0" xfId="0" applyFont="1" applyFill="1"/>
    <xf numFmtId="169" fontId="77" fillId="26" borderId="12" xfId="337" applyNumberFormat="1" applyFont="1" applyFill="1" applyBorder="1" applyAlignment="1">
      <alignment horizontal="center" vertical="center" wrapText="1"/>
    </xf>
    <xf numFmtId="43" fontId="30" fillId="0" borderId="0" xfId="337" applyNumberFormat="1" applyFont="1"/>
    <xf numFmtId="43" fontId="115" fillId="0" borderId="0" xfId="337" applyNumberFormat="1" applyFont="1"/>
    <xf numFmtId="43" fontId="96" fillId="0" borderId="0" xfId="337" applyNumberFormat="1" applyFont="1"/>
    <xf numFmtId="239" fontId="116" fillId="0" borderId="0" xfId="0" applyNumberFormat="1" applyFont="1"/>
    <xf numFmtId="169" fontId="98" fillId="0" borderId="0" xfId="0" applyNumberFormat="1" applyFont="1" applyFill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169" fontId="121" fillId="0" borderId="2" xfId="337" applyNumberFormat="1" applyFont="1" applyFill="1" applyBorder="1" applyAlignment="1">
      <alignment horizontal="center" vertical="center" wrapText="1"/>
    </xf>
    <xf numFmtId="169" fontId="119" fillId="0" borderId="0" xfId="337" applyNumberFormat="1" applyFont="1" applyFill="1"/>
    <xf numFmtId="169" fontId="121" fillId="0" borderId="0" xfId="337" applyNumberFormat="1" applyFont="1" applyFill="1"/>
    <xf numFmtId="239" fontId="116" fillId="0" borderId="0" xfId="0" applyNumberFormat="1" applyFont="1" applyFill="1"/>
    <xf numFmtId="169" fontId="116" fillId="0" borderId="0" xfId="337" applyNumberFormat="1" applyFont="1" applyFill="1"/>
    <xf numFmtId="0" fontId="121" fillId="0" borderId="0" xfId="0" applyFont="1" applyFill="1"/>
    <xf numFmtId="169" fontId="30" fillId="0" borderId="0" xfId="337" applyNumberFormat="1" applyFont="1" applyFill="1"/>
    <xf numFmtId="0" fontId="30" fillId="0" borderId="0" xfId="0" applyFont="1" applyFill="1"/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B143"/>
  <sheetViews>
    <sheetView topLeftCell="A7" workbookViewId="0">
      <pane xSplit="5" ySplit="4" topLeftCell="P11" activePane="bottomRight" state="frozen"/>
      <selection activeCell="A7" sqref="A7"/>
      <selection pane="topRight" activeCell="F7" sqref="F7"/>
      <selection pane="bottomLeft" activeCell="A11" sqref="A11"/>
      <selection pane="bottomRight" activeCell="Y13" sqref="Y1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customWidth="1"/>
    <col min="9" max="22" width="10.5703125" style="2" customWidth="1"/>
    <col min="23" max="23" width="10.85546875" style="48" customWidth="1"/>
    <col min="24" max="24" width="13.28515625" style="48" customWidth="1"/>
    <col min="25" max="25" width="14.28515625" style="48" customWidth="1"/>
    <col min="26" max="26" width="11.85546875" style="48" hidden="1" customWidth="1"/>
    <col min="27" max="27" width="11.140625" style="2" hidden="1" customWidth="1"/>
    <col min="28" max="28" width="12" style="389" hidden="1" customWidth="1"/>
    <col min="29" max="16384" width="9.140625" style="2"/>
  </cols>
  <sheetData>
    <row r="1" spans="1:28" ht="15">
      <c r="A1" s="1" t="s">
        <v>181</v>
      </c>
    </row>
    <row r="2" spans="1:28" ht="15">
      <c r="A2" s="1" t="s">
        <v>182</v>
      </c>
    </row>
    <row r="3" spans="1:28" ht="15">
      <c r="A3" s="1"/>
    </row>
    <row r="4" spans="1:28">
      <c r="A4" s="109"/>
      <c r="B4" s="109"/>
    </row>
    <row r="5" spans="1:28" ht="23.25" customHeight="1">
      <c r="A5" s="398" t="s">
        <v>35</v>
      </c>
      <c r="B5" s="398"/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</row>
    <row r="6" spans="1:28" ht="23.25" customHeight="1">
      <c r="A6" s="399" t="str">
        <f>"Tháng "&amp;'CC - 01'!C4&amp;" năm 2011"</f>
        <v>Tháng  năm 2011</v>
      </c>
      <c r="B6" s="399"/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</row>
    <row r="7" spans="1:28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  <c r="AB7" s="390"/>
    </row>
    <row r="8" spans="1:28" s="1" customFormat="1" ht="20.25" customHeight="1">
      <c r="A8" s="400" t="s">
        <v>19</v>
      </c>
      <c r="B8" s="400" t="s">
        <v>3</v>
      </c>
      <c r="C8" s="400" t="s">
        <v>1</v>
      </c>
      <c r="D8" s="400" t="s">
        <v>2</v>
      </c>
      <c r="E8" s="395" t="s">
        <v>56</v>
      </c>
      <c r="F8" s="395"/>
      <c r="G8" s="395" t="s">
        <v>36</v>
      </c>
      <c r="H8" s="395"/>
      <c r="I8" s="395" t="s">
        <v>24</v>
      </c>
      <c r="J8" s="395" t="s">
        <v>33</v>
      </c>
      <c r="K8" s="395"/>
      <c r="L8" s="395"/>
      <c r="M8" s="395"/>
      <c r="N8" s="395"/>
      <c r="O8" s="395"/>
      <c r="P8" s="395"/>
      <c r="Q8" s="395"/>
      <c r="R8" s="395"/>
      <c r="S8" s="395"/>
      <c r="T8" s="395"/>
      <c r="U8" s="395"/>
      <c r="V8" s="396" t="s">
        <v>39</v>
      </c>
      <c r="W8" s="396" t="s">
        <v>23</v>
      </c>
      <c r="X8" s="396" t="s">
        <v>11</v>
      </c>
      <c r="Y8" s="107"/>
      <c r="Z8" s="107"/>
      <c r="AB8" s="391"/>
    </row>
    <row r="9" spans="1:28" s="1" customFormat="1" ht="20.25" customHeight="1">
      <c r="A9" s="400"/>
      <c r="B9" s="400"/>
      <c r="C9" s="400"/>
      <c r="D9" s="400"/>
      <c r="E9" s="292" t="s">
        <v>190</v>
      </c>
      <c r="F9" s="292">
        <v>2015</v>
      </c>
      <c r="G9" s="290" t="s">
        <v>57</v>
      </c>
      <c r="H9" s="290" t="s">
        <v>38</v>
      </c>
      <c r="I9" s="395"/>
      <c r="J9" s="290" t="s">
        <v>129</v>
      </c>
      <c r="K9" s="290" t="s">
        <v>130</v>
      </c>
      <c r="L9" s="290" t="s">
        <v>131</v>
      </c>
      <c r="M9" s="290" t="s">
        <v>132</v>
      </c>
      <c r="N9" s="290" t="s">
        <v>133</v>
      </c>
      <c r="O9" s="290" t="s">
        <v>134</v>
      </c>
      <c r="P9" s="290" t="s">
        <v>135</v>
      </c>
      <c r="Q9" s="290" t="s">
        <v>136</v>
      </c>
      <c r="R9" s="290" t="s">
        <v>137</v>
      </c>
      <c r="S9" s="290" t="s">
        <v>138</v>
      </c>
      <c r="T9" s="290" t="s">
        <v>139</v>
      </c>
      <c r="U9" s="290" t="s">
        <v>140</v>
      </c>
      <c r="V9" s="397"/>
      <c r="W9" s="397"/>
      <c r="X9" s="397"/>
      <c r="Y9" s="107"/>
      <c r="Z9" s="107"/>
      <c r="AB9" s="391"/>
    </row>
    <row r="10" spans="1:28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8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4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 t="s">
        <v>67</v>
      </c>
      <c r="S11" s="265" t="s">
        <v>67</v>
      </c>
      <c r="T11" s="265" t="s">
        <v>67</v>
      </c>
      <c r="U11" s="265" t="s">
        <v>67</v>
      </c>
      <c r="V11" s="265"/>
      <c r="W11" s="265"/>
      <c r="X11" s="265"/>
      <c r="Y11" s="272">
        <f>E11*12</f>
        <v>52032000</v>
      </c>
      <c r="Z11" s="273">
        <v>12</v>
      </c>
      <c r="AA11" s="392">
        <f>E11*0.105</f>
        <v>455280</v>
      </c>
      <c r="AB11" s="273">
        <f>AA11*Z11</f>
        <v>5463360</v>
      </c>
    </row>
    <row r="12" spans="1:28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4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 t="s">
        <v>67</v>
      </c>
      <c r="S12" s="265" t="s">
        <v>67</v>
      </c>
      <c r="T12" s="265" t="s">
        <v>67</v>
      </c>
      <c r="U12" s="265" t="s">
        <v>67</v>
      </c>
      <c r="V12" s="265"/>
      <c r="W12" s="265"/>
      <c r="X12" s="265"/>
      <c r="Y12" s="272">
        <f t="shared" ref="Y12:Y51" si="1">E12*12</f>
        <v>48672000</v>
      </c>
      <c r="Z12" s="273">
        <v>12</v>
      </c>
      <c r="AA12" s="392">
        <f t="shared" ref="AA12:AA50" si="2">E12*0.105</f>
        <v>425880</v>
      </c>
      <c r="AB12" s="273">
        <f t="shared" ref="AB12:AB51" si="3">AA12*Z12</f>
        <v>5110560</v>
      </c>
    </row>
    <row r="13" spans="1:28" s="279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5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 t="s">
        <v>67</v>
      </c>
      <c r="S13" s="277" t="s">
        <v>67</v>
      </c>
      <c r="T13" s="277" t="s">
        <v>67</v>
      </c>
      <c r="U13" s="277" t="s">
        <v>67</v>
      </c>
      <c r="V13" s="277"/>
      <c r="W13" s="277"/>
      <c r="X13" s="277"/>
      <c r="Y13" s="272">
        <f t="shared" si="1"/>
        <v>130212000</v>
      </c>
      <c r="Z13" s="278">
        <v>12</v>
      </c>
      <c r="AA13" s="392">
        <f t="shared" si="2"/>
        <v>1139355</v>
      </c>
      <c r="AB13" s="273">
        <f t="shared" si="3"/>
        <v>13672260</v>
      </c>
    </row>
    <row r="14" spans="1:28" s="279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5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 t="s">
        <v>67</v>
      </c>
      <c r="S14" s="277" t="s">
        <v>67</v>
      </c>
      <c r="T14" s="277" t="s">
        <v>67</v>
      </c>
      <c r="U14" s="277" t="s">
        <v>67</v>
      </c>
      <c r="V14" s="277"/>
      <c r="W14" s="277"/>
      <c r="X14" s="277"/>
      <c r="Y14" s="272">
        <f t="shared" si="1"/>
        <v>58740000</v>
      </c>
      <c r="Z14" s="278">
        <v>12</v>
      </c>
      <c r="AA14" s="392">
        <f t="shared" si="2"/>
        <v>513975</v>
      </c>
      <c r="AB14" s="273">
        <f t="shared" si="3"/>
        <v>6167700</v>
      </c>
    </row>
    <row r="15" spans="1:28" s="279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5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 t="s">
        <v>67</v>
      </c>
      <c r="S15" s="277" t="s">
        <v>67</v>
      </c>
      <c r="T15" s="277" t="s">
        <v>67</v>
      </c>
      <c r="U15" s="277" t="s">
        <v>67</v>
      </c>
      <c r="V15" s="277"/>
      <c r="W15" s="277"/>
      <c r="X15" s="277"/>
      <c r="Y15" s="272">
        <f t="shared" si="1"/>
        <v>58740000</v>
      </c>
      <c r="Z15" s="278">
        <v>12</v>
      </c>
      <c r="AA15" s="392">
        <f t="shared" si="2"/>
        <v>513975</v>
      </c>
      <c r="AB15" s="273">
        <f t="shared" si="3"/>
        <v>6167700</v>
      </c>
    </row>
    <row r="16" spans="1:28" s="279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5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 t="s">
        <v>67</v>
      </c>
      <c r="S16" s="277" t="s">
        <v>67</v>
      </c>
      <c r="T16" s="277" t="s">
        <v>67</v>
      </c>
      <c r="U16" s="277" t="s">
        <v>67</v>
      </c>
      <c r="V16" s="277"/>
      <c r="W16" s="277"/>
      <c r="X16" s="277"/>
      <c r="Y16" s="272">
        <f t="shared" si="1"/>
        <v>52032000</v>
      </c>
      <c r="Z16" s="278">
        <v>12</v>
      </c>
      <c r="AA16" s="392">
        <f t="shared" si="2"/>
        <v>455280</v>
      </c>
      <c r="AB16" s="273">
        <f t="shared" si="3"/>
        <v>5463360</v>
      </c>
    </row>
    <row r="17" spans="1:28" s="279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5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 t="s">
        <v>67</v>
      </c>
      <c r="S17" s="277" t="s">
        <v>67</v>
      </c>
      <c r="T17" s="277" t="s">
        <v>67</v>
      </c>
      <c r="U17" s="277" t="s">
        <v>67</v>
      </c>
      <c r="V17" s="277"/>
      <c r="W17" s="277"/>
      <c r="X17" s="277"/>
      <c r="Y17" s="272">
        <f t="shared" si="1"/>
        <v>41952000</v>
      </c>
      <c r="Z17" s="278">
        <v>12</v>
      </c>
      <c r="AA17" s="392">
        <f t="shared" si="2"/>
        <v>367080</v>
      </c>
      <c r="AB17" s="273">
        <f t="shared" si="3"/>
        <v>4404960</v>
      </c>
    </row>
    <row r="18" spans="1:28" s="279" customFormat="1" ht="21.75" customHeight="1">
      <c r="A18" s="271">
        <f t="shared" si="0"/>
        <v>8</v>
      </c>
      <c r="B18" s="271" t="s">
        <v>78</v>
      </c>
      <c r="C18" s="276" t="s">
        <v>174</v>
      </c>
      <c r="D18" s="280" t="s">
        <v>83</v>
      </c>
      <c r="E18" s="325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 t="s">
        <v>67</v>
      </c>
      <c r="S18" s="277" t="s">
        <v>67</v>
      </c>
      <c r="T18" s="277" t="s">
        <v>67</v>
      </c>
      <c r="U18" s="277" t="s">
        <v>67</v>
      </c>
      <c r="V18" s="277"/>
      <c r="W18" s="277"/>
      <c r="X18" s="277"/>
      <c r="Y18" s="272">
        <f t="shared" si="1"/>
        <v>48672000</v>
      </c>
      <c r="Z18" s="278">
        <v>12</v>
      </c>
      <c r="AA18" s="392">
        <f t="shared" si="2"/>
        <v>425880</v>
      </c>
      <c r="AB18" s="273">
        <f t="shared" si="3"/>
        <v>5110560</v>
      </c>
    </row>
    <row r="19" spans="1:28" s="279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5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 t="s">
        <v>67</v>
      </c>
      <c r="S19" s="277" t="s">
        <v>67</v>
      </c>
      <c r="T19" s="277" t="s">
        <v>67</v>
      </c>
      <c r="U19" s="277" t="s">
        <v>67</v>
      </c>
      <c r="V19" s="277"/>
      <c r="W19" s="277"/>
      <c r="X19" s="277"/>
      <c r="Y19" s="272">
        <f t="shared" si="1"/>
        <v>58080000</v>
      </c>
      <c r="Z19" s="278">
        <v>12</v>
      </c>
      <c r="AA19" s="392">
        <f t="shared" si="2"/>
        <v>508200</v>
      </c>
      <c r="AB19" s="273">
        <f t="shared" si="3"/>
        <v>6098400</v>
      </c>
    </row>
    <row r="20" spans="1:28" s="279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5">
        <v>3568000</v>
      </c>
      <c r="F20" s="277"/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 t="s">
        <v>67</v>
      </c>
      <c r="S20" s="277" t="s">
        <v>67</v>
      </c>
      <c r="T20" s="277" t="s">
        <v>67</v>
      </c>
      <c r="U20" s="277" t="s">
        <v>67</v>
      </c>
      <c r="V20" s="277"/>
      <c r="W20" s="277"/>
      <c r="X20" s="277"/>
      <c r="Y20" s="272">
        <f>E20*8</f>
        <v>28544000</v>
      </c>
      <c r="Z20" s="278">
        <v>8</v>
      </c>
      <c r="AA20" s="392">
        <f t="shared" si="2"/>
        <v>374640</v>
      </c>
      <c r="AB20" s="273">
        <f t="shared" si="3"/>
        <v>2997120</v>
      </c>
    </row>
    <row r="21" spans="1:28" s="387" customFormat="1" ht="21.75" customHeight="1">
      <c r="A21" s="383">
        <f t="shared" si="0"/>
        <v>11</v>
      </c>
      <c r="B21" s="383" t="s">
        <v>84</v>
      </c>
      <c r="C21" s="384" t="s">
        <v>141</v>
      </c>
      <c r="D21" s="383" t="s">
        <v>111</v>
      </c>
      <c r="E21" s="385">
        <v>3549000</v>
      </c>
      <c r="F21" s="385">
        <v>3237000</v>
      </c>
      <c r="G21" s="385">
        <v>390000</v>
      </c>
      <c r="H21" s="385"/>
      <c r="I21" s="385"/>
      <c r="J21" s="385" t="s">
        <v>67</v>
      </c>
      <c r="K21" s="385" t="s">
        <v>67</v>
      </c>
      <c r="L21" s="385" t="s">
        <v>67</v>
      </c>
      <c r="M21" s="385" t="s">
        <v>67</v>
      </c>
      <c r="N21" s="385" t="s">
        <v>67</v>
      </c>
      <c r="O21" s="385" t="s">
        <v>67</v>
      </c>
      <c r="P21" s="385"/>
      <c r="Q21" s="385"/>
      <c r="R21" s="385"/>
      <c r="S21" s="385"/>
      <c r="T21" s="385"/>
      <c r="U21" s="385"/>
      <c r="V21" s="385"/>
      <c r="W21" s="385"/>
      <c r="X21" s="385"/>
      <c r="Y21" s="380">
        <f>E21*6</f>
        <v>21294000</v>
      </c>
      <c r="Z21" s="386">
        <v>6</v>
      </c>
      <c r="AA21" s="392">
        <f t="shared" si="2"/>
        <v>372645</v>
      </c>
      <c r="AB21" s="273">
        <f t="shared" si="3"/>
        <v>2235870</v>
      </c>
    </row>
    <row r="22" spans="1:28" s="287" customFormat="1" ht="21.75" customHeight="1">
      <c r="A22" s="282">
        <f t="shared" si="0"/>
        <v>12</v>
      </c>
      <c r="B22" s="283" t="s">
        <v>85</v>
      </c>
      <c r="C22" s="284" t="s">
        <v>142</v>
      </c>
      <c r="D22" s="282" t="s">
        <v>111</v>
      </c>
      <c r="E22" s="285">
        <v>3317000</v>
      </c>
      <c r="F22" s="285">
        <v>2943000</v>
      </c>
      <c r="G22" s="285">
        <v>390000</v>
      </c>
      <c r="H22" s="285"/>
      <c r="I22" s="285"/>
      <c r="J22" s="285" t="s">
        <v>67</v>
      </c>
      <c r="K22" s="285" t="s">
        <v>67</v>
      </c>
      <c r="L22" s="285" t="s">
        <v>67</v>
      </c>
      <c r="M22" s="285" t="s">
        <v>67</v>
      </c>
      <c r="N22" s="285" t="s">
        <v>67</v>
      </c>
      <c r="O22" s="285" t="s">
        <v>67</v>
      </c>
      <c r="P22" s="285" t="s">
        <v>67</v>
      </c>
      <c r="Q22" s="285" t="s">
        <v>67</v>
      </c>
      <c r="R22" s="285" t="s">
        <v>67</v>
      </c>
      <c r="S22" s="285" t="s">
        <v>67</v>
      </c>
      <c r="T22" s="285" t="s">
        <v>67</v>
      </c>
      <c r="U22" s="285" t="s">
        <v>67</v>
      </c>
      <c r="V22" s="285"/>
      <c r="W22" s="285"/>
      <c r="X22" s="285"/>
      <c r="Y22" s="272">
        <f t="shared" si="1"/>
        <v>39804000</v>
      </c>
      <c r="Z22" s="286">
        <v>12</v>
      </c>
      <c r="AA22" s="392">
        <f t="shared" si="2"/>
        <v>348285</v>
      </c>
      <c r="AB22" s="273">
        <f t="shared" si="3"/>
        <v>4179420</v>
      </c>
    </row>
    <row r="23" spans="1:28" s="287" customFormat="1" ht="21.75" customHeight="1">
      <c r="A23" s="282">
        <f t="shared" si="0"/>
        <v>13</v>
      </c>
      <c r="B23" s="283" t="s">
        <v>86</v>
      </c>
      <c r="C23" s="284" t="s">
        <v>143</v>
      </c>
      <c r="D23" s="282" t="s">
        <v>111</v>
      </c>
      <c r="E23" s="285">
        <v>3317000</v>
      </c>
      <c r="F23" s="285">
        <v>2943000</v>
      </c>
      <c r="G23" s="285">
        <v>390000</v>
      </c>
      <c r="H23" s="285"/>
      <c r="I23" s="285"/>
      <c r="J23" s="285" t="s">
        <v>67</v>
      </c>
      <c r="K23" s="285" t="s">
        <v>67</v>
      </c>
      <c r="L23" s="285" t="s">
        <v>67</v>
      </c>
      <c r="M23" s="285" t="s">
        <v>67</v>
      </c>
      <c r="N23" s="285" t="s">
        <v>67</v>
      </c>
      <c r="O23" s="285" t="s">
        <v>67</v>
      </c>
      <c r="P23" s="285" t="s">
        <v>67</v>
      </c>
      <c r="Q23" s="285" t="s">
        <v>67</v>
      </c>
      <c r="R23" s="285" t="s">
        <v>67</v>
      </c>
      <c r="S23" s="285" t="s">
        <v>67</v>
      </c>
      <c r="T23" s="285" t="s">
        <v>67</v>
      </c>
      <c r="U23" s="285" t="s">
        <v>67</v>
      </c>
      <c r="V23" s="285"/>
      <c r="W23" s="285"/>
      <c r="X23" s="285"/>
      <c r="Y23" s="272">
        <f t="shared" si="1"/>
        <v>39804000</v>
      </c>
      <c r="Z23" s="286">
        <v>12</v>
      </c>
      <c r="AA23" s="392">
        <f t="shared" si="2"/>
        <v>348285</v>
      </c>
      <c r="AB23" s="273">
        <f t="shared" si="3"/>
        <v>4179420</v>
      </c>
    </row>
    <row r="24" spans="1:28" s="287" customFormat="1" ht="21.75" customHeight="1">
      <c r="A24" s="282">
        <f t="shared" si="0"/>
        <v>14</v>
      </c>
      <c r="B24" s="283" t="s">
        <v>87</v>
      </c>
      <c r="C24" s="284" t="s">
        <v>144</v>
      </c>
      <c r="D24" s="282" t="s">
        <v>111</v>
      </c>
      <c r="E24" s="285">
        <v>3317000</v>
      </c>
      <c r="F24" s="285">
        <v>2943000</v>
      </c>
      <c r="G24" s="285">
        <v>390000</v>
      </c>
      <c r="H24" s="285"/>
      <c r="I24" s="285"/>
      <c r="J24" s="285" t="s">
        <v>67</v>
      </c>
      <c r="K24" s="285" t="s">
        <v>67</v>
      </c>
      <c r="L24" s="285" t="s">
        <v>67</v>
      </c>
      <c r="M24" s="285" t="s">
        <v>67</v>
      </c>
      <c r="N24" s="285" t="s">
        <v>67</v>
      </c>
      <c r="O24" s="285" t="s">
        <v>67</v>
      </c>
      <c r="P24" s="285" t="s">
        <v>67</v>
      </c>
      <c r="Q24" s="285" t="s">
        <v>67</v>
      </c>
      <c r="R24" s="285" t="s">
        <v>67</v>
      </c>
      <c r="S24" s="285" t="s">
        <v>67</v>
      </c>
      <c r="T24" s="285" t="s">
        <v>67</v>
      </c>
      <c r="U24" s="285" t="s">
        <v>67</v>
      </c>
      <c r="V24" s="285"/>
      <c r="W24" s="285"/>
      <c r="X24" s="285"/>
      <c r="Y24" s="272">
        <f t="shared" si="1"/>
        <v>39804000</v>
      </c>
      <c r="Z24" s="286">
        <v>12</v>
      </c>
      <c r="AA24" s="392">
        <f t="shared" si="2"/>
        <v>348285</v>
      </c>
      <c r="AB24" s="273">
        <f t="shared" si="3"/>
        <v>4179420</v>
      </c>
    </row>
    <row r="25" spans="1:28" s="387" customFormat="1" ht="21.75" customHeight="1">
      <c r="A25" s="383">
        <f t="shared" si="0"/>
        <v>15</v>
      </c>
      <c r="B25" s="383" t="s">
        <v>88</v>
      </c>
      <c r="C25" s="384" t="s">
        <v>145</v>
      </c>
      <c r="D25" s="383" t="s">
        <v>111</v>
      </c>
      <c r="E25" s="385">
        <v>3317000</v>
      </c>
      <c r="F25" s="385">
        <v>2943000</v>
      </c>
      <c r="G25" s="385">
        <v>390000</v>
      </c>
      <c r="H25" s="385"/>
      <c r="I25" s="385"/>
      <c r="J25" s="385" t="s">
        <v>67</v>
      </c>
      <c r="K25" s="385" t="s">
        <v>67</v>
      </c>
      <c r="L25" s="385" t="s">
        <v>67</v>
      </c>
      <c r="M25" s="385" t="s">
        <v>67</v>
      </c>
      <c r="N25" s="385" t="s">
        <v>67</v>
      </c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0">
        <f>E25*5</f>
        <v>16585000</v>
      </c>
      <c r="Z25" s="386">
        <v>5</v>
      </c>
      <c r="AA25" s="392">
        <f t="shared" si="2"/>
        <v>348285</v>
      </c>
      <c r="AB25" s="273">
        <f t="shared" si="3"/>
        <v>1741425</v>
      </c>
    </row>
    <row r="26" spans="1:28" s="387" customFormat="1" ht="21.75" customHeight="1">
      <c r="A26" s="383">
        <f t="shared" si="0"/>
        <v>16</v>
      </c>
      <c r="B26" s="383" t="s">
        <v>89</v>
      </c>
      <c r="C26" s="384" t="s">
        <v>146</v>
      </c>
      <c r="D26" s="383" t="s">
        <v>111</v>
      </c>
      <c r="E26" s="385">
        <v>3317000</v>
      </c>
      <c r="F26" s="385">
        <v>2943000</v>
      </c>
      <c r="G26" s="385">
        <v>390000</v>
      </c>
      <c r="H26" s="385"/>
      <c r="I26" s="385"/>
      <c r="J26" s="385" t="s">
        <v>67</v>
      </c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0">
        <f>E26*1</f>
        <v>3317000</v>
      </c>
      <c r="Z26" s="386">
        <v>1</v>
      </c>
      <c r="AA26" s="392">
        <f t="shared" si="2"/>
        <v>348285</v>
      </c>
      <c r="AB26" s="273">
        <f t="shared" si="3"/>
        <v>348285</v>
      </c>
    </row>
    <row r="27" spans="1:28" s="387" customFormat="1" ht="21.75" customHeight="1">
      <c r="A27" s="383">
        <f t="shared" si="0"/>
        <v>17</v>
      </c>
      <c r="B27" s="383" t="s">
        <v>90</v>
      </c>
      <c r="C27" s="384" t="s">
        <v>147</v>
      </c>
      <c r="D27" s="383" t="s">
        <v>111</v>
      </c>
      <c r="E27" s="385">
        <v>3317000</v>
      </c>
      <c r="F27" s="385">
        <v>2943000</v>
      </c>
      <c r="G27" s="385">
        <v>390000</v>
      </c>
      <c r="H27" s="385"/>
      <c r="I27" s="385"/>
      <c r="J27" s="385" t="s">
        <v>67</v>
      </c>
      <c r="K27" s="385" t="s">
        <v>67</v>
      </c>
      <c r="L27" s="385" t="s">
        <v>67</v>
      </c>
      <c r="M27" s="385" t="s">
        <v>67</v>
      </c>
      <c r="N27" s="385" t="s">
        <v>67</v>
      </c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0">
        <f>E27*5</f>
        <v>16585000</v>
      </c>
      <c r="Z27" s="386">
        <v>5</v>
      </c>
      <c r="AA27" s="392">
        <f t="shared" si="2"/>
        <v>348285</v>
      </c>
      <c r="AB27" s="273">
        <f t="shared" si="3"/>
        <v>1741425</v>
      </c>
    </row>
    <row r="28" spans="1:28" s="287" customFormat="1" ht="21.75" customHeight="1">
      <c r="A28" s="282">
        <f t="shared" si="0"/>
        <v>18</v>
      </c>
      <c r="B28" s="283" t="s">
        <v>91</v>
      </c>
      <c r="C28" s="284" t="s">
        <v>148</v>
      </c>
      <c r="D28" s="282" t="s">
        <v>111</v>
      </c>
      <c r="E28" s="285">
        <v>3317000</v>
      </c>
      <c r="F28" s="285">
        <v>2943000</v>
      </c>
      <c r="G28" s="285">
        <v>390000</v>
      </c>
      <c r="H28" s="285"/>
      <c r="I28" s="285"/>
      <c r="J28" s="285" t="s">
        <v>67</v>
      </c>
      <c r="K28" s="285" t="s">
        <v>67</v>
      </c>
      <c r="L28" s="285" t="s">
        <v>67</v>
      </c>
      <c r="M28" s="285" t="s">
        <v>67</v>
      </c>
      <c r="N28" s="285" t="s">
        <v>67</v>
      </c>
      <c r="O28" s="285" t="s">
        <v>67</v>
      </c>
      <c r="P28" s="285" t="s">
        <v>67</v>
      </c>
      <c r="Q28" s="285" t="s">
        <v>67</v>
      </c>
      <c r="R28" s="285" t="s">
        <v>67</v>
      </c>
      <c r="S28" s="285" t="s">
        <v>67</v>
      </c>
      <c r="T28" s="285" t="s">
        <v>67</v>
      </c>
      <c r="U28" s="285" t="s">
        <v>67</v>
      </c>
      <c r="V28" s="285"/>
      <c r="W28" s="285"/>
      <c r="X28" s="285"/>
      <c r="Y28" s="272">
        <f t="shared" si="1"/>
        <v>39804000</v>
      </c>
      <c r="Z28" s="286">
        <v>12</v>
      </c>
      <c r="AA28" s="392">
        <f t="shared" si="2"/>
        <v>348285</v>
      </c>
      <c r="AB28" s="273">
        <f t="shared" si="3"/>
        <v>4179420</v>
      </c>
    </row>
    <row r="29" spans="1:28" s="287" customFormat="1" ht="21.75" customHeight="1">
      <c r="A29" s="282">
        <f t="shared" si="0"/>
        <v>19</v>
      </c>
      <c r="B29" s="283" t="s">
        <v>92</v>
      </c>
      <c r="C29" s="284" t="s">
        <v>149</v>
      </c>
      <c r="D29" s="282" t="s">
        <v>111</v>
      </c>
      <c r="E29" s="285">
        <v>3317000</v>
      </c>
      <c r="F29" s="285">
        <v>2943000</v>
      </c>
      <c r="G29" s="285">
        <v>390000</v>
      </c>
      <c r="H29" s="285"/>
      <c r="I29" s="285"/>
      <c r="J29" s="285" t="s">
        <v>67</v>
      </c>
      <c r="K29" s="285" t="s">
        <v>67</v>
      </c>
      <c r="L29" s="285" t="s">
        <v>67</v>
      </c>
      <c r="M29" s="285" t="s">
        <v>67</v>
      </c>
      <c r="N29" s="285" t="s">
        <v>67</v>
      </c>
      <c r="O29" s="285" t="s">
        <v>67</v>
      </c>
      <c r="P29" s="285" t="s">
        <v>67</v>
      </c>
      <c r="Q29" s="285" t="s">
        <v>67</v>
      </c>
      <c r="R29" s="285" t="s">
        <v>67</v>
      </c>
      <c r="S29" s="285" t="s">
        <v>67</v>
      </c>
      <c r="T29" s="285" t="s">
        <v>67</v>
      </c>
      <c r="U29" s="285" t="s">
        <v>67</v>
      </c>
      <c r="V29" s="285"/>
      <c r="W29" s="285"/>
      <c r="X29" s="285"/>
      <c r="Y29" s="272">
        <f t="shared" si="1"/>
        <v>39804000</v>
      </c>
      <c r="Z29" s="286">
        <v>12</v>
      </c>
      <c r="AA29" s="392">
        <f t="shared" si="2"/>
        <v>348285</v>
      </c>
      <c r="AB29" s="273">
        <f t="shared" si="3"/>
        <v>4179420</v>
      </c>
    </row>
    <row r="30" spans="1:28" s="287" customFormat="1" ht="21.75" customHeight="1">
      <c r="A30" s="282">
        <f t="shared" si="0"/>
        <v>20</v>
      </c>
      <c r="B30" s="283" t="s">
        <v>93</v>
      </c>
      <c r="C30" s="284" t="s">
        <v>150</v>
      </c>
      <c r="D30" s="282" t="s">
        <v>111</v>
      </c>
      <c r="E30" s="285">
        <v>3317000</v>
      </c>
      <c r="F30" s="285">
        <v>2943000</v>
      </c>
      <c r="G30" s="285">
        <v>390000</v>
      </c>
      <c r="H30" s="285"/>
      <c r="I30" s="285"/>
      <c r="J30" s="285" t="s">
        <v>67</v>
      </c>
      <c r="K30" s="285" t="s">
        <v>67</v>
      </c>
      <c r="L30" s="285" t="s">
        <v>67</v>
      </c>
      <c r="M30" s="285" t="s">
        <v>67</v>
      </c>
      <c r="N30" s="285" t="s">
        <v>67</v>
      </c>
      <c r="O30" s="285" t="s">
        <v>67</v>
      </c>
      <c r="P30" s="285" t="s">
        <v>67</v>
      </c>
      <c r="Q30" s="285"/>
      <c r="R30" s="285"/>
      <c r="S30" s="285"/>
      <c r="T30" s="285"/>
      <c r="U30" s="285"/>
      <c r="V30" s="285"/>
      <c r="W30" s="285"/>
      <c r="X30" s="285"/>
      <c r="Y30" s="272">
        <f>E30*7</f>
        <v>23219000</v>
      </c>
      <c r="Z30" s="286">
        <v>7</v>
      </c>
      <c r="AA30" s="392">
        <f t="shared" si="2"/>
        <v>348285</v>
      </c>
      <c r="AB30" s="273">
        <f t="shared" si="3"/>
        <v>2437995</v>
      </c>
    </row>
    <row r="31" spans="1:28" s="287" customFormat="1" ht="21.75" customHeight="1">
      <c r="A31" s="282">
        <f t="shared" si="0"/>
        <v>21</v>
      </c>
      <c r="B31" s="283" t="s">
        <v>94</v>
      </c>
      <c r="C31" s="284" t="s">
        <v>151</v>
      </c>
      <c r="D31" s="282" t="s">
        <v>111</v>
      </c>
      <c r="E31" s="285">
        <v>3317000</v>
      </c>
      <c r="F31" s="285">
        <v>2943000</v>
      </c>
      <c r="G31" s="285">
        <v>390000</v>
      </c>
      <c r="H31" s="285"/>
      <c r="I31" s="285"/>
      <c r="J31" s="285" t="s">
        <v>67</v>
      </c>
      <c r="K31" s="285" t="s">
        <v>67</v>
      </c>
      <c r="L31" s="285" t="s">
        <v>67</v>
      </c>
      <c r="M31" s="285" t="s">
        <v>67</v>
      </c>
      <c r="N31" s="285" t="s">
        <v>67</v>
      </c>
      <c r="O31" s="285" t="s">
        <v>67</v>
      </c>
      <c r="P31" s="285" t="s">
        <v>67</v>
      </c>
      <c r="Q31" s="285" t="s">
        <v>67</v>
      </c>
      <c r="R31" s="285" t="s">
        <v>67</v>
      </c>
      <c r="S31" s="285" t="s">
        <v>67</v>
      </c>
      <c r="T31" s="285" t="s">
        <v>67</v>
      </c>
      <c r="U31" s="285" t="s">
        <v>67</v>
      </c>
      <c r="V31" s="285"/>
      <c r="W31" s="285"/>
      <c r="X31" s="285"/>
      <c r="Y31" s="272">
        <f t="shared" si="1"/>
        <v>39804000</v>
      </c>
      <c r="Z31" s="286">
        <v>12</v>
      </c>
      <c r="AA31" s="392">
        <f t="shared" si="2"/>
        <v>348285</v>
      </c>
      <c r="AB31" s="273">
        <f t="shared" si="3"/>
        <v>4179420</v>
      </c>
    </row>
    <row r="32" spans="1:28" s="387" customFormat="1" ht="21.75" customHeight="1">
      <c r="A32" s="383">
        <f t="shared" si="0"/>
        <v>22</v>
      </c>
      <c r="B32" s="383" t="s">
        <v>95</v>
      </c>
      <c r="C32" s="384" t="s">
        <v>153</v>
      </c>
      <c r="D32" s="383" t="s">
        <v>111</v>
      </c>
      <c r="E32" s="385">
        <v>3317000</v>
      </c>
      <c r="F32" s="385">
        <v>2943000</v>
      </c>
      <c r="G32" s="385">
        <v>390000</v>
      </c>
      <c r="H32" s="385"/>
      <c r="I32" s="385"/>
      <c r="J32" s="385" t="s">
        <v>67</v>
      </c>
      <c r="K32" s="385" t="s">
        <v>67</v>
      </c>
      <c r="L32" s="385" t="s">
        <v>67</v>
      </c>
      <c r="M32" s="385" t="s">
        <v>67</v>
      </c>
      <c r="N32" s="385" t="s">
        <v>67</v>
      </c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0">
        <f>E32*5</f>
        <v>16585000</v>
      </c>
      <c r="Z32" s="386">
        <v>5</v>
      </c>
      <c r="AA32" s="392">
        <f t="shared" si="2"/>
        <v>348285</v>
      </c>
      <c r="AB32" s="273">
        <f t="shared" si="3"/>
        <v>1741425</v>
      </c>
    </row>
    <row r="33" spans="1:28" s="387" customFormat="1" ht="21.75" customHeight="1">
      <c r="A33" s="383">
        <f t="shared" si="0"/>
        <v>23</v>
      </c>
      <c r="B33" s="383" t="s">
        <v>96</v>
      </c>
      <c r="C33" s="384" t="s">
        <v>154</v>
      </c>
      <c r="D33" s="383" t="s">
        <v>111</v>
      </c>
      <c r="E33" s="385">
        <v>3317000</v>
      </c>
      <c r="F33" s="385">
        <v>2943000</v>
      </c>
      <c r="G33" s="385">
        <v>390000</v>
      </c>
      <c r="H33" s="385"/>
      <c r="I33" s="385"/>
      <c r="J33" s="385" t="s">
        <v>67</v>
      </c>
      <c r="K33" s="385" t="s">
        <v>67</v>
      </c>
      <c r="L33" s="385" t="s">
        <v>67</v>
      </c>
      <c r="M33" s="385" t="s">
        <v>67</v>
      </c>
      <c r="N33" s="385" t="s">
        <v>67</v>
      </c>
      <c r="O33" s="385" t="s">
        <v>67</v>
      </c>
      <c r="P33" s="385"/>
      <c r="Q33" s="385"/>
      <c r="R33" s="385"/>
      <c r="S33" s="385"/>
      <c r="T33" s="385"/>
      <c r="U33" s="385"/>
      <c r="V33" s="385"/>
      <c r="W33" s="385"/>
      <c r="X33" s="385"/>
      <c r="Y33" s="380">
        <f>E33*6</f>
        <v>19902000</v>
      </c>
      <c r="Z33" s="386">
        <v>6</v>
      </c>
      <c r="AA33" s="392">
        <f t="shared" si="2"/>
        <v>348285</v>
      </c>
      <c r="AB33" s="273">
        <f t="shared" si="3"/>
        <v>2089710</v>
      </c>
    </row>
    <row r="34" spans="1:28" s="387" customFormat="1" ht="21.75" customHeight="1">
      <c r="A34" s="383">
        <f t="shared" si="0"/>
        <v>24</v>
      </c>
      <c r="B34" s="383" t="s">
        <v>97</v>
      </c>
      <c r="C34" s="384" t="s">
        <v>155</v>
      </c>
      <c r="D34" s="383" t="s">
        <v>111</v>
      </c>
      <c r="E34" s="385">
        <v>3317000</v>
      </c>
      <c r="F34" s="385">
        <v>2943000</v>
      </c>
      <c r="G34" s="385">
        <v>390000</v>
      </c>
      <c r="H34" s="385"/>
      <c r="I34" s="385"/>
      <c r="J34" s="385" t="s">
        <v>67</v>
      </c>
      <c r="K34" s="385" t="s">
        <v>67</v>
      </c>
      <c r="L34" s="385" t="s">
        <v>67</v>
      </c>
      <c r="M34" s="385" t="s">
        <v>67</v>
      </c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0">
        <f>E34*4</f>
        <v>13268000</v>
      </c>
      <c r="Z34" s="386">
        <v>4</v>
      </c>
      <c r="AA34" s="392">
        <f t="shared" si="2"/>
        <v>348285</v>
      </c>
      <c r="AB34" s="273">
        <f t="shared" si="3"/>
        <v>1393140</v>
      </c>
    </row>
    <row r="35" spans="1:28" s="387" customFormat="1" ht="21.75" customHeight="1">
      <c r="A35" s="383">
        <f t="shared" si="0"/>
        <v>25</v>
      </c>
      <c r="B35" s="383" t="s">
        <v>98</v>
      </c>
      <c r="C35" s="384" t="s">
        <v>156</v>
      </c>
      <c r="D35" s="383" t="s">
        <v>111</v>
      </c>
      <c r="E35" s="385">
        <v>3317000</v>
      </c>
      <c r="F35" s="385">
        <v>2943000</v>
      </c>
      <c r="G35" s="385">
        <v>390000</v>
      </c>
      <c r="H35" s="385"/>
      <c r="I35" s="385"/>
      <c r="J35" s="385" t="s">
        <v>67</v>
      </c>
      <c r="K35" s="385" t="s">
        <v>67</v>
      </c>
      <c r="L35" s="385" t="s">
        <v>67</v>
      </c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0">
        <f>E35*3</f>
        <v>9951000</v>
      </c>
      <c r="Z35" s="386">
        <v>3</v>
      </c>
      <c r="AA35" s="392">
        <f t="shared" si="2"/>
        <v>348285</v>
      </c>
      <c r="AB35" s="273">
        <f t="shared" si="3"/>
        <v>1044855</v>
      </c>
    </row>
    <row r="36" spans="1:28" s="387" customFormat="1" ht="21.75" customHeight="1">
      <c r="A36" s="383">
        <f t="shared" si="0"/>
        <v>26</v>
      </c>
      <c r="B36" s="383" t="s">
        <v>99</v>
      </c>
      <c r="C36" s="384" t="s">
        <v>157</v>
      </c>
      <c r="D36" s="383" t="s">
        <v>111</v>
      </c>
      <c r="E36" s="385">
        <v>3317000</v>
      </c>
      <c r="F36" s="385">
        <v>2943000</v>
      </c>
      <c r="G36" s="385">
        <v>390000</v>
      </c>
      <c r="H36" s="385"/>
      <c r="I36" s="385"/>
      <c r="J36" s="385" t="s">
        <v>67</v>
      </c>
      <c r="K36" s="385" t="s">
        <v>67</v>
      </c>
      <c r="L36" s="385" t="s">
        <v>67</v>
      </c>
      <c r="M36" s="385" t="s">
        <v>67</v>
      </c>
      <c r="N36" s="385" t="s">
        <v>67</v>
      </c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0">
        <f>E36*5</f>
        <v>16585000</v>
      </c>
      <c r="Z36" s="386">
        <v>5</v>
      </c>
      <c r="AA36" s="392">
        <f t="shared" si="2"/>
        <v>348285</v>
      </c>
      <c r="AB36" s="273">
        <f t="shared" si="3"/>
        <v>1741425</v>
      </c>
    </row>
    <row r="37" spans="1:28" s="287" customFormat="1" ht="21.75" customHeight="1">
      <c r="A37" s="282">
        <f t="shared" si="0"/>
        <v>27</v>
      </c>
      <c r="B37" s="283" t="s">
        <v>100</v>
      </c>
      <c r="C37" s="284" t="s">
        <v>158</v>
      </c>
      <c r="D37" s="282" t="s">
        <v>111</v>
      </c>
      <c r="E37" s="285">
        <v>3317000</v>
      </c>
      <c r="F37" s="285">
        <v>2943000</v>
      </c>
      <c r="G37" s="285">
        <v>390000</v>
      </c>
      <c r="H37" s="285"/>
      <c r="I37" s="285"/>
      <c r="J37" s="285" t="s">
        <v>67</v>
      </c>
      <c r="K37" s="285" t="s">
        <v>67</v>
      </c>
      <c r="L37" s="285" t="s">
        <v>67</v>
      </c>
      <c r="M37" s="285" t="s">
        <v>67</v>
      </c>
      <c r="N37" s="285" t="s">
        <v>67</v>
      </c>
      <c r="O37" s="285" t="s">
        <v>67</v>
      </c>
      <c r="P37" s="285" t="s">
        <v>67</v>
      </c>
      <c r="Q37" s="285" t="s">
        <v>67</v>
      </c>
      <c r="R37" s="285" t="s">
        <v>67</v>
      </c>
      <c r="S37" s="285" t="s">
        <v>67</v>
      </c>
      <c r="T37" s="285" t="s">
        <v>67</v>
      </c>
      <c r="U37" s="285" t="s">
        <v>67</v>
      </c>
      <c r="V37" s="285"/>
      <c r="W37" s="285"/>
      <c r="X37" s="285"/>
      <c r="Y37" s="272">
        <f t="shared" si="1"/>
        <v>39804000</v>
      </c>
      <c r="Z37" s="286">
        <v>12</v>
      </c>
      <c r="AA37" s="392">
        <f t="shared" si="2"/>
        <v>348285</v>
      </c>
      <c r="AB37" s="273">
        <f t="shared" si="3"/>
        <v>4179420</v>
      </c>
    </row>
    <row r="38" spans="1:28" s="287" customFormat="1" ht="21.75" customHeight="1">
      <c r="A38" s="282">
        <f t="shared" si="0"/>
        <v>28</v>
      </c>
      <c r="B38" s="283" t="s">
        <v>101</v>
      </c>
      <c r="C38" s="284" t="s">
        <v>162</v>
      </c>
      <c r="D38" s="282" t="s">
        <v>111</v>
      </c>
      <c r="E38" s="285">
        <v>3317000</v>
      </c>
      <c r="F38" s="285">
        <v>2943000</v>
      </c>
      <c r="G38" s="285">
        <v>390000</v>
      </c>
      <c r="H38" s="285"/>
      <c r="I38" s="285"/>
      <c r="J38" s="285" t="s">
        <v>67</v>
      </c>
      <c r="K38" s="285" t="s">
        <v>67</v>
      </c>
      <c r="L38" s="285" t="s">
        <v>67</v>
      </c>
      <c r="M38" s="285" t="s">
        <v>67</v>
      </c>
      <c r="N38" s="285" t="s">
        <v>67</v>
      </c>
      <c r="O38" s="285" t="s">
        <v>67</v>
      </c>
      <c r="P38" s="285" t="s">
        <v>67</v>
      </c>
      <c r="Q38" s="285" t="s">
        <v>67</v>
      </c>
      <c r="R38" s="285" t="s">
        <v>67</v>
      </c>
      <c r="S38" s="285" t="s">
        <v>67</v>
      </c>
      <c r="T38" s="285" t="s">
        <v>67</v>
      </c>
      <c r="U38" s="285" t="s">
        <v>67</v>
      </c>
      <c r="V38" s="285"/>
      <c r="W38" s="285"/>
      <c r="X38" s="285"/>
      <c r="Y38" s="272">
        <f t="shared" si="1"/>
        <v>39804000</v>
      </c>
      <c r="Z38" s="286">
        <v>12</v>
      </c>
      <c r="AA38" s="392">
        <f t="shared" si="2"/>
        <v>348285</v>
      </c>
      <c r="AB38" s="273">
        <f t="shared" si="3"/>
        <v>4179420</v>
      </c>
    </row>
    <row r="39" spans="1:28" s="287" customFormat="1" ht="21.75" customHeight="1">
      <c r="A39" s="282">
        <f t="shared" si="0"/>
        <v>29</v>
      </c>
      <c r="B39" s="283" t="s">
        <v>102</v>
      </c>
      <c r="C39" s="284" t="s">
        <v>164</v>
      </c>
      <c r="D39" s="282" t="s">
        <v>111</v>
      </c>
      <c r="E39" s="285">
        <v>3317000</v>
      </c>
      <c r="F39" s="285">
        <v>2943000</v>
      </c>
      <c r="G39" s="285">
        <v>390000</v>
      </c>
      <c r="H39" s="285"/>
      <c r="I39" s="285"/>
      <c r="J39" s="285" t="s">
        <v>67</v>
      </c>
      <c r="K39" s="285" t="s">
        <v>67</v>
      </c>
      <c r="L39" s="285" t="s">
        <v>67</v>
      </c>
      <c r="M39" s="285" t="s">
        <v>67</v>
      </c>
      <c r="N39" s="285" t="s">
        <v>67</v>
      </c>
      <c r="O39" s="285" t="s">
        <v>67</v>
      </c>
      <c r="P39" s="285" t="s">
        <v>67</v>
      </c>
      <c r="Q39" s="285" t="s">
        <v>67</v>
      </c>
      <c r="R39" s="285" t="s">
        <v>67</v>
      </c>
      <c r="S39" s="285" t="s">
        <v>67</v>
      </c>
      <c r="T39" s="285" t="s">
        <v>67</v>
      </c>
      <c r="U39" s="285" t="s">
        <v>67</v>
      </c>
      <c r="V39" s="285"/>
      <c r="W39" s="285"/>
      <c r="X39" s="285"/>
      <c r="Y39" s="272">
        <f t="shared" si="1"/>
        <v>39804000</v>
      </c>
      <c r="Z39" s="286">
        <v>12</v>
      </c>
      <c r="AA39" s="392">
        <f t="shared" si="2"/>
        <v>348285</v>
      </c>
      <c r="AB39" s="273">
        <f t="shared" si="3"/>
        <v>4179420</v>
      </c>
    </row>
    <row r="40" spans="1:28" s="287" customFormat="1" ht="21.75" customHeight="1">
      <c r="A40" s="282">
        <f t="shared" si="0"/>
        <v>30</v>
      </c>
      <c r="B40" s="283" t="s">
        <v>103</v>
      </c>
      <c r="C40" s="284" t="s">
        <v>169</v>
      </c>
      <c r="D40" s="282" t="s">
        <v>111</v>
      </c>
      <c r="E40" s="285">
        <v>3317000</v>
      </c>
      <c r="F40" s="285">
        <v>2943000</v>
      </c>
      <c r="G40" s="285">
        <v>390000</v>
      </c>
      <c r="H40" s="285"/>
      <c r="I40" s="285"/>
      <c r="J40" s="285" t="s">
        <v>67</v>
      </c>
      <c r="K40" s="285" t="s">
        <v>67</v>
      </c>
      <c r="L40" s="285" t="s">
        <v>67</v>
      </c>
      <c r="M40" s="285" t="s">
        <v>67</v>
      </c>
      <c r="N40" s="285" t="s">
        <v>67</v>
      </c>
      <c r="O40" s="285" t="s">
        <v>67</v>
      </c>
      <c r="P40" s="285" t="s">
        <v>67</v>
      </c>
      <c r="Q40" s="285" t="s">
        <v>67</v>
      </c>
      <c r="R40" s="285" t="s">
        <v>67</v>
      </c>
      <c r="S40" s="285" t="s">
        <v>67</v>
      </c>
      <c r="T40" s="285" t="s">
        <v>67</v>
      </c>
      <c r="U40" s="285" t="s">
        <v>67</v>
      </c>
      <c r="V40" s="285"/>
      <c r="W40" s="285"/>
      <c r="X40" s="285"/>
      <c r="Y40" s="272">
        <f t="shared" si="1"/>
        <v>39804000</v>
      </c>
      <c r="Z40" s="286">
        <v>12</v>
      </c>
      <c r="AA40" s="392">
        <f t="shared" si="2"/>
        <v>348285</v>
      </c>
      <c r="AB40" s="273">
        <f t="shared" si="3"/>
        <v>4179420</v>
      </c>
    </row>
    <row r="41" spans="1:28" s="287" customFormat="1" ht="21.75" customHeight="1">
      <c r="A41" s="282">
        <f t="shared" si="0"/>
        <v>31</v>
      </c>
      <c r="B41" s="283" t="s">
        <v>104</v>
      </c>
      <c r="C41" s="284" t="s">
        <v>177</v>
      </c>
      <c r="D41" s="282" t="s">
        <v>111</v>
      </c>
      <c r="E41" s="285">
        <v>3317000</v>
      </c>
      <c r="F41" s="285">
        <v>2943000</v>
      </c>
      <c r="G41" s="285">
        <v>390000</v>
      </c>
      <c r="H41" s="285"/>
      <c r="I41" s="285"/>
      <c r="J41" s="285" t="s">
        <v>67</v>
      </c>
      <c r="K41" s="285" t="s">
        <v>67</v>
      </c>
      <c r="L41" s="285" t="s">
        <v>67</v>
      </c>
      <c r="M41" s="285" t="s">
        <v>67</v>
      </c>
      <c r="N41" s="285" t="s">
        <v>67</v>
      </c>
      <c r="O41" s="285" t="s">
        <v>67</v>
      </c>
      <c r="P41" s="285" t="s">
        <v>67</v>
      </c>
      <c r="Q41" s="285" t="s">
        <v>67</v>
      </c>
      <c r="R41" s="285" t="s">
        <v>67</v>
      </c>
      <c r="S41" s="285" t="s">
        <v>67</v>
      </c>
      <c r="T41" s="285" t="s">
        <v>67</v>
      </c>
      <c r="U41" s="285" t="s">
        <v>67</v>
      </c>
      <c r="V41" s="285"/>
      <c r="W41" s="285"/>
      <c r="X41" s="285"/>
      <c r="Y41" s="272">
        <f t="shared" si="1"/>
        <v>39804000</v>
      </c>
      <c r="Z41" s="286">
        <v>12</v>
      </c>
      <c r="AA41" s="392">
        <f t="shared" si="2"/>
        <v>348285</v>
      </c>
      <c r="AB41" s="273">
        <f t="shared" si="3"/>
        <v>4179420</v>
      </c>
    </row>
    <row r="42" spans="1:28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 t="s">
        <v>67</v>
      </c>
      <c r="S42" s="18" t="s">
        <v>67</v>
      </c>
      <c r="T42" s="18" t="s">
        <v>67</v>
      </c>
      <c r="U42" s="18" t="s">
        <v>67</v>
      </c>
      <c r="V42" s="18"/>
      <c r="W42" s="18"/>
      <c r="X42" s="18"/>
      <c r="Y42" s="272">
        <f t="shared" si="1"/>
        <v>42588000</v>
      </c>
      <c r="Z42" s="48">
        <v>12</v>
      </c>
      <c r="AA42" s="392">
        <f t="shared" si="2"/>
        <v>372645</v>
      </c>
      <c r="AB42" s="273">
        <f t="shared" si="3"/>
        <v>4471740</v>
      </c>
    </row>
    <row r="43" spans="1:28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 t="s">
        <v>67</v>
      </c>
      <c r="S43" s="18" t="s">
        <v>67</v>
      </c>
      <c r="T43" s="18"/>
      <c r="U43" s="18"/>
      <c r="V43" s="18"/>
      <c r="W43" s="18"/>
      <c r="X43" s="18"/>
      <c r="Y43" s="272">
        <f>E43*10</f>
        <v>33170000</v>
      </c>
      <c r="Z43" s="48">
        <v>10</v>
      </c>
      <c r="AA43" s="392">
        <f t="shared" si="2"/>
        <v>348285</v>
      </c>
      <c r="AB43" s="273">
        <f t="shared" si="3"/>
        <v>3482850</v>
      </c>
    </row>
    <row r="44" spans="1:28" s="382" customFormat="1" ht="21.75" customHeight="1">
      <c r="A44" s="377">
        <f t="shared" si="0"/>
        <v>34</v>
      </c>
      <c r="B44" s="377" t="s">
        <v>115</v>
      </c>
      <c r="C44" s="378" t="s">
        <v>126</v>
      </c>
      <c r="D44" s="377" t="s">
        <v>111</v>
      </c>
      <c r="E44" s="379">
        <v>3317000</v>
      </c>
      <c r="F44" s="379">
        <v>2943000</v>
      </c>
      <c r="G44" s="379">
        <v>390000</v>
      </c>
      <c r="H44" s="379"/>
      <c r="I44" s="379"/>
      <c r="J44" s="379" t="s">
        <v>67</v>
      </c>
      <c r="K44" s="379" t="s">
        <v>67</v>
      </c>
      <c r="L44" s="379" t="s">
        <v>67</v>
      </c>
      <c r="M44" s="379" t="s">
        <v>67</v>
      </c>
      <c r="N44" s="379" t="s">
        <v>67</v>
      </c>
      <c r="O44" s="379"/>
      <c r="P44" s="379"/>
      <c r="Q44" s="379"/>
      <c r="R44" s="379"/>
      <c r="S44" s="379"/>
      <c r="T44" s="379"/>
      <c r="U44" s="379"/>
      <c r="V44" s="379"/>
      <c r="W44" s="379"/>
      <c r="X44" s="379"/>
      <c r="Y44" s="380">
        <f>E44*5</f>
        <v>16585000</v>
      </c>
      <c r="Z44" s="381">
        <v>5</v>
      </c>
      <c r="AA44" s="392">
        <f t="shared" si="2"/>
        <v>348285</v>
      </c>
      <c r="AB44" s="273">
        <f t="shared" si="3"/>
        <v>1741425</v>
      </c>
    </row>
    <row r="45" spans="1:28" s="382" customFormat="1" ht="21.75" customHeight="1">
      <c r="A45" s="377">
        <f t="shared" si="0"/>
        <v>35</v>
      </c>
      <c r="B45" s="377" t="s">
        <v>116</v>
      </c>
      <c r="C45" s="378" t="s">
        <v>176</v>
      </c>
      <c r="D45" s="377" t="s">
        <v>111</v>
      </c>
      <c r="E45" s="379">
        <v>3317000</v>
      </c>
      <c r="F45" s="379">
        <v>2943000</v>
      </c>
      <c r="G45" s="379">
        <v>390000</v>
      </c>
      <c r="H45" s="379"/>
      <c r="I45" s="379"/>
      <c r="J45" s="379" t="s">
        <v>67</v>
      </c>
      <c r="K45" s="379" t="s">
        <v>67</v>
      </c>
      <c r="L45" s="379" t="s">
        <v>67</v>
      </c>
      <c r="M45" s="379" t="s">
        <v>67</v>
      </c>
      <c r="N45" s="379"/>
      <c r="O45" s="379"/>
      <c r="P45" s="379"/>
      <c r="Q45" s="379"/>
      <c r="R45" s="379"/>
      <c r="S45" s="379"/>
      <c r="T45" s="379"/>
      <c r="U45" s="379"/>
      <c r="V45" s="379"/>
      <c r="W45" s="379"/>
      <c r="X45" s="379"/>
      <c r="Y45" s="380">
        <f>E45*4</f>
        <v>13268000</v>
      </c>
      <c r="Z45" s="381">
        <v>4</v>
      </c>
      <c r="AA45" s="392">
        <f t="shared" si="2"/>
        <v>348285</v>
      </c>
      <c r="AB45" s="273">
        <f t="shared" si="3"/>
        <v>1393140</v>
      </c>
    </row>
    <row r="46" spans="1:28" s="382" customFormat="1" ht="21.75" customHeight="1">
      <c r="A46" s="377">
        <f t="shared" si="0"/>
        <v>36</v>
      </c>
      <c r="B46" s="377" t="s">
        <v>117</v>
      </c>
      <c r="C46" s="378" t="s">
        <v>128</v>
      </c>
      <c r="D46" s="377" t="s">
        <v>111</v>
      </c>
      <c r="E46" s="379">
        <v>3317000</v>
      </c>
      <c r="F46" s="379">
        <v>2943000</v>
      </c>
      <c r="G46" s="379">
        <v>390000</v>
      </c>
      <c r="H46" s="379"/>
      <c r="I46" s="379"/>
      <c r="J46" s="379" t="s">
        <v>67</v>
      </c>
      <c r="K46" s="379" t="s">
        <v>67</v>
      </c>
      <c r="L46" s="379" t="s">
        <v>67</v>
      </c>
      <c r="M46" s="379" t="s">
        <v>67</v>
      </c>
      <c r="N46" s="379"/>
      <c r="O46" s="379"/>
      <c r="P46" s="379"/>
      <c r="Q46" s="379"/>
      <c r="R46" s="379"/>
      <c r="S46" s="379"/>
      <c r="T46" s="379"/>
      <c r="U46" s="379"/>
      <c r="V46" s="379"/>
      <c r="W46" s="379"/>
      <c r="X46" s="379"/>
      <c r="Y46" s="380">
        <f>E46*4</f>
        <v>13268000</v>
      </c>
      <c r="Z46" s="381">
        <v>4</v>
      </c>
      <c r="AA46" s="392">
        <f t="shared" si="2"/>
        <v>348285</v>
      </c>
      <c r="AB46" s="273">
        <f t="shared" si="3"/>
        <v>1393140</v>
      </c>
    </row>
    <row r="47" spans="1:28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 t="s">
        <v>67</v>
      </c>
      <c r="S47" s="18" t="s">
        <v>67</v>
      </c>
      <c r="T47" s="18" t="s">
        <v>67</v>
      </c>
      <c r="U47" s="18" t="s">
        <v>67</v>
      </c>
      <c r="V47" s="18"/>
      <c r="W47" s="18"/>
      <c r="X47" s="18"/>
      <c r="Y47" s="272">
        <f t="shared" si="1"/>
        <v>39804000</v>
      </c>
      <c r="Z47" s="48">
        <v>12</v>
      </c>
      <c r="AA47" s="392">
        <f t="shared" si="2"/>
        <v>348285</v>
      </c>
      <c r="AB47" s="273">
        <f t="shared" si="3"/>
        <v>4179420</v>
      </c>
    </row>
    <row r="48" spans="1:28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 t="s">
        <v>67</v>
      </c>
      <c r="S48" s="18" t="s">
        <v>67</v>
      </c>
      <c r="T48" s="18" t="s">
        <v>67</v>
      </c>
      <c r="U48" s="18" t="s">
        <v>67</v>
      </c>
      <c r="V48" s="18"/>
      <c r="W48" s="18"/>
      <c r="X48" s="18"/>
      <c r="Y48" s="272">
        <f t="shared" si="1"/>
        <v>39804000</v>
      </c>
      <c r="Z48" s="48">
        <v>12</v>
      </c>
      <c r="AA48" s="392">
        <f t="shared" si="2"/>
        <v>348285</v>
      </c>
      <c r="AB48" s="273">
        <f t="shared" si="3"/>
        <v>4179420</v>
      </c>
    </row>
    <row r="49" spans="1:28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 t="s">
        <v>67</v>
      </c>
      <c r="S49" s="18" t="s">
        <v>67</v>
      </c>
      <c r="T49" s="18"/>
      <c r="U49" s="18"/>
      <c r="V49" s="18"/>
      <c r="W49" s="18"/>
      <c r="X49" s="18"/>
      <c r="Y49" s="272">
        <f>E49*10</f>
        <v>33170000</v>
      </c>
      <c r="Z49" s="48">
        <v>10</v>
      </c>
      <c r="AA49" s="392">
        <f t="shared" si="2"/>
        <v>348285</v>
      </c>
      <c r="AB49" s="273">
        <f t="shared" si="3"/>
        <v>3482850</v>
      </c>
    </row>
    <row r="50" spans="1:28" s="382" customFormat="1" ht="21.75" customHeight="1">
      <c r="A50" s="377">
        <f t="shared" si="0"/>
        <v>40</v>
      </c>
      <c r="B50" s="377" t="s">
        <v>121</v>
      </c>
      <c r="C50" s="378" t="s">
        <v>172</v>
      </c>
      <c r="D50" s="377" t="s">
        <v>111</v>
      </c>
      <c r="E50" s="379">
        <v>3317000</v>
      </c>
      <c r="F50" s="379">
        <v>2943000</v>
      </c>
      <c r="G50" s="379">
        <v>390000</v>
      </c>
      <c r="H50" s="379"/>
      <c r="I50" s="379"/>
      <c r="J50" s="379" t="s">
        <v>67</v>
      </c>
      <c r="K50" s="379" t="s">
        <v>67</v>
      </c>
      <c r="L50" s="379" t="s">
        <v>67</v>
      </c>
      <c r="M50" s="379" t="s">
        <v>67</v>
      </c>
      <c r="N50" s="379" t="s">
        <v>67</v>
      </c>
      <c r="O50" s="379" t="s">
        <v>67</v>
      </c>
      <c r="P50" s="379"/>
      <c r="Q50" s="379"/>
      <c r="R50" s="379"/>
      <c r="S50" s="379"/>
      <c r="T50" s="379"/>
      <c r="U50" s="379"/>
      <c r="V50" s="379"/>
      <c r="W50" s="379"/>
      <c r="X50" s="379"/>
      <c r="Y50" s="380">
        <f>E50*6</f>
        <v>19902000</v>
      </c>
      <c r="Z50" s="381">
        <v>6</v>
      </c>
      <c r="AA50" s="392">
        <f t="shared" si="2"/>
        <v>348285</v>
      </c>
      <c r="AB50" s="273">
        <f t="shared" si="3"/>
        <v>2089710</v>
      </c>
    </row>
    <row r="51" spans="1:28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 t="s">
        <v>67</v>
      </c>
      <c r="S51" s="18" t="s">
        <v>67</v>
      </c>
      <c r="T51" s="18" t="s">
        <v>67</v>
      </c>
      <c r="U51" s="18" t="s">
        <v>67</v>
      </c>
      <c r="V51" s="18"/>
      <c r="W51" s="18"/>
      <c r="X51" s="18"/>
      <c r="Y51" s="272">
        <f t="shared" si="1"/>
        <v>39804000</v>
      </c>
      <c r="Z51" s="48">
        <v>12</v>
      </c>
      <c r="AA51" s="392">
        <f>E51*0.105</f>
        <v>348285</v>
      </c>
      <c r="AB51" s="273">
        <f t="shared" si="3"/>
        <v>4179420</v>
      </c>
    </row>
    <row r="52" spans="1:28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8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8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8" ht="21.75" customHeight="1">
      <c r="A55" s="401" t="s">
        <v>25</v>
      </c>
      <c r="B55" s="402"/>
      <c r="C55" s="402"/>
      <c r="D55" s="267" t="s">
        <v>159</v>
      </c>
      <c r="E55" s="264">
        <f>SUM(E11:E54)</f>
        <v>152620000</v>
      </c>
      <c r="F55" s="264">
        <f>SUM(F11:F54)</f>
        <v>137582000</v>
      </c>
      <c r="G55" s="264">
        <f>SUM(G11:G54)</f>
        <v>15990000</v>
      </c>
      <c r="H55" s="264">
        <f>SUM(H11:H54)</f>
        <v>0</v>
      </c>
      <c r="I55" s="264"/>
      <c r="J55" s="264">
        <f>SUMIF(J$11:J$54,"x",$E$11:$E$54)</f>
        <v>149052000</v>
      </c>
      <c r="K55" s="264">
        <f t="shared" ref="K55:U55" si="4">SUMIF(K$11:K$54,"x",$E$11:$E$54)</f>
        <v>145735000</v>
      </c>
      <c r="L55" s="264">
        <f t="shared" si="4"/>
        <v>145735000</v>
      </c>
      <c r="M55" s="264">
        <f t="shared" si="4"/>
        <v>142418000</v>
      </c>
      <c r="N55" s="264">
        <f t="shared" si="4"/>
        <v>136035000</v>
      </c>
      <c r="O55" s="264">
        <f t="shared" si="4"/>
        <v>119450000</v>
      </c>
      <c r="P55" s="264">
        <f t="shared" si="4"/>
        <v>109267000</v>
      </c>
      <c r="Q55" s="264">
        <f t="shared" si="4"/>
        <v>105950000</v>
      </c>
      <c r="R55" s="264">
        <f t="shared" si="4"/>
        <v>105950000</v>
      </c>
      <c r="S55" s="264">
        <f t="shared" si="4"/>
        <v>105950000</v>
      </c>
      <c r="T55" s="264">
        <f t="shared" si="4"/>
        <v>99316000</v>
      </c>
      <c r="U55" s="264">
        <f t="shared" si="4"/>
        <v>99316000</v>
      </c>
      <c r="V55" s="264"/>
      <c r="W55" s="264"/>
      <c r="X55" s="264"/>
      <c r="Y55" s="107"/>
    </row>
    <row r="56" spans="1:28" ht="21.75" customHeight="1">
      <c r="A56" s="403"/>
      <c r="B56" s="404"/>
      <c r="C56" s="404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27</v>
      </c>
      <c r="S56" s="264">
        <f t="array" ref="S56">SUM((S$11:S$54="x")*1)</f>
        <v>27</v>
      </c>
      <c r="T56" s="264">
        <f t="array" ref="T56">SUM((T$11:T$54="x")*1)</f>
        <v>25</v>
      </c>
      <c r="U56" s="264">
        <f t="array" ref="U56">SUM((U$11:U$54="x")*1)</f>
        <v>25</v>
      </c>
      <c r="V56" s="264"/>
      <c r="W56" s="264"/>
      <c r="X56" s="264"/>
      <c r="Y56" s="107"/>
    </row>
    <row r="57" spans="1:28" ht="21.75" customHeight="1">
      <c r="A57" s="405"/>
      <c r="B57" s="406"/>
      <c r="C57" s="406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8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8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8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8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8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8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8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4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94" t="str">
        <f>M82</f>
        <v>ALTP001</v>
      </c>
    </row>
    <row r="83" spans="3:14">
      <c r="C83" s="266"/>
      <c r="G83" s="284" t="s">
        <v>142</v>
      </c>
      <c r="J83" s="2" t="s">
        <v>85</v>
      </c>
      <c r="K83" s="2" t="s">
        <v>142</v>
      </c>
      <c r="M83" s="2" t="str">
        <f t="shared" ref="M83:M112" si="5">VLOOKUP(K83,$G$82:$J$141,4,0)</f>
        <v>ALTP002</v>
      </c>
      <c r="N83" s="394"/>
    </row>
    <row r="84" spans="3:14">
      <c r="C84" s="266"/>
      <c r="G84" s="284" t="s">
        <v>143</v>
      </c>
      <c r="J84" s="2" t="s">
        <v>86</v>
      </c>
      <c r="K84" s="2" t="s">
        <v>143</v>
      </c>
      <c r="M84" s="2" t="str">
        <f t="shared" si="5"/>
        <v>ALTP003</v>
      </c>
      <c r="N84" s="394" t="str">
        <f>M83</f>
        <v>ALTP002</v>
      </c>
    </row>
    <row r="85" spans="3:14">
      <c r="C85" s="266"/>
      <c r="G85" s="284" t="s">
        <v>144</v>
      </c>
      <c r="J85" s="2" t="s">
        <v>87</v>
      </c>
      <c r="K85" s="2" t="s">
        <v>144</v>
      </c>
      <c r="M85" s="2" t="str">
        <f t="shared" si="5"/>
        <v>ALTP004</v>
      </c>
      <c r="N85" s="394"/>
    </row>
    <row r="86" spans="3:14">
      <c r="C86" s="266"/>
      <c r="G86" s="284" t="s">
        <v>145</v>
      </c>
      <c r="J86" s="2" t="s">
        <v>88</v>
      </c>
      <c r="K86" s="2" t="s">
        <v>145</v>
      </c>
      <c r="M86" s="2" t="str">
        <f t="shared" si="5"/>
        <v>ALTP005</v>
      </c>
      <c r="N86" s="394" t="str">
        <f>M84</f>
        <v>ALTP003</v>
      </c>
    </row>
    <row r="87" spans="3:14">
      <c r="C87" s="266"/>
      <c r="G87" s="284" t="s">
        <v>146</v>
      </c>
      <c r="J87" s="2" t="s">
        <v>89</v>
      </c>
      <c r="K87" s="2" t="s">
        <v>146</v>
      </c>
      <c r="M87" s="2" t="str">
        <f t="shared" si="5"/>
        <v>ALTP006</v>
      </c>
      <c r="N87" s="394"/>
    </row>
    <row r="88" spans="3:14">
      <c r="C88" s="266"/>
      <c r="G88" s="284" t="s">
        <v>147</v>
      </c>
      <c r="J88" s="2" t="s">
        <v>90</v>
      </c>
      <c r="K88" s="2" t="s">
        <v>147</v>
      </c>
      <c r="M88" s="2" t="str">
        <f t="shared" si="5"/>
        <v>ALTP007</v>
      </c>
      <c r="N88" s="394" t="str">
        <f>M85</f>
        <v>ALTP004</v>
      </c>
    </row>
    <row r="89" spans="3:14">
      <c r="C89" s="266"/>
      <c r="G89" s="284" t="s">
        <v>148</v>
      </c>
      <c r="J89" s="2" t="s">
        <v>91</v>
      </c>
      <c r="K89" s="2" t="s">
        <v>148</v>
      </c>
      <c r="M89" s="2" t="str">
        <f t="shared" si="5"/>
        <v>ALTP008</v>
      </c>
      <c r="N89" s="394"/>
    </row>
    <row r="90" spans="3:14">
      <c r="C90" s="266"/>
      <c r="G90" s="284" t="s">
        <v>149</v>
      </c>
      <c r="J90" s="2" t="s">
        <v>92</v>
      </c>
      <c r="K90" s="2" t="s">
        <v>149</v>
      </c>
      <c r="M90" s="2" t="str">
        <f t="shared" si="5"/>
        <v>ALTP009</v>
      </c>
      <c r="N90" s="394" t="str">
        <f>M86</f>
        <v>ALTP005</v>
      </c>
    </row>
    <row r="91" spans="3:14">
      <c r="C91" s="266"/>
      <c r="G91" s="284" t="s">
        <v>150</v>
      </c>
      <c r="J91" s="2" t="s">
        <v>93</v>
      </c>
      <c r="K91" s="2" t="s">
        <v>150</v>
      </c>
      <c r="M91" s="2" t="str">
        <f t="shared" si="5"/>
        <v>ALTP010</v>
      </c>
      <c r="N91" s="394"/>
    </row>
    <row r="92" spans="3:14">
      <c r="C92" s="266"/>
      <c r="G92" s="284" t="s">
        <v>151</v>
      </c>
      <c r="J92" s="2" t="s">
        <v>94</v>
      </c>
      <c r="K92" s="2" t="s">
        <v>151</v>
      </c>
      <c r="M92" s="2" t="str">
        <f t="shared" si="5"/>
        <v>ALTP011</v>
      </c>
      <c r="N92" s="394" t="str">
        <f>M87</f>
        <v>ALTP006</v>
      </c>
    </row>
    <row r="93" spans="3:14">
      <c r="C93" s="266"/>
      <c r="G93" s="284" t="s">
        <v>152</v>
      </c>
      <c r="J93" s="2" t="s">
        <v>95</v>
      </c>
      <c r="K93" s="2" t="s">
        <v>153</v>
      </c>
      <c r="M93" s="2" t="str">
        <f t="shared" si="5"/>
        <v>ALTP013</v>
      </c>
      <c r="N93" s="394"/>
    </row>
    <row r="94" spans="3:14">
      <c r="C94" s="266"/>
      <c r="G94" s="284" t="s">
        <v>153</v>
      </c>
      <c r="J94" s="2" t="s">
        <v>96</v>
      </c>
      <c r="K94" s="2" t="s">
        <v>154</v>
      </c>
      <c r="M94" s="2" t="str">
        <f t="shared" si="5"/>
        <v>ALTP014</v>
      </c>
      <c r="N94" s="394" t="str">
        <f>M88</f>
        <v>ALTP007</v>
      </c>
    </row>
    <row r="95" spans="3:14">
      <c r="C95" s="266"/>
      <c r="G95" s="284" t="s">
        <v>154</v>
      </c>
      <c r="J95" s="2" t="s">
        <v>97</v>
      </c>
      <c r="K95" s="2" t="s">
        <v>155</v>
      </c>
      <c r="M95" s="2" t="str">
        <f t="shared" si="5"/>
        <v>ALTP015</v>
      </c>
      <c r="N95" s="394"/>
    </row>
    <row r="96" spans="3:14">
      <c r="C96" s="266"/>
      <c r="G96" s="284" t="s">
        <v>155</v>
      </c>
      <c r="J96" s="2" t="s">
        <v>98</v>
      </c>
      <c r="K96" s="2" t="s">
        <v>156</v>
      </c>
      <c r="M96" s="2" t="str">
        <f t="shared" si="5"/>
        <v>ALTP016</v>
      </c>
      <c r="N96" s="394" t="str">
        <f>M89</f>
        <v>ALTP008</v>
      </c>
    </row>
    <row r="97" spans="3:14">
      <c r="C97" s="266"/>
      <c r="G97" s="284" t="s">
        <v>156</v>
      </c>
      <c r="J97" s="2" t="s">
        <v>99</v>
      </c>
      <c r="K97" s="2" t="s">
        <v>157</v>
      </c>
      <c r="M97" s="2" t="str">
        <f t="shared" si="5"/>
        <v>ALTP017</v>
      </c>
      <c r="N97" s="394"/>
    </row>
    <row r="98" spans="3:14">
      <c r="C98" s="266"/>
      <c r="G98" s="284" t="s">
        <v>157</v>
      </c>
      <c r="J98" s="2" t="s">
        <v>100</v>
      </c>
      <c r="K98" s="2" t="s">
        <v>158</v>
      </c>
      <c r="M98" s="2" t="str">
        <f t="shared" si="5"/>
        <v>ALTP018</v>
      </c>
      <c r="N98" s="394" t="str">
        <f>M90</f>
        <v>ALTP009</v>
      </c>
    </row>
    <row r="99" spans="3:14">
      <c r="C99" s="266"/>
      <c r="G99" s="284" t="s">
        <v>158</v>
      </c>
      <c r="J99" s="2" t="s">
        <v>101</v>
      </c>
      <c r="K99" s="2" t="s">
        <v>162</v>
      </c>
      <c r="M99" s="2" t="str">
        <f t="shared" si="5"/>
        <v>ALTP019</v>
      </c>
      <c r="N99" s="394"/>
    </row>
    <row r="100" spans="3:14">
      <c r="C100" s="266"/>
      <c r="G100" s="284" t="s">
        <v>162</v>
      </c>
      <c r="J100" s="2" t="s">
        <v>102</v>
      </c>
      <c r="K100" s="2" t="s">
        <v>164</v>
      </c>
      <c r="M100" s="2" t="str">
        <f t="shared" si="5"/>
        <v>ALTP020</v>
      </c>
      <c r="N100" s="394" t="str">
        <f>M91</f>
        <v>ALTP010</v>
      </c>
    </row>
    <row r="101" spans="3:14">
      <c r="C101" s="266"/>
      <c r="G101" s="284" t="s">
        <v>164</v>
      </c>
      <c r="J101" s="2" t="s">
        <v>103</v>
      </c>
      <c r="K101" s="2" t="s">
        <v>169</v>
      </c>
      <c r="M101" s="2" t="str">
        <f t="shared" si="5"/>
        <v>ALTP025</v>
      </c>
      <c r="N101" s="394"/>
    </row>
    <row r="102" spans="3:14">
      <c r="C102" s="266"/>
      <c r="G102" s="284" t="s">
        <v>165</v>
      </c>
      <c r="J102" s="2" t="s">
        <v>104</v>
      </c>
      <c r="K102" s="2" t="s">
        <v>177</v>
      </c>
      <c r="M102" s="2" t="str">
        <f t="shared" si="5"/>
        <v>ALTP027</v>
      </c>
      <c r="N102" s="394" t="str">
        <f>M92</f>
        <v>ALTP011</v>
      </c>
    </row>
    <row r="103" spans="3:14">
      <c r="C103" s="266"/>
      <c r="G103" s="284" t="s">
        <v>166</v>
      </c>
      <c r="J103" s="2" t="s">
        <v>105</v>
      </c>
      <c r="K103" s="2" t="s">
        <v>124</v>
      </c>
      <c r="M103" s="2" t="str">
        <f t="shared" si="5"/>
        <v>ALTN001</v>
      </c>
      <c r="N103" s="394"/>
    </row>
    <row r="104" spans="3:14">
      <c r="C104" s="266"/>
      <c r="G104" s="284" t="s">
        <v>177</v>
      </c>
      <c r="J104" s="2" t="s">
        <v>110</v>
      </c>
      <c r="K104" s="2" t="s">
        <v>125</v>
      </c>
      <c r="M104" s="2" t="str">
        <f t="shared" si="5"/>
        <v>ALTN002</v>
      </c>
      <c r="N104" s="394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5"/>
        <v>ALTN003</v>
      </c>
      <c r="N105" s="394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5"/>
        <v>ALTN004</v>
      </c>
      <c r="N106" s="394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5"/>
        <v>ALTN006</v>
      </c>
      <c r="N107" s="394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5"/>
        <v>ALTN007</v>
      </c>
      <c r="N108" s="394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5"/>
        <v>ALTN008</v>
      </c>
      <c r="N109" s="394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5"/>
        <v>ALTN009</v>
      </c>
      <c r="N110" s="394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5"/>
        <v>ALTN010</v>
      </c>
      <c r="N111" s="394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5"/>
        <v>ALTN011</v>
      </c>
      <c r="N112" s="394" t="str">
        <f>M97</f>
        <v>ALTP017</v>
      </c>
    </row>
    <row r="113" spans="3:14">
      <c r="C113" s="266"/>
      <c r="G113" s="2" t="s">
        <v>127</v>
      </c>
      <c r="J113" s="2" t="s">
        <v>117</v>
      </c>
      <c r="N113" s="394"/>
    </row>
    <row r="114" spans="3:14">
      <c r="C114" s="266"/>
      <c r="G114" s="31" t="s">
        <v>128</v>
      </c>
      <c r="J114" s="2" t="s">
        <v>118</v>
      </c>
      <c r="N114" s="394" t="str">
        <f>M98</f>
        <v>ALTP018</v>
      </c>
    </row>
    <row r="115" spans="3:14">
      <c r="C115" s="266"/>
      <c r="G115" s="31" t="s">
        <v>163</v>
      </c>
      <c r="J115" s="2" t="s">
        <v>119</v>
      </c>
      <c r="N115" s="394"/>
    </row>
    <row r="116" spans="3:14">
      <c r="C116" s="266"/>
      <c r="G116" s="31" t="s">
        <v>170</v>
      </c>
      <c r="J116" s="2" t="s">
        <v>120</v>
      </c>
      <c r="N116" s="394" t="str">
        <f>M99</f>
        <v>ALTP019</v>
      </c>
    </row>
    <row r="117" spans="3:14">
      <c r="C117" s="266"/>
      <c r="G117" s="31" t="s">
        <v>171</v>
      </c>
      <c r="J117" s="2" t="s">
        <v>121</v>
      </c>
      <c r="N117" s="394"/>
    </row>
    <row r="118" spans="3:14">
      <c r="C118" s="266"/>
      <c r="G118" s="31" t="s">
        <v>172</v>
      </c>
      <c r="J118" s="2" t="s">
        <v>122</v>
      </c>
      <c r="N118" s="394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94"/>
    </row>
    <row r="120" spans="3:14">
      <c r="C120" s="266"/>
      <c r="N120" s="394" t="str">
        <f>M101</f>
        <v>ALTP025</v>
      </c>
    </row>
    <row r="121" spans="3:14">
      <c r="C121" s="266"/>
      <c r="N121" s="394"/>
    </row>
    <row r="122" spans="3:14">
      <c r="C122" s="266"/>
      <c r="N122" s="394" t="str">
        <f>M102</f>
        <v>ALTP027</v>
      </c>
    </row>
    <row r="123" spans="3:14">
      <c r="C123" s="266"/>
      <c r="N123" s="394"/>
    </row>
    <row r="124" spans="3:14">
      <c r="C124" s="266"/>
      <c r="N124" s="394" t="str">
        <f>M103</f>
        <v>ALTN001</v>
      </c>
    </row>
    <row r="125" spans="3:14">
      <c r="C125" s="266"/>
      <c r="N125" s="394"/>
    </row>
    <row r="126" spans="3:14">
      <c r="C126" s="266"/>
      <c r="N126" s="394" t="str">
        <f>M104</f>
        <v>ALTN002</v>
      </c>
    </row>
    <row r="127" spans="3:14">
      <c r="C127" s="266"/>
      <c r="N127" s="394"/>
    </row>
    <row r="128" spans="3:14">
      <c r="C128" s="266"/>
      <c r="N128" s="394" t="str">
        <f>M105</f>
        <v>ALTN003</v>
      </c>
    </row>
    <row r="129" spans="3:14">
      <c r="C129" s="266"/>
      <c r="N129" s="394"/>
    </row>
    <row r="130" spans="3:14">
      <c r="C130" s="266"/>
      <c r="N130" s="394" t="str">
        <f>M106</f>
        <v>ALTN004</v>
      </c>
    </row>
    <row r="131" spans="3:14">
      <c r="C131" s="266"/>
      <c r="N131" s="394"/>
    </row>
    <row r="132" spans="3:14">
      <c r="C132" s="266"/>
      <c r="N132" s="394" t="str">
        <f>M107</f>
        <v>ALTN006</v>
      </c>
    </row>
    <row r="133" spans="3:14">
      <c r="C133" s="266"/>
      <c r="N133" s="394"/>
    </row>
    <row r="134" spans="3:14">
      <c r="C134" s="266"/>
      <c r="N134" s="394" t="str">
        <f>M108</f>
        <v>ALTN007</v>
      </c>
    </row>
    <row r="135" spans="3:14">
      <c r="C135" s="266"/>
      <c r="N135" s="394"/>
    </row>
    <row r="136" spans="3:14">
      <c r="C136" s="266"/>
      <c r="N136" s="394" t="str">
        <f>M109</f>
        <v>ALTN008</v>
      </c>
    </row>
    <row r="137" spans="3:14">
      <c r="C137" s="266"/>
      <c r="N137" s="394"/>
    </row>
    <row r="138" spans="3:14">
      <c r="C138" s="266"/>
      <c r="N138" s="394" t="str">
        <f>M110</f>
        <v>ALTN009</v>
      </c>
    </row>
    <row r="139" spans="3:14">
      <c r="C139" s="266"/>
      <c r="N139" s="394"/>
    </row>
    <row r="140" spans="3:14">
      <c r="C140" s="266"/>
      <c r="N140" s="394" t="str">
        <f>M111</f>
        <v>ALTN010</v>
      </c>
    </row>
    <row r="141" spans="3:14">
      <c r="C141" s="266"/>
      <c r="N141" s="394"/>
    </row>
    <row r="142" spans="3:14">
      <c r="C142" s="266"/>
      <c r="N142" s="394" t="str">
        <f>M112</f>
        <v>ALTN011</v>
      </c>
    </row>
    <row r="143" spans="3:14">
      <c r="C143" s="266"/>
      <c r="N143" s="394"/>
    </row>
  </sheetData>
  <protectedRanges>
    <protectedRange password="CC78" sqref="E70:E65371 B8:D9 W8:W9 B58:B65371 C67:D65371 F67:JG81 F133:M133 F82 H82:J82 L82:JG82 L83:L109 F120:L132 N83:JG133 M83:M112 F134:JG65371 K110:L119 F83:J103 F105:J119 F104 H104:J104 F8:H8 C53:H57 D42:D51 J52 B10:X10 C52:D52 E11:H12 E21:H52 G13:H20 A8:A65371 J53:JG57 J11:X12 V13:X20 Y8:JG11 Y12:Z20 AB12:JG20 AA12:AA51 V21:AA50 AC21:JG50 AB12:AB50 V51:JG5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S52 J11:T51 T11:U52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7" activePane="bottomRight" state="frozen"/>
      <selection activeCell="E8" sqref="E8"/>
      <selection pane="topRight" activeCell="E8" sqref="E8"/>
      <selection pane="bottomLeft" activeCell="E8" sqref="E8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76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T.Sáu</v>
      </c>
      <c r="G6" s="302" t="str">
        <f t="shared" ref="G6:AJ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 t="str">
        <f t="shared" si="1"/>
        <v>C.Nhật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17">
        <f>((SUM(F9:AJ9))/8)-(SUMIF($F$6:$AJ$6,"C.Nhật",F9:AJ9)/8)</f>
        <v>23</v>
      </c>
      <c r="AL9" s="417">
        <f>SUM(F10:AJ10)/8*1.5</f>
        <v>0</v>
      </c>
      <c r="AM9" s="419">
        <f>SUMIF($F$6:$AJ$6,"C.Nhật",$F9:$AJ10)/8*2</f>
        <v>0</v>
      </c>
      <c r="AN9" s="407">
        <f>SUM(AK9:AM10)</f>
        <v>23</v>
      </c>
      <c r="AO9" s="421">
        <v>0</v>
      </c>
      <c r="AP9" s="407"/>
      <c r="AQ9" s="407"/>
      <c r="AR9" s="407"/>
      <c r="AS9" s="409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18"/>
      <c r="AL10" s="418"/>
      <c r="AM10" s="420"/>
      <c r="AN10" s="408"/>
      <c r="AO10" s="422"/>
      <c r="AP10" s="408"/>
      <c r="AQ10" s="408"/>
      <c r="AR10" s="408"/>
      <c r="AS10" s="410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17">
        <f>((SUM(F11:AJ11))/8)-(SUMIF($F$6:$AJ$6,"C.Nhật",F11:AJ11)/8)</f>
        <v>24</v>
      </c>
      <c r="AL11" s="417">
        <f>SUM(F12:AJ12)/8*1.5</f>
        <v>0</v>
      </c>
      <c r="AM11" s="419">
        <f>SUMIF($F$6:$AJ$6,"C.Nhật",$F11:$AJ12)/8*2</f>
        <v>0</v>
      </c>
      <c r="AN11" s="407">
        <f>SUM(AK11:AM12)</f>
        <v>24</v>
      </c>
      <c r="AO11" s="421">
        <v>0</v>
      </c>
      <c r="AP11" s="407"/>
      <c r="AQ11" s="407"/>
      <c r="AR11" s="407"/>
      <c r="AS11" s="409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18"/>
      <c r="AL12" s="418"/>
      <c r="AM12" s="420"/>
      <c r="AN12" s="408"/>
      <c r="AO12" s="422"/>
      <c r="AP12" s="408"/>
      <c r="AQ12" s="408"/>
      <c r="AR12" s="408"/>
      <c r="AS12" s="410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17">
        <f>((SUM(F14:AJ14))/8)-(SUMIF($F$6:$AJ$6,"C.Nhật",F14:AJ14)/8)</f>
        <v>25</v>
      </c>
      <c r="AL14" s="417">
        <f>SUM(F15:AJ15)/8*1.5</f>
        <v>0</v>
      </c>
      <c r="AM14" s="419">
        <f>SUMIF($F$6:$AJ$6,"C.Nhật",$F14:$AJ15)/8*2</f>
        <v>0</v>
      </c>
      <c r="AN14" s="407">
        <f>SUM(AK14:AM15)</f>
        <v>25</v>
      </c>
      <c r="AO14" s="421">
        <v>0</v>
      </c>
      <c r="AP14" s="407"/>
      <c r="AQ14" s="407"/>
      <c r="AR14" s="407"/>
      <c r="AS14" s="409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18"/>
      <c r="AL15" s="418"/>
      <c r="AM15" s="420"/>
      <c r="AN15" s="408"/>
      <c r="AO15" s="422"/>
      <c r="AP15" s="408"/>
      <c r="AQ15" s="408"/>
      <c r="AR15" s="408"/>
      <c r="AS15" s="410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17">
        <f>((SUM(F16:AJ16))/8)-(SUMIF($F$6:$AJ$6,"C.Nhật",F16:AJ16)/8)</f>
        <v>25</v>
      </c>
      <c r="AL16" s="417">
        <f>SUM(F17:AJ17)/8*1.5</f>
        <v>0</v>
      </c>
      <c r="AM16" s="419">
        <f>SUMIF($F$6:$AJ$6,"C.Nhật",$F16:$AJ17)/8*2</f>
        <v>0</v>
      </c>
      <c r="AN16" s="407">
        <f>SUM(AK16:AM17)</f>
        <v>25</v>
      </c>
      <c r="AO16" s="421">
        <v>0</v>
      </c>
      <c r="AP16" s="407"/>
      <c r="AQ16" s="407"/>
      <c r="AR16" s="407"/>
      <c r="AS16" s="409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18"/>
      <c r="AL17" s="418"/>
      <c r="AM17" s="420"/>
      <c r="AN17" s="408"/>
      <c r="AO17" s="422"/>
      <c r="AP17" s="408"/>
      <c r="AQ17" s="408"/>
      <c r="AR17" s="408"/>
      <c r="AS17" s="410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5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17">
        <f>((SUM(F18:AJ18))/8)-(SUMIF($F$6:$AJ$6,"C.Nhật",F18:AJ18)/8)</f>
        <v>24</v>
      </c>
      <c r="AL18" s="417">
        <f>SUM(F19:AJ19)/8*1.5</f>
        <v>0</v>
      </c>
      <c r="AM18" s="419">
        <f>SUMIF($F$6:$AJ$6,"C.Nhật",$F18:$AJ19)/8*2</f>
        <v>0</v>
      </c>
      <c r="AN18" s="407">
        <f>SUM(AK18:AM19)</f>
        <v>24</v>
      </c>
      <c r="AO18" s="421">
        <v>0</v>
      </c>
      <c r="AP18" s="407"/>
      <c r="AQ18" s="407"/>
      <c r="AR18" s="407"/>
      <c r="AS18" s="409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18"/>
      <c r="AL19" s="418"/>
      <c r="AM19" s="420"/>
      <c r="AN19" s="408"/>
      <c r="AO19" s="422"/>
      <c r="AP19" s="408"/>
      <c r="AQ19" s="408"/>
      <c r="AR19" s="408"/>
      <c r="AS19" s="410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17">
        <f>((SUM(F20:AJ20))/8)-(SUMIF($F$6:$AJ$6,"C.Nhật",F20:AJ20)/8)</f>
        <v>24</v>
      </c>
      <c r="AL20" s="417">
        <f>SUM(F21:AJ21)/8*1.5</f>
        <v>0</v>
      </c>
      <c r="AM20" s="419">
        <f>SUMIF($F$6:$AJ$6,"C.Nhật",$F20:$AJ21)/8*2</f>
        <v>0</v>
      </c>
      <c r="AN20" s="407">
        <f>SUM(AK20:AM21)</f>
        <v>24</v>
      </c>
      <c r="AO20" s="421">
        <v>0</v>
      </c>
      <c r="AP20" s="407"/>
      <c r="AQ20" s="407"/>
      <c r="AR20" s="407"/>
      <c r="AS20" s="409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18"/>
      <c r="AL21" s="418"/>
      <c r="AM21" s="420"/>
      <c r="AN21" s="408"/>
      <c r="AO21" s="422"/>
      <c r="AP21" s="408"/>
      <c r="AQ21" s="408"/>
      <c r="AR21" s="408"/>
      <c r="AS21" s="410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>A20+1</f>
        <v>7</v>
      </c>
      <c r="B22" s="411" t="s">
        <v>88</v>
      </c>
      <c r="C22" s="413" t="str">
        <f>VLOOKUP(B22,DS,2,0)</f>
        <v>Huỳnh Thị Bé Tha</v>
      </c>
      <c r="D22" s="415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17">
        <f>((SUM(F22:AJ22))/8)-(SUMIF($F$6:$AJ$6,"C.Nhật",F22:AJ22)/8)</f>
        <v>23</v>
      </c>
      <c r="AL22" s="417">
        <f>SUM(F23:AJ23)/8*1.5</f>
        <v>0</v>
      </c>
      <c r="AM22" s="419">
        <f>SUMIF($F$6:$AJ$6,"C.Nhật",$F22:$AJ23)/8*2</f>
        <v>0</v>
      </c>
      <c r="AN22" s="407">
        <f>SUM(AK22:AM23)</f>
        <v>23</v>
      </c>
      <c r="AO22" s="421">
        <v>0</v>
      </c>
      <c r="AP22" s="407"/>
      <c r="AQ22" s="407"/>
      <c r="AR22" s="407"/>
      <c r="AS22" s="409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18"/>
      <c r="AL23" s="418"/>
      <c r="AM23" s="420"/>
      <c r="AN23" s="408"/>
      <c r="AO23" s="422"/>
      <c r="AP23" s="408"/>
      <c r="AQ23" s="408"/>
      <c r="AR23" s="408"/>
      <c r="AS23" s="410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89</v>
      </c>
      <c r="C24" s="413" t="str">
        <f>VLOOKUP(B24,DS,2,0)</f>
        <v>Huỳnh Thị Bé Thi</v>
      </c>
      <c r="D24" s="415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17">
        <f>((SUM(F24:AJ24))/8)-(SUMIF($F$6:$AJ$6,"C.Nhật",F24:AJ24)/8)</f>
        <v>24</v>
      </c>
      <c r="AL24" s="417">
        <f>SUM(F25:AJ25)/8*1.5</f>
        <v>0</v>
      </c>
      <c r="AM24" s="419">
        <f>SUMIF($F$6:$AJ$6,"C.Nhật",$F24:$AJ25)/8*2</f>
        <v>0</v>
      </c>
      <c r="AN24" s="407">
        <f>SUM(AK24:AM25)</f>
        <v>24</v>
      </c>
      <c r="AO24" s="421">
        <v>0</v>
      </c>
      <c r="AP24" s="407"/>
      <c r="AQ24" s="407"/>
      <c r="AR24" s="407"/>
      <c r="AS24" s="409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18"/>
      <c r="AL25" s="418"/>
      <c r="AM25" s="420"/>
      <c r="AN25" s="408"/>
      <c r="AO25" s="422"/>
      <c r="AP25" s="408"/>
      <c r="AQ25" s="408"/>
      <c r="AR25" s="408"/>
      <c r="AS25" s="410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90</v>
      </c>
      <c r="C26" s="413" t="str">
        <f>VLOOKUP(B26,DS,2,0)</f>
        <v>Nguyễn Thị Kim Hồng</v>
      </c>
      <c r="D26" s="415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17">
        <f>((SUM(F26:AJ26))/8)-(SUMIF($F$6:$AJ$6,"C.Nhật",F26:AJ26)/8)</f>
        <v>25</v>
      </c>
      <c r="AL26" s="417">
        <f>SUM(F27:AJ27)/8*1.5</f>
        <v>0</v>
      </c>
      <c r="AM26" s="419">
        <f>SUMIF($F$6:$AJ$6,"C.Nhật",$F26:$AJ27)/8*2</f>
        <v>0</v>
      </c>
      <c r="AN26" s="407">
        <f>SUM(AK26:AM27)</f>
        <v>25</v>
      </c>
      <c r="AO26" s="421">
        <v>0</v>
      </c>
      <c r="AP26" s="407"/>
      <c r="AQ26" s="407"/>
      <c r="AR26" s="407"/>
      <c r="AS26" s="409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18"/>
      <c r="AL27" s="418"/>
      <c r="AM27" s="420"/>
      <c r="AN27" s="408"/>
      <c r="AO27" s="422"/>
      <c r="AP27" s="408"/>
      <c r="AQ27" s="408"/>
      <c r="AR27" s="408"/>
      <c r="AS27" s="410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91</v>
      </c>
      <c r="C28" s="413" t="str">
        <f>VLOOKUP(B28,DS,2,0)</f>
        <v>Nguyễn Thị Lựu</v>
      </c>
      <c r="D28" s="415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17">
        <f>((SUM(F28:AJ28))/8)-(SUMIF($F$6:$AJ$6,"C.Nhật",F28:AJ28)/8)</f>
        <v>25</v>
      </c>
      <c r="AL28" s="417">
        <f>SUM(F29:AJ29)/8*1.5</f>
        <v>0</v>
      </c>
      <c r="AM28" s="419">
        <f>SUMIF($F$6:$AJ$6,"C.Nhật",$F28:$AJ29)/8*2</f>
        <v>0</v>
      </c>
      <c r="AN28" s="407">
        <f>SUM(AK28:AM29)</f>
        <v>25</v>
      </c>
      <c r="AO28" s="421">
        <v>0</v>
      </c>
      <c r="AP28" s="407"/>
      <c r="AQ28" s="407"/>
      <c r="AR28" s="407"/>
      <c r="AS28" s="409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18"/>
      <c r="AL29" s="418"/>
      <c r="AM29" s="420"/>
      <c r="AN29" s="408"/>
      <c r="AO29" s="422"/>
      <c r="AP29" s="408"/>
      <c r="AQ29" s="408"/>
      <c r="AR29" s="408"/>
      <c r="AS29" s="410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92</v>
      </c>
      <c r="C30" s="413" t="str">
        <f>VLOOKUP(B30,DS,2,0)</f>
        <v>Lý Thị Được</v>
      </c>
      <c r="D30" s="415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17">
        <f>((SUM(F30:AJ30))/8)-(SUMIF($F$6:$AJ$6,"C.Nhật",F30:AJ30)/8)</f>
        <v>25</v>
      </c>
      <c r="AL30" s="417">
        <f>SUM(F31:AJ31)/8*1.5</f>
        <v>0</v>
      </c>
      <c r="AM30" s="419">
        <f>SUMIF($F$6:$AJ$6,"C.Nhật",$F30:$AJ31)/8*2</f>
        <v>0</v>
      </c>
      <c r="AN30" s="407">
        <f>SUM(AK30:AM31)</f>
        <v>25</v>
      </c>
      <c r="AO30" s="421">
        <v>0</v>
      </c>
      <c r="AP30" s="407"/>
      <c r="AQ30" s="407"/>
      <c r="AR30" s="407"/>
      <c r="AS30" s="409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18"/>
      <c r="AL31" s="418"/>
      <c r="AM31" s="420"/>
      <c r="AN31" s="408"/>
      <c r="AO31" s="422"/>
      <c r="AP31" s="408"/>
      <c r="AQ31" s="408"/>
      <c r="AR31" s="408"/>
      <c r="AS31" s="410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93</v>
      </c>
      <c r="C32" s="413" t="str">
        <f>VLOOKUP(B32,DS,2,0)</f>
        <v>Lý La Quan</v>
      </c>
      <c r="D32" s="415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17">
        <f>((SUM(F32:AJ32))/8)-(SUMIF($F$6:$AJ$6,"C.Nhật",F32:AJ32)/8)</f>
        <v>23</v>
      </c>
      <c r="AL32" s="417">
        <f>SUM(F33:AJ33)/8*1.5</f>
        <v>0</v>
      </c>
      <c r="AM32" s="419">
        <f>SUMIF($F$6:$AJ$6,"C.Nhật",$F32:$AJ33)/8*2</f>
        <v>0</v>
      </c>
      <c r="AN32" s="407">
        <f>SUM(AK32:AM33)</f>
        <v>23</v>
      </c>
      <c r="AO32" s="421">
        <v>0</v>
      </c>
      <c r="AP32" s="407"/>
      <c r="AQ32" s="407"/>
      <c r="AR32" s="407"/>
      <c r="AS32" s="409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18"/>
      <c r="AL33" s="418"/>
      <c r="AM33" s="420"/>
      <c r="AN33" s="408"/>
      <c r="AO33" s="422"/>
      <c r="AP33" s="408"/>
      <c r="AQ33" s="408"/>
      <c r="AR33" s="408"/>
      <c r="AS33" s="410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94</v>
      </c>
      <c r="C34" s="413" t="str">
        <f>VLOOKUP(B34,DS,2,0)</f>
        <v>Trà Thị Soi</v>
      </c>
      <c r="D34" s="415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17">
        <f>((SUM(F34:AJ34))/8)-(SUMIF($F$6:$AJ$6,"C.Nhật",F34:AJ34)/8)</f>
        <v>24</v>
      </c>
      <c r="AL34" s="417">
        <f>SUM(F35:AJ35)/8*1.5</f>
        <v>0</v>
      </c>
      <c r="AM34" s="419">
        <f>SUMIF($F$6:$AJ$6,"C.Nhật",$F34:$AJ35)/8*2</f>
        <v>0</v>
      </c>
      <c r="AN34" s="407">
        <f>SUM(AK34:AM35)</f>
        <v>24</v>
      </c>
      <c r="AO34" s="421">
        <v>0</v>
      </c>
      <c r="AP34" s="407"/>
      <c r="AQ34" s="407"/>
      <c r="AR34" s="407"/>
      <c r="AS34" s="409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18"/>
      <c r="AL35" s="418"/>
      <c r="AM35" s="420"/>
      <c r="AN35" s="408"/>
      <c r="AO35" s="422"/>
      <c r="AP35" s="408"/>
      <c r="AQ35" s="408"/>
      <c r="AR35" s="408"/>
      <c r="AS35" s="410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95</v>
      </c>
      <c r="C36" s="413" t="str">
        <f>VLOOKUP(B36,DS,2,0)</f>
        <v>Sơn Thị Muỗi Tron</v>
      </c>
      <c r="D36" s="415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17">
        <f>((SUM(F36:AJ36))/8)-(SUMIF($F$6:$AJ$6,"C.Nhật",F36:AJ36)/8)</f>
        <v>25</v>
      </c>
      <c r="AL36" s="417">
        <f>SUM(F37:AJ37)/8*1.5</f>
        <v>0</v>
      </c>
      <c r="AM36" s="419">
        <f>SUMIF($F$6:$AJ$6,"C.Nhật",$F36:$AJ37)/8*2</f>
        <v>0</v>
      </c>
      <c r="AN36" s="407">
        <f>SUM(AK36:AM37)</f>
        <v>25</v>
      </c>
      <c r="AO36" s="421">
        <v>0</v>
      </c>
      <c r="AP36" s="407"/>
      <c r="AQ36" s="407"/>
      <c r="AR36" s="407"/>
      <c r="AS36" s="409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418"/>
      <c r="AL37" s="418"/>
      <c r="AM37" s="420"/>
      <c r="AN37" s="408"/>
      <c r="AO37" s="422"/>
      <c r="AP37" s="408"/>
      <c r="AQ37" s="408"/>
      <c r="AR37" s="408"/>
      <c r="AS37" s="410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15</v>
      </c>
      <c r="B38" s="411" t="s">
        <v>96</v>
      </c>
      <c r="C38" s="413" t="str">
        <f>VLOOKUP(B38,DS,2,0)</f>
        <v>Sơn Thị Thương</v>
      </c>
      <c r="D38" s="415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417">
        <f>((SUM(F38:AJ38))/8)-(SUMIF($F$6:$AJ$6,"C.Nhật",F38:AJ38)/8)</f>
        <v>25</v>
      </c>
      <c r="AL38" s="417">
        <f>SUM(F39:AJ39)/8*1.5</f>
        <v>0</v>
      </c>
      <c r="AM38" s="419">
        <f>SUMIF($F$6:$AJ$6,"C.Nhật",$F38:$AJ39)/8*2</f>
        <v>0</v>
      </c>
      <c r="AN38" s="407">
        <f>SUM(AK38:AM39)</f>
        <v>25</v>
      </c>
      <c r="AO38" s="421">
        <v>0</v>
      </c>
      <c r="AP38" s="407"/>
      <c r="AQ38" s="407"/>
      <c r="AR38" s="407"/>
      <c r="AS38" s="409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418"/>
      <c r="AL39" s="418"/>
      <c r="AM39" s="420"/>
      <c r="AN39" s="408"/>
      <c r="AO39" s="422"/>
      <c r="AP39" s="408"/>
      <c r="AQ39" s="408"/>
      <c r="AR39" s="408"/>
      <c r="AS39" s="410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16</v>
      </c>
      <c r="B40" s="411" t="s">
        <v>97</v>
      </c>
      <c r="C40" s="413" t="str">
        <f>VLOOKUP(B40,DS,2,0)</f>
        <v>Thạch Thị Som Ươne</v>
      </c>
      <c r="D40" s="415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417">
        <f>((SUM(F40:AJ40))/8)-(SUMIF($F$6:$AJ$6,"C.Nhật",F40:AJ40)/8)</f>
        <v>25</v>
      </c>
      <c r="AL40" s="417">
        <f>SUM(F41:AJ41)/8*1.5</f>
        <v>0</v>
      </c>
      <c r="AM40" s="419">
        <f>SUMIF($F$6:$AJ$6,"C.Nhật",$F40:$AJ41)/8*2</f>
        <v>0</v>
      </c>
      <c r="AN40" s="407">
        <f>SUM(AK40:AM41)</f>
        <v>25</v>
      </c>
      <c r="AO40" s="421">
        <v>0</v>
      </c>
      <c r="AP40" s="407"/>
      <c r="AQ40" s="407"/>
      <c r="AR40" s="407"/>
      <c r="AS40" s="409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418"/>
      <c r="AL41" s="418"/>
      <c r="AM41" s="420"/>
      <c r="AN41" s="408"/>
      <c r="AO41" s="422"/>
      <c r="AP41" s="408"/>
      <c r="AQ41" s="408"/>
      <c r="AR41" s="408"/>
      <c r="AS41" s="410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1">
        <f>A40+1</f>
        <v>17</v>
      </c>
      <c r="B42" s="411" t="s">
        <v>98</v>
      </c>
      <c r="C42" s="413" t="str">
        <f>VLOOKUP(B42,DS,2,0)</f>
        <v>Huỳnh Thị Như</v>
      </c>
      <c r="D42" s="415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417">
        <f>((SUM(F42:AJ42))/8)-(SUMIF($F$6:$AJ$6,"C.Nhật",F42:AJ42)/8)</f>
        <v>24</v>
      </c>
      <c r="AL42" s="417">
        <f>SUM(F43:AJ43)/8*1.5</f>
        <v>0</v>
      </c>
      <c r="AM42" s="419">
        <f>SUMIF($F$6:$AJ$6,"C.Nhật",$F42:$AJ43)/8*2</f>
        <v>0</v>
      </c>
      <c r="AN42" s="407">
        <f>SUM(AK42:AM43)</f>
        <v>24</v>
      </c>
      <c r="AO42" s="421">
        <v>0</v>
      </c>
      <c r="AP42" s="407"/>
      <c r="AQ42" s="407"/>
      <c r="AR42" s="407"/>
      <c r="AS42" s="409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2"/>
      <c r="B43" s="412"/>
      <c r="C43" s="414"/>
      <c r="D43" s="416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418"/>
      <c r="AL43" s="418"/>
      <c r="AM43" s="420"/>
      <c r="AN43" s="408"/>
      <c r="AO43" s="422"/>
      <c r="AP43" s="408"/>
      <c r="AQ43" s="408"/>
      <c r="AR43" s="408"/>
      <c r="AS43" s="410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1">
        <f>A42+1</f>
        <v>18</v>
      </c>
      <c r="B44" s="411" t="s">
        <v>99</v>
      </c>
      <c r="C44" s="413" t="str">
        <f>VLOOKUP(B44,DS,2,0)</f>
        <v>Sơn Thị Chành Ny</v>
      </c>
      <c r="D44" s="415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417">
        <f>((SUM(F44:AJ44))/8)-(SUMIF($F$6:$AJ$6,"C.Nhật",F44:AJ44)/8)</f>
        <v>25</v>
      </c>
      <c r="AL44" s="417">
        <f>SUM(F45:AJ45)/8*1.5</f>
        <v>0</v>
      </c>
      <c r="AM44" s="419">
        <f>SUMIF($F$6:$AJ$6,"C.Nhật",$F44:$AJ45)/8*2</f>
        <v>0</v>
      </c>
      <c r="AN44" s="407">
        <f>SUM(AK44:AM45)</f>
        <v>25</v>
      </c>
      <c r="AO44" s="421">
        <v>0</v>
      </c>
      <c r="AP44" s="407"/>
      <c r="AQ44" s="407"/>
      <c r="AR44" s="407"/>
      <c r="AS44" s="409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2"/>
      <c r="B45" s="412"/>
      <c r="C45" s="414"/>
      <c r="D45" s="416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418"/>
      <c r="AL45" s="418"/>
      <c r="AM45" s="420"/>
      <c r="AN45" s="408"/>
      <c r="AO45" s="422"/>
      <c r="AP45" s="408"/>
      <c r="AQ45" s="408"/>
      <c r="AR45" s="408"/>
      <c r="AS45" s="410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1">
        <f>A44+1</f>
        <v>19</v>
      </c>
      <c r="B46" s="411" t="s">
        <v>100</v>
      </c>
      <c r="C46" s="413" t="str">
        <f>VLOOKUP(B46,DS,2,0)</f>
        <v>Sơn Thị Chành Đa</v>
      </c>
      <c r="D46" s="415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417">
        <f>((SUM(F46:AJ46))/8)-(SUMIF($F$6:$AJ$6,"C.Nhật",F46:AJ46)/8)</f>
        <v>24</v>
      </c>
      <c r="AL46" s="417">
        <f>SUM(F47:AJ47)/8*1.5</f>
        <v>0</v>
      </c>
      <c r="AM46" s="419">
        <f>SUMIF($F$6:$AJ$6,"C.Nhật",$F46:$AJ47)/8*2</f>
        <v>0</v>
      </c>
      <c r="AN46" s="407">
        <f>SUM(AK46:AM47)</f>
        <v>24</v>
      </c>
      <c r="AO46" s="421">
        <v>0</v>
      </c>
      <c r="AP46" s="407"/>
      <c r="AQ46" s="407"/>
      <c r="AR46" s="407"/>
      <c r="AS46" s="409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2"/>
      <c r="B47" s="412"/>
      <c r="C47" s="414"/>
      <c r="D47" s="416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418"/>
      <c r="AL47" s="418"/>
      <c r="AM47" s="420"/>
      <c r="AN47" s="408"/>
      <c r="AO47" s="422"/>
      <c r="AP47" s="408"/>
      <c r="AQ47" s="408"/>
      <c r="AR47" s="408"/>
      <c r="AS47" s="410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1">
        <f>A46+1</f>
        <v>20</v>
      </c>
      <c r="B48" s="411" t="s">
        <v>101</v>
      </c>
      <c r="C48" s="413" t="str">
        <f>VLOOKUP(B48,DS,2,0)</f>
        <v>Trần Thị Bích Phượng</v>
      </c>
      <c r="D48" s="415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417">
        <f>((SUM(F48:AJ48))/8)-(SUMIF($F$6:$AJ$6,"C.Nhật",F48:AJ48)/8)</f>
        <v>24</v>
      </c>
      <c r="AL48" s="417">
        <f>SUM(F49:AJ49)/8*1.5</f>
        <v>0</v>
      </c>
      <c r="AM48" s="419">
        <f>SUMIF($F$6:$AJ$6,"C.Nhật",$F48:$AJ49)/8*2</f>
        <v>0</v>
      </c>
      <c r="AN48" s="407">
        <f>SUM(AK48:AM49)</f>
        <v>24</v>
      </c>
      <c r="AO48" s="421">
        <v>0</v>
      </c>
      <c r="AP48" s="407"/>
      <c r="AQ48" s="407"/>
      <c r="AR48" s="407"/>
      <c r="AS48" s="409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2"/>
      <c r="B49" s="412"/>
      <c r="C49" s="414"/>
      <c r="D49" s="416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418"/>
      <c r="AL49" s="418"/>
      <c r="AM49" s="420"/>
      <c r="AN49" s="408"/>
      <c r="AO49" s="422"/>
      <c r="AP49" s="408"/>
      <c r="AQ49" s="408"/>
      <c r="AR49" s="408"/>
      <c r="AS49" s="410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1">
        <f>A48+1</f>
        <v>21</v>
      </c>
      <c r="B50" s="411" t="s">
        <v>102</v>
      </c>
      <c r="C50" s="413" t="str">
        <f>VLOOKUP(B50,DS,2,0)</f>
        <v>Sơn Thị Trường Sa</v>
      </c>
      <c r="D50" s="415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417">
        <f>((SUM(F50:AJ50))/8)-(SUMIF($F$6:$AJ$6,"C.Nhật",F50:AJ50)/8)</f>
        <v>25</v>
      </c>
      <c r="AL50" s="417">
        <f>SUM(F51:AJ51)/8*1.5</f>
        <v>0</v>
      </c>
      <c r="AM50" s="419">
        <f>SUMIF($F$6:$AJ$6,"C.Nhật",$F50:$AJ51)/8*2</f>
        <v>0</v>
      </c>
      <c r="AN50" s="407">
        <f>SUM(AK50:AM51)</f>
        <v>25</v>
      </c>
      <c r="AO50" s="421">
        <v>0</v>
      </c>
      <c r="AP50" s="407"/>
      <c r="AQ50" s="407"/>
      <c r="AR50" s="407"/>
      <c r="AS50" s="409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2"/>
      <c r="B51" s="412"/>
      <c r="C51" s="414"/>
      <c r="D51" s="416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418"/>
      <c r="AL51" s="418"/>
      <c r="AM51" s="420"/>
      <c r="AN51" s="408"/>
      <c r="AO51" s="422"/>
      <c r="AP51" s="408"/>
      <c r="AQ51" s="408"/>
      <c r="AR51" s="408"/>
      <c r="AS51" s="410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1">
        <f>A50+1</f>
        <v>22</v>
      </c>
      <c r="B52" s="411" t="s">
        <v>103</v>
      </c>
      <c r="C52" s="413" t="str">
        <f>VLOOKUP(B52,DS,2,0)</f>
        <v>Lý Thị Sà Kha</v>
      </c>
      <c r="D52" s="415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417">
        <f>((SUM(F52:AJ52))/8)-(SUMIF($F$6:$AJ$6,"C.Nhật",F52:AJ52)/8)</f>
        <v>24</v>
      </c>
      <c r="AL52" s="417">
        <f>SUM(F53:AJ53)/8*1.5</f>
        <v>0</v>
      </c>
      <c r="AM52" s="419">
        <f>SUMIF($F$6:$AJ$6,"C.Nhật",$F52:$AJ53)/8*2</f>
        <v>0</v>
      </c>
      <c r="AN52" s="407">
        <f>SUM(AK52:AM53)</f>
        <v>24</v>
      </c>
      <c r="AO52" s="421">
        <v>0</v>
      </c>
      <c r="AP52" s="407"/>
      <c r="AQ52" s="407"/>
      <c r="AR52" s="407"/>
      <c r="AS52" s="409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2"/>
      <c r="B53" s="412"/>
      <c r="C53" s="414"/>
      <c r="D53" s="416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418"/>
      <c r="AL53" s="418"/>
      <c r="AM53" s="420"/>
      <c r="AN53" s="408"/>
      <c r="AO53" s="422"/>
      <c r="AP53" s="408"/>
      <c r="AQ53" s="408"/>
      <c r="AR53" s="408"/>
      <c r="AS53" s="410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1">
        <f>A52+1</f>
        <v>23</v>
      </c>
      <c r="B54" s="411" t="s">
        <v>104</v>
      </c>
      <c r="C54" s="413" t="str">
        <f>VLOOKUP(B54,DS,2,0)</f>
        <v xml:space="preserve"> Lâm Thị Mộng Thường</v>
      </c>
      <c r="D54" s="415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417">
        <f>((SUM(F54:AJ54))/8)-(SUMIF($F$6:$AJ$6,"C.Nhật",F54:AJ54)/8)</f>
        <v>23</v>
      </c>
      <c r="AL54" s="417">
        <f>SUM(F55:AJ55)/8*1.5</f>
        <v>0</v>
      </c>
      <c r="AM54" s="419">
        <f>SUMIF($F$6:$AJ$6,"C.Nhật",$F54:$AJ55)/8*2</f>
        <v>0</v>
      </c>
      <c r="AN54" s="407">
        <f>SUM(AK54:AM55)</f>
        <v>23</v>
      </c>
      <c r="AO54" s="421">
        <v>0</v>
      </c>
      <c r="AP54" s="407"/>
      <c r="AQ54" s="407"/>
      <c r="AR54" s="407"/>
      <c r="AS54" s="409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2"/>
      <c r="B55" s="412"/>
      <c r="C55" s="414"/>
      <c r="D55" s="416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418"/>
      <c r="AL55" s="418"/>
      <c r="AM55" s="420"/>
      <c r="AN55" s="408"/>
      <c r="AO55" s="422"/>
      <c r="AP55" s="408"/>
      <c r="AQ55" s="408"/>
      <c r="AR55" s="408"/>
      <c r="AS55" s="410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08" customFormat="1" ht="21" customHeight="1">
      <c r="A56" s="306" t="s">
        <v>187</v>
      </c>
      <c r="B56" s="309" t="s">
        <v>188</v>
      </c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  <c r="AG56" s="310"/>
      <c r="AH56" s="310"/>
      <c r="AI56" s="310"/>
      <c r="AJ56" s="310"/>
      <c r="AK56" s="310"/>
      <c r="AL56" s="310"/>
      <c r="AM56" s="310"/>
      <c r="AN56" s="310"/>
      <c r="AO56" s="310"/>
      <c r="AP56" s="310"/>
      <c r="AQ56" s="310"/>
      <c r="AR56" s="310"/>
      <c r="AS56" s="311"/>
      <c r="AT56" s="307"/>
    </row>
    <row r="57" spans="1:90" s="67" customFormat="1" ht="18" customHeight="1">
      <c r="A57" s="411">
        <f>A54+1</f>
        <v>24</v>
      </c>
      <c r="B57" s="411" t="s">
        <v>113</v>
      </c>
      <c r="C57" s="413" t="str">
        <f>VLOOKUP(B57,DS,2,0)</f>
        <v>Nguyễn Văn Bé Hai</v>
      </c>
      <c r="D57" s="415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417">
        <f>((SUM(F57:AJ57))/8)-(SUMIF($F$6:$AJ$6,"C.Nhật",F57:AJ57)/8)</f>
        <v>24</v>
      </c>
      <c r="AL57" s="417">
        <f>SUM(F58:AJ58)/8*1.5</f>
        <v>0</v>
      </c>
      <c r="AM57" s="419">
        <f>SUMIF($F$6:$AJ$6,"C.Nhật",$F57:$AJ58)/8*2</f>
        <v>0</v>
      </c>
      <c r="AN57" s="407">
        <f>SUM(AK57:AM58)</f>
        <v>24</v>
      </c>
      <c r="AO57" s="421">
        <v>0</v>
      </c>
      <c r="AP57" s="407"/>
      <c r="AQ57" s="407"/>
      <c r="AR57" s="407"/>
      <c r="AS57" s="409"/>
      <c r="AT57" s="289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2"/>
      <c r="B58" s="412"/>
      <c r="C58" s="414"/>
      <c r="D58" s="416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418"/>
      <c r="AL58" s="418"/>
      <c r="AM58" s="420"/>
      <c r="AN58" s="408"/>
      <c r="AO58" s="422"/>
      <c r="AP58" s="408"/>
      <c r="AQ58" s="408"/>
      <c r="AR58" s="408"/>
      <c r="AS58" s="410"/>
      <c r="AT58" s="289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1">
        <f>A57+1</f>
        <v>25</v>
      </c>
      <c r="B59" s="411" t="s">
        <v>114</v>
      </c>
      <c r="C59" s="413" t="str">
        <f>VLOOKUP(B59,DS,2,0)</f>
        <v>Thạch Tiền</v>
      </c>
      <c r="D59" s="415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417">
        <f>((SUM(F59:AJ59))/8)-(SUMIF($F$6:$AJ$6,"C.Nhật",F59:AJ59)/8)</f>
        <v>23</v>
      </c>
      <c r="AL59" s="417">
        <f>SUM(F60:AJ60)/8*1.5</f>
        <v>0</v>
      </c>
      <c r="AM59" s="419">
        <f>SUMIF($F$6:$AJ$6,"C.Nhật",$F59:$AJ60)/8*2</f>
        <v>0</v>
      </c>
      <c r="AN59" s="407">
        <f>SUM(AK59:AM60)</f>
        <v>23</v>
      </c>
      <c r="AO59" s="421">
        <v>0</v>
      </c>
      <c r="AP59" s="407"/>
      <c r="AQ59" s="407"/>
      <c r="AR59" s="407"/>
      <c r="AS59" s="409"/>
      <c r="AT59" s="289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2"/>
      <c r="B60" s="412"/>
      <c r="C60" s="414"/>
      <c r="D60" s="416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418"/>
      <c r="AL60" s="418"/>
      <c r="AM60" s="420"/>
      <c r="AN60" s="408"/>
      <c r="AO60" s="422"/>
      <c r="AP60" s="408"/>
      <c r="AQ60" s="408"/>
      <c r="AR60" s="408"/>
      <c r="AS60" s="410"/>
      <c r="AT60" s="289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1">
        <f>A59+1</f>
        <v>26</v>
      </c>
      <c r="B61" s="411" t="s">
        <v>115</v>
      </c>
      <c r="C61" s="413" t="str">
        <f>VLOOKUP(B61,DS,2,0)</f>
        <v>Hứa Hậu</v>
      </c>
      <c r="D61" s="415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417">
        <f>((SUM(F61:AJ61))/8)-(SUMIF($F$6:$AJ$6,"C.Nhật",F61:AJ61)/8)</f>
        <v>25</v>
      </c>
      <c r="AL61" s="417">
        <f>SUM(F62:AJ62)/8*1.5</f>
        <v>0</v>
      </c>
      <c r="AM61" s="419">
        <f>SUMIF($F$6:$AJ$6,"C.Nhật",$F61:$AJ62)/8*2</f>
        <v>0</v>
      </c>
      <c r="AN61" s="407">
        <f>SUM(AK61:AM62)</f>
        <v>25</v>
      </c>
      <c r="AO61" s="421">
        <v>0</v>
      </c>
      <c r="AP61" s="407"/>
      <c r="AQ61" s="407"/>
      <c r="AR61" s="407"/>
      <c r="AS61" s="409"/>
      <c r="AT61" s="289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2"/>
      <c r="B62" s="412"/>
      <c r="C62" s="414"/>
      <c r="D62" s="416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418"/>
      <c r="AL62" s="418"/>
      <c r="AM62" s="420"/>
      <c r="AN62" s="408"/>
      <c r="AO62" s="422"/>
      <c r="AP62" s="408"/>
      <c r="AQ62" s="408"/>
      <c r="AR62" s="408"/>
      <c r="AS62" s="410"/>
      <c r="AT62" s="289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1">
        <f>A61+1</f>
        <v>27</v>
      </c>
      <c r="B63" s="411" t="s">
        <v>116</v>
      </c>
      <c r="C63" s="413" t="str">
        <f>VLOOKUP(B63,DS,2,0)</f>
        <v>Sơn Pép</v>
      </c>
      <c r="D63" s="415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417">
        <f>((SUM(F63:AJ63))/8)-(SUMIF($F$6:$AJ$6,"C.Nhật",F63:AJ63)/8)</f>
        <v>25</v>
      </c>
      <c r="AL63" s="417">
        <f>SUM(F64:AJ64)/8*1.5</f>
        <v>0</v>
      </c>
      <c r="AM63" s="419">
        <f>SUMIF($F$6:$AJ$6,"C.Nhật",$F63:$AJ64)/8*2</f>
        <v>0</v>
      </c>
      <c r="AN63" s="407">
        <f>SUM(AK63:AM64)</f>
        <v>25</v>
      </c>
      <c r="AO63" s="421">
        <v>0</v>
      </c>
      <c r="AP63" s="407"/>
      <c r="AQ63" s="407"/>
      <c r="AR63" s="407"/>
      <c r="AS63" s="409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2"/>
      <c r="B64" s="412"/>
      <c r="C64" s="414"/>
      <c r="D64" s="416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418"/>
      <c r="AL64" s="418"/>
      <c r="AM64" s="420"/>
      <c r="AN64" s="408"/>
      <c r="AO64" s="422"/>
      <c r="AP64" s="408"/>
      <c r="AQ64" s="408"/>
      <c r="AR64" s="408"/>
      <c r="AS64" s="410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1">
        <f>A63+1</f>
        <v>28</v>
      </c>
      <c r="B65" s="411" t="s">
        <v>117</v>
      </c>
      <c r="C65" s="413" t="str">
        <f>VLOOKUP(B65,DS,2,0)</f>
        <v>Sơn Lét</v>
      </c>
      <c r="D65" s="415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417">
        <f>((SUM(F65:AJ65))/8)-(SUMIF($F$6:$AJ$6,"C.Nhật",F65:AJ65)/8)</f>
        <v>24</v>
      </c>
      <c r="AL65" s="417">
        <f>SUM(F66:AJ66)/8*1.5</f>
        <v>0</v>
      </c>
      <c r="AM65" s="419">
        <f>SUMIF($F$6:$AJ$6,"C.Nhật",$F65:$AJ66)/8*2</f>
        <v>0</v>
      </c>
      <c r="AN65" s="407">
        <f>SUM(AK65:AM66)</f>
        <v>24</v>
      </c>
      <c r="AO65" s="421">
        <v>0</v>
      </c>
      <c r="AP65" s="407"/>
      <c r="AQ65" s="407"/>
      <c r="AR65" s="407"/>
      <c r="AS65" s="409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2"/>
      <c r="B66" s="412"/>
      <c r="C66" s="414"/>
      <c r="D66" s="416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418"/>
      <c r="AL66" s="418"/>
      <c r="AM66" s="420"/>
      <c r="AN66" s="408"/>
      <c r="AO66" s="422"/>
      <c r="AP66" s="408"/>
      <c r="AQ66" s="408"/>
      <c r="AR66" s="408"/>
      <c r="AS66" s="410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1">
        <f>A65+1</f>
        <v>29</v>
      </c>
      <c r="B67" s="411" t="s">
        <v>118</v>
      </c>
      <c r="C67" s="413" t="str">
        <f>VLOOKUP(B67,DS,2,0)</f>
        <v>Trần Nhiên</v>
      </c>
      <c r="D67" s="415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17">
        <f>((SUM(F67:AJ67))/8)-(SUMIF($F$6:$AJ$6,"C.Nhật",F67:AJ67)/8)</f>
        <v>23</v>
      </c>
      <c r="AL67" s="417">
        <f>SUM(F68:AJ68)/8*1.5</f>
        <v>0</v>
      </c>
      <c r="AM67" s="419">
        <f>SUMIF($F$6:$AJ$6,"C.Nhật",$F67:$AJ68)/8*2</f>
        <v>0</v>
      </c>
      <c r="AN67" s="407">
        <f>SUM(AK67:AM68)</f>
        <v>23</v>
      </c>
      <c r="AO67" s="421">
        <v>0</v>
      </c>
      <c r="AP67" s="407"/>
      <c r="AQ67" s="407"/>
      <c r="AR67" s="407"/>
      <c r="AS67" s="409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2"/>
      <c r="B68" s="412"/>
      <c r="C68" s="414"/>
      <c r="D68" s="416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418"/>
      <c r="AL68" s="418"/>
      <c r="AM68" s="420"/>
      <c r="AN68" s="408"/>
      <c r="AO68" s="422"/>
      <c r="AP68" s="408"/>
      <c r="AQ68" s="408"/>
      <c r="AR68" s="408"/>
      <c r="AS68" s="410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1">
        <f>A67+1</f>
        <v>30</v>
      </c>
      <c r="B69" s="411" t="s">
        <v>119</v>
      </c>
      <c r="C69" s="413" t="str">
        <f>VLOOKUP(B69,DS,2,0)</f>
        <v>Thạch Giang</v>
      </c>
      <c r="D69" s="415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417">
        <f>((SUM(F69:AJ69))/8)-(SUMIF($F$6:$AJ$6,"C.Nhật",F69:AJ69)/8)</f>
        <v>25</v>
      </c>
      <c r="AL69" s="417">
        <f>SUM(F70:AJ70)/8*1.5</f>
        <v>0</v>
      </c>
      <c r="AM69" s="419">
        <f>SUMIF($F$6:$AJ$6,"C.Nhật",$F69:$AJ70)/8*2</f>
        <v>0</v>
      </c>
      <c r="AN69" s="407">
        <f>SUM(AK69:AM70)</f>
        <v>25</v>
      </c>
      <c r="AO69" s="421">
        <v>0</v>
      </c>
      <c r="AP69" s="407"/>
      <c r="AQ69" s="407"/>
      <c r="AR69" s="407"/>
      <c r="AS69" s="409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2"/>
      <c r="B70" s="412"/>
      <c r="C70" s="414"/>
      <c r="D70" s="416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418"/>
      <c r="AL70" s="418"/>
      <c r="AM70" s="420"/>
      <c r="AN70" s="408"/>
      <c r="AO70" s="422"/>
      <c r="AP70" s="408"/>
      <c r="AQ70" s="408"/>
      <c r="AR70" s="408"/>
      <c r="AS70" s="410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1">
        <f>A69+1</f>
        <v>31</v>
      </c>
      <c r="B71" s="411" t="s">
        <v>120</v>
      </c>
      <c r="C71" s="413" t="str">
        <f>VLOOKUP(B71,DS,2,0)</f>
        <v>Thạch Quyền</v>
      </c>
      <c r="D71" s="415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417">
        <f>((SUM(F71:AJ71))/8)-(SUMIF($F$6:$AJ$6,"C.Nhật",F71:AJ71)/8)</f>
        <v>25</v>
      </c>
      <c r="AL71" s="417">
        <f>SUM(F72:AJ72)/8*1.5</f>
        <v>0</v>
      </c>
      <c r="AM71" s="419">
        <f>SUMIF($F$6:$AJ$6,"C.Nhật",$F71:$AJ72)/8*2</f>
        <v>0</v>
      </c>
      <c r="AN71" s="407">
        <f>SUM(AK71:AM72)</f>
        <v>25</v>
      </c>
      <c r="AO71" s="421">
        <v>0</v>
      </c>
      <c r="AP71" s="407"/>
      <c r="AQ71" s="407"/>
      <c r="AR71" s="407"/>
      <c r="AS71" s="409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2"/>
      <c r="B72" s="412"/>
      <c r="C72" s="414"/>
      <c r="D72" s="416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418"/>
      <c r="AL72" s="418"/>
      <c r="AM72" s="420"/>
      <c r="AN72" s="408"/>
      <c r="AO72" s="422"/>
      <c r="AP72" s="408"/>
      <c r="AQ72" s="408"/>
      <c r="AR72" s="408"/>
      <c r="AS72" s="410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1">
        <f>A71+1</f>
        <v>32</v>
      </c>
      <c r="B73" s="411" t="s">
        <v>121</v>
      </c>
      <c r="C73" s="413" t="str">
        <f>VLOOKUP(B73,DS,2,0)</f>
        <v>Lâm Lin</v>
      </c>
      <c r="D73" s="415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417">
        <f>((SUM(F73:AJ73))/8)-(SUMIF($F$6:$AJ$6,"C.Nhật",F73:AJ73)/8)</f>
        <v>22</v>
      </c>
      <c r="AL73" s="417">
        <f>SUM(F74:AJ74)/8*1.5</f>
        <v>0</v>
      </c>
      <c r="AM73" s="419">
        <f>SUMIF($F$6:$AJ$6,"C.Nhật",$F73:$AJ74)/8*2</f>
        <v>0</v>
      </c>
      <c r="AN73" s="407">
        <f>SUM(AK73:AM74)</f>
        <v>22</v>
      </c>
      <c r="AO73" s="421">
        <v>0</v>
      </c>
      <c r="AP73" s="407"/>
      <c r="AQ73" s="407"/>
      <c r="AR73" s="407"/>
      <c r="AS73" s="409"/>
      <c r="AT73" s="289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2"/>
      <c r="B74" s="412"/>
      <c r="C74" s="414"/>
      <c r="D74" s="416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418"/>
      <c r="AL74" s="418"/>
      <c r="AM74" s="420"/>
      <c r="AN74" s="408"/>
      <c r="AO74" s="422"/>
      <c r="AP74" s="408"/>
      <c r="AQ74" s="408"/>
      <c r="AR74" s="408"/>
      <c r="AS74" s="410"/>
      <c r="AT74" s="289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411">
        <f>A73+1</f>
        <v>33</v>
      </c>
      <c r="B75" s="411" t="s">
        <v>122</v>
      </c>
      <c r="C75" s="413" t="str">
        <f>VLOOKUP(B75,DS,2,0)</f>
        <v>Lâm Chanh Đa Ra</v>
      </c>
      <c r="D75" s="415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417">
        <f>((SUM(F75:AJ75))/8)-(SUMIF($F$6:$AJ$6,"C.Nhật",F75:AJ75)/8)</f>
        <v>23</v>
      </c>
      <c r="AL75" s="417">
        <f>SUM(F76:AJ76)/8*1.5</f>
        <v>0</v>
      </c>
      <c r="AM75" s="419">
        <f>SUMIF($F$6:$AJ$6,"C.Nhật",$F75:$AJ76)/8*2</f>
        <v>0</v>
      </c>
      <c r="AN75" s="407">
        <f>SUM(AK75:AM76)</f>
        <v>23</v>
      </c>
      <c r="AO75" s="421">
        <v>0</v>
      </c>
      <c r="AP75" s="407"/>
      <c r="AQ75" s="407"/>
      <c r="AR75" s="407"/>
      <c r="AS75" s="409"/>
      <c r="AT75" s="289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412"/>
      <c r="B76" s="412"/>
      <c r="C76" s="414"/>
      <c r="D76" s="416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418"/>
      <c r="AL76" s="418"/>
      <c r="AM76" s="420"/>
      <c r="AN76" s="408"/>
      <c r="AO76" s="422"/>
      <c r="AP76" s="408"/>
      <c r="AQ76" s="408"/>
      <c r="AR76" s="408"/>
      <c r="AS76" s="410"/>
      <c r="AT76" s="289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6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5"/>
      <c r="F81" s="345"/>
      <c r="G81" s="345"/>
      <c r="H81" s="345"/>
      <c r="I81" s="345"/>
      <c r="J81" s="345"/>
      <c r="K81" s="345"/>
      <c r="L81" s="345"/>
      <c r="M81" s="345"/>
      <c r="N81" s="345"/>
      <c r="O81" s="345"/>
      <c r="P81" s="345"/>
      <c r="Q81" s="345"/>
      <c r="R81" s="345"/>
      <c r="S81" s="345"/>
      <c r="T81" s="345"/>
      <c r="U81" s="345"/>
      <c r="V81" s="345"/>
      <c r="W81" s="345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53" t="s">
        <v>112</v>
      </c>
      <c r="AN104" s="454"/>
      <c r="AO104" s="454"/>
      <c r="AP104" s="454"/>
      <c r="AQ104" s="454"/>
      <c r="AR104" s="454"/>
      <c r="AS104" s="455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439" t="s">
        <v>28</v>
      </c>
      <c r="B108" s="439" t="s">
        <v>3</v>
      </c>
      <c r="C108" s="439" t="s">
        <v>1</v>
      </c>
      <c r="D108" s="440" t="s">
        <v>29</v>
      </c>
      <c r="E108" s="439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441" t="s">
        <v>15</v>
      </c>
      <c r="AL108" s="442"/>
      <c r="AM108" s="443"/>
      <c r="AN108" s="432" t="s">
        <v>45</v>
      </c>
      <c r="AO108" s="432" t="s">
        <v>41</v>
      </c>
      <c r="AP108" s="432" t="s">
        <v>42</v>
      </c>
      <c r="AQ108" s="432" t="s">
        <v>43</v>
      </c>
      <c r="AR108" s="432" t="s">
        <v>44</v>
      </c>
      <c r="AS108" s="434" t="s">
        <v>0</v>
      </c>
      <c r="AT108" s="427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439"/>
      <c r="B109" s="439"/>
      <c r="C109" s="439"/>
      <c r="D109" s="439"/>
      <c r="E109" s="439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433"/>
      <c r="AO109" s="433"/>
      <c r="AP109" s="433"/>
      <c r="AQ109" s="433"/>
      <c r="AR109" s="433"/>
      <c r="AS109" s="435"/>
      <c r="AT109" s="427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3">
        <v>1</v>
      </c>
      <c r="B110" s="323">
        <v>2</v>
      </c>
      <c r="C110" s="323">
        <v>3</v>
      </c>
      <c r="D110" s="323">
        <v>4</v>
      </c>
      <c r="E110" s="323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25">
        <v>1</v>
      </c>
      <c r="B111" s="425" t="s">
        <v>68</v>
      </c>
      <c r="C111" s="413" t="str">
        <f>VLOOKUP(B111,DS,2,0)</f>
        <v>Nguyễn Thiện Duy</v>
      </c>
      <c r="D111" s="415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417">
        <f>((SUM(F111:AJ111))/8)-(SUMIF($F$6:$AJ$6,"C.Nhật",F111:AJ111)/8)</f>
        <v>20</v>
      </c>
      <c r="AL111" s="417">
        <f>SUM(F112:AJ112)/8*1.5</f>
        <v>0</v>
      </c>
      <c r="AM111" s="419">
        <f>SUMIF($F$6:$AJ$6,"C.Nhật",$F111:$AJ112)/8*2</f>
        <v>0</v>
      </c>
      <c r="AN111" s="407">
        <f>SUM(AK111:AM112)</f>
        <v>20</v>
      </c>
      <c r="AO111" s="423">
        <v>0</v>
      </c>
      <c r="AP111" s="428"/>
      <c r="AQ111" s="428"/>
      <c r="AR111" s="428"/>
      <c r="AS111" s="430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26"/>
      <c r="B112" s="426"/>
      <c r="C112" s="414"/>
      <c r="D112" s="416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418"/>
      <c r="AL112" s="418"/>
      <c r="AM112" s="420"/>
      <c r="AN112" s="408"/>
      <c r="AO112" s="424"/>
      <c r="AP112" s="429"/>
      <c r="AQ112" s="429"/>
      <c r="AR112" s="429"/>
      <c r="AS112" s="431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25">
        <f>A111+1</f>
        <v>2</v>
      </c>
      <c r="B113" s="425" t="s">
        <v>70</v>
      </c>
      <c r="C113" s="413" t="str">
        <f>VLOOKUP(B113,DS,2,0)</f>
        <v>Nguyễn Văn Sẽ</v>
      </c>
      <c r="D113" s="415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417">
        <f>((SUM(F113:AJ113))/8)-(SUMIF($F$6:$AJ$6,"C.Nhật",F113:AJ113)/8)</f>
        <v>25</v>
      </c>
      <c r="AL113" s="417">
        <f>SUM(F114:AJ114)/8*1.5</f>
        <v>0</v>
      </c>
      <c r="AM113" s="419">
        <f>SUMIF($F$6:$AJ$6,"C.Nhật",$F113:$AJ114)/8*2</f>
        <v>0</v>
      </c>
      <c r="AN113" s="407">
        <f>SUM(AK113:AM114)</f>
        <v>25</v>
      </c>
      <c r="AO113" s="423">
        <v>0</v>
      </c>
      <c r="AP113" s="428"/>
      <c r="AQ113" s="428"/>
      <c r="AR113" s="428"/>
      <c r="AS113" s="430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26"/>
      <c r="B114" s="426"/>
      <c r="C114" s="414"/>
      <c r="D114" s="416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418"/>
      <c r="AL114" s="418"/>
      <c r="AM114" s="420"/>
      <c r="AN114" s="408"/>
      <c r="AO114" s="424"/>
      <c r="AP114" s="429"/>
      <c r="AQ114" s="429"/>
      <c r="AR114" s="429"/>
      <c r="AS114" s="431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25">
        <f>A113+1</f>
        <v>3</v>
      </c>
      <c r="B115" s="425" t="s">
        <v>72</v>
      </c>
      <c r="C115" s="413" t="str">
        <f>VLOOKUP(B115,DS,2,0)</f>
        <v>Võ Uyên Phương</v>
      </c>
      <c r="D115" s="415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417">
        <f>((SUM(F115:AJ115))/8)-(SUMIF($F$6:$AJ$6,"C.Nhật",F115:AJ115)/8)</f>
        <v>24</v>
      </c>
      <c r="AL115" s="417">
        <f>SUM(F116:AJ116)/8*1.5</f>
        <v>0</v>
      </c>
      <c r="AM115" s="419">
        <f>SUMIF($F$6:$AJ$6,"C.Nhật",$F115:$AJ116)/8*2</f>
        <v>0</v>
      </c>
      <c r="AN115" s="407">
        <f>SUM(AK115:AM116)</f>
        <v>24</v>
      </c>
      <c r="AO115" s="423">
        <v>0</v>
      </c>
      <c r="AP115" s="428"/>
      <c r="AQ115" s="428"/>
      <c r="AR115" s="428"/>
      <c r="AS115" s="430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26"/>
      <c r="B116" s="426"/>
      <c r="C116" s="414"/>
      <c r="D116" s="416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418"/>
      <c r="AL116" s="418"/>
      <c r="AM116" s="420"/>
      <c r="AN116" s="408"/>
      <c r="AO116" s="424"/>
      <c r="AP116" s="429"/>
      <c r="AQ116" s="429"/>
      <c r="AR116" s="429"/>
      <c r="AS116" s="431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25">
        <f>A115+1</f>
        <v>4</v>
      </c>
      <c r="B117" s="425" t="s">
        <v>75</v>
      </c>
      <c r="C117" s="413" t="str">
        <f>VLOOKUP(B117,DS,2,0)</f>
        <v>Lê Nguyễn Huy Cường</v>
      </c>
      <c r="D117" s="415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417">
        <f>((SUM(F117:AJ117))/8)-(SUMIF($F$6:$AJ$6,"C.Nhật",F117:AJ117)/8)</f>
        <v>25</v>
      </c>
      <c r="AL117" s="417">
        <f>SUM(F118:AJ118)/8*1.5</f>
        <v>0</v>
      </c>
      <c r="AM117" s="419">
        <f>SUMIF($F$6:$AJ$6,"C.Nhật",$F117:$AJ118)/8*2</f>
        <v>0</v>
      </c>
      <c r="AN117" s="407">
        <f>SUM(AK117:AM118)</f>
        <v>25</v>
      </c>
      <c r="AO117" s="423">
        <v>0</v>
      </c>
      <c r="AP117" s="428"/>
      <c r="AQ117" s="428"/>
      <c r="AR117" s="428"/>
      <c r="AS117" s="430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26"/>
      <c r="B118" s="426"/>
      <c r="C118" s="414"/>
      <c r="D118" s="416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418"/>
      <c r="AL118" s="418"/>
      <c r="AM118" s="420"/>
      <c r="AN118" s="408"/>
      <c r="AO118" s="424"/>
      <c r="AP118" s="429"/>
      <c r="AQ118" s="429"/>
      <c r="AR118" s="429"/>
      <c r="AS118" s="431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25">
        <f>A117+1</f>
        <v>5</v>
      </c>
      <c r="B119" s="425" t="s">
        <v>77</v>
      </c>
      <c r="C119" s="413" t="str">
        <f>VLOOKUP(B119,DS,2,0)</f>
        <v>Nguyễn Văn Bé Tư</v>
      </c>
      <c r="D119" s="415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417">
        <f>((SUM(F119:AJ119))/8)-(SUMIF($F$6:$AJ$6,"C.Nhật",F119:AJ119)/8)</f>
        <v>23</v>
      </c>
      <c r="AL119" s="417">
        <f>SUM(F120:AJ120)/8*1.5</f>
        <v>0</v>
      </c>
      <c r="AM119" s="419">
        <f>SUMIF($F$6:$AJ$6,"C.Nhật",$F119:$AJ120)/8*2</f>
        <v>0</v>
      </c>
      <c r="AN119" s="407">
        <f>SUM(AK119:AM120)</f>
        <v>23</v>
      </c>
      <c r="AO119" s="423">
        <v>0</v>
      </c>
      <c r="AP119" s="428"/>
      <c r="AQ119" s="428"/>
      <c r="AR119" s="428"/>
      <c r="AS119" s="430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26"/>
      <c r="B120" s="426"/>
      <c r="C120" s="414"/>
      <c r="D120" s="416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418"/>
      <c r="AL120" s="418"/>
      <c r="AM120" s="420"/>
      <c r="AN120" s="408"/>
      <c r="AO120" s="424"/>
      <c r="AP120" s="429"/>
      <c r="AQ120" s="429"/>
      <c r="AR120" s="429"/>
      <c r="AS120" s="431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25">
        <f>A119+1</f>
        <v>6</v>
      </c>
      <c r="B121" s="425" t="s">
        <v>78</v>
      </c>
      <c r="C121" s="413" t="str">
        <f>VLOOKUP(B121,DS,2,0)</f>
        <v>Dương Thanh Tuấn</v>
      </c>
      <c r="D121" s="415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417">
        <f>((SUM(F121:AJ121))/8)-(SUMIF($F$6:$AJ$6,"C.Nhật",F121:AJ121)/8)</f>
        <v>23</v>
      </c>
      <c r="AL121" s="417">
        <f>SUM(F122:AJ122)/8*1.5</f>
        <v>0</v>
      </c>
      <c r="AM121" s="419">
        <f>SUMIF($F$6:$AJ$6,"C.Nhật",$F121:$AJ122)/8*2</f>
        <v>0</v>
      </c>
      <c r="AN121" s="407">
        <f>SUM(AK121:AM122)</f>
        <v>23</v>
      </c>
      <c r="AO121" s="423">
        <v>0</v>
      </c>
      <c r="AP121" s="428"/>
      <c r="AQ121" s="428"/>
      <c r="AR121" s="428"/>
      <c r="AS121" s="430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26"/>
      <c r="B122" s="426"/>
      <c r="C122" s="414"/>
      <c r="D122" s="416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418"/>
      <c r="AL122" s="418"/>
      <c r="AM122" s="420"/>
      <c r="AN122" s="408"/>
      <c r="AO122" s="424"/>
      <c r="AP122" s="429"/>
      <c r="AQ122" s="429"/>
      <c r="AR122" s="429"/>
      <c r="AS122" s="431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425">
        <f>A121+1</f>
        <v>7</v>
      </c>
      <c r="B123" s="425" t="s">
        <v>81</v>
      </c>
      <c r="C123" s="413" t="str">
        <f>VLOOKUP(B123,DS,2,0)</f>
        <v>Nguyễn Thiện Duyệt</v>
      </c>
      <c r="D123" s="415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417">
        <f>((SUM(F123:AJ123))/8)-(SUMIF($F$6:$AJ$6,"C.Nhật",F123:AJ123)/8)</f>
        <v>23</v>
      </c>
      <c r="AL123" s="417">
        <f>SUM(F124:AJ124)/8*1.5</f>
        <v>0</v>
      </c>
      <c r="AM123" s="419">
        <f>SUMIF($F$6:$AJ$6,"C.Nhật",$F123:$AJ124)/8*2</f>
        <v>0</v>
      </c>
      <c r="AN123" s="407">
        <f>SUM(AK123:AM124)</f>
        <v>23</v>
      </c>
      <c r="AO123" s="423">
        <v>0</v>
      </c>
      <c r="AP123" s="428"/>
      <c r="AQ123" s="428"/>
      <c r="AR123" s="428"/>
      <c r="AS123" s="430"/>
      <c r="AT123" s="291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426"/>
      <c r="B124" s="426"/>
      <c r="C124" s="414"/>
      <c r="D124" s="416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418"/>
      <c r="AL124" s="418"/>
      <c r="AM124" s="420"/>
      <c r="AN124" s="408"/>
      <c r="AO124" s="424"/>
      <c r="AP124" s="429"/>
      <c r="AQ124" s="429"/>
      <c r="AR124" s="429"/>
      <c r="AS124" s="431"/>
      <c r="AT124" s="291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15" priority="20" stopIfTrue="1">
      <formula>IF(WEEKDAY(F$5)=1,TRUE,FALSE)</formula>
    </cfRule>
  </conditionalFormatting>
  <conditionalFormatting sqref="F108:AJ109">
    <cfRule type="expression" dxfId="14" priority="19" stopIfTrue="1">
      <formula>IF(WEEKDAY(F$5)=1,TRUE,FALSE)</formula>
    </cfRule>
  </conditionalFormatting>
  <conditionalFormatting sqref="F9:AJ12">
    <cfRule type="expression" dxfId="13" priority="17" stopIfTrue="1">
      <formula>IF(WEEKDAY(F$5)=1,TRUE,FALSE)</formula>
    </cfRule>
  </conditionalFormatting>
  <conditionalFormatting sqref="F111:AJ124">
    <cfRule type="expression" dxfId="12" priority="4" stopIfTrue="1">
      <formula>IF(WEEKDAY(F$5)=1,TRUE,FALSE)</formula>
    </cfRule>
  </conditionalFormatting>
  <conditionalFormatting sqref="F111:AJ124">
    <cfRule type="expression" dxfId="11" priority="3" stopIfTrue="1">
      <formula>IF(WEEKDAY(F$5)=1,TRUE,FALSE)</formula>
    </cfRule>
  </conditionalFormatting>
  <printOptions horizontalCentered="1"/>
  <pageMargins left="0.24" right="0.24" top="0.32" bottom="0.28999999999999998" header="0.25" footer="0.16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83"/>
  <sheetViews>
    <sheetView zoomScaleNormal="70" workbookViewId="0">
      <pane xSplit="3" ySplit="8" topLeftCell="D21" activePane="bottomRight" state="frozen"/>
      <selection activeCell="E8" sqref="E8"/>
      <selection pane="topRight" activeCell="E8" sqref="E8"/>
      <selection pane="bottomLeft" activeCell="E8" sqref="E8"/>
      <selection pane="bottomRight" activeCell="K35" sqref="K35:K4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11.285156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87" t="str">
        <f>"BẢNG THANH TOÁN LƯƠNG THÁNG"&amp;" "&amp;TEXT($E$4,"mm")&amp;" / "&amp;TEXT($E$4,"yyyy")</f>
        <v>BẢNG THANH TOÁN LƯƠNG THÁNG 01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298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298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4" t="s">
        <v>40</v>
      </c>
      <c r="G7" s="35" t="s">
        <v>18</v>
      </c>
      <c r="H7" s="288" t="s">
        <v>40</v>
      </c>
      <c r="I7" s="128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8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23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8"/>
      <c r="B34" s="316" t="s">
        <v>188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24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33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4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2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86" t="s">
        <v>25</v>
      </c>
      <c r="B46" s="486"/>
      <c r="C46" s="486"/>
      <c r="D46" s="486"/>
      <c r="E46" s="140">
        <f>SUM(E10:E44)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N52" s="393"/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67" t="str">
        <f>D1</f>
        <v>BẢNG THANH TOÁN LƯƠNG THÁNG 01 / 2016</v>
      </c>
      <c r="E59" s="467"/>
      <c r="F59" s="467"/>
      <c r="G59" s="467"/>
      <c r="H59" s="467"/>
      <c r="I59" s="467"/>
      <c r="J59" s="467"/>
      <c r="K59" s="467"/>
      <c r="L59" s="467"/>
      <c r="M59" s="467"/>
      <c r="N59" s="467"/>
      <c r="O59" s="467"/>
      <c r="P59" s="467"/>
      <c r="Q59" s="468"/>
      <c r="R59" s="469" t="s">
        <v>112</v>
      </c>
      <c r="S59" s="470"/>
      <c r="T59" s="47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299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299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72" t="s">
        <v>19</v>
      </c>
      <c r="B63" s="472" t="s">
        <v>20</v>
      </c>
      <c r="C63" s="474" t="s">
        <v>1</v>
      </c>
      <c r="D63" s="474" t="s">
        <v>2</v>
      </c>
      <c r="E63" s="475" t="s">
        <v>56</v>
      </c>
      <c r="F63" s="476" t="s">
        <v>26</v>
      </c>
      <c r="G63" s="477"/>
      <c r="H63" s="477"/>
      <c r="I63" s="477"/>
      <c r="J63" s="477"/>
      <c r="K63" s="478"/>
      <c r="L63" s="458" t="s">
        <v>57</v>
      </c>
      <c r="M63" s="458" t="s">
        <v>5</v>
      </c>
      <c r="N63" s="474" t="s">
        <v>6</v>
      </c>
      <c r="O63" s="474"/>
      <c r="P63" s="474"/>
      <c r="Q63" s="461" t="s">
        <v>7</v>
      </c>
      <c r="R63" s="461" t="s">
        <v>8</v>
      </c>
      <c r="S63" s="461" t="s">
        <v>9</v>
      </c>
      <c r="T63" s="479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73"/>
      <c r="B64" s="473"/>
      <c r="C64" s="474"/>
      <c r="D64" s="474"/>
      <c r="E64" s="475"/>
      <c r="F64" s="476" t="s">
        <v>59</v>
      </c>
      <c r="G64" s="478"/>
      <c r="H64" s="481" t="s">
        <v>189</v>
      </c>
      <c r="I64" s="482"/>
      <c r="J64" s="463" t="s">
        <v>27</v>
      </c>
      <c r="K64" s="461" t="s">
        <v>4</v>
      </c>
      <c r="L64" s="459"/>
      <c r="M64" s="459"/>
      <c r="N64" s="465" t="s">
        <v>12</v>
      </c>
      <c r="O64" s="461" t="s">
        <v>13</v>
      </c>
      <c r="P64" s="461" t="s">
        <v>34</v>
      </c>
      <c r="Q64" s="462"/>
      <c r="R64" s="462"/>
      <c r="S64" s="462"/>
      <c r="T64" s="480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73"/>
      <c r="B65" s="473"/>
      <c r="C65" s="461"/>
      <c r="D65" s="461"/>
      <c r="E65" s="475"/>
      <c r="F65" s="209" t="s">
        <v>40</v>
      </c>
      <c r="G65" s="206" t="s">
        <v>18</v>
      </c>
      <c r="H65" s="288" t="s">
        <v>40</v>
      </c>
      <c r="I65" s="206" t="s">
        <v>18</v>
      </c>
      <c r="J65" s="464"/>
      <c r="K65" s="462"/>
      <c r="L65" s="460"/>
      <c r="M65" s="460"/>
      <c r="N65" s="466"/>
      <c r="O65" s="462"/>
      <c r="P65" s="462"/>
      <c r="Q65" s="462"/>
      <c r="R65" s="462"/>
      <c r="S65" s="462"/>
      <c r="T65" s="480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3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56" t="s">
        <v>25</v>
      </c>
      <c r="B75" s="457"/>
      <c r="C75" s="457"/>
      <c r="D75" s="457"/>
      <c r="E75" s="231">
        <f>SUM(E67:E73)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  <row r="83" spans="5:5">
      <c r="E83" s="16">
        <f>111683+37369</f>
        <v>149052</v>
      </c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B35:B44 W35:W44 Q35:S44 A13:B14 B15:B33 A15:A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62" header="0.2" footer="0.63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T.Hai</v>
      </c>
      <c r="G6" s="302" t="str">
        <f t="shared" ref="G6:AH6" si="1">CHOOSE(WEEKDAY(G5),"C.Nhật","T.Hai","T.Ba","T.Tư","T.Năm","T.Sáu","T.Bảy")</f>
        <v>T.Ba</v>
      </c>
      <c r="H6" s="302" t="str">
        <f t="shared" si="1"/>
        <v>T.Tư</v>
      </c>
      <c r="I6" s="302" t="str">
        <f t="shared" si="1"/>
        <v>T.Năm</v>
      </c>
      <c r="J6" s="302" t="str">
        <f t="shared" si="1"/>
        <v>T.Sáu</v>
      </c>
      <c r="K6" s="302" t="str">
        <f t="shared" si="1"/>
        <v>T.Bảy</v>
      </c>
      <c r="L6" s="302" t="str">
        <f t="shared" si="1"/>
        <v>C.Nhật</v>
      </c>
      <c r="M6" s="302" t="str">
        <f t="shared" si="1"/>
        <v>T.Hai</v>
      </c>
      <c r="N6" s="302" t="str">
        <f t="shared" si="1"/>
        <v>T.Ba</v>
      </c>
      <c r="O6" s="302" t="str">
        <f t="shared" si="1"/>
        <v>T.Tư</v>
      </c>
      <c r="P6" s="302" t="str">
        <f t="shared" si="1"/>
        <v>T.Năm</v>
      </c>
      <c r="Q6" s="302" t="str">
        <f t="shared" si="1"/>
        <v>T.Sáu</v>
      </c>
      <c r="R6" s="302" t="str">
        <f t="shared" si="1"/>
        <v>T.Bảy</v>
      </c>
      <c r="S6" s="302" t="str">
        <f t="shared" si="1"/>
        <v>C.Nhật</v>
      </c>
      <c r="T6" s="302" t="str">
        <f t="shared" si="1"/>
        <v>T.Hai</v>
      </c>
      <c r="U6" s="302" t="str">
        <f t="shared" si="1"/>
        <v>T.Ba</v>
      </c>
      <c r="V6" s="302" t="str">
        <f t="shared" si="1"/>
        <v>T.Tư</v>
      </c>
      <c r="W6" s="302" t="str">
        <f t="shared" si="1"/>
        <v>T.Năm</v>
      </c>
      <c r="X6" s="302" t="str">
        <f t="shared" si="1"/>
        <v>T.Sáu</v>
      </c>
      <c r="Y6" s="302" t="str">
        <f t="shared" si="1"/>
        <v>T.Bảy</v>
      </c>
      <c r="Z6" s="302" t="str">
        <f t="shared" si="1"/>
        <v>C.Nhật</v>
      </c>
      <c r="AA6" s="302" t="str">
        <f t="shared" si="1"/>
        <v>T.Hai</v>
      </c>
      <c r="AB6" s="302" t="str">
        <f t="shared" si="1"/>
        <v>T.Ba</v>
      </c>
      <c r="AC6" s="302" t="str">
        <f t="shared" si="1"/>
        <v>T.Tư</v>
      </c>
      <c r="AD6" s="302" t="str">
        <f t="shared" si="1"/>
        <v>T.Năm</v>
      </c>
      <c r="AE6" s="302" t="str">
        <f t="shared" si="1"/>
        <v>T.Sáu</v>
      </c>
      <c r="AF6" s="302" t="str">
        <f t="shared" si="1"/>
        <v>T.Bảy</v>
      </c>
      <c r="AG6" s="302" t="str">
        <f t="shared" si="1"/>
        <v>C.Nhật</v>
      </c>
      <c r="AH6" s="302" t="str">
        <f t="shared" si="1"/>
        <v>T.Hai</v>
      </c>
      <c r="AI6" s="302" t="str">
        <f>CHOOSE(WEEKDAY(AI5),"C.Nhật","T.Hai","T.Ba","T.Tư","T.Năm","T.Sáu","T.Bảy")</f>
        <v>T.Ba</v>
      </c>
      <c r="AJ6" s="302" t="str">
        <f>CHOOSE(WEEKDAY(AJ5),"C.Nhật","T.Hai","T.Ba","T.Tư","T.Năm","T.Sáu","T.Bảy")</f>
        <v>T.Tư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19"/>
      <c r="AJ9" s="319"/>
      <c r="AK9" s="417">
        <f>((SUM(F9:AH9))/8)-(SUMIF($F$6:$AH$6,"C.Nhật",F9:AH9)/8)</f>
        <v>16</v>
      </c>
      <c r="AL9" s="417">
        <f>SUM(F10:AH10)/8*1.5</f>
        <v>0</v>
      </c>
      <c r="AM9" s="419">
        <f>SUMIF($F$6:$AH$6,"C.Nhật",$F9:$AH10)/8*2</f>
        <v>0</v>
      </c>
      <c r="AN9" s="407">
        <f>SUM(AK9:AM10)</f>
        <v>16</v>
      </c>
      <c r="AO9" s="421">
        <v>0</v>
      </c>
      <c r="AP9" s="407"/>
      <c r="AQ9" s="407"/>
      <c r="AR9" s="407"/>
      <c r="AS9" s="409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19"/>
      <c r="AJ11" s="319"/>
      <c r="AK11" s="417">
        <f>((SUM(F11:AH11))/8)-(SUMIF($F$6:$AH$6,"C.Nhật",F11:AH11)/8)</f>
        <v>16</v>
      </c>
      <c r="AL11" s="417">
        <f>SUM(F12:AH12)/8*1.5</f>
        <v>0</v>
      </c>
      <c r="AM11" s="419">
        <f>SUMIF($F$6:$AH$6,"C.Nhật",$F11:$AH12)/8*2</f>
        <v>0</v>
      </c>
      <c r="AN11" s="407">
        <f>SUM(AK11:AM12)</f>
        <v>16</v>
      </c>
      <c r="AO11" s="421">
        <v>0</v>
      </c>
      <c r="AP11" s="407"/>
      <c r="AQ11" s="407"/>
      <c r="AR11" s="407"/>
      <c r="AS11" s="409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19"/>
      <c r="AJ14" s="319"/>
      <c r="AK14" s="417">
        <f>((SUM(F14:AH14))/8)-(SUMIF($F$6:$AH$6,"C.Nhật",F14:AH14)/8)</f>
        <v>18</v>
      </c>
      <c r="AL14" s="417">
        <f>SUM(F15:AH15)/8*1.5</f>
        <v>0</v>
      </c>
      <c r="AM14" s="419">
        <f>SUMIF($F$6:$AH$6,"C.Nhật",$F14:$AH15)/8*2</f>
        <v>0</v>
      </c>
      <c r="AN14" s="407">
        <f>SUM(AK14:AM15)</f>
        <v>18</v>
      </c>
      <c r="AO14" s="421">
        <v>0</v>
      </c>
      <c r="AP14" s="407"/>
      <c r="AQ14" s="407"/>
      <c r="AR14" s="407"/>
      <c r="AS14" s="409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v>4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19"/>
      <c r="AJ16" s="319"/>
      <c r="AK16" s="417">
        <f>((SUM(F16:AH16))/8)-(SUMIF($F$6:$AH$6,"C.Nhật",F16:AH16)/8)</f>
        <v>18</v>
      </c>
      <c r="AL16" s="417">
        <f>SUM(F17:AH17)/8*1.5</f>
        <v>0</v>
      </c>
      <c r="AM16" s="419">
        <f>SUMIF($F$6:$AH$6,"C.Nhật",$F16:$AH17)/8*2</f>
        <v>0</v>
      </c>
      <c r="AN16" s="407">
        <f>SUM(AK16:AM17)</f>
        <v>18</v>
      </c>
      <c r="AO16" s="421">
        <v>0</v>
      </c>
      <c r="AP16" s="407"/>
      <c r="AQ16" s="407"/>
      <c r="AR16" s="407"/>
      <c r="AS16" s="409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5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19"/>
      <c r="AJ18" s="319"/>
      <c r="AK18" s="417">
        <f>((SUM(F18:AH18))/8)-(SUMIF($F$6:$AH$6,"C.Nhật",F18:AH18)/8)</f>
        <v>18</v>
      </c>
      <c r="AL18" s="417">
        <f>SUM(F19:AH19)/8*1.5</f>
        <v>0</v>
      </c>
      <c r="AM18" s="419">
        <f>SUMIF($F$6:$AH$6,"C.Nhật",$F18:$AH19)/8*2</f>
        <v>0</v>
      </c>
      <c r="AN18" s="407">
        <f>SUM(AK18:AM19)</f>
        <v>18</v>
      </c>
      <c r="AO18" s="421">
        <v>0</v>
      </c>
      <c r="AP18" s="407"/>
      <c r="AQ18" s="407"/>
      <c r="AR18" s="407"/>
      <c r="AS18" s="409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19"/>
      <c r="AJ20" s="319"/>
      <c r="AK20" s="417">
        <f>((SUM(F20:AH20))/8)-(SUMIF($F$6:$AH$6,"C.Nhật",F20:AH20)/8)</f>
        <v>16</v>
      </c>
      <c r="AL20" s="417">
        <f>SUM(F21:AH21)/8*1.5</f>
        <v>0</v>
      </c>
      <c r="AM20" s="419">
        <f>SUMIF($F$6:$AH$6,"C.Nhật",$F20:$AH21)/8*2</f>
        <v>0</v>
      </c>
      <c r="AN20" s="407">
        <f>SUM(AK20:AM21)</f>
        <v>16</v>
      </c>
      <c r="AO20" s="421">
        <v>0</v>
      </c>
      <c r="AP20" s="407"/>
      <c r="AQ20" s="407"/>
      <c r="AR20" s="407"/>
      <c r="AS20" s="409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ref="A22:A32" si="2">A20+1</f>
        <v>7</v>
      </c>
      <c r="B22" s="411" t="s">
        <v>88</v>
      </c>
      <c r="C22" s="413" t="str">
        <f>VLOOKUP(B22,DS,2,0)</f>
        <v>Huỳnh Thị Bé Tha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19"/>
      <c r="AJ22" s="319"/>
      <c r="AK22" s="417">
        <f>((SUM(F22:AH22))/8)-(SUMIF($F$6:$AH$6,"C.Nhật",F22:AH22)/8)</f>
        <v>17</v>
      </c>
      <c r="AL22" s="417">
        <f>SUM(F23:AH23)/8*1.5</f>
        <v>0</v>
      </c>
      <c r="AM22" s="419">
        <f>SUMIF($F$6:$AH$6,"C.Nhật",$F22:$AH23)/8*2</f>
        <v>0</v>
      </c>
      <c r="AN22" s="407">
        <f>SUM(AK22:AM23)</f>
        <v>17</v>
      </c>
      <c r="AO22" s="421">
        <v>0</v>
      </c>
      <c r="AP22" s="407"/>
      <c r="AQ22" s="407"/>
      <c r="AR22" s="407"/>
      <c r="AS22" s="409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8</v>
      </c>
      <c r="B24" s="411" t="s">
        <v>90</v>
      </c>
      <c r="C24" s="413" t="str">
        <f>VLOOKUP(B24,DS,2,0)</f>
        <v>Nguyễn Thị Kim Hồng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19"/>
      <c r="AJ24" s="319"/>
      <c r="AK24" s="417">
        <f>((SUM(F24:AH24))/8)-(SUMIF($F$6:$AH$6,"C.Nhật",F24:AH24)/8)</f>
        <v>18</v>
      </c>
      <c r="AL24" s="417">
        <f>SUM(F25:AH25)/8*1.5</f>
        <v>0</v>
      </c>
      <c r="AM24" s="419">
        <f>SUMIF($F$6:$AH$6,"C.Nhật",$F24:$AH25)/8*2</f>
        <v>0</v>
      </c>
      <c r="AN24" s="407">
        <f>SUM(AK24:AM25)</f>
        <v>18</v>
      </c>
      <c r="AO24" s="421">
        <v>0</v>
      </c>
      <c r="AP24" s="407"/>
      <c r="AQ24" s="407"/>
      <c r="AR24" s="407"/>
      <c r="AS24" s="409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 t="shared" si="2"/>
        <v>9</v>
      </c>
      <c r="B26" s="411" t="s">
        <v>91</v>
      </c>
      <c r="C26" s="413" t="str">
        <f>VLOOKUP(B26,DS,2,0)</f>
        <v>Nguyễn Thị Lựu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19"/>
      <c r="AJ26" s="319"/>
      <c r="AK26" s="417">
        <f>((SUM(F26:AH26))/8)-(SUMIF($F$6:$AH$6,"C.Nhật",F26:AH26)/8)</f>
        <v>16</v>
      </c>
      <c r="AL26" s="417">
        <f>SUM(F27:AH27)/8*1.5</f>
        <v>0</v>
      </c>
      <c r="AM26" s="419">
        <f>SUMIF($F$6:$AH$6,"C.Nhật",$F26:$AH27)/8*2</f>
        <v>0</v>
      </c>
      <c r="AN26" s="407">
        <f>SUM(AK26:AM27)</f>
        <v>16</v>
      </c>
      <c r="AO26" s="421">
        <v>0</v>
      </c>
      <c r="AP26" s="407"/>
      <c r="AQ26" s="407"/>
      <c r="AR26" s="407"/>
      <c r="AS26" s="409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 t="shared" si="2"/>
        <v>10</v>
      </c>
      <c r="B28" s="411" t="s">
        <v>92</v>
      </c>
      <c r="C28" s="413" t="str">
        <f>VLOOKUP(B28,DS,2,0)</f>
        <v>Lý Thị Được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19"/>
      <c r="AJ28" s="319"/>
      <c r="AK28" s="417">
        <f>((SUM(F28:AH28))/8)-(SUMIF($F$6:$AH$6,"C.Nhật",F28:AH28)/8)</f>
        <v>18</v>
      </c>
      <c r="AL28" s="417">
        <f>SUM(F29:AH29)/8*1.5</f>
        <v>0</v>
      </c>
      <c r="AM28" s="419">
        <f>SUMIF($F$6:$AH$6,"C.Nhật",$F28:$AH29)/8*2</f>
        <v>0</v>
      </c>
      <c r="AN28" s="407">
        <f>SUM(AK28:AM29)</f>
        <v>18</v>
      </c>
      <c r="AO28" s="421">
        <v>0</v>
      </c>
      <c r="AP28" s="407"/>
      <c r="AQ28" s="407"/>
      <c r="AR28" s="407"/>
      <c r="AS28" s="409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 t="shared" si="2"/>
        <v>11</v>
      </c>
      <c r="B30" s="411" t="s">
        <v>93</v>
      </c>
      <c r="C30" s="413" t="str">
        <f>VLOOKUP(B30,DS,2,0)</f>
        <v>Lý La Quan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19"/>
      <c r="AJ30" s="319"/>
      <c r="AK30" s="417">
        <f>((SUM(F30:AH30))/8)-(SUMIF($F$6:$AH$6,"C.Nhật",F30:AH30)/8)</f>
        <v>18</v>
      </c>
      <c r="AL30" s="417">
        <f>SUM(F31:AH31)/8*1.5</f>
        <v>0</v>
      </c>
      <c r="AM30" s="419">
        <f>SUMIF($F$6:$AH$6,"C.Nhật",$F30:$AH31)/8*2</f>
        <v>0</v>
      </c>
      <c r="AN30" s="407">
        <f>SUM(AK30:AM31)</f>
        <v>18</v>
      </c>
      <c r="AO30" s="421">
        <v>0</v>
      </c>
      <c r="AP30" s="407"/>
      <c r="AQ30" s="407"/>
      <c r="AR30" s="407"/>
      <c r="AS30" s="409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 t="shared" si="2"/>
        <v>12</v>
      </c>
      <c r="B32" s="411" t="s">
        <v>94</v>
      </c>
      <c r="C32" s="413" t="str">
        <f>VLOOKUP(B32,DS,2,0)</f>
        <v>Trà Thị Soi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19"/>
      <c r="AJ32" s="319"/>
      <c r="AK32" s="417">
        <f>((SUM(F32:AH32))/8)-(SUMIF($F$6:$AH$6,"C.Nhật",F32:AH32)/8)</f>
        <v>18</v>
      </c>
      <c r="AL32" s="417">
        <f>SUM(F33:AH33)/8*1.5</f>
        <v>0</v>
      </c>
      <c r="AM32" s="419">
        <f>SUMIF($F$6:$AH$6,"C.Nhật",$F32:$AH33)/8*2</f>
        <v>0</v>
      </c>
      <c r="AN32" s="407">
        <f>SUM(AK32:AM33)</f>
        <v>18</v>
      </c>
      <c r="AO32" s="421">
        <v>0</v>
      </c>
      <c r="AP32" s="407"/>
      <c r="AQ32" s="407"/>
      <c r="AR32" s="407"/>
      <c r="AS32" s="409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95</v>
      </c>
      <c r="C34" s="413" t="str">
        <f>VLOOKUP(B34,DS,2,0)</f>
        <v>Sơn Thị Muỗi Tron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19"/>
      <c r="AJ34" s="319"/>
      <c r="AK34" s="417">
        <f>((SUM(F34:AH34))/8)-(SUMIF($F$6:$AH$6,"C.Nhật",F34:AH34)/8)</f>
        <v>17</v>
      </c>
      <c r="AL34" s="417">
        <f>SUM(F35:AH35)/8*1.5</f>
        <v>0</v>
      </c>
      <c r="AM34" s="419">
        <f>SUMIF($F$6:$AH$6,"C.Nhật",$F34:$AH35)/8*2</f>
        <v>0</v>
      </c>
      <c r="AN34" s="407">
        <f>SUM(AK34:AM35)</f>
        <v>17</v>
      </c>
      <c r="AO34" s="421">
        <v>0</v>
      </c>
      <c r="AP34" s="407"/>
      <c r="AQ34" s="407"/>
      <c r="AR34" s="407"/>
      <c r="AS34" s="409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96</v>
      </c>
      <c r="C36" s="413" t="str">
        <f>VLOOKUP(B36,DS,2,0)</f>
        <v>Sơn Thị Thương</v>
      </c>
      <c r="D36" s="415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19"/>
      <c r="AJ36" s="319"/>
      <c r="AK36" s="417">
        <f>((SUM(F36:AH36))/8)-(SUMIF($F$6:$AH$6,"C.Nhật",F36:AH36)/8)</f>
        <v>16</v>
      </c>
      <c r="AL36" s="417">
        <f>SUM(F37:AH37)/8*1.5</f>
        <v>0</v>
      </c>
      <c r="AM36" s="419">
        <f>SUMIF($F$6:$AH$6,"C.Nhật",$F36:$AH37)/8*2</f>
        <v>0</v>
      </c>
      <c r="AN36" s="407">
        <f>SUM(AK36:AM37)</f>
        <v>16</v>
      </c>
      <c r="AO36" s="421">
        <v>0</v>
      </c>
      <c r="AP36" s="407"/>
      <c r="AQ36" s="407"/>
      <c r="AR36" s="407"/>
      <c r="AS36" s="409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15</v>
      </c>
      <c r="B38" s="411" t="s">
        <v>97</v>
      </c>
      <c r="C38" s="413" t="str">
        <f>VLOOKUP(B38,DS,2,0)</f>
        <v>Thạch Thị Som Ươne</v>
      </c>
      <c r="D38" s="415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19"/>
      <c r="AJ38" s="319"/>
      <c r="AK38" s="417">
        <f>((SUM(F38:AH38))/8)-(SUMIF($F$6:$AH$6,"C.Nhật",F38:AH38)/8)</f>
        <v>18</v>
      </c>
      <c r="AL38" s="417">
        <f>SUM(F39:AH39)/8*1.5</f>
        <v>0</v>
      </c>
      <c r="AM38" s="419">
        <f>SUMIF($F$6:$AH$6,"C.Nhật",$F38:$AH39)/8*2</f>
        <v>0</v>
      </c>
      <c r="AN38" s="407">
        <f>SUM(AK38:AM39)</f>
        <v>18</v>
      </c>
      <c r="AO38" s="421">
        <v>0</v>
      </c>
      <c r="AP38" s="407"/>
      <c r="AQ38" s="407"/>
      <c r="AR38" s="407"/>
      <c r="AS38" s="409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18"/>
      <c r="AL39" s="418"/>
      <c r="AM39" s="420"/>
      <c r="AN39" s="408"/>
      <c r="AO39" s="422"/>
      <c r="AP39" s="408"/>
      <c r="AQ39" s="408"/>
      <c r="AR39" s="408"/>
      <c r="AS39" s="410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16</v>
      </c>
      <c r="B40" s="411" t="s">
        <v>98</v>
      </c>
      <c r="C40" s="413" t="str">
        <f>VLOOKUP(B40,DS,2,0)</f>
        <v>Huỳnh Thị Như</v>
      </c>
      <c r="D40" s="415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19"/>
      <c r="AJ40" s="319"/>
      <c r="AK40" s="417">
        <f>((SUM(F40:AH40))/8)-(SUMIF($F$6:$AH$6,"C.Nhật",F40:AH40)/8)</f>
        <v>18</v>
      </c>
      <c r="AL40" s="417">
        <f>SUM(F41:AH41)/8*1.5</f>
        <v>0</v>
      </c>
      <c r="AM40" s="419">
        <f>SUMIF($F$6:$AH$6,"C.Nhật",$F40:$AH41)/8*2</f>
        <v>0</v>
      </c>
      <c r="AN40" s="407">
        <f>SUM(AK40:AM41)</f>
        <v>18</v>
      </c>
      <c r="AO40" s="421">
        <v>0</v>
      </c>
      <c r="AP40" s="407"/>
      <c r="AQ40" s="407"/>
      <c r="AR40" s="407"/>
      <c r="AS40" s="409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18"/>
      <c r="AL41" s="418"/>
      <c r="AM41" s="420"/>
      <c r="AN41" s="408"/>
      <c r="AO41" s="422"/>
      <c r="AP41" s="408"/>
      <c r="AQ41" s="408"/>
      <c r="AR41" s="408"/>
      <c r="AS41" s="410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1">
        <f>A40+1</f>
        <v>17</v>
      </c>
      <c r="B42" s="411" t="s">
        <v>99</v>
      </c>
      <c r="C42" s="413" t="str">
        <f>VLOOKUP(B42,DS,2,0)</f>
        <v>Sơn Thị Chành Ny</v>
      </c>
      <c r="D42" s="415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19"/>
      <c r="AJ42" s="319"/>
      <c r="AK42" s="417">
        <f>((SUM(F42:AH42))/8)-(SUMIF($F$6:$AH$6,"C.Nhật",F42:AH42)/8)</f>
        <v>18</v>
      </c>
      <c r="AL42" s="417">
        <f>SUM(F43:AH43)/8*1.5</f>
        <v>0</v>
      </c>
      <c r="AM42" s="419">
        <f>SUMIF($F$6:$AH$6,"C.Nhật",$F42:$AH43)/8*2</f>
        <v>0</v>
      </c>
      <c r="AN42" s="407">
        <f>SUM(AK42:AM43)</f>
        <v>18</v>
      </c>
      <c r="AO42" s="421">
        <v>0</v>
      </c>
      <c r="AP42" s="407"/>
      <c r="AQ42" s="407"/>
      <c r="AR42" s="407"/>
      <c r="AS42" s="409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2"/>
      <c r="B43" s="412"/>
      <c r="C43" s="414"/>
      <c r="D43" s="416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18"/>
      <c r="AL43" s="418"/>
      <c r="AM43" s="420"/>
      <c r="AN43" s="408"/>
      <c r="AO43" s="422"/>
      <c r="AP43" s="408"/>
      <c r="AQ43" s="408"/>
      <c r="AR43" s="408"/>
      <c r="AS43" s="410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1">
        <f>A42+1</f>
        <v>18</v>
      </c>
      <c r="B44" s="411" t="s">
        <v>100</v>
      </c>
      <c r="C44" s="413" t="str">
        <f>VLOOKUP(B44,DS,2,0)</f>
        <v>Sơn Thị Chành Đa</v>
      </c>
      <c r="D44" s="415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19"/>
      <c r="AJ44" s="319"/>
      <c r="AK44" s="417">
        <f>((SUM(F44:AH44))/8)-(SUMIF($F$6:$AH$6,"C.Nhật",F44:AH44)/8)</f>
        <v>18</v>
      </c>
      <c r="AL44" s="417">
        <f>SUM(F45:AH45)/8*1.5</f>
        <v>0</v>
      </c>
      <c r="AM44" s="419">
        <f>SUMIF($F$6:$AH$6,"C.Nhật",$F44:$AH45)/8*2</f>
        <v>0</v>
      </c>
      <c r="AN44" s="407">
        <f>SUM(AK44:AM45)</f>
        <v>18</v>
      </c>
      <c r="AO44" s="421">
        <v>0</v>
      </c>
      <c r="AP44" s="407"/>
      <c r="AQ44" s="407"/>
      <c r="AR44" s="407"/>
      <c r="AS44" s="409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2"/>
      <c r="B45" s="412"/>
      <c r="C45" s="414"/>
      <c r="D45" s="416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18"/>
      <c r="AL45" s="418"/>
      <c r="AM45" s="420"/>
      <c r="AN45" s="408"/>
      <c r="AO45" s="422"/>
      <c r="AP45" s="408"/>
      <c r="AQ45" s="408"/>
      <c r="AR45" s="408"/>
      <c r="AS45" s="410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1">
        <f>A44+1</f>
        <v>19</v>
      </c>
      <c r="B46" s="411" t="s">
        <v>101</v>
      </c>
      <c r="C46" s="413" t="str">
        <f>VLOOKUP(B46,DS,2,0)</f>
        <v>Trần Thị Bích Phượng</v>
      </c>
      <c r="D46" s="415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19"/>
      <c r="AJ46" s="319"/>
      <c r="AK46" s="417">
        <f>((SUM(F46:AH46))/8)-(SUMIF($F$6:$AH$6,"C.Nhật",F46:AH46)/8)</f>
        <v>14</v>
      </c>
      <c r="AL46" s="417">
        <f>SUM(F47:AH47)/8*1.5</f>
        <v>0</v>
      </c>
      <c r="AM46" s="419">
        <f>SUMIF($F$6:$AH$6,"C.Nhật",$F46:$AH47)/8*2</f>
        <v>0</v>
      </c>
      <c r="AN46" s="407">
        <f>SUM(AK46:AM47)</f>
        <v>14</v>
      </c>
      <c r="AO46" s="421">
        <v>0</v>
      </c>
      <c r="AP46" s="407"/>
      <c r="AQ46" s="407"/>
      <c r="AR46" s="407"/>
      <c r="AS46" s="409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2"/>
      <c r="B47" s="412"/>
      <c r="C47" s="414"/>
      <c r="D47" s="416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18"/>
      <c r="AL47" s="418"/>
      <c r="AM47" s="420"/>
      <c r="AN47" s="408"/>
      <c r="AO47" s="422"/>
      <c r="AP47" s="408"/>
      <c r="AQ47" s="408"/>
      <c r="AR47" s="408"/>
      <c r="AS47" s="410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1">
        <f>A46+1</f>
        <v>20</v>
      </c>
      <c r="B48" s="411" t="s">
        <v>102</v>
      </c>
      <c r="C48" s="413" t="str">
        <f>VLOOKUP(B48,DS,2,0)</f>
        <v>Sơn Thị Trường Sa</v>
      </c>
      <c r="D48" s="415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19"/>
      <c r="AJ48" s="319"/>
      <c r="AK48" s="417">
        <f>((SUM(F48:AH48))/8)-(SUMIF($F$6:$AH$6,"C.Nhật",F48:AH48)/8)</f>
        <v>18</v>
      </c>
      <c r="AL48" s="417">
        <f>SUM(F49:AH49)/8*1.5</f>
        <v>0</v>
      </c>
      <c r="AM48" s="419">
        <f>SUMIF($F$6:$AH$6,"C.Nhật",$F48:$AH49)/8*2</f>
        <v>0</v>
      </c>
      <c r="AN48" s="407">
        <f>SUM(AK48:AM49)</f>
        <v>18</v>
      </c>
      <c r="AO48" s="421">
        <v>0</v>
      </c>
      <c r="AP48" s="407"/>
      <c r="AQ48" s="407"/>
      <c r="AR48" s="407"/>
      <c r="AS48" s="409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2"/>
      <c r="B49" s="412"/>
      <c r="C49" s="414"/>
      <c r="D49" s="416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18"/>
      <c r="AL49" s="418"/>
      <c r="AM49" s="420"/>
      <c r="AN49" s="408"/>
      <c r="AO49" s="422"/>
      <c r="AP49" s="408"/>
      <c r="AQ49" s="408"/>
      <c r="AR49" s="408"/>
      <c r="AS49" s="410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1">
        <f>A48+1</f>
        <v>21</v>
      </c>
      <c r="B50" s="411" t="s">
        <v>103</v>
      </c>
      <c r="C50" s="413" t="str">
        <f>VLOOKUP(B50,DS,2,0)</f>
        <v>Lý Thị Sà Kha</v>
      </c>
      <c r="D50" s="415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19"/>
      <c r="AJ50" s="319"/>
      <c r="AK50" s="417">
        <f>((SUM(F50:AH50))/8)-(SUMIF($F$6:$AH$6,"C.Nhật",F50:AH50)/8)</f>
        <v>18</v>
      </c>
      <c r="AL50" s="417">
        <f>SUM(F51:AH51)/8*1.5</f>
        <v>0</v>
      </c>
      <c r="AM50" s="419">
        <f>SUMIF($F$6:$AH$6,"C.Nhật",$F50:$AH51)/8*2</f>
        <v>0</v>
      </c>
      <c r="AN50" s="407">
        <f>SUM(AK50:AM51)</f>
        <v>18</v>
      </c>
      <c r="AO50" s="421">
        <v>0</v>
      </c>
      <c r="AP50" s="407"/>
      <c r="AQ50" s="407"/>
      <c r="AR50" s="407"/>
      <c r="AS50" s="409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2"/>
      <c r="B51" s="412"/>
      <c r="C51" s="414"/>
      <c r="D51" s="416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18"/>
      <c r="AL51" s="418"/>
      <c r="AM51" s="420"/>
      <c r="AN51" s="408"/>
      <c r="AO51" s="422"/>
      <c r="AP51" s="408"/>
      <c r="AQ51" s="408"/>
      <c r="AR51" s="408"/>
      <c r="AS51" s="410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1">
        <f>A50+1</f>
        <v>22</v>
      </c>
      <c r="B52" s="411" t="s">
        <v>104</v>
      </c>
      <c r="C52" s="413" t="str">
        <f>VLOOKUP(B52,DS,2,0)</f>
        <v xml:space="preserve"> Lâm Thị Mộng Thường</v>
      </c>
      <c r="D52" s="415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19"/>
      <c r="AJ52" s="319"/>
      <c r="AK52" s="417">
        <f>((SUM(F52:AH52))/8)-(SUMIF($F$6:$AH$6,"C.Nhật",F52:AH52)/8)</f>
        <v>18</v>
      </c>
      <c r="AL52" s="417">
        <f>SUM(F53:AH53)/8*1.5</f>
        <v>0</v>
      </c>
      <c r="AM52" s="419">
        <f>SUMIF($F$6:$AH$6,"C.Nhật",$F52:$AH53)/8*2</f>
        <v>0</v>
      </c>
      <c r="AN52" s="407">
        <f>SUM(AK52:AM53)</f>
        <v>18</v>
      </c>
      <c r="AO52" s="421">
        <v>0</v>
      </c>
      <c r="AP52" s="407"/>
      <c r="AQ52" s="407"/>
      <c r="AR52" s="407"/>
      <c r="AS52" s="409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2"/>
      <c r="B53" s="412"/>
      <c r="C53" s="414"/>
      <c r="D53" s="416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0"/>
      <c r="AJ53" s="320"/>
      <c r="AK53" s="418"/>
      <c r="AL53" s="418"/>
      <c r="AM53" s="420"/>
      <c r="AN53" s="408"/>
      <c r="AO53" s="422"/>
      <c r="AP53" s="408"/>
      <c r="AQ53" s="408"/>
      <c r="AR53" s="408"/>
      <c r="AS53" s="410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08" customFormat="1" ht="21" customHeight="1">
      <c r="A54" s="306" t="s">
        <v>187</v>
      </c>
      <c r="B54" s="309" t="s">
        <v>188</v>
      </c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  <c r="AG54" s="310"/>
      <c r="AH54" s="310"/>
      <c r="AI54" s="310"/>
      <c r="AJ54" s="310"/>
      <c r="AK54" s="310"/>
      <c r="AL54" s="310"/>
      <c r="AM54" s="310"/>
      <c r="AN54" s="310"/>
      <c r="AO54" s="310"/>
      <c r="AP54" s="310"/>
      <c r="AQ54" s="310"/>
      <c r="AR54" s="310"/>
      <c r="AS54" s="311"/>
      <c r="AT54" s="307"/>
    </row>
    <row r="55" spans="1:90" s="67" customFormat="1" ht="18" customHeight="1">
      <c r="A55" s="411">
        <f>A52+1</f>
        <v>23</v>
      </c>
      <c r="B55" s="411" t="s">
        <v>113</v>
      </c>
      <c r="C55" s="413" t="str">
        <f>VLOOKUP(B55,DS,2,0)</f>
        <v>Nguyễn Văn Bé Hai</v>
      </c>
      <c r="D55" s="415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19"/>
      <c r="AJ55" s="319"/>
      <c r="AK55" s="417">
        <f>((SUM(F55:AH55))/8)-(SUMIF($F$6:$AH$6,"C.Nhật",F55:AH55)/8)</f>
        <v>18</v>
      </c>
      <c r="AL55" s="417">
        <f>SUM(F56:AH56)/8*1.5</f>
        <v>0</v>
      </c>
      <c r="AM55" s="419">
        <f>SUMIF($F$6:$AH$6,"C.Nhật",$F55:$AH56)/8*2</f>
        <v>0</v>
      </c>
      <c r="AN55" s="407">
        <f>SUM(AK55:AM56)</f>
        <v>18</v>
      </c>
      <c r="AO55" s="421">
        <v>0</v>
      </c>
      <c r="AP55" s="407"/>
      <c r="AQ55" s="407"/>
      <c r="AR55" s="407"/>
      <c r="AS55" s="409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2"/>
      <c r="B56" s="412"/>
      <c r="C56" s="414"/>
      <c r="D56" s="416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18"/>
      <c r="AL56" s="418"/>
      <c r="AM56" s="420"/>
      <c r="AN56" s="408"/>
      <c r="AO56" s="422"/>
      <c r="AP56" s="408"/>
      <c r="AQ56" s="408"/>
      <c r="AR56" s="408"/>
      <c r="AS56" s="410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1">
        <f>A55+1</f>
        <v>24</v>
      </c>
      <c r="B57" s="411" t="s">
        <v>114</v>
      </c>
      <c r="C57" s="413" t="str">
        <f>VLOOKUP(B57,DS,2,0)</f>
        <v>Thạch Tiền</v>
      </c>
      <c r="D57" s="415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19"/>
      <c r="AJ57" s="319"/>
      <c r="AK57" s="417">
        <f>((SUM(F57:AH57))/8)-(SUMIF($F$6:$AH$6,"C.Nhật",F57:AH57)/8)</f>
        <v>18</v>
      </c>
      <c r="AL57" s="417">
        <f>SUM(F58:AH58)/8*1.5</f>
        <v>0</v>
      </c>
      <c r="AM57" s="419">
        <f>SUMIF($F$6:$AH$6,"C.Nhật",$F57:$AH58)/8*2</f>
        <v>0</v>
      </c>
      <c r="AN57" s="407">
        <f>SUM(AK57:AM58)</f>
        <v>18</v>
      </c>
      <c r="AO57" s="421">
        <v>0</v>
      </c>
      <c r="AP57" s="407"/>
      <c r="AQ57" s="407"/>
      <c r="AR57" s="407"/>
      <c r="AS57" s="409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2"/>
      <c r="B58" s="412"/>
      <c r="C58" s="414"/>
      <c r="D58" s="416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18"/>
      <c r="AL58" s="418"/>
      <c r="AM58" s="420"/>
      <c r="AN58" s="408"/>
      <c r="AO58" s="422"/>
      <c r="AP58" s="408"/>
      <c r="AQ58" s="408"/>
      <c r="AR58" s="408"/>
      <c r="AS58" s="410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1">
        <f>A57+1</f>
        <v>25</v>
      </c>
      <c r="B59" s="411" t="s">
        <v>115</v>
      </c>
      <c r="C59" s="413" t="str">
        <f>VLOOKUP(B59,DS,2,0)</f>
        <v>Hứa Hậu</v>
      </c>
      <c r="D59" s="415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19"/>
      <c r="AJ59" s="319"/>
      <c r="AK59" s="417">
        <f>((SUM(F59:AH59))/8)-(SUMIF($F$6:$AH$6,"C.Nhật",F59:AH59)/8)</f>
        <v>17</v>
      </c>
      <c r="AL59" s="417">
        <f>SUM(F60:AH60)/8*1.5</f>
        <v>0</v>
      </c>
      <c r="AM59" s="419">
        <f>SUMIF($F$6:$AH$6,"C.Nhật",$F59:$AH60)/8*2</f>
        <v>0</v>
      </c>
      <c r="AN59" s="407">
        <f>SUM(AK59:AM60)</f>
        <v>17</v>
      </c>
      <c r="AO59" s="421">
        <v>0</v>
      </c>
      <c r="AP59" s="407"/>
      <c r="AQ59" s="407"/>
      <c r="AR59" s="407"/>
      <c r="AS59" s="409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2"/>
      <c r="B60" s="412"/>
      <c r="C60" s="414"/>
      <c r="D60" s="416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18"/>
      <c r="AL60" s="418"/>
      <c r="AM60" s="420"/>
      <c r="AN60" s="408"/>
      <c r="AO60" s="422"/>
      <c r="AP60" s="408"/>
      <c r="AQ60" s="408"/>
      <c r="AR60" s="408"/>
      <c r="AS60" s="410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1">
        <f>A59+1</f>
        <v>26</v>
      </c>
      <c r="B61" s="411" t="s">
        <v>116</v>
      </c>
      <c r="C61" s="413" t="str">
        <f>VLOOKUP(B61,DS,2,0)</f>
        <v>Sơn Pép</v>
      </c>
      <c r="D61" s="415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19"/>
      <c r="AJ61" s="319"/>
      <c r="AK61" s="417">
        <f>((SUM(F61:AH61))/8)-(SUMIF($F$6:$AH$6,"C.Nhật",F61:AH61)/8)</f>
        <v>18</v>
      </c>
      <c r="AL61" s="417">
        <f>SUM(F62:AH62)/8*1.5</f>
        <v>0</v>
      </c>
      <c r="AM61" s="419">
        <f>SUMIF($F$6:$AH$6,"C.Nhật",$F61:$AH62)/8*2</f>
        <v>0</v>
      </c>
      <c r="AN61" s="407">
        <f>SUM(AK61:AM62)</f>
        <v>18</v>
      </c>
      <c r="AO61" s="421">
        <v>0</v>
      </c>
      <c r="AP61" s="407"/>
      <c r="AQ61" s="407"/>
      <c r="AR61" s="407"/>
      <c r="AS61" s="409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2"/>
      <c r="B62" s="412"/>
      <c r="C62" s="414"/>
      <c r="D62" s="416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18"/>
      <c r="AL62" s="418"/>
      <c r="AM62" s="420"/>
      <c r="AN62" s="408"/>
      <c r="AO62" s="422"/>
      <c r="AP62" s="408"/>
      <c r="AQ62" s="408"/>
      <c r="AR62" s="408"/>
      <c r="AS62" s="410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1">
        <f>A61+1</f>
        <v>27</v>
      </c>
      <c r="B63" s="411" t="s">
        <v>117</v>
      </c>
      <c r="C63" s="413" t="str">
        <f>VLOOKUP(B63,DS,2,0)</f>
        <v>Sơn Lét</v>
      </c>
      <c r="D63" s="415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19"/>
      <c r="AJ63" s="319"/>
      <c r="AK63" s="417">
        <f>((SUM(F63:AH63))/8)-(SUMIF($F$6:$AH$6,"C.Nhật",F63:AH63)/8)</f>
        <v>17</v>
      </c>
      <c r="AL63" s="417">
        <f>SUM(F64:AH64)/8*1.5</f>
        <v>0</v>
      </c>
      <c r="AM63" s="419">
        <f>SUMIF($F$6:$AH$6,"C.Nhật",$F63:$AH64)/8*2</f>
        <v>0</v>
      </c>
      <c r="AN63" s="407">
        <f>SUM(AK63:AM64)</f>
        <v>17</v>
      </c>
      <c r="AO63" s="421">
        <v>0</v>
      </c>
      <c r="AP63" s="407"/>
      <c r="AQ63" s="407"/>
      <c r="AR63" s="407"/>
      <c r="AS63" s="409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2"/>
      <c r="B64" s="412"/>
      <c r="C64" s="414"/>
      <c r="D64" s="416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18"/>
      <c r="AL64" s="418"/>
      <c r="AM64" s="420"/>
      <c r="AN64" s="408"/>
      <c r="AO64" s="422"/>
      <c r="AP64" s="408"/>
      <c r="AQ64" s="408"/>
      <c r="AR64" s="408"/>
      <c r="AS64" s="410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1">
        <f>A63+1</f>
        <v>28</v>
      </c>
      <c r="B65" s="411" t="s">
        <v>118</v>
      </c>
      <c r="C65" s="413" t="str">
        <f>VLOOKUP(B65,DS,2,0)</f>
        <v>Trần Nhiên</v>
      </c>
      <c r="D65" s="415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19"/>
      <c r="AJ65" s="319"/>
      <c r="AK65" s="417">
        <f>((SUM(F65:AH65))/8)-(SUMIF($F$6:$AH$6,"C.Nhật",F65:AH65)/8)</f>
        <v>18</v>
      </c>
      <c r="AL65" s="417">
        <f>SUM(F66:AH66)/8*1.5</f>
        <v>0</v>
      </c>
      <c r="AM65" s="419">
        <f>SUMIF($F$6:$AH$6,"C.Nhật",$F65:$AH66)/8*2</f>
        <v>0</v>
      </c>
      <c r="AN65" s="407">
        <f>SUM(AK65:AM66)</f>
        <v>18</v>
      </c>
      <c r="AO65" s="421">
        <v>0</v>
      </c>
      <c r="AP65" s="407"/>
      <c r="AQ65" s="407"/>
      <c r="AR65" s="407"/>
      <c r="AS65" s="409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2"/>
      <c r="B66" s="412"/>
      <c r="C66" s="414"/>
      <c r="D66" s="416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18"/>
      <c r="AL66" s="418"/>
      <c r="AM66" s="420"/>
      <c r="AN66" s="408"/>
      <c r="AO66" s="422"/>
      <c r="AP66" s="408"/>
      <c r="AQ66" s="408"/>
      <c r="AR66" s="408"/>
      <c r="AS66" s="410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1">
        <f>A65+1</f>
        <v>29</v>
      </c>
      <c r="B67" s="411" t="s">
        <v>119</v>
      </c>
      <c r="C67" s="413" t="str">
        <f>VLOOKUP(B67,DS,2,0)</f>
        <v>Thạch Giang</v>
      </c>
      <c r="D67" s="415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19"/>
      <c r="AJ67" s="319"/>
      <c r="AK67" s="417">
        <f>((SUM(F67:AH67))/8)-(SUMIF($F$6:$AH$6,"C.Nhật",F67:AH67)/8)</f>
        <v>17</v>
      </c>
      <c r="AL67" s="417">
        <f>SUM(F68:AH68)/8*1.5</f>
        <v>0</v>
      </c>
      <c r="AM67" s="419">
        <f>SUMIF($F$6:$AH$6,"C.Nhật",$F67:$AH68)/8*2</f>
        <v>0</v>
      </c>
      <c r="AN67" s="407">
        <f>SUM(AK67:AM68)</f>
        <v>17</v>
      </c>
      <c r="AO67" s="421">
        <v>0</v>
      </c>
      <c r="AP67" s="407"/>
      <c r="AQ67" s="407"/>
      <c r="AR67" s="407"/>
      <c r="AS67" s="409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2"/>
      <c r="B68" s="412"/>
      <c r="C68" s="414"/>
      <c r="D68" s="416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18"/>
      <c r="AL68" s="418"/>
      <c r="AM68" s="420"/>
      <c r="AN68" s="408"/>
      <c r="AO68" s="422"/>
      <c r="AP68" s="408"/>
      <c r="AQ68" s="408"/>
      <c r="AR68" s="408"/>
      <c r="AS68" s="410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1">
        <f>A67+1</f>
        <v>30</v>
      </c>
      <c r="B69" s="411" t="s">
        <v>120</v>
      </c>
      <c r="C69" s="413" t="str">
        <f>VLOOKUP(B69,DS,2,0)</f>
        <v>Thạch Quyền</v>
      </c>
      <c r="D69" s="415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19"/>
      <c r="AJ69" s="319"/>
      <c r="AK69" s="417">
        <f>((SUM(F69:AH69))/8)-(SUMIF($F$6:$AH$6,"C.Nhật",F69:AH69)/8)</f>
        <v>17</v>
      </c>
      <c r="AL69" s="417">
        <f>SUM(F70:AH70)/8*1.5</f>
        <v>0</v>
      </c>
      <c r="AM69" s="419">
        <f>SUMIF($F$6:$AH$6,"C.Nhật",$F69:$AH70)/8*2</f>
        <v>0</v>
      </c>
      <c r="AN69" s="407">
        <f>SUM(AK69:AM70)</f>
        <v>17</v>
      </c>
      <c r="AO69" s="421">
        <v>0</v>
      </c>
      <c r="AP69" s="407"/>
      <c r="AQ69" s="407"/>
      <c r="AR69" s="407"/>
      <c r="AS69" s="409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2"/>
      <c r="B70" s="412"/>
      <c r="C70" s="414"/>
      <c r="D70" s="416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18"/>
      <c r="AL70" s="418"/>
      <c r="AM70" s="420"/>
      <c r="AN70" s="408"/>
      <c r="AO70" s="422"/>
      <c r="AP70" s="408"/>
      <c r="AQ70" s="408"/>
      <c r="AR70" s="408"/>
      <c r="AS70" s="410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1">
        <f>A69+1</f>
        <v>31</v>
      </c>
      <c r="B71" s="411" t="s">
        <v>121</v>
      </c>
      <c r="C71" s="413" t="str">
        <f>VLOOKUP(B71,DS,2,0)</f>
        <v>Lâm Lin</v>
      </c>
      <c r="D71" s="415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19"/>
      <c r="AJ71" s="319"/>
      <c r="AK71" s="417">
        <f>((SUM(F71:AH71))/8)-(SUMIF($F$6:$AH$6,"C.Nhật",F71:AH71)/8)</f>
        <v>17</v>
      </c>
      <c r="AL71" s="417">
        <f>SUM(F72:AH72)/8*1.5</f>
        <v>0</v>
      </c>
      <c r="AM71" s="419">
        <f>SUMIF($F$6:$AH$6,"C.Nhật",$F71:$AH72)/8*2</f>
        <v>0</v>
      </c>
      <c r="AN71" s="407">
        <f>SUM(AK71:AM72)</f>
        <v>17</v>
      </c>
      <c r="AO71" s="421">
        <v>0</v>
      </c>
      <c r="AP71" s="407"/>
      <c r="AQ71" s="407"/>
      <c r="AR71" s="407"/>
      <c r="AS71" s="409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2"/>
      <c r="B72" s="412"/>
      <c r="C72" s="414"/>
      <c r="D72" s="416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18"/>
      <c r="AL72" s="418"/>
      <c r="AM72" s="420"/>
      <c r="AN72" s="408"/>
      <c r="AO72" s="422"/>
      <c r="AP72" s="408"/>
      <c r="AQ72" s="408"/>
      <c r="AR72" s="408"/>
      <c r="AS72" s="410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1">
        <f>A71+1</f>
        <v>32</v>
      </c>
      <c r="B73" s="411" t="s">
        <v>122</v>
      </c>
      <c r="C73" s="413" t="str">
        <f>VLOOKUP(B73,DS,2,0)</f>
        <v>Lâm Chanh Đa Ra</v>
      </c>
      <c r="D73" s="415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19"/>
      <c r="AJ73" s="319"/>
      <c r="AK73" s="417">
        <f>((SUM(F73:AH73))/8)-(SUMIF($F$6:$AH$6,"C.Nhật",F73:AH73)/8)</f>
        <v>17</v>
      </c>
      <c r="AL73" s="417">
        <f>SUM(F74:AH74)/8*1.5</f>
        <v>0</v>
      </c>
      <c r="AM73" s="419">
        <f>SUMIF($F$6:$AH$6,"C.Nhật",$F73:$AH74)/8*2</f>
        <v>0</v>
      </c>
      <c r="AN73" s="407">
        <f>SUM(AK73:AM74)</f>
        <v>17</v>
      </c>
      <c r="AO73" s="421">
        <v>0</v>
      </c>
      <c r="AP73" s="407"/>
      <c r="AQ73" s="407"/>
      <c r="AR73" s="407"/>
      <c r="AS73" s="409"/>
      <c r="AT73" s="295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2"/>
      <c r="B74" s="412"/>
      <c r="C74" s="414"/>
      <c r="D74" s="416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0"/>
      <c r="AJ74" s="320"/>
      <c r="AK74" s="418"/>
      <c r="AL74" s="418"/>
      <c r="AM74" s="420"/>
      <c r="AN74" s="408"/>
      <c r="AO74" s="422"/>
      <c r="AP74" s="408"/>
      <c r="AQ74" s="408"/>
      <c r="AR74" s="408"/>
      <c r="AS74" s="410"/>
      <c r="AT74" s="295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3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3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53" t="s">
        <v>112</v>
      </c>
      <c r="AN102" s="454"/>
      <c r="AO102" s="454"/>
      <c r="AP102" s="454"/>
      <c r="AQ102" s="454"/>
      <c r="AR102" s="454"/>
      <c r="AS102" s="455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9" t="s">
        <v>28</v>
      </c>
      <c r="B106" s="439" t="s">
        <v>3</v>
      </c>
      <c r="C106" s="439" t="s">
        <v>1</v>
      </c>
      <c r="D106" s="440" t="s">
        <v>29</v>
      </c>
      <c r="E106" s="439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1"/>
      <c r="AJ106" s="321"/>
      <c r="AK106" s="441" t="s">
        <v>15</v>
      </c>
      <c r="AL106" s="442"/>
      <c r="AM106" s="443"/>
      <c r="AN106" s="432" t="s">
        <v>45</v>
      </c>
      <c r="AO106" s="432" t="s">
        <v>41</v>
      </c>
      <c r="AP106" s="432" t="s">
        <v>42</v>
      </c>
      <c r="AQ106" s="432" t="s">
        <v>43</v>
      </c>
      <c r="AR106" s="432" t="s">
        <v>44</v>
      </c>
      <c r="AS106" s="434" t="s">
        <v>0</v>
      </c>
      <c r="AT106" s="42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439"/>
      <c r="B107" s="439"/>
      <c r="C107" s="439"/>
      <c r="D107" s="439"/>
      <c r="E107" s="439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433"/>
      <c r="AO107" s="433"/>
      <c r="AP107" s="433"/>
      <c r="AQ107" s="433"/>
      <c r="AR107" s="433"/>
      <c r="AS107" s="435"/>
      <c r="AT107" s="42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3">
        <v>1</v>
      </c>
      <c r="B108" s="323">
        <v>2</v>
      </c>
      <c r="C108" s="323">
        <v>3</v>
      </c>
      <c r="D108" s="323">
        <v>4</v>
      </c>
      <c r="E108" s="323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25">
        <v>1</v>
      </c>
      <c r="B109" s="425" t="s">
        <v>68</v>
      </c>
      <c r="C109" s="413" t="str">
        <f>VLOOKUP(B109,DS,2,0)</f>
        <v>Nguyễn Thiện Duy</v>
      </c>
      <c r="D109" s="415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19"/>
      <c r="AJ109" s="319"/>
      <c r="AK109" s="417">
        <f>((SUM(F109:AH109))/8)-(SUMIF($F$6:$AH$6,"C.Nhật",F109:AH109)/8)</f>
        <v>17</v>
      </c>
      <c r="AL109" s="417">
        <f>SUM(F110:AH110)/8*1.5</f>
        <v>0</v>
      </c>
      <c r="AM109" s="419">
        <f>SUMIF($F$6:$AH$6,"C.Nhật",$F109:$AH110)/8*2</f>
        <v>0</v>
      </c>
      <c r="AN109" s="407">
        <f>SUM(AK109:AM110)</f>
        <v>17</v>
      </c>
      <c r="AO109" s="423">
        <v>0</v>
      </c>
      <c r="AP109" s="428"/>
      <c r="AQ109" s="428"/>
      <c r="AR109" s="428"/>
      <c r="AS109" s="430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26"/>
      <c r="B110" s="426"/>
      <c r="C110" s="414"/>
      <c r="D110" s="416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18"/>
      <c r="AL110" s="418"/>
      <c r="AM110" s="420"/>
      <c r="AN110" s="408"/>
      <c r="AO110" s="424"/>
      <c r="AP110" s="429"/>
      <c r="AQ110" s="429"/>
      <c r="AR110" s="429"/>
      <c r="AS110" s="431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25">
        <f>A109+1</f>
        <v>2</v>
      </c>
      <c r="B111" s="425" t="s">
        <v>70</v>
      </c>
      <c r="C111" s="413" t="str">
        <f>VLOOKUP(B111,DS,2,0)</f>
        <v>Nguyễn Văn Sẽ</v>
      </c>
      <c r="D111" s="415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19"/>
      <c r="AJ111" s="319"/>
      <c r="AK111" s="417">
        <f>((SUM(F111:AH111))/8)-(SUMIF($F$6:$AH$6,"C.Nhật",F111:AH111)/8)</f>
        <v>17</v>
      </c>
      <c r="AL111" s="417">
        <f>SUM(F112:AH112)/8*1.5</f>
        <v>0</v>
      </c>
      <c r="AM111" s="419">
        <f>SUMIF($F$6:$AH$6,"C.Nhật",$F111:$AH112)/8*2</f>
        <v>0</v>
      </c>
      <c r="AN111" s="407">
        <f>SUM(AK111:AM112)</f>
        <v>17</v>
      </c>
      <c r="AO111" s="423">
        <v>0</v>
      </c>
      <c r="AP111" s="428"/>
      <c r="AQ111" s="428"/>
      <c r="AR111" s="428"/>
      <c r="AS111" s="430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26"/>
      <c r="B112" s="426"/>
      <c r="C112" s="414"/>
      <c r="D112" s="416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18"/>
      <c r="AL112" s="418"/>
      <c r="AM112" s="420"/>
      <c r="AN112" s="408"/>
      <c r="AO112" s="424"/>
      <c r="AP112" s="429"/>
      <c r="AQ112" s="429"/>
      <c r="AR112" s="429"/>
      <c r="AS112" s="431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25">
        <f>A111+1</f>
        <v>3</v>
      </c>
      <c r="B113" s="425" t="s">
        <v>72</v>
      </c>
      <c r="C113" s="413" t="str">
        <f>VLOOKUP(B113,DS,2,0)</f>
        <v>Võ Uyên Phương</v>
      </c>
      <c r="D113" s="415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19"/>
      <c r="AJ113" s="319"/>
      <c r="AK113" s="417">
        <f>((SUM(F113:AH113))/8)-(SUMIF($F$6:$AH$6,"C.Nhật",F113:AH113)/8)</f>
        <v>17</v>
      </c>
      <c r="AL113" s="417">
        <f>SUM(F114:AH114)/8*1.5</f>
        <v>0</v>
      </c>
      <c r="AM113" s="419">
        <f>SUMIF($F$6:$AH$6,"C.Nhật",$F113:$AH114)/8*2</f>
        <v>0</v>
      </c>
      <c r="AN113" s="407">
        <f>SUM(AK113:AM114)</f>
        <v>17</v>
      </c>
      <c r="AO113" s="423">
        <v>0</v>
      </c>
      <c r="AP113" s="428"/>
      <c r="AQ113" s="428"/>
      <c r="AR113" s="428"/>
      <c r="AS113" s="430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26"/>
      <c r="B114" s="426"/>
      <c r="C114" s="414"/>
      <c r="D114" s="416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18"/>
      <c r="AL114" s="418"/>
      <c r="AM114" s="420"/>
      <c r="AN114" s="408"/>
      <c r="AO114" s="424"/>
      <c r="AP114" s="429"/>
      <c r="AQ114" s="429"/>
      <c r="AR114" s="429"/>
      <c r="AS114" s="431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25">
        <f>A113+1</f>
        <v>4</v>
      </c>
      <c r="B115" s="425" t="s">
        <v>75</v>
      </c>
      <c r="C115" s="413" t="str">
        <f>VLOOKUP(B115,DS,2,0)</f>
        <v>Lê Nguyễn Huy Cường</v>
      </c>
      <c r="D115" s="415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19"/>
      <c r="AJ115" s="319"/>
      <c r="AK115" s="417">
        <f>((SUM(F115:AH115))/8)-(SUMIF($F$6:$AH$6,"C.Nhật",F115:AH115)/8)</f>
        <v>18</v>
      </c>
      <c r="AL115" s="417">
        <f>SUM(F116:AH116)/8*1.5</f>
        <v>0</v>
      </c>
      <c r="AM115" s="419">
        <f>SUMIF($F$6:$AH$6,"C.Nhật",$F115:$AH116)/8*2</f>
        <v>0</v>
      </c>
      <c r="AN115" s="407">
        <f>SUM(AK115:AM116)</f>
        <v>18</v>
      </c>
      <c r="AO115" s="423">
        <v>0</v>
      </c>
      <c r="AP115" s="428"/>
      <c r="AQ115" s="428"/>
      <c r="AR115" s="428"/>
      <c r="AS115" s="430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26"/>
      <c r="B116" s="426"/>
      <c r="C116" s="414"/>
      <c r="D116" s="416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18"/>
      <c r="AL116" s="418"/>
      <c r="AM116" s="420"/>
      <c r="AN116" s="408"/>
      <c r="AO116" s="424"/>
      <c r="AP116" s="429"/>
      <c r="AQ116" s="429"/>
      <c r="AR116" s="429"/>
      <c r="AS116" s="431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25">
        <f>A115+1</f>
        <v>5</v>
      </c>
      <c r="B117" s="425" t="s">
        <v>77</v>
      </c>
      <c r="C117" s="413" t="str">
        <f>VLOOKUP(B117,DS,2,0)</f>
        <v>Nguyễn Văn Bé Tư</v>
      </c>
      <c r="D117" s="415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19"/>
      <c r="AJ117" s="319"/>
      <c r="AK117" s="417">
        <f>((SUM(F117:AH117))/8)-(SUMIF($F$6:$AH$6,"C.Nhật",F117:AH117)/8)</f>
        <v>17</v>
      </c>
      <c r="AL117" s="417">
        <f>SUM(F118:AH118)/8*1.5</f>
        <v>0</v>
      </c>
      <c r="AM117" s="419">
        <f>SUMIF($F$6:$AH$6,"C.Nhật",$F117:$AH118)/8*2</f>
        <v>0</v>
      </c>
      <c r="AN117" s="407">
        <f>SUM(AK117:AM118)</f>
        <v>17</v>
      </c>
      <c r="AO117" s="423">
        <v>0</v>
      </c>
      <c r="AP117" s="428"/>
      <c r="AQ117" s="428"/>
      <c r="AR117" s="428"/>
      <c r="AS117" s="430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26"/>
      <c r="B118" s="426"/>
      <c r="C118" s="414"/>
      <c r="D118" s="416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18"/>
      <c r="AL118" s="418"/>
      <c r="AM118" s="420"/>
      <c r="AN118" s="408"/>
      <c r="AO118" s="424"/>
      <c r="AP118" s="429"/>
      <c r="AQ118" s="429"/>
      <c r="AR118" s="429"/>
      <c r="AS118" s="431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25">
        <f>A117+1</f>
        <v>6</v>
      </c>
      <c r="B119" s="425" t="s">
        <v>78</v>
      </c>
      <c r="C119" s="413" t="str">
        <f>VLOOKUP(B119,DS,2,0)</f>
        <v>Dương Thanh Tuấn</v>
      </c>
      <c r="D119" s="415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19"/>
      <c r="AJ119" s="319"/>
      <c r="AK119" s="417">
        <f>((SUM(F119:AH119))/8)-(SUMIF($F$6:$AH$6,"C.Nhật",F119:AH119)/8)</f>
        <v>16</v>
      </c>
      <c r="AL119" s="417">
        <f>SUM(F120:AH120)/8*1.5</f>
        <v>0</v>
      </c>
      <c r="AM119" s="419">
        <f>SUMIF($F$6:$AH$6,"C.Nhật",$F119:$AH120)/8*2</f>
        <v>0</v>
      </c>
      <c r="AN119" s="407">
        <f>SUM(AK119:AM120)</f>
        <v>16</v>
      </c>
      <c r="AO119" s="423">
        <v>0</v>
      </c>
      <c r="AP119" s="428"/>
      <c r="AQ119" s="428"/>
      <c r="AR119" s="428"/>
      <c r="AS119" s="430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26"/>
      <c r="B120" s="426"/>
      <c r="C120" s="414"/>
      <c r="D120" s="416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18"/>
      <c r="AL120" s="418"/>
      <c r="AM120" s="420"/>
      <c r="AN120" s="408"/>
      <c r="AO120" s="424"/>
      <c r="AP120" s="429"/>
      <c r="AQ120" s="429"/>
      <c r="AR120" s="429"/>
      <c r="AS120" s="431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25">
        <f>A119+1</f>
        <v>7</v>
      </c>
      <c r="B121" s="425" t="s">
        <v>81</v>
      </c>
      <c r="C121" s="413" t="str">
        <f>VLOOKUP(B121,DS,2,0)</f>
        <v>Nguyễn Thiện Duyệt</v>
      </c>
      <c r="D121" s="415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19"/>
      <c r="AJ121" s="319"/>
      <c r="AK121" s="417">
        <f>((SUM(F121:AH121))/8)-(SUMIF($F$6:$AH$6,"C.Nhật",F121:AH121)/8)</f>
        <v>16</v>
      </c>
      <c r="AL121" s="417">
        <f>SUM(F122:AH122)/8*1.5</f>
        <v>0</v>
      </c>
      <c r="AM121" s="419">
        <f>SUMIF($F$6:$AH$6,"C.Nhật",$F121:$AH122)/8*2</f>
        <v>0</v>
      </c>
      <c r="AN121" s="407">
        <f>SUM(AK121:AM122)</f>
        <v>16</v>
      </c>
      <c r="AO121" s="423">
        <v>0</v>
      </c>
      <c r="AP121" s="428"/>
      <c r="AQ121" s="428"/>
      <c r="AR121" s="428"/>
      <c r="AS121" s="430"/>
      <c r="AT121" s="296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26"/>
      <c r="B122" s="426"/>
      <c r="C122" s="414"/>
      <c r="D122" s="416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0"/>
      <c r="AJ122" s="320"/>
      <c r="AK122" s="418"/>
      <c r="AL122" s="418"/>
      <c r="AM122" s="420"/>
      <c r="AN122" s="408"/>
      <c r="AO122" s="424"/>
      <c r="AP122" s="429"/>
      <c r="AQ122" s="429"/>
      <c r="AR122" s="429"/>
      <c r="AS122" s="431"/>
      <c r="AT122" s="296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10" priority="5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3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K34" sqref="K34:K4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87" t="str">
        <f>"BẢNG THANH TOÁN LƯƠNG THÁNG"&amp;" "&amp;TEXT($E$4,"mm")&amp;" / "&amp;TEXT($E$4,"yyyy")</f>
        <v>BẢNG THANH TOÁN LƯƠNG THÁNG 02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297" t="s">
        <v>40</v>
      </c>
      <c r="G7" s="294" t="s">
        <v>18</v>
      </c>
      <c r="H7" s="297" t="s">
        <v>40</v>
      </c>
      <c r="I7" s="301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 t="s">
        <v>194</v>
      </c>
      <c r="F12" s="315"/>
      <c r="G12" s="315"/>
      <c r="H12" s="315"/>
      <c r="I12" s="315"/>
      <c r="J12" s="315"/>
      <c r="K12" s="315" t="s">
        <v>194</v>
      </c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6" t="s">
        <v>188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40"/>
      <c r="O33" s="40"/>
      <c r="P33" s="40"/>
      <c r="Q33" s="315"/>
      <c r="R33" s="315"/>
      <c r="S33" s="315"/>
      <c r="T33" s="315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4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2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86" t="s">
        <v>25</v>
      </c>
      <c r="B45" s="486"/>
      <c r="C45" s="486"/>
      <c r="D45" s="486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299"/>
      <c r="C58" s="299"/>
      <c r="D58" s="467" t="str">
        <f>D1</f>
        <v>BẢNG THANH TOÁN LƯƠNG THÁNG 02 / 2016</v>
      </c>
      <c r="E58" s="467"/>
      <c r="F58" s="467"/>
      <c r="G58" s="467"/>
      <c r="H58" s="467"/>
      <c r="I58" s="467"/>
      <c r="J58" s="467"/>
      <c r="K58" s="467"/>
      <c r="L58" s="467"/>
      <c r="M58" s="467"/>
      <c r="N58" s="467"/>
      <c r="O58" s="467"/>
      <c r="P58" s="467"/>
      <c r="Q58" s="468"/>
      <c r="R58" s="469" t="s">
        <v>112</v>
      </c>
      <c r="S58" s="470"/>
      <c r="T58" s="47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299"/>
      <c r="C60" s="299"/>
      <c r="D60" s="299"/>
      <c r="E60" s="200"/>
      <c r="F60" s="299"/>
      <c r="G60" s="299"/>
      <c r="H60" s="299"/>
      <c r="I60" s="299"/>
      <c r="J60" s="201"/>
      <c r="K60" s="299"/>
      <c r="L60" s="299"/>
      <c r="M60" s="299"/>
      <c r="N60" s="299"/>
      <c r="O60" s="299"/>
      <c r="P60" s="299"/>
      <c r="Q60" s="299"/>
      <c r="R60" s="299"/>
      <c r="S60" s="299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72" t="s">
        <v>19</v>
      </c>
      <c r="B62" s="472" t="s">
        <v>20</v>
      </c>
      <c r="C62" s="474" t="s">
        <v>1</v>
      </c>
      <c r="D62" s="474" t="s">
        <v>2</v>
      </c>
      <c r="E62" s="475" t="s">
        <v>56</v>
      </c>
      <c r="F62" s="476" t="s">
        <v>26</v>
      </c>
      <c r="G62" s="477"/>
      <c r="H62" s="477"/>
      <c r="I62" s="477"/>
      <c r="J62" s="477"/>
      <c r="K62" s="478"/>
      <c r="L62" s="458" t="s">
        <v>57</v>
      </c>
      <c r="M62" s="458" t="s">
        <v>5</v>
      </c>
      <c r="N62" s="474" t="s">
        <v>6</v>
      </c>
      <c r="O62" s="474"/>
      <c r="P62" s="474"/>
      <c r="Q62" s="461" t="s">
        <v>7</v>
      </c>
      <c r="R62" s="461" t="s">
        <v>8</v>
      </c>
      <c r="S62" s="461" t="s">
        <v>9</v>
      </c>
      <c r="T62" s="479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73"/>
      <c r="B63" s="473"/>
      <c r="C63" s="474"/>
      <c r="D63" s="474"/>
      <c r="E63" s="475"/>
      <c r="F63" s="476" t="s">
        <v>59</v>
      </c>
      <c r="G63" s="478"/>
      <c r="H63" s="481" t="s">
        <v>189</v>
      </c>
      <c r="I63" s="482"/>
      <c r="J63" s="463" t="s">
        <v>27</v>
      </c>
      <c r="K63" s="461" t="s">
        <v>4</v>
      </c>
      <c r="L63" s="459"/>
      <c r="M63" s="459"/>
      <c r="N63" s="465" t="s">
        <v>12</v>
      </c>
      <c r="O63" s="461" t="s">
        <v>13</v>
      </c>
      <c r="P63" s="461" t="s">
        <v>34</v>
      </c>
      <c r="Q63" s="462"/>
      <c r="R63" s="462"/>
      <c r="S63" s="462"/>
      <c r="T63" s="480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73"/>
      <c r="B64" s="473"/>
      <c r="C64" s="461"/>
      <c r="D64" s="461"/>
      <c r="E64" s="475"/>
      <c r="F64" s="300" t="s">
        <v>40</v>
      </c>
      <c r="G64" s="301" t="s">
        <v>18</v>
      </c>
      <c r="H64" s="297" t="s">
        <v>40</v>
      </c>
      <c r="I64" s="301" t="s">
        <v>18</v>
      </c>
      <c r="J64" s="464"/>
      <c r="K64" s="462"/>
      <c r="L64" s="460"/>
      <c r="M64" s="460"/>
      <c r="N64" s="466"/>
      <c r="O64" s="462"/>
      <c r="P64" s="462"/>
      <c r="Q64" s="462"/>
      <c r="R64" s="462"/>
      <c r="S64" s="462"/>
      <c r="T64" s="480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3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56" t="s">
        <v>25</v>
      </c>
      <c r="B74" s="457"/>
      <c r="C74" s="457"/>
      <c r="D74" s="457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15 B16:B32 A16:A35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T.Ba</v>
      </c>
      <c r="G6" s="302" t="str">
        <f t="shared" ref="G6:AJ6" si="1">CHOOSE(WEEKDAY(G5),"C.Nhật","T.Hai","T.Ba","T.Tư","T.Năm","T.Sáu","T.Bảy")</f>
        <v>T.Tư</v>
      </c>
      <c r="H6" s="302" t="str">
        <f t="shared" si="1"/>
        <v>T.Năm</v>
      </c>
      <c r="I6" s="302" t="str">
        <f t="shared" si="1"/>
        <v>T.Sáu</v>
      </c>
      <c r="J6" s="302" t="str">
        <f t="shared" si="1"/>
        <v>T.Bảy</v>
      </c>
      <c r="K6" s="302" t="str">
        <f t="shared" si="1"/>
        <v>C.Nhật</v>
      </c>
      <c r="L6" s="302" t="str">
        <f t="shared" si="1"/>
        <v>T.Hai</v>
      </c>
      <c r="M6" s="302" t="str">
        <f t="shared" si="1"/>
        <v>T.Ba</v>
      </c>
      <c r="N6" s="302" t="str">
        <f t="shared" si="1"/>
        <v>T.Tư</v>
      </c>
      <c r="O6" s="302" t="str">
        <f t="shared" si="1"/>
        <v>T.Năm</v>
      </c>
      <c r="P6" s="302" t="str">
        <f t="shared" si="1"/>
        <v>T.Sáu</v>
      </c>
      <c r="Q6" s="302" t="str">
        <f t="shared" si="1"/>
        <v>T.Bảy</v>
      </c>
      <c r="R6" s="302" t="str">
        <f t="shared" si="1"/>
        <v>C.Nhật</v>
      </c>
      <c r="S6" s="302" t="str">
        <f t="shared" si="1"/>
        <v>T.Hai</v>
      </c>
      <c r="T6" s="302" t="str">
        <f t="shared" si="1"/>
        <v>T.Ba</v>
      </c>
      <c r="U6" s="302" t="str">
        <f t="shared" si="1"/>
        <v>T.Tư</v>
      </c>
      <c r="V6" s="302" t="str">
        <f t="shared" si="1"/>
        <v>T.Năm</v>
      </c>
      <c r="W6" s="302" t="str">
        <f t="shared" si="1"/>
        <v>T.Sáu</v>
      </c>
      <c r="X6" s="302" t="str">
        <f t="shared" si="1"/>
        <v>T.Bảy</v>
      </c>
      <c r="Y6" s="302" t="str">
        <f t="shared" si="1"/>
        <v>C.Nhật</v>
      </c>
      <c r="Z6" s="302" t="str">
        <f t="shared" si="1"/>
        <v>T.Hai</v>
      </c>
      <c r="AA6" s="302" t="str">
        <f t="shared" si="1"/>
        <v>T.Ba</v>
      </c>
      <c r="AB6" s="302" t="str">
        <f t="shared" si="1"/>
        <v>T.Tư</v>
      </c>
      <c r="AC6" s="302" t="str">
        <f t="shared" si="1"/>
        <v>T.Năm</v>
      </c>
      <c r="AD6" s="302" t="str">
        <f t="shared" si="1"/>
        <v>T.Sáu</v>
      </c>
      <c r="AE6" s="302" t="str">
        <f t="shared" si="1"/>
        <v>T.Bảy</v>
      </c>
      <c r="AF6" s="302" t="str">
        <f t="shared" si="1"/>
        <v>C.Nhật</v>
      </c>
      <c r="AG6" s="302" t="str">
        <f t="shared" si="1"/>
        <v>T.Hai</v>
      </c>
      <c r="AH6" s="302" t="str">
        <f t="shared" si="1"/>
        <v>T.Ba</v>
      </c>
      <c r="AI6" s="302" t="str">
        <f t="shared" si="1"/>
        <v>T.Tư</v>
      </c>
      <c r="AJ6" s="302" t="str">
        <f t="shared" si="1"/>
        <v>T.Năm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417">
        <f>((SUM(F9:AJ9))/8)-(SUMIF($F$6:$AJ$6,"C.Nhật",F9:AJ9)/8)</f>
        <v>26</v>
      </c>
      <c r="AL9" s="417">
        <f>SUM(F10:AJ10)/8*1.5</f>
        <v>0</v>
      </c>
      <c r="AM9" s="419">
        <f>SUMIF($F$6:$AJ$6,"C.Nhật",$F9:$AJ10)/8*2</f>
        <v>0</v>
      </c>
      <c r="AN9" s="407">
        <f>SUM(AK9:AM10)</f>
        <v>26</v>
      </c>
      <c r="AO9" s="421">
        <v>0</v>
      </c>
      <c r="AP9" s="407"/>
      <c r="AQ9" s="407"/>
      <c r="AR9" s="407"/>
      <c r="AS9" s="409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417">
        <f>((SUM(F11:AJ11))/8)-(SUMIF($F$6:$AJ$6,"C.Nhật",F11:AJ11)/8)</f>
        <v>25</v>
      </c>
      <c r="AL11" s="417">
        <f>SUM(F12:AJ12)/8*1.5</f>
        <v>0</v>
      </c>
      <c r="AM11" s="419">
        <f>SUMIF($F$6:$AJ$6,"C.Nhật",$F11:$AJ12)/8*2</f>
        <v>0</v>
      </c>
      <c r="AN11" s="407">
        <f>SUM(AK11:AM12)</f>
        <v>25</v>
      </c>
      <c r="AO11" s="421">
        <v>1</v>
      </c>
      <c r="AP11" s="407"/>
      <c r="AQ11" s="407"/>
      <c r="AR11" s="407"/>
      <c r="AS11" s="409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417">
        <f>((SUM(F14:AJ14))/8)-(SUMIF($F$6:$AJ$6,"C.Nhật",F14:AJ14)/8)</f>
        <v>27</v>
      </c>
      <c r="AL14" s="417">
        <f>SUM(F15:AJ15)/8*1.5</f>
        <v>0</v>
      </c>
      <c r="AM14" s="419">
        <f>SUMIF($F$6:$AJ$6,"C.Nhật",$F14:$AJ15)/8*2</f>
        <v>0</v>
      </c>
      <c r="AN14" s="407">
        <f>SUM(AK14:AM15)</f>
        <v>27</v>
      </c>
      <c r="AO14" s="421">
        <v>1</v>
      </c>
      <c r="AP14" s="407"/>
      <c r="AQ14" s="407"/>
      <c r="AR14" s="407"/>
      <c r="AS14" s="409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v>4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417">
        <f>((SUM(F16:AJ16))/8)-(SUMIF($F$6:$AJ$6,"C.Nhật",F16:AJ16)/8)</f>
        <v>27</v>
      </c>
      <c r="AL16" s="417">
        <f>SUM(F17:AJ17)/8*1.5</f>
        <v>0</v>
      </c>
      <c r="AM16" s="419">
        <f>SUMIF($F$6:$AJ$6,"C.Nhật",$F16:$AJ17)/8*2</f>
        <v>0</v>
      </c>
      <c r="AN16" s="407">
        <f>SUM(AK16:AM17)</f>
        <v>27</v>
      </c>
      <c r="AO16" s="421">
        <v>2</v>
      </c>
      <c r="AP16" s="407"/>
      <c r="AQ16" s="407"/>
      <c r="AR16" s="407"/>
      <c r="AS16" s="409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5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417">
        <f>((SUM(F18:AJ18))/8)-(SUMIF($F$6:$AJ$6,"C.Nhật",F18:AJ18)/8)</f>
        <v>27</v>
      </c>
      <c r="AL18" s="417">
        <f>SUM(F19:AJ19)/8*1.5</f>
        <v>0</v>
      </c>
      <c r="AM18" s="419">
        <f>SUMIF($F$6:$AJ$6,"C.Nhật",$F18:$AJ19)/8*2</f>
        <v>0</v>
      </c>
      <c r="AN18" s="407">
        <f>SUM(AK18:AM19)</f>
        <v>27</v>
      </c>
      <c r="AO18" s="421">
        <v>3</v>
      </c>
      <c r="AP18" s="407"/>
      <c r="AQ18" s="407"/>
      <c r="AR18" s="407"/>
      <c r="AS18" s="409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417">
        <f>((SUM(F20:AJ20))/8)-(SUMIF($F$6:$AJ$6,"C.Nhật",F20:AJ20)/8)</f>
        <v>26</v>
      </c>
      <c r="AL20" s="417">
        <f>SUM(F21:AJ21)/8*1.5</f>
        <v>0</v>
      </c>
      <c r="AM20" s="419">
        <f>SUMIF($F$6:$AJ$6,"C.Nhật",$F20:$AJ21)/8*2</f>
        <v>0</v>
      </c>
      <c r="AN20" s="407">
        <f>SUM(AK20:AM21)</f>
        <v>26</v>
      </c>
      <c r="AO20" s="421">
        <v>4</v>
      </c>
      <c r="AP20" s="407"/>
      <c r="AQ20" s="407"/>
      <c r="AR20" s="407"/>
      <c r="AS20" s="409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ref="A22:A28" si="2">A20+1</f>
        <v>7</v>
      </c>
      <c r="B22" s="411" t="s">
        <v>88</v>
      </c>
      <c r="C22" s="413" t="str">
        <f>VLOOKUP(B22,DS,2,0)</f>
        <v>Huỳnh Thị Bé Tha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417">
        <f>((SUM(F22:AJ22))/8)-(SUMIF($F$6:$AJ$6,"C.Nhật",F22:AJ22)/8)</f>
        <v>26</v>
      </c>
      <c r="AL22" s="417">
        <f>SUM(F23:AJ23)/8*1.5</f>
        <v>0</v>
      </c>
      <c r="AM22" s="419">
        <f>SUMIF($F$6:$AJ$6,"C.Nhật",$F22:$AJ23)/8*2</f>
        <v>0</v>
      </c>
      <c r="AN22" s="407">
        <f>SUM(AK22:AM23)</f>
        <v>26</v>
      </c>
      <c r="AO22" s="421">
        <v>5</v>
      </c>
      <c r="AP22" s="407"/>
      <c r="AQ22" s="407"/>
      <c r="AR22" s="407"/>
      <c r="AS22" s="409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8</v>
      </c>
      <c r="B24" s="411" t="s">
        <v>90</v>
      </c>
      <c r="C24" s="413" t="str">
        <f>VLOOKUP(B24,DS,2,0)</f>
        <v>Nguyễn Thị Kim Hồng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417">
        <f>((SUM(F24:AJ24))/8)-(SUMIF($F$6:$AJ$6,"C.Nhật",F24:AJ24)/8)</f>
        <v>27</v>
      </c>
      <c r="AL24" s="417">
        <f>SUM(F25:AJ25)/8*1.5</f>
        <v>0</v>
      </c>
      <c r="AM24" s="419">
        <f>SUMIF($F$6:$AJ$6,"C.Nhật",$F24:$AJ25)/8*2</f>
        <v>0</v>
      </c>
      <c r="AN24" s="407">
        <f>SUM(AK24:AM25)</f>
        <v>27</v>
      </c>
      <c r="AO24" s="421">
        <v>6</v>
      </c>
      <c r="AP24" s="407"/>
      <c r="AQ24" s="407"/>
      <c r="AR24" s="407"/>
      <c r="AS24" s="409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 t="shared" si="2"/>
        <v>9</v>
      </c>
      <c r="B26" s="411" t="s">
        <v>91</v>
      </c>
      <c r="C26" s="413" t="str">
        <f>VLOOKUP(B26,DS,2,0)</f>
        <v>Nguyễn Thị Lựu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417">
        <f>((SUM(F26:AJ26))/8)-(SUMIF($F$6:$AJ$6,"C.Nhật",F26:AJ26)/8)</f>
        <v>26</v>
      </c>
      <c r="AL26" s="417">
        <f>SUM(F27:AJ27)/8*1.5</f>
        <v>0</v>
      </c>
      <c r="AM26" s="419">
        <f>SUMIF($F$6:$AJ$6,"C.Nhật",$F26:$AJ27)/8*2</f>
        <v>0</v>
      </c>
      <c r="AN26" s="407">
        <f>SUM(AK26:AM27)</f>
        <v>26</v>
      </c>
      <c r="AO26" s="421">
        <v>7</v>
      </c>
      <c r="AP26" s="407"/>
      <c r="AQ26" s="407"/>
      <c r="AR26" s="407"/>
      <c r="AS26" s="409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 t="shared" si="2"/>
        <v>10</v>
      </c>
      <c r="B28" s="411" t="s">
        <v>92</v>
      </c>
      <c r="C28" s="413" t="str">
        <f>VLOOKUP(B28,DS,2,0)</f>
        <v>Lý Thị Được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417">
        <f>((SUM(F28:AJ28))/8)-(SUMIF($F$6:$AJ$6,"C.Nhật",F28:AJ28)/8)</f>
        <v>25</v>
      </c>
      <c r="AL28" s="417">
        <f>SUM(F29:AJ29)/8*1.5</f>
        <v>0</v>
      </c>
      <c r="AM28" s="419">
        <f>SUMIF($F$6:$AJ$6,"C.Nhật",$F28:$AJ29)/8*2</f>
        <v>0</v>
      </c>
      <c r="AN28" s="407">
        <f>SUM(AK28:AM29)</f>
        <v>25</v>
      </c>
      <c r="AO28" s="421">
        <v>8</v>
      </c>
      <c r="AP28" s="407"/>
      <c r="AQ28" s="407"/>
      <c r="AR28" s="407"/>
      <c r="AS28" s="409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93</v>
      </c>
      <c r="C30" s="413" t="str">
        <f>VLOOKUP(B30,DS,2,0)</f>
        <v>Lý La Quan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417">
        <f>((SUM(F30:AJ30))/8)-(SUMIF($F$6:$AJ$6,"C.Nhật",F30:AJ30)/8)</f>
        <v>27</v>
      </c>
      <c r="AL30" s="417">
        <f>SUM(F31:AJ31)/8*1.5</f>
        <v>0</v>
      </c>
      <c r="AM30" s="419">
        <f>SUMIF($F$6:$AJ$6,"C.Nhật",$F30:$AJ31)/8*2</f>
        <v>0</v>
      </c>
      <c r="AN30" s="407">
        <f>SUM(AK30:AM31)</f>
        <v>27</v>
      </c>
      <c r="AO30" s="421">
        <v>9</v>
      </c>
      <c r="AP30" s="407"/>
      <c r="AQ30" s="407"/>
      <c r="AR30" s="407"/>
      <c r="AS30" s="409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94</v>
      </c>
      <c r="C32" s="413" t="str">
        <f>VLOOKUP(B32,DS,2,0)</f>
        <v>Trà Thị Soi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417">
        <f>((SUM(F32:AJ32))/8)-(SUMIF($F$6:$AJ$6,"C.Nhật",F32:AJ32)/8)</f>
        <v>25</v>
      </c>
      <c r="AL32" s="417">
        <f>SUM(F33:AJ33)/8*1.5</f>
        <v>0</v>
      </c>
      <c r="AM32" s="419">
        <f>SUMIF($F$6:$AJ$6,"C.Nhật",$F32:$AJ33)/8*2</f>
        <v>0</v>
      </c>
      <c r="AN32" s="407">
        <f>SUM(AK32:AM33)</f>
        <v>25</v>
      </c>
      <c r="AO32" s="421">
        <v>10</v>
      </c>
      <c r="AP32" s="407"/>
      <c r="AQ32" s="407"/>
      <c r="AR32" s="407"/>
      <c r="AS32" s="409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95</v>
      </c>
      <c r="C34" s="413" t="str">
        <f>VLOOKUP(B34,DS,2,0)</f>
        <v>Sơn Thị Muỗi Tron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417">
        <f>((SUM(F34:AJ34))/8)-(SUMIF($F$6:$AJ$6,"C.Nhật",F34:AJ34)/8)</f>
        <v>27</v>
      </c>
      <c r="AL34" s="417">
        <f>SUM(F35:AJ35)/8*1.5</f>
        <v>0</v>
      </c>
      <c r="AM34" s="419">
        <f>SUMIF($F$6:$AJ$6,"C.Nhật",$F34:$AJ35)/8*2</f>
        <v>0</v>
      </c>
      <c r="AN34" s="407">
        <f>SUM(AK34:AM35)</f>
        <v>27</v>
      </c>
      <c r="AO34" s="421">
        <v>11</v>
      </c>
      <c r="AP34" s="407"/>
      <c r="AQ34" s="407"/>
      <c r="AR34" s="407"/>
      <c r="AS34" s="409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96</v>
      </c>
      <c r="C36" s="413" t="str">
        <f>VLOOKUP(B36,DS,2,0)</f>
        <v>Sơn Thị Thương</v>
      </c>
      <c r="D36" s="415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417">
        <f>((SUM(F36:AJ36))/8)-(SUMIF($F$6:$AJ$6,"C.Nhật",F36:AJ36)/8)</f>
        <v>27</v>
      </c>
      <c r="AL36" s="417">
        <f>SUM(F37:AJ37)/8*1.5</f>
        <v>0</v>
      </c>
      <c r="AM36" s="419">
        <f>SUMIF($F$6:$AJ$6,"C.Nhật",$F36:$AJ37)/8*2</f>
        <v>0</v>
      </c>
      <c r="AN36" s="407">
        <f>SUM(AK36:AM37)</f>
        <v>27</v>
      </c>
      <c r="AO36" s="421">
        <v>12</v>
      </c>
      <c r="AP36" s="407"/>
      <c r="AQ36" s="407"/>
      <c r="AR36" s="407"/>
      <c r="AS36" s="409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15</v>
      </c>
      <c r="B38" s="411" t="s">
        <v>97</v>
      </c>
      <c r="C38" s="413" t="str">
        <f>VLOOKUP(B38,DS,2,0)</f>
        <v>Thạch Thị Som Ươne</v>
      </c>
      <c r="D38" s="415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417">
        <f>((SUM(F38:AJ38))/8)-(SUMIF($F$6:$AJ$6,"C.Nhật",F38:AJ38)/8)</f>
        <v>27</v>
      </c>
      <c r="AL38" s="417">
        <f>SUM(F39:AJ39)/8*1.5</f>
        <v>0</v>
      </c>
      <c r="AM38" s="419">
        <f>SUMIF($F$6:$AJ$6,"C.Nhật",$F38:$AJ39)/8*2</f>
        <v>0</v>
      </c>
      <c r="AN38" s="407">
        <f>SUM(AK38:AM39)</f>
        <v>27</v>
      </c>
      <c r="AO38" s="421">
        <v>13</v>
      </c>
      <c r="AP38" s="407"/>
      <c r="AQ38" s="407"/>
      <c r="AR38" s="407"/>
      <c r="AS38" s="409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18"/>
      <c r="AL39" s="418"/>
      <c r="AM39" s="420"/>
      <c r="AN39" s="408"/>
      <c r="AO39" s="422"/>
      <c r="AP39" s="408"/>
      <c r="AQ39" s="408"/>
      <c r="AR39" s="408"/>
      <c r="AS39" s="410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16</v>
      </c>
      <c r="B40" s="411" t="s">
        <v>98</v>
      </c>
      <c r="C40" s="413" t="str">
        <f>VLOOKUP(B40,DS,2,0)</f>
        <v>Huỳnh Thị Như</v>
      </c>
      <c r="D40" s="415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417">
        <f>((SUM(F40:AJ40))/8)-(SUMIF($F$6:$AJ$6,"C.Nhật",F40:AJ40)/8)</f>
        <v>27</v>
      </c>
      <c r="AL40" s="417">
        <f>SUM(F41:AJ41)/8*1.5</f>
        <v>0</v>
      </c>
      <c r="AM40" s="419">
        <f>SUMIF($F$6:$AJ$6,"C.Nhật",$F40:$AJ41)/8*2</f>
        <v>0</v>
      </c>
      <c r="AN40" s="407">
        <f>SUM(AK40:AM41)</f>
        <v>27</v>
      </c>
      <c r="AO40" s="421">
        <v>14</v>
      </c>
      <c r="AP40" s="407"/>
      <c r="AQ40" s="407"/>
      <c r="AR40" s="407"/>
      <c r="AS40" s="409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18"/>
      <c r="AL41" s="418"/>
      <c r="AM41" s="420"/>
      <c r="AN41" s="408"/>
      <c r="AO41" s="422"/>
      <c r="AP41" s="408"/>
      <c r="AQ41" s="408"/>
      <c r="AR41" s="408"/>
      <c r="AS41" s="410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1">
        <f>A40+1</f>
        <v>17</v>
      </c>
      <c r="B42" s="411" t="s">
        <v>99</v>
      </c>
      <c r="C42" s="413" t="str">
        <f>VLOOKUP(B42,DS,2,0)</f>
        <v>Sơn Thị Chành Ny</v>
      </c>
      <c r="D42" s="415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417">
        <f>((SUM(F42:AJ42))/8)-(SUMIF($F$6:$AJ$6,"C.Nhật",F42:AJ42)/8)</f>
        <v>25</v>
      </c>
      <c r="AL42" s="417">
        <f>SUM(F43:AJ43)/8*1.5</f>
        <v>0</v>
      </c>
      <c r="AM42" s="419">
        <f>SUMIF($F$6:$AJ$6,"C.Nhật",$F42:$AJ43)/8*2</f>
        <v>0</v>
      </c>
      <c r="AN42" s="407">
        <f>SUM(AK42:AM43)</f>
        <v>25</v>
      </c>
      <c r="AO42" s="421">
        <v>15</v>
      </c>
      <c r="AP42" s="407"/>
      <c r="AQ42" s="407"/>
      <c r="AR42" s="407"/>
      <c r="AS42" s="409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2"/>
      <c r="B43" s="412"/>
      <c r="C43" s="414"/>
      <c r="D43" s="416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18"/>
      <c r="AL43" s="418"/>
      <c r="AM43" s="420"/>
      <c r="AN43" s="408"/>
      <c r="AO43" s="422"/>
      <c r="AP43" s="408"/>
      <c r="AQ43" s="408"/>
      <c r="AR43" s="408"/>
      <c r="AS43" s="410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1">
        <f>A42+1</f>
        <v>18</v>
      </c>
      <c r="B44" s="411" t="s">
        <v>100</v>
      </c>
      <c r="C44" s="413" t="str">
        <f>VLOOKUP(B44,DS,2,0)</f>
        <v>Sơn Thị Chành Đa</v>
      </c>
      <c r="D44" s="415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417">
        <f>((SUM(F44:AJ44))/8)-(SUMIF($F$6:$AJ$6,"C.Nhật",F44:AJ44)/8)</f>
        <v>25</v>
      </c>
      <c r="AL44" s="417">
        <f>SUM(F45:AJ45)/8*1.5</f>
        <v>0</v>
      </c>
      <c r="AM44" s="419">
        <f>SUMIF($F$6:$AJ$6,"C.Nhật",$F44:$AJ45)/8*2</f>
        <v>0</v>
      </c>
      <c r="AN44" s="407">
        <f>SUM(AK44:AM45)</f>
        <v>25</v>
      </c>
      <c r="AO44" s="421">
        <v>16</v>
      </c>
      <c r="AP44" s="407"/>
      <c r="AQ44" s="407"/>
      <c r="AR44" s="407"/>
      <c r="AS44" s="409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2"/>
      <c r="B45" s="412"/>
      <c r="C45" s="414"/>
      <c r="D45" s="416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18"/>
      <c r="AL45" s="418"/>
      <c r="AM45" s="420"/>
      <c r="AN45" s="408"/>
      <c r="AO45" s="422"/>
      <c r="AP45" s="408"/>
      <c r="AQ45" s="408"/>
      <c r="AR45" s="408"/>
      <c r="AS45" s="410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1">
        <f>A44+1</f>
        <v>19</v>
      </c>
      <c r="B46" s="411" t="s">
        <v>101</v>
      </c>
      <c r="C46" s="413" t="str">
        <f>VLOOKUP(B46,DS,2,0)</f>
        <v>Trần Thị Bích Phượng</v>
      </c>
      <c r="D46" s="415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417">
        <f>((SUM(F46:AJ46))/8)-(SUMIF($F$6:$AJ$6,"C.Nhật",F46:AJ46)/8)</f>
        <v>27</v>
      </c>
      <c r="AL46" s="417">
        <f>SUM(F47:AJ47)/8*1.5</f>
        <v>0</v>
      </c>
      <c r="AM46" s="419">
        <f>SUMIF($F$6:$AJ$6,"C.Nhật",$F46:$AJ47)/8*2</f>
        <v>0</v>
      </c>
      <c r="AN46" s="407">
        <f>SUM(AK46:AM47)</f>
        <v>27</v>
      </c>
      <c r="AO46" s="421">
        <v>17</v>
      </c>
      <c r="AP46" s="407"/>
      <c r="AQ46" s="407"/>
      <c r="AR46" s="407"/>
      <c r="AS46" s="409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2"/>
      <c r="B47" s="412"/>
      <c r="C47" s="414"/>
      <c r="D47" s="416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18"/>
      <c r="AL47" s="418"/>
      <c r="AM47" s="420"/>
      <c r="AN47" s="408"/>
      <c r="AO47" s="422"/>
      <c r="AP47" s="408"/>
      <c r="AQ47" s="408"/>
      <c r="AR47" s="408"/>
      <c r="AS47" s="410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1">
        <f>A46+1</f>
        <v>20</v>
      </c>
      <c r="B48" s="411" t="s">
        <v>102</v>
      </c>
      <c r="C48" s="413" t="str">
        <f>VLOOKUP(B48,DS,2,0)</f>
        <v>Sơn Thị Trường Sa</v>
      </c>
      <c r="D48" s="415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417">
        <f>((SUM(F48:AJ48))/8)-(SUMIF($F$6:$AJ$6,"C.Nhật",F48:AJ48)/8)</f>
        <v>27</v>
      </c>
      <c r="AL48" s="417">
        <f>SUM(F49:AJ49)/8*1.5</f>
        <v>0</v>
      </c>
      <c r="AM48" s="419">
        <f>SUMIF($F$6:$AJ$6,"C.Nhật",$F48:$AJ49)/8*2</f>
        <v>0</v>
      </c>
      <c r="AN48" s="407">
        <f>SUM(AK48:AM49)</f>
        <v>27</v>
      </c>
      <c r="AO48" s="421">
        <v>18</v>
      </c>
      <c r="AP48" s="407"/>
      <c r="AQ48" s="407"/>
      <c r="AR48" s="407"/>
      <c r="AS48" s="409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2"/>
      <c r="B49" s="412"/>
      <c r="C49" s="414"/>
      <c r="D49" s="416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18"/>
      <c r="AL49" s="418"/>
      <c r="AM49" s="420"/>
      <c r="AN49" s="408"/>
      <c r="AO49" s="422"/>
      <c r="AP49" s="408"/>
      <c r="AQ49" s="408"/>
      <c r="AR49" s="408"/>
      <c r="AS49" s="410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1">
        <f>A48+1</f>
        <v>21</v>
      </c>
      <c r="B50" s="411" t="s">
        <v>103</v>
      </c>
      <c r="C50" s="413" t="str">
        <f>VLOOKUP(B50,DS,2,0)</f>
        <v>Lý Thị Sà Kha</v>
      </c>
      <c r="D50" s="415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417">
        <f>((SUM(F50:AJ50))/8)-(SUMIF($F$6:$AJ$6,"C.Nhật",F50:AJ50)/8)</f>
        <v>25</v>
      </c>
      <c r="AL50" s="417">
        <f>SUM(F51:AJ51)/8*1.5</f>
        <v>0</v>
      </c>
      <c r="AM50" s="419">
        <f>SUMIF($F$6:$AJ$6,"C.Nhật",$F50:$AJ51)/8*2</f>
        <v>0</v>
      </c>
      <c r="AN50" s="407">
        <f>SUM(AK50:AM51)</f>
        <v>25</v>
      </c>
      <c r="AO50" s="421">
        <v>19</v>
      </c>
      <c r="AP50" s="407"/>
      <c r="AQ50" s="407"/>
      <c r="AR50" s="407"/>
      <c r="AS50" s="409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2"/>
      <c r="B51" s="412"/>
      <c r="C51" s="414"/>
      <c r="D51" s="416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18"/>
      <c r="AL51" s="418"/>
      <c r="AM51" s="420"/>
      <c r="AN51" s="408"/>
      <c r="AO51" s="422"/>
      <c r="AP51" s="408"/>
      <c r="AQ51" s="408"/>
      <c r="AR51" s="408"/>
      <c r="AS51" s="410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1">
        <f>A50+1</f>
        <v>22</v>
      </c>
      <c r="B52" s="411" t="s">
        <v>104</v>
      </c>
      <c r="C52" s="413" t="str">
        <f>VLOOKUP(B52,DS,2,0)</f>
        <v xml:space="preserve"> Lâm Thị Mộng Thường</v>
      </c>
      <c r="D52" s="415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417">
        <f>((SUM(F52:AJ52))/8)-(SUMIF($F$6:$AJ$6,"C.Nhật",F52:AJ52)/8)</f>
        <v>27</v>
      </c>
      <c r="AL52" s="417">
        <f>SUM(F53:AJ53)/8*1.5</f>
        <v>0</v>
      </c>
      <c r="AM52" s="419">
        <f>SUMIF($F$6:$AJ$6,"C.Nhật",$F52:$AJ53)/8*2</f>
        <v>0</v>
      </c>
      <c r="AN52" s="407">
        <f>SUM(AK52:AM53)</f>
        <v>27</v>
      </c>
      <c r="AO52" s="421">
        <v>20</v>
      </c>
      <c r="AP52" s="407"/>
      <c r="AQ52" s="407"/>
      <c r="AR52" s="407"/>
      <c r="AS52" s="409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2"/>
      <c r="B53" s="412"/>
      <c r="C53" s="414"/>
      <c r="D53" s="416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0"/>
      <c r="AJ53" s="320"/>
      <c r="AK53" s="418"/>
      <c r="AL53" s="418"/>
      <c r="AM53" s="420"/>
      <c r="AN53" s="408"/>
      <c r="AO53" s="422"/>
      <c r="AP53" s="408"/>
      <c r="AQ53" s="408"/>
      <c r="AR53" s="408"/>
      <c r="AS53" s="410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08" customFormat="1" ht="21" customHeight="1">
      <c r="A54" s="306" t="s">
        <v>187</v>
      </c>
      <c r="B54" s="309" t="s">
        <v>188</v>
      </c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  <c r="AG54" s="310"/>
      <c r="AH54" s="310"/>
      <c r="AI54" s="310"/>
      <c r="AJ54" s="310"/>
      <c r="AK54" s="310"/>
      <c r="AL54" s="310"/>
      <c r="AM54" s="310"/>
      <c r="AN54" s="310"/>
      <c r="AO54" s="310"/>
      <c r="AP54" s="310"/>
      <c r="AQ54" s="310"/>
      <c r="AR54" s="310"/>
      <c r="AS54" s="311"/>
      <c r="AT54" s="307"/>
    </row>
    <row r="55" spans="1:90" s="67" customFormat="1" ht="18" customHeight="1">
      <c r="A55" s="411">
        <f>A52+1</f>
        <v>23</v>
      </c>
      <c r="B55" s="411" t="s">
        <v>113</v>
      </c>
      <c r="C55" s="413" t="str">
        <f>VLOOKUP(B55,DS,2,0)</f>
        <v>Nguyễn Văn Bé Hai</v>
      </c>
      <c r="D55" s="415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417">
        <f>((SUM(F55:AJ55))/8)-(SUMIF($F$6:$AJ$6,"C.Nhật",F55:AJ55)/8)</f>
        <v>27</v>
      </c>
      <c r="AL55" s="417">
        <f>SUM(F56:AJ56)/8*1.5</f>
        <v>0</v>
      </c>
      <c r="AM55" s="419">
        <f>SUMIF($F$6:$AJ$6,"C.Nhật",$F55:$AJ56)/8*2</f>
        <v>0</v>
      </c>
      <c r="AN55" s="407">
        <f>SUM(AK55:AM56)</f>
        <v>27</v>
      </c>
      <c r="AO55" s="421">
        <v>20</v>
      </c>
      <c r="AP55" s="407"/>
      <c r="AQ55" s="407"/>
      <c r="AR55" s="407"/>
      <c r="AS55" s="409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2"/>
      <c r="B56" s="412"/>
      <c r="C56" s="414"/>
      <c r="D56" s="416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18"/>
      <c r="AL56" s="418"/>
      <c r="AM56" s="420"/>
      <c r="AN56" s="408"/>
      <c r="AO56" s="422"/>
      <c r="AP56" s="408"/>
      <c r="AQ56" s="408"/>
      <c r="AR56" s="408"/>
      <c r="AS56" s="410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1">
        <f>A55+1</f>
        <v>24</v>
      </c>
      <c r="B57" s="411" t="s">
        <v>114</v>
      </c>
      <c r="C57" s="413" t="str">
        <f>VLOOKUP(B57,DS,2,0)</f>
        <v>Thạch Tiền</v>
      </c>
      <c r="D57" s="415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417">
        <f>((SUM(F57:AJ57))/8)-(SUMIF($F$6:$AJ$6,"C.Nhật",F57:AJ57)/8)</f>
        <v>27</v>
      </c>
      <c r="AL57" s="417">
        <f>SUM(F58:AJ58)/8*1.5</f>
        <v>0</v>
      </c>
      <c r="AM57" s="419">
        <f>SUMIF($F$6:$AJ$6,"C.Nhật",$F57:$AJ58)/8*2</f>
        <v>0</v>
      </c>
      <c r="AN57" s="407">
        <f>SUM(AK57:AM58)</f>
        <v>27</v>
      </c>
      <c r="AO57" s="421">
        <v>21</v>
      </c>
      <c r="AP57" s="407"/>
      <c r="AQ57" s="407"/>
      <c r="AR57" s="407"/>
      <c r="AS57" s="409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2"/>
      <c r="B58" s="412"/>
      <c r="C58" s="414"/>
      <c r="D58" s="416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18"/>
      <c r="AL58" s="418"/>
      <c r="AM58" s="420"/>
      <c r="AN58" s="408"/>
      <c r="AO58" s="422"/>
      <c r="AP58" s="408"/>
      <c r="AQ58" s="408"/>
      <c r="AR58" s="408"/>
      <c r="AS58" s="410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1">
        <f>A57+1</f>
        <v>25</v>
      </c>
      <c r="B59" s="411" t="s">
        <v>115</v>
      </c>
      <c r="C59" s="413" t="str">
        <f>VLOOKUP(B59,DS,2,0)</f>
        <v>Hứa Hậu</v>
      </c>
      <c r="D59" s="415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417">
        <f>((SUM(F59:AJ59))/8)-(SUMIF($F$6:$AJ$6,"C.Nhật",F59:AJ59)/8)</f>
        <v>25</v>
      </c>
      <c r="AL59" s="417">
        <f>SUM(F60:AJ60)/8*1.5</f>
        <v>0</v>
      </c>
      <c r="AM59" s="419">
        <f>SUMIF($F$6:$AJ$6,"C.Nhật",$F59:$AJ60)/8*2</f>
        <v>0</v>
      </c>
      <c r="AN59" s="407">
        <f>SUM(AK59:AM60)</f>
        <v>25</v>
      </c>
      <c r="AO59" s="421">
        <v>22</v>
      </c>
      <c r="AP59" s="407"/>
      <c r="AQ59" s="407"/>
      <c r="AR59" s="407"/>
      <c r="AS59" s="409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2"/>
      <c r="B60" s="412"/>
      <c r="C60" s="414"/>
      <c r="D60" s="416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18"/>
      <c r="AL60" s="418"/>
      <c r="AM60" s="420"/>
      <c r="AN60" s="408"/>
      <c r="AO60" s="422"/>
      <c r="AP60" s="408"/>
      <c r="AQ60" s="408"/>
      <c r="AR60" s="408"/>
      <c r="AS60" s="410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1">
        <f>A59+1</f>
        <v>26</v>
      </c>
      <c r="B61" s="411" t="s">
        <v>116</v>
      </c>
      <c r="C61" s="413" t="str">
        <f>VLOOKUP(B61,DS,2,0)</f>
        <v>Sơn Pép</v>
      </c>
      <c r="D61" s="415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417">
        <f>((SUM(F61:AJ61))/8)-(SUMIF($F$6:$AJ$6,"C.Nhật",F61:AJ61)/8)</f>
        <v>27</v>
      </c>
      <c r="AL61" s="417">
        <f>SUM(F62:AJ62)/8*1.5</f>
        <v>0</v>
      </c>
      <c r="AM61" s="419">
        <f>SUMIF($F$6:$AJ$6,"C.Nhật",$F61:$AJ62)/8*2</f>
        <v>0</v>
      </c>
      <c r="AN61" s="407">
        <f>SUM(AK61:AM62)</f>
        <v>27</v>
      </c>
      <c r="AO61" s="421">
        <v>23</v>
      </c>
      <c r="AP61" s="407"/>
      <c r="AQ61" s="407"/>
      <c r="AR61" s="407"/>
      <c r="AS61" s="409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2"/>
      <c r="B62" s="412"/>
      <c r="C62" s="414"/>
      <c r="D62" s="416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18"/>
      <c r="AL62" s="418"/>
      <c r="AM62" s="420"/>
      <c r="AN62" s="408"/>
      <c r="AO62" s="422"/>
      <c r="AP62" s="408"/>
      <c r="AQ62" s="408"/>
      <c r="AR62" s="408"/>
      <c r="AS62" s="410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1">
        <f>A61+1</f>
        <v>27</v>
      </c>
      <c r="B63" s="411" t="s">
        <v>117</v>
      </c>
      <c r="C63" s="413" t="str">
        <f>VLOOKUP(B63,DS,2,0)</f>
        <v>Sơn Lét</v>
      </c>
      <c r="D63" s="415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417">
        <f>((SUM(F63:AJ63))/8)-(SUMIF($F$6:$AJ$6,"C.Nhật",F63:AJ63)/8)</f>
        <v>26</v>
      </c>
      <c r="AL63" s="417">
        <f>SUM(F64:AJ64)/8*1.5</f>
        <v>0</v>
      </c>
      <c r="AM63" s="419">
        <f>SUMIF($F$6:$AJ$6,"C.Nhật",$F63:$AJ64)/8*2</f>
        <v>0</v>
      </c>
      <c r="AN63" s="407">
        <f>SUM(AK63:AM64)</f>
        <v>26</v>
      </c>
      <c r="AO63" s="421">
        <v>24</v>
      </c>
      <c r="AP63" s="407"/>
      <c r="AQ63" s="407"/>
      <c r="AR63" s="407"/>
      <c r="AS63" s="409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2"/>
      <c r="B64" s="412"/>
      <c r="C64" s="414"/>
      <c r="D64" s="416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18"/>
      <c r="AL64" s="418"/>
      <c r="AM64" s="420"/>
      <c r="AN64" s="408"/>
      <c r="AO64" s="422"/>
      <c r="AP64" s="408"/>
      <c r="AQ64" s="408"/>
      <c r="AR64" s="408"/>
      <c r="AS64" s="410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1">
        <f>A63+1</f>
        <v>28</v>
      </c>
      <c r="B65" s="411" t="s">
        <v>118</v>
      </c>
      <c r="C65" s="413" t="str">
        <f>VLOOKUP(B65,DS,2,0)</f>
        <v>Trần Nhiên</v>
      </c>
      <c r="D65" s="415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417">
        <f>((SUM(F65:AJ65))/8)-(SUMIF($F$6:$AJ$6,"C.Nhật",F65:AJ65)/8)</f>
        <v>27</v>
      </c>
      <c r="AL65" s="417">
        <f>SUM(F66:AJ66)/8*1.5</f>
        <v>0</v>
      </c>
      <c r="AM65" s="419">
        <f>SUMIF($F$6:$AJ$6,"C.Nhật",$F65:$AJ66)/8*2</f>
        <v>0</v>
      </c>
      <c r="AN65" s="407">
        <f>SUM(AK65:AM66)</f>
        <v>27</v>
      </c>
      <c r="AO65" s="421">
        <v>25</v>
      </c>
      <c r="AP65" s="407"/>
      <c r="AQ65" s="407"/>
      <c r="AR65" s="407"/>
      <c r="AS65" s="409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2"/>
      <c r="B66" s="412"/>
      <c r="C66" s="414"/>
      <c r="D66" s="416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18"/>
      <c r="AL66" s="418"/>
      <c r="AM66" s="420"/>
      <c r="AN66" s="408"/>
      <c r="AO66" s="422"/>
      <c r="AP66" s="408"/>
      <c r="AQ66" s="408"/>
      <c r="AR66" s="408"/>
      <c r="AS66" s="410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1">
        <f>A65+1</f>
        <v>29</v>
      </c>
      <c r="B67" s="411" t="s">
        <v>119</v>
      </c>
      <c r="C67" s="413" t="str">
        <f>VLOOKUP(B67,DS,2,0)</f>
        <v>Thạch Giang</v>
      </c>
      <c r="D67" s="415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417">
        <f>((SUM(F67:AJ67))/8)-(SUMIF($F$6:$AJ$6,"C.Nhật",F67:AJ67)/8)</f>
        <v>25</v>
      </c>
      <c r="AL67" s="417">
        <f>SUM(F68:AJ68)/8*1.5</f>
        <v>0</v>
      </c>
      <c r="AM67" s="419">
        <f>SUMIF($F$6:$AJ$6,"C.Nhật",$F67:$AJ68)/8*2</f>
        <v>0</v>
      </c>
      <c r="AN67" s="407">
        <f>SUM(AK67:AM68)</f>
        <v>25</v>
      </c>
      <c r="AO67" s="421">
        <v>26</v>
      </c>
      <c r="AP67" s="407"/>
      <c r="AQ67" s="407"/>
      <c r="AR67" s="407"/>
      <c r="AS67" s="409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2"/>
      <c r="B68" s="412"/>
      <c r="C68" s="414"/>
      <c r="D68" s="416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18"/>
      <c r="AL68" s="418"/>
      <c r="AM68" s="420"/>
      <c r="AN68" s="408"/>
      <c r="AO68" s="422"/>
      <c r="AP68" s="408"/>
      <c r="AQ68" s="408"/>
      <c r="AR68" s="408"/>
      <c r="AS68" s="410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1">
        <f>A67+1</f>
        <v>30</v>
      </c>
      <c r="B69" s="411" t="s">
        <v>120</v>
      </c>
      <c r="C69" s="413" t="str">
        <f>VLOOKUP(B69,DS,2,0)</f>
        <v>Thạch Quyền</v>
      </c>
      <c r="D69" s="415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417">
        <f>((SUM(F69:AJ69))/8)-(SUMIF($F$6:$AJ$6,"C.Nhật",F69:AJ69)/8)</f>
        <v>27</v>
      </c>
      <c r="AL69" s="417">
        <f>SUM(F70:AJ70)/8*1.5</f>
        <v>0</v>
      </c>
      <c r="AM69" s="419">
        <f>SUMIF($F$6:$AJ$6,"C.Nhật",$F69:$AJ70)/8*2</f>
        <v>0</v>
      </c>
      <c r="AN69" s="407">
        <f>SUM(AK69:AM70)</f>
        <v>27</v>
      </c>
      <c r="AO69" s="421">
        <v>27</v>
      </c>
      <c r="AP69" s="407"/>
      <c r="AQ69" s="407"/>
      <c r="AR69" s="407"/>
      <c r="AS69" s="409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2"/>
      <c r="B70" s="412"/>
      <c r="C70" s="414"/>
      <c r="D70" s="416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18"/>
      <c r="AL70" s="418"/>
      <c r="AM70" s="420"/>
      <c r="AN70" s="408"/>
      <c r="AO70" s="422"/>
      <c r="AP70" s="408"/>
      <c r="AQ70" s="408"/>
      <c r="AR70" s="408"/>
      <c r="AS70" s="410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1">
        <f>A69+1</f>
        <v>31</v>
      </c>
      <c r="B71" s="411" t="s">
        <v>121</v>
      </c>
      <c r="C71" s="413" t="str">
        <f>VLOOKUP(B71,DS,2,0)</f>
        <v>Lâm Lin</v>
      </c>
      <c r="D71" s="415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417">
        <f>((SUM(F71:AJ71))/8)-(SUMIF($F$6:$AJ$6,"C.Nhật",F71:AJ71)/8)</f>
        <v>27</v>
      </c>
      <c r="AL71" s="417">
        <f>SUM(F72:AJ72)/8*1.5</f>
        <v>0</v>
      </c>
      <c r="AM71" s="419">
        <f>SUMIF($F$6:$AJ$6,"C.Nhật",$F71:$AJ72)/8*2</f>
        <v>0</v>
      </c>
      <c r="AN71" s="407">
        <f>SUM(AK71:AM72)</f>
        <v>27</v>
      </c>
      <c r="AO71" s="421">
        <v>28</v>
      </c>
      <c r="AP71" s="407"/>
      <c r="AQ71" s="407"/>
      <c r="AR71" s="407"/>
      <c r="AS71" s="409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2"/>
      <c r="B72" s="412"/>
      <c r="C72" s="414"/>
      <c r="D72" s="416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18"/>
      <c r="AL72" s="418"/>
      <c r="AM72" s="420"/>
      <c r="AN72" s="408"/>
      <c r="AO72" s="422"/>
      <c r="AP72" s="408"/>
      <c r="AQ72" s="408"/>
      <c r="AR72" s="408"/>
      <c r="AS72" s="410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411">
        <f>A71+1</f>
        <v>32</v>
      </c>
      <c r="B73" s="411" t="s">
        <v>122</v>
      </c>
      <c r="C73" s="413" t="str">
        <f>VLOOKUP(B73,DS,2,0)</f>
        <v>Lâm Chanh Đa Ra</v>
      </c>
      <c r="D73" s="415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417">
        <f>((SUM(F73:AJ73))/8)-(SUMIF($F$6:$AJ$6,"C.Nhật",F73:AJ73)/8)</f>
        <v>27</v>
      </c>
      <c r="AL73" s="417">
        <f>SUM(F74:AJ74)/8*1.5</f>
        <v>0</v>
      </c>
      <c r="AM73" s="419">
        <f>SUMIF($F$6:$AJ$6,"C.Nhật",$F73:$AJ74)/8*2</f>
        <v>0</v>
      </c>
      <c r="AN73" s="407">
        <f>SUM(AK73:AM74)</f>
        <v>27</v>
      </c>
      <c r="AO73" s="421">
        <v>29</v>
      </c>
      <c r="AP73" s="407"/>
      <c r="AQ73" s="407"/>
      <c r="AR73" s="407"/>
      <c r="AS73" s="409"/>
      <c r="AT73" s="295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412"/>
      <c r="B74" s="412"/>
      <c r="C74" s="414"/>
      <c r="D74" s="416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0"/>
      <c r="AJ74" s="320"/>
      <c r="AK74" s="418"/>
      <c r="AL74" s="418"/>
      <c r="AM74" s="420"/>
      <c r="AN74" s="408"/>
      <c r="AO74" s="422"/>
      <c r="AP74" s="408"/>
      <c r="AQ74" s="408"/>
      <c r="AR74" s="408"/>
      <c r="AS74" s="410"/>
      <c r="AT74" s="295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3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3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53" t="s">
        <v>112</v>
      </c>
      <c r="AN102" s="454"/>
      <c r="AO102" s="454"/>
      <c r="AP102" s="454"/>
      <c r="AQ102" s="454"/>
      <c r="AR102" s="454"/>
      <c r="AS102" s="455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96" t="s">
        <v>28</v>
      </c>
      <c r="B106" s="496" t="s">
        <v>3</v>
      </c>
      <c r="C106" s="496" t="s">
        <v>1</v>
      </c>
      <c r="D106" s="434" t="s">
        <v>29</v>
      </c>
      <c r="E106" s="496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441" t="s">
        <v>15</v>
      </c>
      <c r="AL106" s="442"/>
      <c r="AM106" s="443"/>
      <c r="AN106" s="432" t="s">
        <v>45</v>
      </c>
      <c r="AO106" s="432" t="s">
        <v>41</v>
      </c>
      <c r="AP106" s="432" t="s">
        <v>42</v>
      </c>
      <c r="AQ106" s="432" t="s">
        <v>43</v>
      </c>
      <c r="AR106" s="432" t="s">
        <v>44</v>
      </c>
      <c r="AS106" s="434" t="s">
        <v>0</v>
      </c>
      <c r="AT106" s="42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435"/>
      <c r="B107" s="435"/>
      <c r="C107" s="435"/>
      <c r="D107" s="435"/>
      <c r="E107" s="435"/>
      <c r="F107" s="322" t="str">
        <f>CHOOSE(WEEKDAY(F106),"C.Nhật","T.Hai","T.Ba","T.Tư","T.Năm","T.Sáu","T.Bảy")</f>
        <v>T.Ba</v>
      </c>
      <c r="G107" s="322" t="str">
        <f t="shared" ref="G107:AH107" si="4">CHOOSE(WEEKDAY(G106),"C.Nhật","T.Hai","T.Ba","T.Tư","T.Năm","T.Sáu","T.Bảy")</f>
        <v>T.Tư</v>
      </c>
      <c r="H107" s="322" t="str">
        <f t="shared" si="4"/>
        <v>T.Năm</v>
      </c>
      <c r="I107" s="322" t="str">
        <f t="shared" si="4"/>
        <v>T.Sáu</v>
      </c>
      <c r="J107" s="322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433"/>
      <c r="AO107" s="433"/>
      <c r="AP107" s="433"/>
      <c r="AQ107" s="433"/>
      <c r="AR107" s="433"/>
      <c r="AS107" s="435"/>
      <c r="AT107" s="42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3">
        <v>1</v>
      </c>
      <c r="B108" s="323">
        <v>2</v>
      </c>
      <c r="C108" s="323">
        <v>3</v>
      </c>
      <c r="D108" s="323">
        <v>4</v>
      </c>
      <c r="E108" s="323">
        <v>5</v>
      </c>
      <c r="F108" s="323">
        <v>6</v>
      </c>
      <c r="G108" s="323">
        <v>7</v>
      </c>
      <c r="H108" s="323">
        <v>8</v>
      </c>
      <c r="I108" s="323">
        <v>9</v>
      </c>
      <c r="J108" s="323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25">
        <v>1</v>
      </c>
      <c r="B109" s="425" t="s">
        <v>68</v>
      </c>
      <c r="C109" s="413" t="str">
        <f>VLOOKUP(B109,DS,2,0)</f>
        <v>Nguyễn Thiện Duy</v>
      </c>
      <c r="D109" s="415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417">
        <f ca="1">((SUM(F109:AJ109))/8)-(SUMIF($F$6:$AJ$6,"C.Nhật",F109:AH109)/8)</f>
        <v>23</v>
      </c>
      <c r="AL109" s="417">
        <f>SUM(F110:AJ110)/8*1.5</f>
        <v>0</v>
      </c>
      <c r="AM109" s="419">
        <f>SUMIF($F$6:$AJ$6,"C.Nhật",$F109:$AJ110)/8*2</f>
        <v>0</v>
      </c>
      <c r="AN109" s="407">
        <f ca="1">SUM(AK109:AM110)</f>
        <v>23</v>
      </c>
      <c r="AO109" s="423">
        <v>0</v>
      </c>
      <c r="AP109" s="428"/>
      <c r="AQ109" s="428"/>
      <c r="AR109" s="428"/>
      <c r="AS109" s="430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26"/>
      <c r="B110" s="426"/>
      <c r="C110" s="414"/>
      <c r="D110" s="416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18"/>
      <c r="AL110" s="418"/>
      <c r="AM110" s="420"/>
      <c r="AN110" s="408"/>
      <c r="AO110" s="424"/>
      <c r="AP110" s="429"/>
      <c r="AQ110" s="429"/>
      <c r="AR110" s="429"/>
      <c r="AS110" s="431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25">
        <f>A109+1</f>
        <v>2</v>
      </c>
      <c r="B111" s="425" t="s">
        <v>70</v>
      </c>
      <c r="C111" s="413" t="str">
        <f>VLOOKUP(B111,DS,2,0)</f>
        <v>Nguyễn Văn Sẽ</v>
      </c>
      <c r="D111" s="415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417">
        <f ca="1">((SUM(F111:AJ111))/8)-(SUMIF($F$6:$AJ$6,"C.Nhật",F111:AH111)/8)</f>
        <v>27</v>
      </c>
      <c r="AL111" s="417">
        <f>SUM(F112:AJ112)/8*1.5</f>
        <v>0</v>
      </c>
      <c r="AM111" s="419">
        <f>SUMIF($F$6:$AJ$6,"C.Nhật",$F111:$AJ112)/8*2</f>
        <v>0</v>
      </c>
      <c r="AN111" s="407">
        <f ca="1">SUM(AK111:AM112)</f>
        <v>27</v>
      </c>
      <c r="AO111" s="423">
        <v>0</v>
      </c>
      <c r="AP111" s="428"/>
      <c r="AQ111" s="428"/>
      <c r="AR111" s="428"/>
      <c r="AS111" s="430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26"/>
      <c r="B112" s="426"/>
      <c r="C112" s="414"/>
      <c r="D112" s="416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18"/>
      <c r="AL112" s="418"/>
      <c r="AM112" s="420"/>
      <c r="AN112" s="408"/>
      <c r="AO112" s="424"/>
      <c r="AP112" s="429"/>
      <c r="AQ112" s="429"/>
      <c r="AR112" s="429"/>
      <c r="AS112" s="431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25">
        <f>A111+1</f>
        <v>3</v>
      </c>
      <c r="B113" s="425" t="s">
        <v>72</v>
      </c>
      <c r="C113" s="413" t="str">
        <f>VLOOKUP(B113,DS,2,0)</f>
        <v>Võ Uyên Phương</v>
      </c>
      <c r="D113" s="415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417">
        <f ca="1">((SUM(F113:AJ113))/8)-(SUMIF($F$6:$AJ$6,"C.Nhật",F113:AH113)/8)</f>
        <v>27</v>
      </c>
      <c r="AL113" s="417">
        <f>SUM(F114:AJ114)/8*1.5</f>
        <v>0</v>
      </c>
      <c r="AM113" s="419">
        <f>SUMIF($F$6:$AJ$6,"C.Nhật",$F113:$AJ114)/8*2</f>
        <v>0</v>
      </c>
      <c r="AN113" s="407">
        <f ca="1">SUM(AK113:AM114)</f>
        <v>27</v>
      </c>
      <c r="AO113" s="423">
        <v>0</v>
      </c>
      <c r="AP113" s="428"/>
      <c r="AQ113" s="428"/>
      <c r="AR113" s="428"/>
      <c r="AS113" s="430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26"/>
      <c r="B114" s="426"/>
      <c r="C114" s="414"/>
      <c r="D114" s="416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18"/>
      <c r="AL114" s="418"/>
      <c r="AM114" s="420"/>
      <c r="AN114" s="408"/>
      <c r="AO114" s="424"/>
      <c r="AP114" s="429"/>
      <c r="AQ114" s="429"/>
      <c r="AR114" s="429"/>
      <c r="AS114" s="431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25">
        <f>A113+1</f>
        <v>4</v>
      </c>
      <c r="B115" s="425" t="s">
        <v>75</v>
      </c>
      <c r="C115" s="413" t="str">
        <f>VLOOKUP(B115,DS,2,0)</f>
        <v>Lê Nguyễn Huy Cường</v>
      </c>
      <c r="D115" s="415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417">
        <f ca="1">((SUM(F115:AJ115))/8)-(SUMIF($F$6:$AJ$6,"C.Nhật",F115:AH115)/8)</f>
        <v>26</v>
      </c>
      <c r="AL115" s="417">
        <f>SUM(F116:AJ116)/8*1.5</f>
        <v>0</v>
      </c>
      <c r="AM115" s="419">
        <f>SUMIF($F$6:$AJ$6,"C.Nhật",$F115:$AJ116)/8*2</f>
        <v>0</v>
      </c>
      <c r="AN115" s="407">
        <f ca="1">SUM(AK115:AM116)</f>
        <v>26</v>
      </c>
      <c r="AO115" s="423">
        <v>0</v>
      </c>
      <c r="AP115" s="428"/>
      <c r="AQ115" s="428"/>
      <c r="AR115" s="428"/>
      <c r="AS115" s="430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26"/>
      <c r="B116" s="426"/>
      <c r="C116" s="414"/>
      <c r="D116" s="416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18"/>
      <c r="AL116" s="418"/>
      <c r="AM116" s="420"/>
      <c r="AN116" s="408"/>
      <c r="AO116" s="424"/>
      <c r="AP116" s="429"/>
      <c r="AQ116" s="429"/>
      <c r="AR116" s="429"/>
      <c r="AS116" s="431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25">
        <f>A115+1</f>
        <v>5</v>
      </c>
      <c r="B117" s="425" t="s">
        <v>77</v>
      </c>
      <c r="C117" s="413" t="str">
        <f>VLOOKUP(B117,DS,2,0)</f>
        <v>Nguyễn Văn Bé Tư</v>
      </c>
      <c r="D117" s="415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417">
        <f ca="1">((SUM(F117:AJ117))/8)-(SUMIF($F$6:$AJ$6,"C.Nhật",F117:AH117)/8)</f>
        <v>26</v>
      </c>
      <c r="AL117" s="417">
        <f>SUM(F118:AJ118)/8*1.5</f>
        <v>0</v>
      </c>
      <c r="AM117" s="419">
        <f>SUMIF($F$6:$AJ$6,"C.Nhật",$F117:$AJ118)/8*2</f>
        <v>0</v>
      </c>
      <c r="AN117" s="407">
        <f ca="1">SUM(AK117:AM118)</f>
        <v>26</v>
      </c>
      <c r="AO117" s="423">
        <v>0</v>
      </c>
      <c r="AP117" s="428"/>
      <c r="AQ117" s="428"/>
      <c r="AR117" s="428"/>
      <c r="AS117" s="430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26"/>
      <c r="B118" s="426"/>
      <c r="C118" s="414"/>
      <c r="D118" s="416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18"/>
      <c r="AL118" s="418"/>
      <c r="AM118" s="420"/>
      <c r="AN118" s="408"/>
      <c r="AO118" s="424"/>
      <c r="AP118" s="429"/>
      <c r="AQ118" s="429"/>
      <c r="AR118" s="429"/>
      <c r="AS118" s="431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25">
        <f>A117+1</f>
        <v>6</v>
      </c>
      <c r="B119" s="425" t="s">
        <v>78</v>
      </c>
      <c r="C119" s="413" t="str">
        <f>VLOOKUP(B119,DS,2,0)</f>
        <v>Dương Thanh Tuấn</v>
      </c>
      <c r="D119" s="415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417">
        <f ca="1">((SUM(F119:AJ119))/8)-(SUMIF($F$6:$AJ$6,"C.Nhật",F119:AH119)/8)</f>
        <v>25</v>
      </c>
      <c r="AL119" s="417">
        <f>SUM(F120:AJ120)/8*1.5</f>
        <v>0</v>
      </c>
      <c r="AM119" s="419">
        <f>SUMIF($F$6:$AJ$6,"C.Nhật",$F119:$AJ120)/8*2</f>
        <v>0</v>
      </c>
      <c r="AN119" s="407">
        <f ca="1">SUM(AK119:AM120)</f>
        <v>25</v>
      </c>
      <c r="AO119" s="423">
        <v>0</v>
      </c>
      <c r="AP119" s="428"/>
      <c r="AQ119" s="428"/>
      <c r="AR119" s="428"/>
      <c r="AS119" s="430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26"/>
      <c r="B120" s="426"/>
      <c r="C120" s="414"/>
      <c r="D120" s="416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18"/>
      <c r="AL120" s="418"/>
      <c r="AM120" s="420"/>
      <c r="AN120" s="408"/>
      <c r="AO120" s="424"/>
      <c r="AP120" s="429"/>
      <c r="AQ120" s="429"/>
      <c r="AR120" s="429"/>
      <c r="AS120" s="431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25">
        <f>A119+1</f>
        <v>7</v>
      </c>
      <c r="B121" s="425" t="s">
        <v>81</v>
      </c>
      <c r="C121" s="413" t="str">
        <f>VLOOKUP(B121,DS,2,0)</f>
        <v>Nguyễn Thiện Duyệt</v>
      </c>
      <c r="D121" s="415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417">
        <f ca="1">((SUM(F121:AJ121))/8)-(SUMIF($F$6:$AJ$6,"C.Nhật",F121:AH121)/8)</f>
        <v>26</v>
      </c>
      <c r="AL121" s="417">
        <f>SUM(F122:AJ122)/8*1.5</f>
        <v>0</v>
      </c>
      <c r="AM121" s="419">
        <f>SUMIF($F$6:$AJ$6,"C.Nhật",$F121:$AJ122)/8*2</f>
        <v>0</v>
      </c>
      <c r="AN121" s="407">
        <f ca="1">SUM(AK121:AM122)</f>
        <v>26</v>
      </c>
      <c r="AO121" s="423">
        <v>0</v>
      </c>
      <c r="AP121" s="428"/>
      <c r="AQ121" s="428"/>
      <c r="AR121" s="428"/>
      <c r="AS121" s="430"/>
      <c r="AT121" s="296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26"/>
      <c r="B122" s="426"/>
      <c r="C122" s="414"/>
      <c r="D122" s="416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0"/>
      <c r="AJ122" s="320"/>
      <c r="AK122" s="418"/>
      <c r="AL122" s="418"/>
      <c r="AM122" s="420"/>
      <c r="AN122" s="408"/>
      <c r="AO122" s="424"/>
      <c r="AP122" s="429"/>
      <c r="AQ122" s="429"/>
      <c r="AR122" s="429"/>
      <c r="AS122" s="431"/>
      <c r="AT122" s="296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9" priority="1" stopIfTrue="1">
      <formula>IF(WEEKDAY(F$5)=1,TRUE,FALSE)</formula>
    </cfRule>
  </conditionalFormatting>
  <printOptions horizontalCentered="1"/>
  <pageMargins left="0.24" right="0.24" top="0.32" bottom="0.73" header="0.25" footer="0.37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29" activePane="bottomRight" state="frozen"/>
      <selection activeCell="Y128" sqref="Y128"/>
      <selection pane="topRight" activeCell="Y128" sqref="Y128"/>
      <selection pane="bottomLeft" activeCell="Y128" sqref="Y128"/>
      <selection pane="bottomRight" activeCell="K34" sqref="K34:K4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87" t="str">
        <f>"BẢNG THANH TOÁN LƯƠNG THÁNG"&amp;" "&amp;TEXT($E$4,"mm")&amp;" / "&amp;TEXT($E$4,"yyyy")</f>
        <v>BẢNG THANH TOÁN LƯƠNG THÁNG 03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297" t="s">
        <v>40</v>
      </c>
      <c r="G7" s="294" t="s">
        <v>18</v>
      </c>
      <c r="H7" s="297" t="s">
        <v>40</v>
      </c>
      <c r="I7" s="301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6" t="s">
        <v>188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40"/>
      <c r="O33" s="40"/>
      <c r="P33" s="40"/>
      <c r="Q33" s="315"/>
      <c r="R33" s="315"/>
      <c r="S33" s="315"/>
      <c r="T33" s="315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4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2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86" t="s">
        <v>25</v>
      </c>
      <c r="B45" s="486"/>
      <c r="C45" s="486"/>
      <c r="D45" s="486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299"/>
      <c r="C58" s="299"/>
      <c r="D58" s="467" t="str">
        <f>D1</f>
        <v>BẢNG THANH TOÁN LƯƠNG THÁNG 03 / 2016</v>
      </c>
      <c r="E58" s="467"/>
      <c r="F58" s="467"/>
      <c r="G58" s="467"/>
      <c r="H58" s="467"/>
      <c r="I58" s="467"/>
      <c r="J58" s="467"/>
      <c r="K58" s="467"/>
      <c r="L58" s="467"/>
      <c r="M58" s="467"/>
      <c r="N58" s="467"/>
      <c r="O58" s="467"/>
      <c r="P58" s="467"/>
      <c r="Q58" s="468"/>
      <c r="R58" s="469" t="s">
        <v>112</v>
      </c>
      <c r="S58" s="470"/>
      <c r="T58" s="47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299"/>
      <c r="C60" s="299"/>
      <c r="D60" s="299"/>
      <c r="E60" s="200"/>
      <c r="F60" s="299"/>
      <c r="G60" s="299"/>
      <c r="H60" s="299"/>
      <c r="I60" s="299"/>
      <c r="J60" s="201"/>
      <c r="K60" s="299"/>
      <c r="L60" s="299"/>
      <c r="M60" s="299"/>
      <c r="N60" s="299"/>
      <c r="O60" s="299"/>
      <c r="P60" s="299"/>
      <c r="Q60" s="299"/>
      <c r="R60" s="299"/>
      <c r="S60" s="299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72" t="s">
        <v>19</v>
      </c>
      <c r="B62" s="472" t="s">
        <v>20</v>
      </c>
      <c r="C62" s="474" t="s">
        <v>1</v>
      </c>
      <c r="D62" s="474" t="s">
        <v>2</v>
      </c>
      <c r="E62" s="475" t="s">
        <v>56</v>
      </c>
      <c r="F62" s="476" t="s">
        <v>26</v>
      </c>
      <c r="G62" s="477"/>
      <c r="H62" s="477"/>
      <c r="I62" s="477"/>
      <c r="J62" s="477"/>
      <c r="K62" s="478"/>
      <c r="L62" s="458" t="s">
        <v>57</v>
      </c>
      <c r="M62" s="458" t="s">
        <v>5</v>
      </c>
      <c r="N62" s="474" t="s">
        <v>6</v>
      </c>
      <c r="O62" s="474"/>
      <c r="P62" s="474"/>
      <c r="Q62" s="461" t="s">
        <v>7</v>
      </c>
      <c r="R62" s="461" t="s">
        <v>8</v>
      </c>
      <c r="S62" s="461" t="s">
        <v>9</v>
      </c>
      <c r="T62" s="479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73"/>
      <c r="B63" s="473"/>
      <c r="C63" s="474"/>
      <c r="D63" s="474"/>
      <c r="E63" s="475"/>
      <c r="F63" s="476" t="s">
        <v>59</v>
      </c>
      <c r="G63" s="478"/>
      <c r="H63" s="481" t="s">
        <v>189</v>
      </c>
      <c r="I63" s="482"/>
      <c r="J63" s="463" t="s">
        <v>27</v>
      </c>
      <c r="K63" s="461" t="s">
        <v>4</v>
      </c>
      <c r="L63" s="459"/>
      <c r="M63" s="459"/>
      <c r="N63" s="465" t="s">
        <v>12</v>
      </c>
      <c r="O63" s="461" t="s">
        <v>13</v>
      </c>
      <c r="P63" s="461" t="s">
        <v>34</v>
      </c>
      <c r="Q63" s="462"/>
      <c r="R63" s="462"/>
      <c r="S63" s="462"/>
      <c r="T63" s="480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73"/>
      <c r="B64" s="473"/>
      <c r="C64" s="461"/>
      <c r="D64" s="461"/>
      <c r="E64" s="475"/>
      <c r="F64" s="300" t="s">
        <v>40</v>
      </c>
      <c r="G64" s="301" t="s">
        <v>18</v>
      </c>
      <c r="H64" s="297" t="s">
        <v>40</v>
      </c>
      <c r="I64" s="301" t="s">
        <v>18</v>
      </c>
      <c r="J64" s="464"/>
      <c r="K64" s="462"/>
      <c r="L64" s="460"/>
      <c r="M64" s="460"/>
      <c r="N64" s="466"/>
      <c r="O64" s="462"/>
      <c r="P64" s="462"/>
      <c r="Q64" s="462"/>
      <c r="R64" s="462"/>
      <c r="S64" s="462"/>
      <c r="T64" s="480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3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56" t="s">
        <v>25</v>
      </c>
      <c r="B74" s="457"/>
      <c r="C74" s="457"/>
      <c r="D74" s="457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15 B16:B32 A16:A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D106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W9" sqref="W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T.Sáu</v>
      </c>
      <c r="G6" s="302" t="str">
        <f t="shared" ref="G6:AI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/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417">
        <f>((SUM(F9:AJ9))/8)-(SUMIF($F$6:$AI$6,"C.Nhật",F9:AJ9)/8)</f>
        <v>23</v>
      </c>
      <c r="AL9" s="417">
        <f>SUM(F10:AJ10)/8*1.5</f>
        <v>0</v>
      </c>
      <c r="AM9" s="419">
        <f>SUMIF($F$6:$AI$6,"C.Nhật",$F9:$AI10)/8*2</f>
        <v>0</v>
      </c>
      <c r="AN9" s="407">
        <f>SUM(AK9:AM10)</f>
        <v>23</v>
      </c>
      <c r="AO9" s="421">
        <v>0</v>
      </c>
      <c r="AP9" s="407"/>
      <c r="AQ9" s="407"/>
      <c r="AR9" s="407"/>
      <c r="AS9" s="409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17">
        <f>((SUM(F11:AJ11))/8)-(SUMIF($F$6:$AI$6,"C.Nhật",F11:AJ11)/8)</f>
        <v>23</v>
      </c>
      <c r="AL11" s="417">
        <f>SUM(F12:AJ12)/8*1.5</f>
        <v>0</v>
      </c>
      <c r="AM11" s="419">
        <f>SUMIF($F$6:$AI$6,"C.Nhật",$F11:$AI12)/8*2</f>
        <v>0</v>
      </c>
      <c r="AN11" s="407">
        <f>SUM(AK11:AM12)</f>
        <v>23</v>
      </c>
      <c r="AO11" s="421">
        <v>1</v>
      </c>
      <c r="AP11" s="407"/>
      <c r="AQ11" s="407"/>
      <c r="AR11" s="407"/>
      <c r="AS11" s="409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417">
        <f>((SUM(F14:AJ14))/8)-(SUMIF($F$6:$AI$6,"C.Nhật",F14:AJ14)/8)</f>
        <v>23</v>
      </c>
      <c r="AL14" s="417">
        <f>SUM(F15:AJ15)/8*1.5</f>
        <v>0</v>
      </c>
      <c r="AM14" s="419">
        <f>SUMIF($F$6:$AI$6,"C.Nhật",$F14:$AI15)/8*2</f>
        <v>0</v>
      </c>
      <c r="AN14" s="407">
        <f>SUM(AK14:AM15)</f>
        <v>23</v>
      </c>
      <c r="AO14" s="421">
        <v>1</v>
      </c>
      <c r="AP14" s="407"/>
      <c r="AQ14" s="407"/>
      <c r="AR14" s="407"/>
      <c r="AS14" s="409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v>4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417">
        <f>((SUM(F16:AJ16))/8)-(SUMIF($F$6:$AI$6,"C.Nhật",F16:AJ16)/8)</f>
        <v>23</v>
      </c>
      <c r="AL16" s="417">
        <f>SUM(F17:AJ17)/8*1.5</f>
        <v>0</v>
      </c>
      <c r="AM16" s="419">
        <f>SUMIF($F$6:$AI$6,"C.Nhật",$F16:$AI17)/8*2</f>
        <v>0</v>
      </c>
      <c r="AN16" s="407">
        <f>SUM(AK16:AM17)</f>
        <v>23</v>
      </c>
      <c r="AO16" s="421">
        <v>2</v>
      </c>
      <c r="AP16" s="407"/>
      <c r="AQ16" s="407"/>
      <c r="AR16" s="407"/>
      <c r="AS16" s="409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5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417">
        <f>((SUM(F18:AJ18))/8)-(SUMIF($F$6:$AI$6,"C.Nhật",F18:AJ18)/8)</f>
        <v>23</v>
      </c>
      <c r="AL18" s="417">
        <f>SUM(F19:AJ19)/8*1.5</f>
        <v>0</v>
      </c>
      <c r="AM18" s="419">
        <f>SUMIF($F$6:$AI$6,"C.Nhật",$F18:$AI19)/8*2</f>
        <v>0</v>
      </c>
      <c r="AN18" s="407">
        <f>SUM(AK18:AM19)</f>
        <v>23</v>
      </c>
      <c r="AO18" s="421">
        <v>3</v>
      </c>
      <c r="AP18" s="407"/>
      <c r="AQ18" s="407"/>
      <c r="AR18" s="407"/>
      <c r="AS18" s="409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 t="shared" ref="A20:A30" si="2">A18+1</f>
        <v>6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417">
        <f>((SUM(F20:AJ20))/8)-(SUMIF($F$6:$AI$6,"C.Nhật",F20:AJ20)/8)</f>
        <v>23</v>
      </c>
      <c r="AL20" s="417">
        <f>SUM(F21:AJ21)/8*1.5</f>
        <v>0</v>
      </c>
      <c r="AM20" s="419">
        <f>SUMIF($F$6:$AI$6,"C.Nhật",$F20:$AI21)/8*2</f>
        <v>0</v>
      </c>
      <c r="AN20" s="407">
        <f>SUM(AK20:AM21)</f>
        <v>23</v>
      </c>
      <c r="AO20" s="421">
        <v>4</v>
      </c>
      <c r="AP20" s="407"/>
      <c r="AQ20" s="407"/>
      <c r="AR20" s="407"/>
      <c r="AS20" s="409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88</v>
      </c>
      <c r="C22" s="413" t="str">
        <f>VLOOKUP(B22,DS,2,0)</f>
        <v>Huỳnh Thị Bé Tha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417">
        <f>((SUM(F22:AJ22))/8)-(SUMIF($F$6:$AI$6,"C.Nhật",F22:AJ22)/8)</f>
        <v>23</v>
      </c>
      <c r="AL22" s="417">
        <f>SUM(F23:AJ23)/8*1.5</f>
        <v>0</v>
      </c>
      <c r="AM22" s="419">
        <f>SUMIF($F$6:$AI$6,"C.Nhật",$F22:$AI23)/8*2</f>
        <v>0</v>
      </c>
      <c r="AN22" s="407">
        <f>SUM(AK22:AM23)</f>
        <v>23</v>
      </c>
      <c r="AO22" s="421">
        <v>5</v>
      </c>
      <c r="AP22" s="407"/>
      <c r="AQ22" s="407"/>
      <c r="AR22" s="407"/>
      <c r="AS22" s="409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8</v>
      </c>
      <c r="B24" s="411" t="s">
        <v>90</v>
      </c>
      <c r="C24" s="413" t="str">
        <f>VLOOKUP(B24,DS,2,0)</f>
        <v>Nguyễn Thị Kim Hồng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417">
        <f>((SUM(F24:AJ24))/8)-(SUMIF($F$6:$AI$6,"C.Nhật",F24:AJ24)/8)</f>
        <v>23</v>
      </c>
      <c r="AL24" s="417">
        <f>SUM(F25:AJ25)/8*1.5</f>
        <v>0</v>
      </c>
      <c r="AM24" s="419">
        <f>SUMIF($F$6:$AI$6,"C.Nhật",$F24:$AI25)/8*2</f>
        <v>0</v>
      </c>
      <c r="AN24" s="407">
        <f>SUM(AK24:AM25)</f>
        <v>23</v>
      </c>
      <c r="AO24" s="421">
        <v>6</v>
      </c>
      <c r="AP24" s="407"/>
      <c r="AQ24" s="407"/>
      <c r="AR24" s="407"/>
      <c r="AS24" s="409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 t="shared" si="2"/>
        <v>9</v>
      </c>
      <c r="B26" s="411" t="s">
        <v>91</v>
      </c>
      <c r="C26" s="413" t="str">
        <f>VLOOKUP(B26,DS,2,0)</f>
        <v>Nguyễn Thị Lựu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417">
        <f>((SUM(F26:AJ26))/8)-(SUMIF($F$6:$AI$6,"C.Nhật",F26:AJ26)/8)</f>
        <v>23</v>
      </c>
      <c r="AL26" s="417">
        <f>SUM(F27:AJ27)/8*1.5</f>
        <v>0</v>
      </c>
      <c r="AM26" s="419">
        <f>SUMIF($F$6:$AI$6,"C.Nhật",$F26:$AI27)/8*2</f>
        <v>0</v>
      </c>
      <c r="AN26" s="407">
        <f>SUM(AK26:AM27)</f>
        <v>23</v>
      </c>
      <c r="AO26" s="421">
        <v>7</v>
      </c>
      <c r="AP26" s="407"/>
      <c r="AQ26" s="407"/>
      <c r="AR26" s="407"/>
      <c r="AS26" s="409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 t="shared" si="2"/>
        <v>10</v>
      </c>
      <c r="B28" s="411" t="s">
        <v>92</v>
      </c>
      <c r="C28" s="413" t="str">
        <f>VLOOKUP(B28,DS,2,0)</f>
        <v>Lý Thị Được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417">
        <f>((SUM(F28:AJ28))/8)-(SUMIF($F$6:$AI$6,"C.Nhật",F28:AJ28)/8)</f>
        <v>23</v>
      </c>
      <c r="AL28" s="417">
        <f>SUM(F29:AJ29)/8*1.5</f>
        <v>0</v>
      </c>
      <c r="AM28" s="419">
        <f>SUMIF($F$6:$AI$6,"C.Nhật",$F28:$AI29)/8*2</f>
        <v>0</v>
      </c>
      <c r="AN28" s="407">
        <f>SUM(AK28:AM29)</f>
        <v>23</v>
      </c>
      <c r="AO28" s="421">
        <v>8</v>
      </c>
      <c r="AP28" s="407"/>
      <c r="AQ28" s="407"/>
      <c r="AR28" s="407"/>
      <c r="AS28" s="409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 t="shared" si="2"/>
        <v>11</v>
      </c>
      <c r="B30" s="411" t="s">
        <v>93</v>
      </c>
      <c r="C30" s="413" t="str">
        <f>VLOOKUP(B30,DS,2,0)</f>
        <v>Lý La Quan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417">
        <f>((SUM(F30:AJ30))/8)-(SUMIF($F$6:$AI$6,"C.Nhật",F30:AJ30)/8)</f>
        <v>23</v>
      </c>
      <c r="AL30" s="417">
        <f>SUM(F31:AJ31)/8*1.5</f>
        <v>0</v>
      </c>
      <c r="AM30" s="419">
        <f>SUMIF($F$6:$AI$6,"C.Nhật",$F30:$AI31)/8*2</f>
        <v>0</v>
      </c>
      <c r="AN30" s="407">
        <f>SUM(AK30:AM31)</f>
        <v>23</v>
      </c>
      <c r="AO30" s="421">
        <v>9</v>
      </c>
      <c r="AP30" s="407"/>
      <c r="AQ30" s="407"/>
      <c r="AR30" s="407"/>
      <c r="AS30" s="409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94</v>
      </c>
      <c r="C32" s="413" t="str">
        <f>VLOOKUP(B32,DS,2,0)</f>
        <v>Trà Thị Soi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417">
        <f>((SUM(F32:AJ32))/8)-(SUMIF($F$6:$AI$6,"C.Nhật",F32:AJ32)/8)</f>
        <v>23</v>
      </c>
      <c r="AL32" s="417">
        <f>SUM(F33:AJ33)/8*1.5</f>
        <v>0</v>
      </c>
      <c r="AM32" s="419">
        <f>SUMIF($F$6:$AI$6,"C.Nhật",$F32:$AI33)/8*2</f>
        <v>0</v>
      </c>
      <c r="AN32" s="407">
        <f>SUM(AK32:AM33)</f>
        <v>23</v>
      </c>
      <c r="AO32" s="421">
        <v>10</v>
      </c>
      <c r="AP32" s="407"/>
      <c r="AQ32" s="407"/>
      <c r="AR32" s="407"/>
      <c r="AS32" s="409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95</v>
      </c>
      <c r="C34" s="413" t="str">
        <f>VLOOKUP(B34,DS,2,0)</f>
        <v>Sơn Thị Muỗi Tron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417">
        <f>((SUM(F34:AJ34))/8)-(SUMIF($F$6:$AI$6,"C.Nhật",F34:AJ34)/8)</f>
        <v>23</v>
      </c>
      <c r="AL34" s="417">
        <f>SUM(F35:AJ35)/8*1.5</f>
        <v>0</v>
      </c>
      <c r="AM34" s="419">
        <f>SUMIF($F$6:$AI$6,"C.Nhật",$F34:$AI35)/8*2</f>
        <v>0</v>
      </c>
      <c r="AN34" s="407">
        <f>SUM(AK34:AM35)</f>
        <v>23</v>
      </c>
      <c r="AO34" s="421">
        <v>11</v>
      </c>
      <c r="AP34" s="407"/>
      <c r="AQ34" s="407"/>
      <c r="AR34" s="407"/>
      <c r="AS34" s="409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96</v>
      </c>
      <c r="C36" s="413" t="str">
        <f>VLOOKUP(B36,DS,2,0)</f>
        <v>Sơn Thị Thương</v>
      </c>
      <c r="D36" s="415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417">
        <f>((SUM(F36:AJ36))/8)-(SUMIF($F$6:$AI$6,"C.Nhật",F36:AJ36)/8)</f>
        <v>23</v>
      </c>
      <c r="AL36" s="417">
        <f>SUM(F37:AJ37)/8*1.5</f>
        <v>0</v>
      </c>
      <c r="AM36" s="419">
        <f>SUMIF($F$6:$AI$6,"C.Nhật",$F36:$AI37)/8*2</f>
        <v>0</v>
      </c>
      <c r="AN36" s="407">
        <f>SUM(AK36:AM37)</f>
        <v>23</v>
      </c>
      <c r="AO36" s="421">
        <v>12</v>
      </c>
      <c r="AP36" s="407"/>
      <c r="AQ36" s="407"/>
      <c r="AR36" s="407"/>
      <c r="AS36" s="409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15</v>
      </c>
      <c r="B38" s="411" t="s">
        <v>97</v>
      </c>
      <c r="C38" s="413" t="str">
        <f>VLOOKUP(B38,DS,2,0)</f>
        <v>Thạch Thị Som Ươne</v>
      </c>
      <c r="D38" s="415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417">
        <f>((SUM(F38:AJ38))/8)-(SUMIF($F$6:$AI$6,"C.Nhật",F38:AJ38)/8)</f>
        <v>23</v>
      </c>
      <c r="AL38" s="417">
        <f>SUM(F39:AJ39)/8*1.5</f>
        <v>0</v>
      </c>
      <c r="AM38" s="419">
        <f>SUMIF($F$6:$AI$6,"C.Nhật",$F38:$AI39)/8*2</f>
        <v>0</v>
      </c>
      <c r="AN38" s="407">
        <f>SUM(AK38:AM39)</f>
        <v>23</v>
      </c>
      <c r="AO38" s="421">
        <v>13</v>
      </c>
      <c r="AP38" s="407"/>
      <c r="AQ38" s="407"/>
      <c r="AR38" s="407"/>
      <c r="AS38" s="409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18"/>
      <c r="AL39" s="418"/>
      <c r="AM39" s="420"/>
      <c r="AN39" s="408"/>
      <c r="AO39" s="422"/>
      <c r="AP39" s="408"/>
      <c r="AQ39" s="408"/>
      <c r="AR39" s="408"/>
      <c r="AS39" s="410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16</v>
      </c>
      <c r="B40" s="411" t="s">
        <v>99</v>
      </c>
      <c r="C40" s="413" t="str">
        <f>VLOOKUP(B40,DS,2,0)</f>
        <v>Sơn Thị Chành Ny</v>
      </c>
      <c r="D40" s="415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417">
        <f>((SUM(F40:AJ40))/8)-(SUMIF($F$6:$AI$6,"C.Nhật",F40:AJ40)/8)</f>
        <v>23</v>
      </c>
      <c r="AL40" s="417">
        <f>SUM(F41:AJ41)/8*1.5</f>
        <v>0</v>
      </c>
      <c r="AM40" s="419">
        <f>SUMIF($F$6:$AI$6,"C.Nhật",$F40:$AI41)/8*2</f>
        <v>0</v>
      </c>
      <c r="AN40" s="407">
        <f>SUM(AK40:AM41)</f>
        <v>23</v>
      </c>
      <c r="AO40" s="421">
        <v>15</v>
      </c>
      <c r="AP40" s="407"/>
      <c r="AQ40" s="407"/>
      <c r="AR40" s="407"/>
      <c r="AS40" s="409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18"/>
      <c r="AL41" s="418"/>
      <c r="AM41" s="420"/>
      <c r="AN41" s="408"/>
      <c r="AO41" s="422"/>
      <c r="AP41" s="408"/>
      <c r="AQ41" s="408"/>
      <c r="AR41" s="408"/>
      <c r="AS41" s="410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1">
        <f>A40+1</f>
        <v>17</v>
      </c>
      <c r="B42" s="411" t="s">
        <v>100</v>
      </c>
      <c r="C42" s="413" t="str">
        <f>VLOOKUP(B42,DS,2,0)</f>
        <v>Sơn Thị Chành Đa</v>
      </c>
      <c r="D42" s="415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417">
        <f>((SUM(F42:AJ42))/8)-(SUMIF($F$6:$AI$6,"C.Nhật",F42:AJ42)/8)</f>
        <v>23</v>
      </c>
      <c r="AL42" s="417">
        <f>SUM(F43:AJ43)/8*1.5</f>
        <v>0</v>
      </c>
      <c r="AM42" s="419">
        <f>SUMIF($F$6:$AI$6,"C.Nhật",$F42:$AI43)/8*2</f>
        <v>0</v>
      </c>
      <c r="AN42" s="407">
        <f>SUM(AK42:AM43)</f>
        <v>23</v>
      </c>
      <c r="AO42" s="421">
        <v>16</v>
      </c>
      <c r="AP42" s="407"/>
      <c r="AQ42" s="407"/>
      <c r="AR42" s="407"/>
      <c r="AS42" s="409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2"/>
      <c r="B43" s="412"/>
      <c r="C43" s="414"/>
      <c r="D43" s="416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18"/>
      <c r="AL43" s="418"/>
      <c r="AM43" s="420"/>
      <c r="AN43" s="408"/>
      <c r="AO43" s="422"/>
      <c r="AP43" s="408"/>
      <c r="AQ43" s="408"/>
      <c r="AR43" s="408"/>
      <c r="AS43" s="410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1">
        <f>A42+1</f>
        <v>18</v>
      </c>
      <c r="B44" s="411" t="s">
        <v>101</v>
      </c>
      <c r="C44" s="413" t="str">
        <f>VLOOKUP(B44,DS,2,0)</f>
        <v>Trần Thị Bích Phượng</v>
      </c>
      <c r="D44" s="415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417">
        <f>((SUM(F44:AJ44))/8)-(SUMIF($F$6:$AI$6,"C.Nhật",F44:AJ44)/8)</f>
        <v>23</v>
      </c>
      <c r="AL44" s="417">
        <f>SUM(F45:AJ45)/8*1.5</f>
        <v>0</v>
      </c>
      <c r="AM44" s="419">
        <f>SUMIF($F$6:$AI$6,"C.Nhật",$F44:$AI45)/8*2</f>
        <v>0</v>
      </c>
      <c r="AN44" s="407">
        <f>SUM(AK44:AM45)</f>
        <v>23</v>
      </c>
      <c r="AO44" s="421">
        <v>17</v>
      </c>
      <c r="AP44" s="407"/>
      <c r="AQ44" s="407"/>
      <c r="AR44" s="407"/>
      <c r="AS44" s="409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2"/>
      <c r="B45" s="412"/>
      <c r="C45" s="414"/>
      <c r="D45" s="416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18"/>
      <c r="AL45" s="418"/>
      <c r="AM45" s="420"/>
      <c r="AN45" s="408"/>
      <c r="AO45" s="422"/>
      <c r="AP45" s="408"/>
      <c r="AQ45" s="408"/>
      <c r="AR45" s="408"/>
      <c r="AS45" s="410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1">
        <f>A44+1</f>
        <v>19</v>
      </c>
      <c r="B46" s="411" t="s">
        <v>102</v>
      </c>
      <c r="C46" s="413" t="str">
        <f>VLOOKUP(B46,DS,2,0)</f>
        <v>Sơn Thị Trường Sa</v>
      </c>
      <c r="D46" s="415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417">
        <f>((SUM(F46:AJ46))/8)-(SUMIF($F$6:$AI$6,"C.Nhật",F46:AJ46)/8)</f>
        <v>23</v>
      </c>
      <c r="AL46" s="417">
        <f>SUM(F47:AJ47)/8*1.5</f>
        <v>0</v>
      </c>
      <c r="AM46" s="419">
        <f>SUMIF($F$6:$AI$6,"C.Nhật",$F46:$AI47)/8*2</f>
        <v>0</v>
      </c>
      <c r="AN46" s="407">
        <f>SUM(AK46:AM47)</f>
        <v>23</v>
      </c>
      <c r="AO46" s="421">
        <v>18</v>
      </c>
      <c r="AP46" s="407"/>
      <c r="AQ46" s="407"/>
      <c r="AR46" s="407"/>
      <c r="AS46" s="409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2"/>
      <c r="B47" s="412"/>
      <c r="C47" s="414"/>
      <c r="D47" s="416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18"/>
      <c r="AL47" s="418"/>
      <c r="AM47" s="420"/>
      <c r="AN47" s="408"/>
      <c r="AO47" s="422"/>
      <c r="AP47" s="408"/>
      <c r="AQ47" s="408"/>
      <c r="AR47" s="408"/>
      <c r="AS47" s="410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1">
        <f>A46+1</f>
        <v>20</v>
      </c>
      <c r="B48" s="411" t="s">
        <v>103</v>
      </c>
      <c r="C48" s="413" t="str">
        <f>VLOOKUP(B48,DS,2,0)</f>
        <v>Lý Thị Sà Kha</v>
      </c>
      <c r="D48" s="415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417">
        <f>((SUM(F48:AJ48))/8)-(SUMIF($F$6:$AI$6,"C.Nhật",F48:AJ48)/8)</f>
        <v>23</v>
      </c>
      <c r="AL48" s="417">
        <f>SUM(F49:AJ49)/8*1.5</f>
        <v>0</v>
      </c>
      <c r="AM48" s="419">
        <f>SUMIF($F$6:$AI$6,"C.Nhật",$F48:$AI49)/8*2</f>
        <v>0</v>
      </c>
      <c r="AN48" s="407">
        <f>SUM(AK48:AM49)</f>
        <v>23</v>
      </c>
      <c r="AO48" s="421">
        <v>19</v>
      </c>
      <c r="AP48" s="407"/>
      <c r="AQ48" s="407"/>
      <c r="AR48" s="407"/>
      <c r="AS48" s="409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2"/>
      <c r="B49" s="412"/>
      <c r="C49" s="414"/>
      <c r="D49" s="416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18"/>
      <c r="AL49" s="418"/>
      <c r="AM49" s="420"/>
      <c r="AN49" s="408"/>
      <c r="AO49" s="422"/>
      <c r="AP49" s="408"/>
      <c r="AQ49" s="408"/>
      <c r="AR49" s="408"/>
      <c r="AS49" s="410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1">
        <f>A48+1</f>
        <v>21</v>
      </c>
      <c r="B50" s="411" t="s">
        <v>104</v>
      </c>
      <c r="C50" s="413" t="str">
        <f>VLOOKUP(B50,DS,2,0)</f>
        <v xml:space="preserve"> Lâm Thị Mộng Thường</v>
      </c>
      <c r="D50" s="415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417">
        <f>((SUM(F50:AJ50))/8)-(SUMIF($F$6:$AI$6,"C.Nhật",F50:AJ50)/8)</f>
        <v>23</v>
      </c>
      <c r="AL50" s="417">
        <f>SUM(F51:AJ51)/8*1.5</f>
        <v>0</v>
      </c>
      <c r="AM50" s="419">
        <f>SUMIF($F$6:$AI$6,"C.Nhật",$F50:$AI51)/8*2</f>
        <v>0</v>
      </c>
      <c r="AN50" s="407">
        <f>SUM(AK50:AM51)</f>
        <v>23</v>
      </c>
      <c r="AO50" s="421">
        <v>20</v>
      </c>
      <c r="AP50" s="407"/>
      <c r="AQ50" s="407"/>
      <c r="AR50" s="407"/>
      <c r="AS50" s="409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2"/>
      <c r="B51" s="412"/>
      <c r="C51" s="414"/>
      <c r="D51" s="416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18"/>
      <c r="AL51" s="418"/>
      <c r="AM51" s="420"/>
      <c r="AN51" s="408"/>
      <c r="AO51" s="422"/>
      <c r="AP51" s="408"/>
      <c r="AQ51" s="408"/>
      <c r="AR51" s="408"/>
      <c r="AS51" s="410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08" customFormat="1" ht="21" customHeight="1">
      <c r="A52" s="306" t="s">
        <v>187</v>
      </c>
      <c r="B52" s="309" t="s">
        <v>188</v>
      </c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0"/>
      <c r="AO52" s="310"/>
      <c r="AP52" s="310"/>
      <c r="AQ52" s="310"/>
      <c r="AR52" s="310"/>
      <c r="AS52" s="311"/>
      <c r="AT52" s="307"/>
    </row>
    <row r="53" spans="1:90" s="67" customFormat="1" ht="18" customHeight="1">
      <c r="A53" s="411">
        <f>A50+1</f>
        <v>22</v>
      </c>
      <c r="B53" s="411" t="s">
        <v>113</v>
      </c>
      <c r="C53" s="413" t="str">
        <f>VLOOKUP(B53,DS,2,0)</f>
        <v>Nguyễn Văn Bé Hai</v>
      </c>
      <c r="D53" s="415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417">
        <f>((SUM(F53:AJ53))/8)-(SUMIF($F$6:$AI$6,"C.Nhật",F53:AJ53)/8)</f>
        <v>23</v>
      </c>
      <c r="AL53" s="417">
        <f>SUM(F54:AJ54)/8*1.5</f>
        <v>0</v>
      </c>
      <c r="AM53" s="419">
        <f>SUMIF($F$6:$AI$6,"C.Nhật",$F53:$AI54)/8*2</f>
        <v>0</v>
      </c>
      <c r="AN53" s="407">
        <f>SUM(AK53:AM54)</f>
        <v>23</v>
      </c>
      <c r="AO53" s="421">
        <v>20</v>
      </c>
      <c r="AP53" s="407"/>
      <c r="AQ53" s="407"/>
      <c r="AR53" s="407"/>
      <c r="AS53" s="409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2"/>
      <c r="B54" s="412"/>
      <c r="C54" s="414"/>
      <c r="D54" s="416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18"/>
      <c r="AL54" s="418"/>
      <c r="AM54" s="420"/>
      <c r="AN54" s="408"/>
      <c r="AO54" s="422"/>
      <c r="AP54" s="408"/>
      <c r="AQ54" s="408"/>
      <c r="AR54" s="408"/>
      <c r="AS54" s="410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1">
        <f>A53+1</f>
        <v>23</v>
      </c>
      <c r="B55" s="411" t="s">
        <v>114</v>
      </c>
      <c r="C55" s="413" t="str">
        <f>VLOOKUP(B55,DS,2,0)</f>
        <v>Thạch Tiền</v>
      </c>
      <c r="D55" s="415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417">
        <f>((SUM(F55:AJ55))/8)-(SUMIF($F$6:$AI$6,"C.Nhật",F55:AJ55)/8)</f>
        <v>23</v>
      </c>
      <c r="AL55" s="417">
        <f>SUM(F56:AJ56)/8*1.5</f>
        <v>0</v>
      </c>
      <c r="AM55" s="419">
        <f>SUMIF($F$6:$AI$6,"C.Nhật",$F55:$AI56)/8*2</f>
        <v>0</v>
      </c>
      <c r="AN55" s="407">
        <f>SUM(AK55:AM56)</f>
        <v>23</v>
      </c>
      <c r="AO55" s="421">
        <v>21</v>
      </c>
      <c r="AP55" s="407"/>
      <c r="AQ55" s="407"/>
      <c r="AR55" s="407"/>
      <c r="AS55" s="409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2"/>
      <c r="B56" s="412"/>
      <c r="C56" s="414"/>
      <c r="D56" s="416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18"/>
      <c r="AL56" s="418"/>
      <c r="AM56" s="420"/>
      <c r="AN56" s="408"/>
      <c r="AO56" s="422"/>
      <c r="AP56" s="408"/>
      <c r="AQ56" s="408"/>
      <c r="AR56" s="408"/>
      <c r="AS56" s="410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1">
        <f>A55+1</f>
        <v>24</v>
      </c>
      <c r="B57" s="411" t="s">
        <v>115</v>
      </c>
      <c r="C57" s="413" t="str">
        <f>VLOOKUP(B57,DS,2,0)</f>
        <v>Hứa Hậu</v>
      </c>
      <c r="D57" s="415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417">
        <f>((SUM(F57:AJ57))/8)-(SUMIF($F$6:$AI$6,"C.Nhật",F57:AJ57)/8)</f>
        <v>23</v>
      </c>
      <c r="AL57" s="417">
        <f>SUM(F58:AJ58)/8*1.5</f>
        <v>0</v>
      </c>
      <c r="AM57" s="419">
        <f>SUMIF($F$6:$AI$6,"C.Nhật",$F57:$AI58)/8*2</f>
        <v>0</v>
      </c>
      <c r="AN57" s="407">
        <f>SUM(AK57:AM58)</f>
        <v>23</v>
      </c>
      <c r="AO57" s="421">
        <v>22</v>
      </c>
      <c r="AP57" s="407"/>
      <c r="AQ57" s="407"/>
      <c r="AR57" s="407"/>
      <c r="AS57" s="409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2"/>
      <c r="B58" s="412"/>
      <c r="C58" s="414"/>
      <c r="D58" s="416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18"/>
      <c r="AL58" s="418"/>
      <c r="AM58" s="420"/>
      <c r="AN58" s="408"/>
      <c r="AO58" s="422"/>
      <c r="AP58" s="408"/>
      <c r="AQ58" s="408"/>
      <c r="AR58" s="408"/>
      <c r="AS58" s="410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1">
        <f>A57+1</f>
        <v>25</v>
      </c>
      <c r="B59" s="411" t="s">
        <v>116</v>
      </c>
      <c r="C59" s="413" t="str">
        <f>VLOOKUP(B59,DS,2,0)</f>
        <v>Sơn Pép</v>
      </c>
      <c r="D59" s="415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417">
        <f>((SUM(F59:AJ59))/8)-(SUMIF($F$6:$AI$6,"C.Nhật",F59:AJ59)/8)</f>
        <v>23</v>
      </c>
      <c r="AL59" s="417">
        <f>SUM(F60:AJ60)/8*1.5</f>
        <v>0</v>
      </c>
      <c r="AM59" s="419">
        <f>SUMIF($F$6:$AI$6,"C.Nhật",$F59:$AI60)/8*2</f>
        <v>0</v>
      </c>
      <c r="AN59" s="407">
        <f>SUM(AK59:AM60)</f>
        <v>23</v>
      </c>
      <c r="AO59" s="421">
        <v>23</v>
      </c>
      <c r="AP59" s="407"/>
      <c r="AQ59" s="407"/>
      <c r="AR59" s="407"/>
      <c r="AS59" s="409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2"/>
      <c r="B60" s="412"/>
      <c r="C60" s="414"/>
      <c r="D60" s="416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18"/>
      <c r="AL60" s="418"/>
      <c r="AM60" s="420"/>
      <c r="AN60" s="408"/>
      <c r="AO60" s="422"/>
      <c r="AP60" s="408"/>
      <c r="AQ60" s="408"/>
      <c r="AR60" s="408"/>
      <c r="AS60" s="410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1">
        <f>A59+1</f>
        <v>26</v>
      </c>
      <c r="B61" s="411" t="s">
        <v>117</v>
      </c>
      <c r="C61" s="413" t="str">
        <f>VLOOKUP(B61,DS,2,0)</f>
        <v>Sơn Lét</v>
      </c>
      <c r="D61" s="415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417">
        <f>((SUM(F61:AJ61))/8)-(SUMIF($F$6:$AI$6,"C.Nhật",F61:AJ61)/8)</f>
        <v>23</v>
      </c>
      <c r="AL61" s="417">
        <f>SUM(F62:AJ62)/8*1.5</f>
        <v>0</v>
      </c>
      <c r="AM61" s="419">
        <f>SUMIF($F$6:$AI$6,"C.Nhật",$F61:$AI62)/8*2</f>
        <v>0</v>
      </c>
      <c r="AN61" s="407">
        <f>SUM(AK61:AM62)</f>
        <v>23</v>
      </c>
      <c r="AO61" s="421">
        <v>24</v>
      </c>
      <c r="AP61" s="407"/>
      <c r="AQ61" s="407"/>
      <c r="AR61" s="407"/>
      <c r="AS61" s="409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2"/>
      <c r="B62" s="412"/>
      <c r="C62" s="414"/>
      <c r="D62" s="416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18"/>
      <c r="AL62" s="418"/>
      <c r="AM62" s="420"/>
      <c r="AN62" s="408"/>
      <c r="AO62" s="422"/>
      <c r="AP62" s="408"/>
      <c r="AQ62" s="408"/>
      <c r="AR62" s="408"/>
      <c r="AS62" s="410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1">
        <f>A61+1</f>
        <v>27</v>
      </c>
      <c r="B63" s="411" t="s">
        <v>118</v>
      </c>
      <c r="C63" s="413" t="str">
        <f>VLOOKUP(B63,DS,2,0)</f>
        <v>Trần Nhiên</v>
      </c>
      <c r="D63" s="415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417">
        <f>((SUM(F63:AJ63))/8)-(SUMIF($F$6:$AI$6,"C.Nhật",F63:AJ63)/8)</f>
        <v>23</v>
      </c>
      <c r="AL63" s="417">
        <f>SUM(F64:AJ64)/8*1.5</f>
        <v>0</v>
      </c>
      <c r="AM63" s="419">
        <f>SUMIF($F$6:$AI$6,"C.Nhật",$F63:$AI64)/8*2</f>
        <v>0</v>
      </c>
      <c r="AN63" s="407">
        <f>SUM(AK63:AM64)</f>
        <v>23</v>
      </c>
      <c r="AO63" s="421">
        <v>25</v>
      </c>
      <c r="AP63" s="407"/>
      <c r="AQ63" s="407"/>
      <c r="AR63" s="407"/>
      <c r="AS63" s="409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2"/>
      <c r="B64" s="412"/>
      <c r="C64" s="414"/>
      <c r="D64" s="416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18"/>
      <c r="AL64" s="418"/>
      <c r="AM64" s="420"/>
      <c r="AN64" s="408"/>
      <c r="AO64" s="422"/>
      <c r="AP64" s="408"/>
      <c r="AQ64" s="408"/>
      <c r="AR64" s="408"/>
      <c r="AS64" s="410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1">
        <f>A63+1</f>
        <v>28</v>
      </c>
      <c r="B65" s="411" t="s">
        <v>119</v>
      </c>
      <c r="C65" s="413" t="str">
        <f>VLOOKUP(B65,DS,2,0)</f>
        <v>Thạch Giang</v>
      </c>
      <c r="D65" s="415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417">
        <f>((SUM(F65:AJ65))/8)-(SUMIF($F$6:$AI$6,"C.Nhật",F65:AJ65)/8)</f>
        <v>23</v>
      </c>
      <c r="AL65" s="417">
        <f>SUM(F66:AJ66)/8*1.5</f>
        <v>0</v>
      </c>
      <c r="AM65" s="419">
        <f>SUMIF($F$6:$AI$6,"C.Nhật",$F65:$AI66)/8*2</f>
        <v>0</v>
      </c>
      <c r="AN65" s="407">
        <f>SUM(AK65:AM66)</f>
        <v>23</v>
      </c>
      <c r="AO65" s="421">
        <v>26</v>
      </c>
      <c r="AP65" s="407"/>
      <c r="AQ65" s="407"/>
      <c r="AR65" s="407"/>
      <c r="AS65" s="409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2"/>
      <c r="B66" s="412"/>
      <c r="C66" s="414"/>
      <c r="D66" s="416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18"/>
      <c r="AL66" s="418"/>
      <c r="AM66" s="420"/>
      <c r="AN66" s="408"/>
      <c r="AO66" s="422"/>
      <c r="AP66" s="408"/>
      <c r="AQ66" s="408"/>
      <c r="AR66" s="408"/>
      <c r="AS66" s="410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1">
        <f>A65+1</f>
        <v>29</v>
      </c>
      <c r="B67" s="411" t="s">
        <v>120</v>
      </c>
      <c r="C67" s="413" t="str">
        <f>VLOOKUP(B67,DS,2,0)</f>
        <v>Thạch Quyền</v>
      </c>
      <c r="D67" s="415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17">
        <f>((SUM(F67:AJ67))/8)-(SUMIF($F$6:$AI$6,"C.Nhật",F67:AJ67)/8)</f>
        <v>23</v>
      </c>
      <c r="AL67" s="417">
        <f>SUM(F68:AJ68)/8*1.5</f>
        <v>0</v>
      </c>
      <c r="AM67" s="419">
        <f>SUMIF($F$6:$AI$6,"C.Nhật",$F67:$AI68)/8*2</f>
        <v>0</v>
      </c>
      <c r="AN67" s="407">
        <f>SUM(AK67:AM68)</f>
        <v>23</v>
      </c>
      <c r="AO67" s="421">
        <v>27</v>
      </c>
      <c r="AP67" s="407"/>
      <c r="AQ67" s="407"/>
      <c r="AR67" s="407"/>
      <c r="AS67" s="409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2"/>
      <c r="B68" s="412"/>
      <c r="C68" s="414"/>
      <c r="D68" s="416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18"/>
      <c r="AL68" s="418"/>
      <c r="AM68" s="420"/>
      <c r="AN68" s="408"/>
      <c r="AO68" s="422"/>
      <c r="AP68" s="408"/>
      <c r="AQ68" s="408"/>
      <c r="AR68" s="408"/>
      <c r="AS68" s="410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411">
        <f>A67+1</f>
        <v>30</v>
      </c>
      <c r="B69" s="411" t="s">
        <v>121</v>
      </c>
      <c r="C69" s="413" t="str">
        <f>VLOOKUP(B69,DS,2,0)</f>
        <v>Lâm Lin</v>
      </c>
      <c r="D69" s="415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417">
        <f>((SUM(F69:AJ69))/8)-(SUMIF($F$6:$AI$6,"C.Nhật",F69:AJ69)/8)</f>
        <v>23</v>
      </c>
      <c r="AL69" s="417">
        <f>SUM(F70:AJ70)/8*1.5</f>
        <v>0</v>
      </c>
      <c r="AM69" s="419">
        <f>SUMIF($F$6:$AI$6,"C.Nhật",$F69:$AI70)/8*2</f>
        <v>0</v>
      </c>
      <c r="AN69" s="407">
        <f>SUM(AK69:AM70)</f>
        <v>23</v>
      </c>
      <c r="AO69" s="421">
        <v>28</v>
      </c>
      <c r="AP69" s="407"/>
      <c r="AQ69" s="407"/>
      <c r="AR69" s="407"/>
      <c r="AS69" s="409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412"/>
      <c r="B70" s="412"/>
      <c r="C70" s="414"/>
      <c r="D70" s="416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18"/>
      <c r="AL70" s="418"/>
      <c r="AM70" s="420"/>
      <c r="AN70" s="408"/>
      <c r="AO70" s="422"/>
      <c r="AP70" s="408"/>
      <c r="AQ70" s="408"/>
      <c r="AR70" s="408"/>
      <c r="AS70" s="410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411">
        <f>A69+1</f>
        <v>31</v>
      </c>
      <c r="B71" s="411" t="s">
        <v>122</v>
      </c>
      <c r="C71" s="413" t="str">
        <f>VLOOKUP(B71,DS,2,0)</f>
        <v>Lâm Chanh Đa Ra</v>
      </c>
      <c r="D71" s="415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417">
        <f>((SUM(F71:AJ71))/8)-(SUMIF($F$6:$AI$6,"C.Nhật",F71:AJ71)/8)</f>
        <v>23</v>
      </c>
      <c r="AL71" s="417">
        <f>SUM(F72:AJ72)/8*1.5</f>
        <v>0</v>
      </c>
      <c r="AM71" s="419">
        <f>SUMIF($F$6:$AI$6,"C.Nhật",$F71:$AI72)/8*2</f>
        <v>0</v>
      </c>
      <c r="AN71" s="407">
        <f>SUM(AK71:AM72)</f>
        <v>23</v>
      </c>
      <c r="AO71" s="421">
        <v>29</v>
      </c>
      <c r="AP71" s="407"/>
      <c r="AQ71" s="407"/>
      <c r="AR71" s="407"/>
      <c r="AS71" s="409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412"/>
      <c r="B72" s="412"/>
      <c r="C72" s="414"/>
      <c r="D72" s="416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18"/>
      <c r="AL72" s="418"/>
      <c r="AM72" s="420"/>
      <c r="AN72" s="408"/>
      <c r="AO72" s="422"/>
      <c r="AP72" s="408"/>
      <c r="AQ72" s="408"/>
      <c r="AR72" s="408"/>
      <c r="AS72" s="410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3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3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53" t="s">
        <v>112</v>
      </c>
      <c r="AN100" s="454"/>
      <c r="AO100" s="454"/>
      <c r="AP100" s="454"/>
      <c r="AQ100" s="454"/>
      <c r="AR100" s="454"/>
      <c r="AS100" s="455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96" t="s">
        <v>28</v>
      </c>
      <c r="B104" s="496" t="s">
        <v>3</v>
      </c>
      <c r="C104" s="496" t="s">
        <v>1</v>
      </c>
      <c r="D104" s="434" t="s">
        <v>29</v>
      </c>
      <c r="E104" s="496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441" t="s">
        <v>15</v>
      </c>
      <c r="AL104" s="442"/>
      <c r="AM104" s="443"/>
      <c r="AN104" s="432" t="s">
        <v>45</v>
      </c>
      <c r="AO104" s="432" t="s">
        <v>41</v>
      </c>
      <c r="AP104" s="432" t="s">
        <v>42</v>
      </c>
      <c r="AQ104" s="432" t="s">
        <v>43</v>
      </c>
      <c r="AR104" s="432" t="s">
        <v>44</v>
      </c>
      <c r="AS104" s="434" t="s">
        <v>0</v>
      </c>
      <c r="AT104" s="427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435"/>
      <c r="B105" s="435"/>
      <c r="C105" s="435"/>
      <c r="D105" s="435"/>
      <c r="E105" s="435"/>
      <c r="F105" s="322" t="str">
        <f>CHOOSE(WEEKDAY(F104),"C.Nhật","T.Hai","T.Ba","T.Tư","T.Năm","T.Sáu","T.Bảy")</f>
        <v>T.Sáu</v>
      </c>
      <c r="G105" s="322" t="str">
        <f t="shared" ref="G105:AI105" si="4">CHOOSE(WEEKDAY(G104),"C.Nhật","T.Hai","T.Ba","T.Tư","T.Năm","T.Sáu","T.Bảy")</f>
        <v>T.Bảy</v>
      </c>
      <c r="H105" s="322" t="str">
        <f t="shared" si="4"/>
        <v>C.Nhật</v>
      </c>
      <c r="I105" s="322" t="str">
        <f t="shared" si="4"/>
        <v>T.Hai</v>
      </c>
      <c r="J105" s="322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433"/>
      <c r="AO105" s="433"/>
      <c r="AP105" s="433"/>
      <c r="AQ105" s="433"/>
      <c r="AR105" s="433"/>
      <c r="AS105" s="435"/>
      <c r="AT105" s="427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3">
        <v>1</v>
      </c>
      <c r="B106" s="323">
        <v>2</v>
      </c>
      <c r="C106" s="323">
        <v>3</v>
      </c>
      <c r="D106" s="323">
        <v>4</v>
      </c>
      <c r="E106" s="323">
        <v>5</v>
      </c>
      <c r="F106" s="323">
        <v>6</v>
      </c>
      <c r="G106" s="323">
        <v>7</v>
      </c>
      <c r="H106" s="323">
        <v>8</v>
      </c>
      <c r="I106" s="323">
        <v>9</v>
      </c>
      <c r="J106" s="323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6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25">
        <v>1</v>
      </c>
      <c r="B107" s="425" t="s">
        <v>68</v>
      </c>
      <c r="C107" s="413" t="str">
        <f>VLOOKUP(B107,DS,2,0)</f>
        <v>Nguyễn Thiện Duy</v>
      </c>
      <c r="D107" s="415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417">
        <f>((SUM(F107:AJ107))/8)-(SUMIF($F$6:$AI$6,"C.Nhật",F107:AJ107)/8)</f>
        <v>21</v>
      </c>
      <c r="AL107" s="417">
        <f>SUM(F108:AJ108)/8*1.5</f>
        <v>0</v>
      </c>
      <c r="AM107" s="419">
        <f>SUMIF($F$6:$AI$6,"C.Nhật",$F107:$AI108)/8*2</f>
        <v>0</v>
      </c>
      <c r="AN107" s="407">
        <f>SUM(AK107:AM108)</f>
        <v>21</v>
      </c>
      <c r="AO107" s="421">
        <v>29</v>
      </c>
      <c r="AP107" s="407"/>
      <c r="AQ107" s="407"/>
      <c r="AR107" s="407"/>
      <c r="AS107" s="430"/>
      <c r="AT107" s="296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26"/>
      <c r="B108" s="426"/>
      <c r="C108" s="414"/>
      <c r="D108" s="416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0"/>
      <c r="AJ108" s="320"/>
      <c r="AK108" s="418"/>
      <c r="AL108" s="418"/>
      <c r="AM108" s="420"/>
      <c r="AN108" s="408"/>
      <c r="AO108" s="422"/>
      <c r="AP108" s="408"/>
      <c r="AQ108" s="408"/>
      <c r="AR108" s="408"/>
      <c r="AS108" s="431"/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25">
        <f>A107+1</f>
        <v>2</v>
      </c>
      <c r="B109" s="425" t="s">
        <v>70</v>
      </c>
      <c r="C109" s="413" t="str">
        <f>VLOOKUP(B109,DS,2,0)</f>
        <v>Nguyễn Văn Sẽ</v>
      </c>
      <c r="D109" s="415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417">
        <f>((SUM(F109:AJ109))/8)-(SUMIF($F$6:$AI$6,"C.Nhật",F109:AJ109)/8)</f>
        <v>23</v>
      </c>
      <c r="AL109" s="417">
        <f>SUM(F110:AJ110)/8*1.5</f>
        <v>0</v>
      </c>
      <c r="AM109" s="419">
        <f>SUMIF($F$6:$AI$6,"C.Nhật",$F109:$AI110)/8*2</f>
        <v>0</v>
      </c>
      <c r="AN109" s="407">
        <f>SUM(AK109:AM110)</f>
        <v>23</v>
      </c>
      <c r="AO109" s="421">
        <v>30</v>
      </c>
      <c r="AP109" s="407"/>
      <c r="AQ109" s="407"/>
      <c r="AR109" s="407"/>
      <c r="AS109" s="430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26"/>
      <c r="B110" s="426"/>
      <c r="C110" s="414"/>
      <c r="D110" s="416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18"/>
      <c r="AL110" s="418"/>
      <c r="AM110" s="420"/>
      <c r="AN110" s="408"/>
      <c r="AO110" s="422"/>
      <c r="AP110" s="408"/>
      <c r="AQ110" s="408"/>
      <c r="AR110" s="408"/>
      <c r="AS110" s="431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25">
        <f>A109+1</f>
        <v>3</v>
      </c>
      <c r="B111" s="425" t="s">
        <v>72</v>
      </c>
      <c r="C111" s="413" t="str">
        <f>VLOOKUP(B111,DS,2,0)</f>
        <v>Võ Uyên Phương</v>
      </c>
      <c r="D111" s="415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417">
        <f>((SUM(F111:AJ111))/8)-(SUMIF($F$6:$AI$6,"C.Nhật",F111:AJ111)/8)</f>
        <v>23</v>
      </c>
      <c r="AL111" s="417">
        <f>SUM(F112:AJ112)/8*1.5</f>
        <v>0</v>
      </c>
      <c r="AM111" s="419">
        <f>SUMIF($F$6:$AI$6,"C.Nhật",$F111:$AI112)/8*2</f>
        <v>0</v>
      </c>
      <c r="AN111" s="407">
        <f>SUM(AK111:AM112)</f>
        <v>23</v>
      </c>
      <c r="AO111" s="421">
        <v>31</v>
      </c>
      <c r="AP111" s="407"/>
      <c r="AQ111" s="407"/>
      <c r="AR111" s="407"/>
      <c r="AS111" s="430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26"/>
      <c r="B112" s="426"/>
      <c r="C112" s="414"/>
      <c r="D112" s="416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18"/>
      <c r="AL112" s="418"/>
      <c r="AM112" s="420"/>
      <c r="AN112" s="408"/>
      <c r="AO112" s="422"/>
      <c r="AP112" s="408"/>
      <c r="AQ112" s="408"/>
      <c r="AR112" s="408"/>
      <c r="AS112" s="431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25">
        <f>A111+1</f>
        <v>4</v>
      </c>
      <c r="B113" s="425" t="s">
        <v>75</v>
      </c>
      <c r="C113" s="413" t="str">
        <f>VLOOKUP(B113,DS,2,0)</f>
        <v>Lê Nguyễn Huy Cường</v>
      </c>
      <c r="D113" s="415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417">
        <f>((SUM(F113:AJ113))/8)-(SUMIF($F$6:$AI$6,"C.Nhật",F113:AJ113)/8)</f>
        <v>23</v>
      </c>
      <c r="AL113" s="417">
        <f>SUM(F114:AJ114)/8*1.5</f>
        <v>0</v>
      </c>
      <c r="AM113" s="419">
        <f>SUMIF($F$6:$AI$6,"C.Nhật",$F113:$AI114)/8*2</f>
        <v>0</v>
      </c>
      <c r="AN113" s="407">
        <f>SUM(AK113:AM114)</f>
        <v>23</v>
      </c>
      <c r="AO113" s="421">
        <v>32</v>
      </c>
      <c r="AP113" s="407"/>
      <c r="AQ113" s="407"/>
      <c r="AR113" s="407"/>
      <c r="AS113" s="430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26"/>
      <c r="B114" s="426"/>
      <c r="C114" s="414"/>
      <c r="D114" s="416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18"/>
      <c r="AL114" s="418"/>
      <c r="AM114" s="420"/>
      <c r="AN114" s="408"/>
      <c r="AO114" s="422"/>
      <c r="AP114" s="408"/>
      <c r="AQ114" s="408"/>
      <c r="AR114" s="408"/>
      <c r="AS114" s="431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25">
        <f>A113+1</f>
        <v>5</v>
      </c>
      <c r="B115" s="425" t="s">
        <v>77</v>
      </c>
      <c r="C115" s="413" t="str">
        <f>VLOOKUP(B115,DS,2,0)</f>
        <v>Nguyễn Văn Bé Tư</v>
      </c>
      <c r="D115" s="415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417">
        <f>((SUM(F115:AJ115))/8)-(SUMIF($F$6:$AI$6,"C.Nhật",F115:AJ115)/8)</f>
        <v>23</v>
      </c>
      <c r="AL115" s="417">
        <f>SUM(F116:AJ116)/8*1.5</f>
        <v>0</v>
      </c>
      <c r="AM115" s="419">
        <f>SUMIF($F$6:$AI$6,"C.Nhật",$F115:$AI116)/8*2</f>
        <v>0</v>
      </c>
      <c r="AN115" s="407">
        <f>SUM(AK115:AM116)</f>
        <v>23</v>
      </c>
      <c r="AO115" s="421">
        <v>33</v>
      </c>
      <c r="AP115" s="407"/>
      <c r="AQ115" s="407"/>
      <c r="AR115" s="407"/>
      <c r="AS115" s="430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26"/>
      <c r="B116" s="426"/>
      <c r="C116" s="414"/>
      <c r="D116" s="416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18"/>
      <c r="AL116" s="418"/>
      <c r="AM116" s="420"/>
      <c r="AN116" s="408"/>
      <c r="AO116" s="422"/>
      <c r="AP116" s="408"/>
      <c r="AQ116" s="408"/>
      <c r="AR116" s="408"/>
      <c r="AS116" s="431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25">
        <f>A115+1</f>
        <v>6</v>
      </c>
      <c r="B117" s="425" t="s">
        <v>78</v>
      </c>
      <c r="C117" s="413" t="str">
        <f>VLOOKUP(B117,DS,2,0)</f>
        <v>Dương Thanh Tuấn</v>
      </c>
      <c r="D117" s="415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417">
        <f>((SUM(F117:AJ117))/8)-(SUMIF($F$6:$AI$6,"C.Nhật",F117:AJ117)/8)</f>
        <v>23</v>
      </c>
      <c r="AL117" s="417">
        <f>SUM(F118:AJ118)/8*1.5</f>
        <v>0</v>
      </c>
      <c r="AM117" s="419">
        <f>SUMIF($F$6:$AI$6,"C.Nhật",$F117:$AI118)/8*2</f>
        <v>0</v>
      </c>
      <c r="AN117" s="407">
        <f>SUM(AK117:AM118)</f>
        <v>23</v>
      </c>
      <c r="AO117" s="421">
        <v>34</v>
      </c>
      <c r="AP117" s="407"/>
      <c r="AQ117" s="407"/>
      <c r="AR117" s="407"/>
      <c r="AS117" s="430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26"/>
      <c r="B118" s="426"/>
      <c r="C118" s="414"/>
      <c r="D118" s="416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18"/>
      <c r="AL118" s="418"/>
      <c r="AM118" s="420"/>
      <c r="AN118" s="408"/>
      <c r="AO118" s="422"/>
      <c r="AP118" s="408"/>
      <c r="AQ118" s="408"/>
      <c r="AR118" s="408"/>
      <c r="AS118" s="431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25">
        <f>A117+1</f>
        <v>7</v>
      </c>
      <c r="B119" s="425" t="s">
        <v>81</v>
      </c>
      <c r="C119" s="413" t="str">
        <f>VLOOKUP(B119,DS,2,0)</f>
        <v>Nguyễn Thiện Duyệt</v>
      </c>
      <c r="D119" s="415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417">
        <f>((SUM(F119:AJ119))/8)-(SUMIF($F$6:$AI$6,"C.Nhật",F119:AJ119)/8)</f>
        <v>23</v>
      </c>
      <c r="AL119" s="417">
        <f>SUM(F120:AJ120)/8*1.5</f>
        <v>0</v>
      </c>
      <c r="AM119" s="419">
        <f>SUMIF($F$6:$AI$6,"C.Nhật",$F119:$AI120)/8*2</f>
        <v>0</v>
      </c>
      <c r="AN119" s="407">
        <f>SUM(AK119:AM120)</f>
        <v>23</v>
      </c>
      <c r="AO119" s="421">
        <v>35</v>
      </c>
      <c r="AP119" s="407"/>
      <c r="AQ119" s="407"/>
      <c r="AR119" s="407"/>
      <c r="AS119" s="430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26"/>
      <c r="B120" s="426"/>
      <c r="C120" s="414"/>
      <c r="D120" s="416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18"/>
      <c r="AL120" s="418"/>
      <c r="AM120" s="420"/>
      <c r="AN120" s="408"/>
      <c r="AO120" s="422"/>
      <c r="AP120" s="408"/>
      <c r="AQ120" s="408"/>
      <c r="AR120" s="408"/>
      <c r="AS120" s="431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8" priority="1" stopIfTrue="1">
      <formula>IF(WEEKDAY(F$5)=1,TRUE,FALSE)</formula>
    </cfRule>
  </conditionalFormatting>
  <printOptions horizontalCentered="1"/>
  <pageMargins left="0.24" right="0.24" top="0.32" bottom="0.79" header="0.25" footer="0.41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D3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K33" sqref="K33:K4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87" t="str">
        <f>"BẢNG THANH TOÁN LƯƠNG THÁNG"&amp;" "&amp;TEXT($E$4,"mm")&amp;" / "&amp;TEXT($E$4,"yyyy")</f>
        <v>BẢNG THANH TOÁN LƯƠNG THÁNG 04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297" t="s">
        <v>40</v>
      </c>
      <c r="G7" s="294" t="s">
        <v>18</v>
      </c>
      <c r="H7" s="297" t="s">
        <v>40</v>
      </c>
      <c r="I7" s="301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8"/>
      <c r="B32" s="316" t="s">
        <v>188</v>
      </c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40"/>
      <c r="O32" s="40"/>
      <c r="P32" s="40"/>
      <c r="Q32" s="315"/>
      <c r="R32" s="315"/>
      <c r="S32" s="315"/>
      <c r="T32" s="315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22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4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2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86" t="s">
        <v>25</v>
      </c>
      <c r="B44" s="486"/>
      <c r="C44" s="486"/>
      <c r="D44" s="486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299"/>
      <c r="C57" s="299"/>
      <c r="D57" s="467" t="str">
        <f>D1</f>
        <v>BẢNG THANH TOÁN LƯƠNG THÁNG 04 / 2016</v>
      </c>
      <c r="E57" s="467"/>
      <c r="F57" s="467"/>
      <c r="G57" s="467"/>
      <c r="H57" s="467"/>
      <c r="I57" s="467"/>
      <c r="J57" s="467"/>
      <c r="K57" s="467"/>
      <c r="L57" s="467"/>
      <c r="M57" s="467"/>
      <c r="N57" s="467"/>
      <c r="O57" s="467"/>
      <c r="P57" s="467"/>
      <c r="Q57" s="468"/>
      <c r="R57" s="469" t="s">
        <v>112</v>
      </c>
      <c r="S57" s="470"/>
      <c r="T57" s="471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299"/>
      <c r="C58" s="299"/>
      <c r="D58" s="299"/>
      <c r="E58" s="200"/>
      <c r="F58" s="299"/>
      <c r="G58" s="299"/>
      <c r="H58" s="299"/>
      <c r="I58" s="299"/>
      <c r="J58" s="201"/>
      <c r="K58" s="299"/>
      <c r="L58" s="299"/>
      <c r="M58" s="299"/>
      <c r="N58" s="299"/>
      <c r="O58" s="299"/>
      <c r="P58" s="299"/>
      <c r="Q58" s="299"/>
      <c r="R58" s="299"/>
      <c r="S58" s="299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72" t="s">
        <v>19</v>
      </c>
      <c r="B61" s="472" t="s">
        <v>20</v>
      </c>
      <c r="C61" s="474" t="s">
        <v>1</v>
      </c>
      <c r="D61" s="474" t="s">
        <v>2</v>
      </c>
      <c r="E61" s="475" t="s">
        <v>56</v>
      </c>
      <c r="F61" s="476" t="s">
        <v>26</v>
      </c>
      <c r="G61" s="477"/>
      <c r="H61" s="477"/>
      <c r="I61" s="477"/>
      <c r="J61" s="477"/>
      <c r="K61" s="478"/>
      <c r="L61" s="458" t="s">
        <v>57</v>
      </c>
      <c r="M61" s="458" t="s">
        <v>5</v>
      </c>
      <c r="N61" s="474" t="s">
        <v>6</v>
      </c>
      <c r="O61" s="474"/>
      <c r="P61" s="474"/>
      <c r="Q61" s="461" t="s">
        <v>7</v>
      </c>
      <c r="R61" s="461" t="s">
        <v>8</v>
      </c>
      <c r="S61" s="461" t="s">
        <v>9</v>
      </c>
      <c r="T61" s="479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73"/>
      <c r="B62" s="473"/>
      <c r="C62" s="474"/>
      <c r="D62" s="474"/>
      <c r="E62" s="475"/>
      <c r="F62" s="476" t="s">
        <v>59</v>
      </c>
      <c r="G62" s="478"/>
      <c r="H62" s="481" t="s">
        <v>189</v>
      </c>
      <c r="I62" s="482"/>
      <c r="J62" s="463" t="s">
        <v>27</v>
      </c>
      <c r="K62" s="461" t="s">
        <v>4</v>
      </c>
      <c r="L62" s="459"/>
      <c r="M62" s="459"/>
      <c r="N62" s="465" t="s">
        <v>12</v>
      </c>
      <c r="O62" s="461" t="s">
        <v>13</v>
      </c>
      <c r="P62" s="461" t="s">
        <v>34</v>
      </c>
      <c r="Q62" s="462"/>
      <c r="R62" s="462"/>
      <c r="S62" s="462"/>
      <c r="T62" s="480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73"/>
      <c r="B63" s="473"/>
      <c r="C63" s="461"/>
      <c r="D63" s="461"/>
      <c r="E63" s="475"/>
      <c r="F63" s="300" t="s">
        <v>40</v>
      </c>
      <c r="G63" s="301" t="s">
        <v>18</v>
      </c>
      <c r="H63" s="297" t="s">
        <v>40</v>
      </c>
      <c r="I63" s="301" t="s">
        <v>18</v>
      </c>
      <c r="J63" s="464"/>
      <c r="K63" s="462"/>
      <c r="L63" s="460"/>
      <c r="M63" s="460"/>
      <c r="N63" s="466"/>
      <c r="O63" s="462"/>
      <c r="P63" s="462"/>
      <c r="Q63" s="462"/>
      <c r="R63" s="462"/>
      <c r="S63" s="462"/>
      <c r="T63" s="480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0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7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>ROUND(E71/$U$2*F71,0)</f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3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56" t="s">
        <v>25</v>
      </c>
      <c r="B73" s="457"/>
      <c r="C73" s="457"/>
      <c r="D73" s="457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15 B16:B31 A16:A42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96" sqref="A96:AS1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C.Nhật</v>
      </c>
      <c r="G6" s="302" t="str">
        <f t="shared" ref="G6:AI6" si="1">CHOOSE(WEEKDAY(G5),"C.Nhật","T.Hai","T.Ba","T.Tư","T.Năm","T.Sáu","T.Bảy")</f>
        <v>T.Hai</v>
      </c>
      <c r="H6" s="302" t="str">
        <f t="shared" si="1"/>
        <v>T.Ba</v>
      </c>
      <c r="I6" s="302" t="str">
        <f t="shared" si="1"/>
        <v>T.Tư</v>
      </c>
      <c r="J6" s="302" t="str">
        <f t="shared" si="1"/>
        <v>T.Năm</v>
      </c>
      <c r="K6" s="302" t="str">
        <f t="shared" si="1"/>
        <v>T.Sáu</v>
      </c>
      <c r="L6" s="302" t="str">
        <f t="shared" si="1"/>
        <v>T.Bảy</v>
      </c>
      <c r="M6" s="302" t="str">
        <f t="shared" si="1"/>
        <v>C.Nhật</v>
      </c>
      <c r="N6" s="302" t="str">
        <f t="shared" si="1"/>
        <v>T.Hai</v>
      </c>
      <c r="O6" s="302" t="str">
        <f t="shared" si="1"/>
        <v>T.Ba</v>
      </c>
      <c r="P6" s="302" t="str">
        <f t="shared" si="1"/>
        <v>T.Tư</v>
      </c>
      <c r="Q6" s="302" t="str">
        <f t="shared" si="1"/>
        <v>T.Năm</v>
      </c>
      <c r="R6" s="302" t="str">
        <f t="shared" si="1"/>
        <v>T.Sáu</v>
      </c>
      <c r="S6" s="302" t="str">
        <f t="shared" si="1"/>
        <v>T.Bảy</v>
      </c>
      <c r="T6" s="302" t="str">
        <f t="shared" si="1"/>
        <v>C.Nhật</v>
      </c>
      <c r="U6" s="302" t="str">
        <f t="shared" si="1"/>
        <v>T.Hai</v>
      </c>
      <c r="V6" s="302" t="str">
        <f t="shared" si="1"/>
        <v>T.Ba</v>
      </c>
      <c r="W6" s="302" t="str">
        <f t="shared" si="1"/>
        <v>T.Tư</v>
      </c>
      <c r="X6" s="302" t="str">
        <f t="shared" si="1"/>
        <v>T.Năm</v>
      </c>
      <c r="Y6" s="302" t="str">
        <f t="shared" si="1"/>
        <v>T.Sáu</v>
      </c>
      <c r="Z6" s="302" t="str">
        <f t="shared" si="1"/>
        <v>T.Bảy</v>
      </c>
      <c r="AA6" s="302" t="str">
        <f t="shared" si="1"/>
        <v>C.Nhật</v>
      </c>
      <c r="AB6" s="302" t="str">
        <f t="shared" si="1"/>
        <v>T.Hai</v>
      </c>
      <c r="AC6" s="302" t="str">
        <f t="shared" si="1"/>
        <v>T.Ba</v>
      </c>
      <c r="AD6" s="302" t="str">
        <f t="shared" si="1"/>
        <v>T.Tư</v>
      </c>
      <c r="AE6" s="302" t="str">
        <f t="shared" si="1"/>
        <v>T.Năm</v>
      </c>
      <c r="AF6" s="302" t="str">
        <f t="shared" si="1"/>
        <v>T.Sáu</v>
      </c>
      <c r="AG6" s="302" t="str">
        <f t="shared" si="1"/>
        <v>T.Bảy</v>
      </c>
      <c r="AH6" s="302" t="str">
        <f t="shared" si="1"/>
        <v>C.Nhật</v>
      </c>
      <c r="AI6" s="302" t="str">
        <f t="shared" si="1"/>
        <v>T.Hai</v>
      </c>
      <c r="AJ6" s="302" t="str">
        <f>CHOOSE(WEEKDAY(AJ5),"C.Nhật","T.Hai","T.Ba","T.Tư","T.Năm","T.Sáu","T.Bảy")</f>
        <v>T.Ba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417">
        <f>((SUM(F9:AJ9))/8)-(SUMIF($F$6:$AJ$6,"C.Nhật",F9:AJ9)/8)</f>
        <v>25</v>
      </c>
      <c r="AL9" s="417">
        <f>SUM(F10:AJ10)/8*1.5</f>
        <v>0</v>
      </c>
      <c r="AM9" s="419">
        <f>SUMIF($F$6:$AJ$6,"C.Nhật",$F9:$AJ10)/8*2</f>
        <v>0</v>
      </c>
      <c r="AN9" s="407">
        <f>SUM(AK9:AM10)</f>
        <v>25</v>
      </c>
      <c r="AO9" s="421">
        <v>0</v>
      </c>
      <c r="AP9" s="407"/>
      <c r="AQ9" s="407"/>
      <c r="AR9" s="407"/>
      <c r="AS9" s="409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417">
        <f>((SUM(F11:AJ11))/8)-(SUMIF($F$6:$AJ$6,"C.Nhật",F11:AJ11)/8)</f>
        <v>25</v>
      </c>
      <c r="AL11" s="417">
        <f>SUM(F12:AJ12)/8*1.5</f>
        <v>0</v>
      </c>
      <c r="AM11" s="419">
        <f>SUMIF($F$6:$AJ$6,"C.Nhật",$F11:$AJ12)/8*2</f>
        <v>0</v>
      </c>
      <c r="AN11" s="407">
        <f>SUM(AK11:AM12)</f>
        <v>25</v>
      </c>
      <c r="AO11" s="421">
        <v>0</v>
      </c>
      <c r="AP11" s="407"/>
      <c r="AQ11" s="407"/>
      <c r="AR11" s="407"/>
      <c r="AS11" s="409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2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417">
        <f>((SUM(F14:AJ14))/8)-(SUMIF($F$6:$AJ$6,"C.Nhật",F14:AJ14)/8)</f>
        <v>25</v>
      </c>
      <c r="AL14" s="417">
        <f>SUM(F15:AJ15)/8*1.5</f>
        <v>0</v>
      </c>
      <c r="AM14" s="419">
        <f>SUMIF($F$6:$AJ$6,"C.Nhật",$F14:$AJ15)/8*2</f>
        <v>0</v>
      </c>
      <c r="AN14" s="407">
        <f>SUM(AK14:AM15)</f>
        <v>25</v>
      </c>
      <c r="AO14" s="421">
        <v>0</v>
      </c>
      <c r="AP14" s="407"/>
      <c r="AQ14" s="407"/>
      <c r="AR14" s="407"/>
      <c r="AS14" s="409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v>3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417">
        <f>((SUM(F16:AJ16))/8)-(SUMIF($F$6:$AJ$6,"C.Nhật",F16:AJ16)/8)</f>
        <v>25</v>
      </c>
      <c r="AL16" s="417">
        <f>SUM(F17:AJ17)/8*1.5</f>
        <v>0</v>
      </c>
      <c r="AM16" s="419">
        <f>SUMIF($F$6:$AJ$6,"C.Nhật",$F16:$AJ17)/8*2</f>
        <v>0</v>
      </c>
      <c r="AN16" s="407">
        <f>SUM(AK16:AM17)</f>
        <v>25</v>
      </c>
      <c r="AO16" s="421">
        <v>1</v>
      </c>
      <c r="AP16" s="407"/>
      <c r="AQ16" s="407"/>
      <c r="AR16" s="407"/>
      <c r="AS16" s="409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4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417">
        <f>((SUM(F18:AJ18))/8)-(SUMIF($F$6:$AJ$6,"C.Nhật",F18:AJ18)/8)</f>
        <v>25</v>
      </c>
      <c r="AL18" s="417">
        <f>SUM(F19:AJ19)/8*1.5</f>
        <v>0</v>
      </c>
      <c r="AM18" s="419">
        <f>SUMIF($F$6:$AJ$6,"C.Nhật",$F18:$AJ19)/8*2</f>
        <v>0</v>
      </c>
      <c r="AN18" s="407">
        <f>SUM(AK18:AM19)</f>
        <v>25</v>
      </c>
      <c r="AO18" s="421">
        <v>2</v>
      </c>
      <c r="AP18" s="407"/>
      <c r="AQ18" s="407"/>
      <c r="AR18" s="407"/>
      <c r="AS18" s="409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5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417">
        <f>((SUM(F20:AJ20))/8)-(SUMIF($F$6:$AJ$6,"C.Nhật",F20:AJ20)/8)</f>
        <v>25</v>
      </c>
      <c r="AL20" s="417">
        <f>SUM(F21:AJ21)/8*1.5</f>
        <v>0</v>
      </c>
      <c r="AM20" s="419">
        <f>SUMIF($F$6:$AJ$6,"C.Nhật",$F20:$AJ21)/8*2</f>
        <v>0</v>
      </c>
      <c r="AN20" s="407">
        <f>SUM(AK20:AM21)</f>
        <v>25</v>
      </c>
      <c r="AO20" s="421">
        <v>3</v>
      </c>
      <c r="AP20" s="407"/>
      <c r="AQ20" s="407"/>
      <c r="AR20" s="407"/>
      <c r="AS20" s="409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ref="A22:A30" si="2">A20+1</f>
        <v>6</v>
      </c>
      <c r="B22" s="411" t="s">
        <v>88</v>
      </c>
      <c r="C22" s="413" t="str">
        <f>VLOOKUP(B22,DS,2,0)</f>
        <v>Huỳnh Thị Bé Tha</v>
      </c>
      <c r="D22" s="415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417">
        <f>((SUM(F22:AJ22))/8)-(SUMIF($F$6:$AJ$6,"C.Nhật",F22:AJ22)/8)</f>
        <v>25</v>
      </c>
      <c r="AL22" s="417">
        <f>SUM(F23:AJ23)/8*1.5</f>
        <v>0</v>
      </c>
      <c r="AM22" s="419">
        <f>SUMIF($F$6:$AJ$6,"C.Nhật",$F22:$AJ23)/8*2</f>
        <v>0</v>
      </c>
      <c r="AN22" s="407">
        <f>SUM(AK22:AM23)</f>
        <v>25</v>
      </c>
      <c r="AO22" s="421">
        <v>4</v>
      </c>
      <c r="AP22" s="407"/>
      <c r="AQ22" s="407"/>
      <c r="AR22" s="407"/>
      <c r="AS22" s="409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7</v>
      </c>
      <c r="B24" s="411" t="s">
        <v>90</v>
      </c>
      <c r="C24" s="413" t="str">
        <f>VLOOKUP(B24,DS,2,0)</f>
        <v>Nguyễn Thị Kim Hồng</v>
      </c>
      <c r="D24" s="415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417">
        <f>((SUM(F24:AJ24))/8)-(SUMIF($F$6:$AJ$6,"C.Nhật",F24:AJ24)/8)</f>
        <v>25</v>
      </c>
      <c r="AL24" s="417">
        <f>SUM(F25:AJ25)/8*1.5</f>
        <v>0</v>
      </c>
      <c r="AM24" s="419">
        <f>SUMIF($F$6:$AJ$6,"C.Nhật",$F24:$AJ25)/8*2</f>
        <v>0</v>
      </c>
      <c r="AN24" s="407">
        <f>SUM(AK24:AM25)</f>
        <v>25</v>
      </c>
      <c r="AO24" s="421">
        <v>5</v>
      </c>
      <c r="AP24" s="407"/>
      <c r="AQ24" s="407"/>
      <c r="AR24" s="407"/>
      <c r="AS24" s="409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 t="shared" si="2"/>
        <v>8</v>
      </c>
      <c r="B26" s="411" t="s">
        <v>91</v>
      </c>
      <c r="C26" s="413" t="str">
        <f>VLOOKUP(B26,DS,2,0)</f>
        <v>Nguyễn Thị Lựu</v>
      </c>
      <c r="D26" s="415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417">
        <f>((SUM(F26:AJ26))/8)-(SUMIF($F$6:$AJ$6,"C.Nhật",F26:AJ26)/8)</f>
        <v>25</v>
      </c>
      <c r="AL26" s="417">
        <f>SUM(F27:AJ27)/8*1.5</f>
        <v>0</v>
      </c>
      <c r="AM26" s="419">
        <f>SUMIF($F$6:$AJ$6,"C.Nhật",$F26:$AJ27)/8*2</f>
        <v>0</v>
      </c>
      <c r="AN26" s="407">
        <f>SUM(AK26:AM27)</f>
        <v>25</v>
      </c>
      <c r="AO26" s="421">
        <v>6</v>
      </c>
      <c r="AP26" s="407"/>
      <c r="AQ26" s="407"/>
      <c r="AR26" s="407"/>
      <c r="AS26" s="409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 t="shared" si="2"/>
        <v>9</v>
      </c>
      <c r="B28" s="411" t="s">
        <v>92</v>
      </c>
      <c r="C28" s="413" t="str">
        <f>VLOOKUP(B28,DS,2,0)</f>
        <v>Lý Thị Được</v>
      </c>
      <c r="D28" s="415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417">
        <f>((SUM(F28:AJ28))/8)-(SUMIF($F$6:$AJ$6,"C.Nhật",F28:AJ28)/8)</f>
        <v>25</v>
      </c>
      <c r="AL28" s="417">
        <f>SUM(F29:AJ29)/8*1.5</f>
        <v>0</v>
      </c>
      <c r="AM28" s="419">
        <f>SUMIF($F$6:$AJ$6,"C.Nhật",$F28:$AJ29)/8*2</f>
        <v>0</v>
      </c>
      <c r="AN28" s="407">
        <f>SUM(AK28:AM29)</f>
        <v>25</v>
      </c>
      <c r="AO28" s="421">
        <v>7</v>
      </c>
      <c r="AP28" s="407"/>
      <c r="AQ28" s="407"/>
      <c r="AR28" s="407"/>
      <c r="AS28" s="409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 t="shared" si="2"/>
        <v>10</v>
      </c>
      <c r="B30" s="411" t="s">
        <v>93</v>
      </c>
      <c r="C30" s="413" t="str">
        <f>VLOOKUP(B30,DS,2,0)</f>
        <v>Lý La Quan</v>
      </c>
      <c r="D30" s="415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417">
        <f>((SUM(F30:AJ30))/8)-(SUMIF($F$6:$AJ$6,"C.Nhật",F30:AJ30)/8)</f>
        <v>25</v>
      </c>
      <c r="AL30" s="417">
        <f>SUM(F31:AJ31)/8*1.5</f>
        <v>0</v>
      </c>
      <c r="AM30" s="419">
        <f>SUMIF($F$6:$AJ$6,"C.Nhật",$F30:$AJ31)/8*2</f>
        <v>0</v>
      </c>
      <c r="AN30" s="407">
        <f>SUM(AK30:AM31)</f>
        <v>25</v>
      </c>
      <c r="AO30" s="421">
        <v>8</v>
      </c>
      <c r="AP30" s="407"/>
      <c r="AQ30" s="407"/>
      <c r="AR30" s="407"/>
      <c r="AS30" s="409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11</v>
      </c>
      <c r="B32" s="411" t="s">
        <v>94</v>
      </c>
      <c r="C32" s="413" t="str">
        <f>VLOOKUP(B32,DS,2,0)</f>
        <v>Trà Thị Soi</v>
      </c>
      <c r="D32" s="415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417">
        <f>((SUM(F32:AJ32))/8)-(SUMIF($F$6:$AJ$6,"C.Nhật",F32:AJ32)/8)</f>
        <v>25</v>
      </c>
      <c r="AL32" s="417">
        <f>SUM(F33:AJ33)/8*1.5</f>
        <v>0</v>
      </c>
      <c r="AM32" s="419">
        <f>SUMIF($F$6:$AJ$6,"C.Nhật",$F32:$AJ33)/8*2</f>
        <v>0</v>
      </c>
      <c r="AN32" s="407">
        <f>SUM(AK32:AM33)</f>
        <v>25</v>
      </c>
      <c r="AO32" s="421">
        <v>9</v>
      </c>
      <c r="AP32" s="407"/>
      <c r="AQ32" s="407"/>
      <c r="AR32" s="407"/>
      <c r="AS32" s="409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12</v>
      </c>
      <c r="B34" s="411" t="s">
        <v>95</v>
      </c>
      <c r="C34" s="413" t="str">
        <f>VLOOKUP(B34,DS,2,0)</f>
        <v>Sơn Thị Muỗi Tron</v>
      </c>
      <c r="D34" s="415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417">
        <f>((SUM(F34:AJ34))/8)-(SUMIF($F$6:$AJ$6,"C.Nhật",F34:AJ34)/8)</f>
        <v>25</v>
      </c>
      <c r="AL34" s="417">
        <f>SUM(F35:AJ35)/8*1.5</f>
        <v>0</v>
      </c>
      <c r="AM34" s="419">
        <f>SUMIF($F$6:$AJ$6,"C.Nhật",$F34:$AJ35)/8*2</f>
        <v>0</v>
      </c>
      <c r="AN34" s="407">
        <f>SUM(AK34:AM35)</f>
        <v>25</v>
      </c>
      <c r="AO34" s="421">
        <v>10</v>
      </c>
      <c r="AP34" s="407"/>
      <c r="AQ34" s="407"/>
      <c r="AR34" s="407"/>
      <c r="AS34" s="409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13</v>
      </c>
      <c r="B36" s="411" t="s">
        <v>96</v>
      </c>
      <c r="C36" s="413" t="str">
        <f>VLOOKUP(B36,DS,2,0)</f>
        <v>Sơn Thị Thương</v>
      </c>
      <c r="D36" s="415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417">
        <f>((SUM(F36:AJ36))/8)-(SUMIF($F$6:$AJ$6,"C.Nhật",F36:AJ36)/8)</f>
        <v>25</v>
      </c>
      <c r="AL36" s="417">
        <f>SUM(F37:AJ37)/8*1.5</f>
        <v>0</v>
      </c>
      <c r="AM36" s="419">
        <f>SUMIF($F$6:$AJ$6,"C.Nhật",$F36:$AJ37)/8*2</f>
        <v>0</v>
      </c>
      <c r="AN36" s="407">
        <f>SUM(AK36:AM37)</f>
        <v>25</v>
      </c>
      <c r="AO36" s="421">
        <v>11</v>
      </c>
      <c r="AP36" s="407"/>
      <c r="AQ36" s="407"/>
      <c r="AR36" s="407"/>
      <c r="AS36" s="409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14</v>
      </c>
      <c r="B38" s="411" t="s">
        <v>98</v>
      </c>
      <c r="C38" s="413" t="str">
        <f>VLOOKUP(B38,DS,2,0)</f>
        <v>Huỳnh Thị Như</v>
      </c>
      <c r="D38" s="415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417">
        <f>((SUM(F38:AJ38))/8)-(SUMIF($F$6:$AJ$6,"C.Nhật",F38:AJ38)/8)</f>
        <v>25</v>
      </c>
      <c r="AL38" s="417">
        <f>SUM(F39:AJ39)/8*1.5</f>
        <v>0</v>
      </c>
      <c r="AM38" s="419">
        <f>SUMIF($F$6:$AJ$6,"C.Nhật",$F38:$AJ39)/8*2</f>
        <v>0</v>
      </c>
      <c r="AN38" s="407">
        <f>SUM(AK38:AM39)</f>
        <v>25</v>
      </c>
      <c r="AO38" s="421">
        <v>13</v>
      </c>
      <c r="AP38" s="407"/>
      <c r="AQ38" s="407"/>
      <c r="AR38" s="407"/>
      <c r="AS38" s="409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18"/>
      <c r="AL39" s="418"/>
      <c r="AM39" s="420"/>
      <c r="AN39" s="408"/>
      <c r="AO39" s="422"/>
      <c r="AP39" s="408"/>
      <c r="AQ39" s="408"/>
      <c r="AR39" s="408"/>
      <c r="AS39" s="410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15</v>
      </c>
      <c r="B40" s="411" t="s">
        <v>99</v>
      </c>
      <c r="C40" s="413" t="str">
        <f>VLOOKUP(B40,DS,2,0)</f>
        <v>Sơn Thị Chành Ny</v>
      </c>
      <c r="D40" s="415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417">
        <f>((SUM(F40:AJ40))/8)-(SUMIF($F$6:$AJ$6,"C.Nhật",F40:AJ40)/8)</f>
        <v>25</v>
      </c>
      <c r="AL40" s="417">
        <f>SUM(F41:AJ41)/8*1.5</f>
        <v>0</v>
      </c>
      <c r="AM40" s="419">
        <f>SUMIF($F$6:$AJ$6,"C.Nhật",$F40:$AJ41)/8*2</f>
        <v>0</v>
      </c>
      <c r="AN40" s="407">
        <f>SUM(AK40:AM41)</f>
        <v>25</v>
      </c>
      <c r="AO40" s="421">
        <v>14</v>
      </c>
      <c r="AP40" s="407"/>
      <c r="AQ40" s="407"/>
      <c r="AR40" s="407"/>
      <c r="AS40" s="409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18"/>
      <c r="AL41" s="418"/>
      <c r="AM41" s="420"/>
      <c r="AN41" s="408"/>
      <c r="AO41" s="422"/>
      <c r="AP41" s="408"/>
      <c r="AQ41" s="408"/>
      <c r="AR41" s="408"/>
      <c r="AS41" s="410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1">
        <f>A40+1</f>
        <v>16</v>
      </c>
      <c r="B42" s="411" t="s">
        <v>100</v>
      </c>
      <c r="C42" s="413" t="str">
        <f>VLOOKUP(B42,DS,2,0)</f>
        <v>Sơn Thị Chành Đa</v>
      </c>
      <c r="D42" s="415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417">
        <f>((SUM(F42:AJ42))/8)-(SUMIF($F$6:$AJ$6,"C.Nhật",F42:AJ42)/8)</f>
        <v>25</v>
      </c>
      <c r="AL42" s="417">
        <f>SUM(F43:AJ43)/8*1.5</f>
        <v>0</v>
      </c>
      <c r="AM42" s="419">
        <f>SUMIF($F$6:$AJ$6,"C.Nhật",$F42:$AJ43)/8*2</f>
        <v>0</v>
      </c>
      <c r="AN42" s="407">
        <f>SUM(AK42:AM43)</f>
        <v>25</v>
      </c>
      <c r="AO42" s="421">
        <v>15</v>
      </c>
      <c r="AP42" s="407"/>
      <c r="AQ42" s="407"/>
      <c r="AR42" s="407"/>
      <c r="AS42" s="409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2"/>
      <c r="B43" s="412"/>
      <c r="C43" s="414"/>
      <c r="D43" s="416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18"/>
      <c r="AL43" s="418"/>
      <c r="AM43" s="420"/>
      <c r="AN43" s="408"/>
      <c r="AO43" s="422"/>
      <c r="AP43" s="408"/>
      <c r="AQ43" s="408"/>
      <c r="AR43" s="408"/>
      <c r="AS43" s="410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1">
        <f>A42+1</f>
        <v>17</v>
      </c>
      <c r="B44" s="411" t="s">
        <v>101</v>
      </c>
      <c r="C44" s="413" t="str">
        <f>VLOOKUP(B44,DS,2,0)</f>
        <v>Trần Thị Bích Phượng</v>
      </c>
      <c r="D44" s="415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417">
        <f>((SUM(F44:AJ44))/8)-(SUMIF($F$6:$AJ$6,"C.Nhật",F44:AJ44)/8)</f>
        <v>25</v>
      </c>
      <c r="AL44" s="417">
        <f>SUM(F45:AJ45)/8*1.5</f>
        <v>0</v>
      </c>
      <c r="AM44" s="419">
        <f>SUMIF($F$6:$AJ$6,"C.Nhật",$F44:$AJ45)/8*2</f>
        <v>0</v>
      </c>
      <c r="AN44" s="407">
        <f>SUM(AK44:AM45)</f>
        <v>25</v>
      </c>
      <c r="AO44" s="421">
        <v>16</v>
      </c>
      <c r="AP44" s="407"/>
      <c r="AQ44" s="407"/>
      <c r="AR44" s="407"/>
      <c r="AS44" s="409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2"/>
      <c r="B45" s="412"/>
      <c r="C45" s="414"/>
      <c r="D45" s="416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18"/>
      <c r="AL45" s="418"/>
      <c r="AM45" s="420"/>
      <c r="AN45" s="408"/>
      <c r="AO45" s="422"/>
      <c r="AP45" s="408"/>
      <c r="AQ45" s="408"/>
      <c r="AR45" s="408"/>
      <c r="AS45" s="410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1">
        <f>A44+1</f>
        <v>18</v>
      </c>
      <c r="B46" s="411" t="s">
        <v>102</v>
      </c>
      <c r="C46" s="413" t="str">
        <f>VLOOKUP(B46,DS,2,0)</f>
        <v>Sơn Thị Trường Sa</v>
      </c>
      <c r="D46" s="415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417">
        <f>((SUM(F46:AJ46))/8)-(SUMIF($F$6:$AJ$6,"C.Nhật",F46:AJ46)/8)</f>
        <v>25</v>
      </c>
      <c r="AL46" s="417">
        <f>SUM(F47:AJ47)/8*1.5</f>
        <v>0</v>
      </c>
      <c r="AM46" s="419">
        <f>SUMIF($F$6:$AJ$6,"C.Nhật",$F46:$AJ47)/8*2</f>
        <v>0</v>
      </c>
      <c r="AN46" s="407">
        <f>SUM(AK46:AM47)</f>
        <v>25</v>
      </c>
      <c r="AO46" s="421">
        <v>17</v>
      </c>
      <c r="AP46" s="407"/>
      <c r="AQ46" s="407"/>
      <c r="AR46" s="407"/>
      <c r="AS46" s="409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2"/>
      <c r="B47" s="412"/>
      <c r="C47" s="414"/>
      <c r="D47" s="416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18"/>
      <c r="AL47" s="418"/>
      <c r="AM47" s="420"/>
      <c r="AN47" s="408"/>
      <c r="AO47" s="422"/>
      <c r="AP47" s="408"/>
      <c r="AQ47" s="408"/>
      <c r="AR47" s="408"/>
      <c r="AS47" s="410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1">
        <f>A46+1</f>
        <v>19</v>
      </c>
      <c r="B48" s="411" t="s">
        <v>103</v>
      </c>
      <c r="C48" s="413" t="str">
        <f>VLOOKUP(B48,DS,2,0)</f>
        <v>Lý Thị Sà Kha</v>
      </c>
      <c r="D48" s="415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417">
        <f>((SUM(F48:AJ48))/8)-(SUMIF($F$6:$AJ$6,"C.Nhật",F48:AJ48)/8)</f>
        <v>25</v>
      </c>
      <c r="AL48" s="417">
        <f>SUM(F49:AJ49)/8*1.5</f>
        <v>0</v>
      </c>
      <c r="AM48" s="419">
        <f>SUMIF($F$6:$AJ$6,"C.Nhật",$F48:$AJ49)/8*2</f>
        <v>0</v>
      </c>
      <c r="AN48" s="407">
        <f>SUM(AK48:AM49)</f>
        <v>25</v>
      </c>
      <c r="AO48" s="421">
        <v>18</v>
      </c>
      <c r="AP48" s="407"/>
      <c r="AQ48" s="407"/>
      <c r="AR48" s="407"/>
      <c r="AS48" s="409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2"/>
      <c r="B49" s="412"/>
      <c r="C49" s="414"/>
      <c r="D49" s="416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18"/>
      <c r="AL49" s="418"/>
      <c r="AM49" s="420"/>
      <c r="AN49" s="408"/>
      <c r="AO49" s="422"/>
      <c r="AP49" s="408"/>
      <c r="AQ49" s="408"/>
      <c r="AR49" s="408"/>
      <c r="AS49" s="410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1">
        <f>A48+1</f>
        <v>20</v>
      </c>
      <c r="B50" s="411" t="s">
        <v>104</v>
      </c>
      <c r="C50" s="413" t="str">
        <f>VLOOKUP(B50,DS,2,0)</f>
        <v xml:space="preserve"> Lâm Thị Mộng Thường</v>
      </c>
      <c r="D50" s="415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417">
        <f>((SUM(F50:AJ50))/8)-(SUMIF($F$6:$AJ$6,"C.Nhật",F50:AJ50)/8)</f>
        <v>25</v>
      </c>
      <c r="AL50" s="417">
        <f>SUM(F51:AJ51)/8*1.5</f>
        <v>0</v>
      </c>
      <c r="AM50" s="419">
        <f>SUMIF($F$6:$AJ$6,"C.Nhật",$F50:$AJ51)/8*2</f>
        <v>0</v>
      </c>
      <c r="AN50" s="407">
        <f>SUM(AK50:AM51)</f>
        <v>25</v>
      </c>
      <c r="AO50" s="421">
        <v>19</v>
      </c>
      <c r="AP50" s="407"/>
      <c r="AQ50" s="407"/>
      <c r="AR50" s="407"/>
      <c r="AS50" s="409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2"/>
      <c r="B51" s="412"/>
      <c r="C51" s="414"/>
      <c r="D51" s="416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18"/>
      <c r="AL51" s="418"/>
      <c r="AM51" s="420"/>
      <c r="AN51" s="408"/>
      <c r="AO51" s="422"/>
      <c r="AP51" s="408"/>
      <c r="AQ51" s="408"/>
      <c r="AR51" s="408"/>
      <c r="AS51" s="410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08" customFormat="1" ht="21" customHeight="1">
      <c r="A52" s="306" t="s">
        <v>187</v>
      </c>
      <c r="B52" s="309" t="s">
        <v>188</v>
      </c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0"/>
      <c r="AO52" s="310"/>
      <c r="AP52" s="310"/>
      <c r="AQ52" s="310"/>
      <c r="AR52" s="310"/>
      <c r="AS52" s="311"/>
      <c r="AT52" s="307"/>
    </row>
    <row r="53" spans="1:90" s="67" customFormat="1" ht="18" customHeight="1">
      <c r="A53" s="411">
        <f>A50+1</f>
        <v>21</v>
      </c>
      <c r="B53" s="411" t="s">
        <v>113</v>
      </c>
      <c r="C53" s="413" t="str">
        <f>VLOOKUP(B53,DS,2,0)</f>
        <v>Nguyễn Văn Bé Hai</v>
      </c>
      <c r="D53" s="415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417">
        <f>((SUM(F53:AJ53))/8)-(SUMIF($F$6:$AJ$6,"C.Nhật",F53:AJ53)/8)</f>
        <v>25</v>
      </c>
      <c r="AL53" s="417">
        <f>SUM(F54:AJ54)/8*1.5</f>
        <v>0</v>
      </c>
      <c r="AM53" s="419">
        <f>SUMIF($F$6:$AJ$6,"C.Nhật",$F53:$AJ54)/8*2</f>
        <v>0</v>
      </c>
      <c r="AN53" s="407">
        <f>SUM(AK53:AM54)</f>
        <v>25</v>
      </c>
      <c r="AO53" s="421">
        <v>19</v>
      </c>
      <c r="AP53" s="407"/>
      <c r="AQ53" s="407"/>
      <c r="AR53" s="407"/>
      <c r="AS53" s="409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2"/>
      <c r="B54" s="412"/>
      <c r="C54" s="414"/>
      <c r="D54" s="416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18"/>
      <c r="AL54" s="418"/>
      <c r="AM54" s="420"/>
      <c r="AN54" s="408"/>
      <c r="AO54" s="422"/>
      <c r="AP54" s="408"/>
      <c r="AQ54" s="408"/>
      <c r="AR54" s="408"/>
      <c r="AS54" s="410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1">
        <f>A53+1</f>
        <v>22</v>
      </c>
      <c r="B55" s="411" t="s">
        <v>114</v>
      </c>
      <c r="C55" s="413" t="str">
        <f>VLOOKUP(B55,DS,2,0)</f>
        <v>Thạch Tiền</v>
      </c>
      <c r="D55" s="415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417">
        <f>((SUM(F55:AJ55))/8)-(SUMIF($F$6:$AJ$6,"C.Nhật",F55:AJ55)/8)</f>
        <v>25</v>
      </c>
      <c r="AL55" s="417">
        <f>SUM(F56:AJ56)/8*1.5</f>
        <v>0</v>
      </c>
      <c r="AM55" s="419">
        <f>SUMIF($F$6:$AJ$6,"C.Nhật",$F55:$AJ56)/8*2</f>
        <v>0</v>
      </c>
      <c r="AN55" s="407">
        <f>SUM(AK55:AM56)</f>
        <v>25</v>
      </c>
      <c r="AO55" s="421">
        <v>20</v>
      </c>
      <c r="AP55" s="407"/>
      <c r="AQ55" s="407"/>
      <c r="AR55" s="407"/>
      <c r="AS55" s="409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2"/>
      <c r="B56" s="412"/>
      <c r="C56" s="414"/>
      <c r="D56" s="416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18"/>
      <c r="AL56" s="418"/>
      <c r="AM56" s="420"/>
      <c r="AN56" s="408"/>
      <c r="AO56" s="422"/>
      <c r="AP56" s="408"/>
      <c r="AQ56" s="408"/>
      <c r="AR56" s="408"/>
      <c r="AS56" s="410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411">
        <f>A55+1</f>
        <v>23</v>
      </c>
      <c r="B57" s="411" t="s">
        <v>115</v>
      </c>
      <c r="C57" s="413" t="str">
        <f>VLOOKUP(B57,DS,2,0)</f>
        <v>Hứa Hậu</v>
      </c>
      <c r="D57" s="415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417">
        <f>((SUM(F57:AJ57))/8)-(SUMIF($F$6:$AJ$6,"C.Nhật",F57:AJ57)/8)</f>
        <v>25</v>
      </c>
      <c r="AL57" s="417">
        <f>SUM(F58:AJ58)/8*1.5</f>
        <v>0</v>
      </c>
      <c r="AM57" s="419">
        <f>SUMIF($F$6:$AJ$6,"C.Nhật",$F57:$AJ58)/8*2</f>
        <v>0</v>
      </c>
      <c r="AN57" s="407">
        <f>SUM(AK57:AM58)</f>
        <v>25</v>
      </c>
      <c r="AO57" s="421">
        <v>21</v>
      </c>
      <c r="AP57" s="407"/>
      <c r="AQ57" s="407"/>
      <c r="AR57" s="407"/>
      <c r="AS57" s="409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412"/>
      <c r="B58" s="412"/>
      <c r="C58" s="414"/>
      <c r="D58" s="416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18"/>
      <c r="AL58" s="418"/>
      <c r="AM58" s="420"/>
      <c r="AN58" s="408"/>
      <c r="AO58" s="422"/>
      <c r="AP58" s="408"/>
      <c r="AQ58" s="408"/>
      <c r="AR58" s="408"/>
      <c r="AS58" s="410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411">
        <f>A57+1</f>
        <v>24</v>
      </c>
      <c r="B59" s="411" t="s">
        <v>118</v>
      </c>
      <c r="C59" s="413" t="str">
        <f>VLOOKUP(B59,DS,2,0)</f>
        <v>Trần Nhiên</v>
      </c>
      <c r="D59" s="415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417">
        <f>((SUM(F59:AJ59))/8)-(SUMIF($F$6:$AJ$6,"C.Nhật",F59:AJ59)/8)</f>
        <v>25</v>
      </c>
      <c r="AL59" s="417">
        <f>SUM(F60:AJ60)/8*1.5</f>
        <v>0</v>
      </c>
      <c r="AM59" s="419">
        <f>SUMIF($F$6:$AJ$6,"C.Nhật",$F59:$AJ60)/8*2</f>
        <v>0</v>
      </c>
      <c r="AN59" s="407">
        <f>SUM(AK59:AM60)</f>
        <v>25</v>
      </c>
      <c r="AO59" s="421">
        <v>24</v>
      </c>
      <c r="AP59" s="407"/>
      <c r="AQ59" s="407"/>
      <c r="AR59" s="407"/>
      <c r="AS59" s="409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412"/>
      <c r="B60" s="412"/>
      <c r="C60" s="414"/>
      <c r="D60" s="416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18"/>
      <c r="AL60" s="418"/>
      <c r="AM60" s="420"/>
      <c r="AN60" s="408"/>
      <c r="AO60" s="422"/>
      <c r="AP60" s="408"/>
      <c r="AQ60" s="408"/>
      <c r="AR60" s="408"/>
      <c r="AS60" s="410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411">
        <f>A59+1</f>
        <v>25</v>
      </c>
      <c r="B61" s="411" t="s">
        <v>119</v>
      </c>
      <c r="C61" s="413" t="str">
        <f>VLOOKUP(B61,DS,2,0)</f>
        <v>Thạch Giang</v>
      </c>
      <c r="D61" s="415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417">
        <f>((SUM(F61:AJ61))/8)-(SUMIF($F$6:$AJ$6,"C.Nhật",F61:AJ61)/8)</f>
        <v>25</v>
      </c>
      <c r="AL61" s="417">
        <f>SUM(F62:AJ62)/8*1.5</f>
        <v>0</v>
      </c>
      <c r="AM61" s="419">
        <f>SUMIF($F$6:$AJ$6,"C.Nhật",$F61:$AJ62)/8*2</f>
        <v>0</v>
      </c>
      <c r="AN61" s="407">
        <f>SUM(AK61:AM62)</f>
        <v>25</v>
      </c>
      <c r="AO61" s="421">
        <v>25</v>
      </c>
      <c r="AP61" s="407"/>
      <c r="AQ61" s="407"/>
      <c r="AR61" s="407"/>
      <c r="AS61" s="409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412"/>
      <c r="B62" s="412"/>
      <c r="C62" s="414"/>
      <c r="D62" s="416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18"/>
      <c r="AL62" s="418"/>
      <c r="AM62" s="420"/>
      <c r="AN62" s="408"/>
      <c r="AO62" s="422"/>
      <c r="AP62" s="408"/>
      <c r="AQ62" s="408"/>
      <c r="AR62" s="408"/>
      <c r="AS62" s="410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411">
        <f>A61+1</f>
        <v>26</v>
      </c>
      <c r="B63" s="411" t="s">
        <v>120</v>
      </c>
      <c r="C63" s="413" t="str">
        <f>VLOOKUP(B63,DS,2,0)</f>
        <v>Thạch Quyền</v>
      </c>
      <c r="D63" s="415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417">
        <f>((SUM(F63:AJ63))/8)-(SUMIF($F$6:$AJ$6,"C.Nhật",F63:AJ63)/8)</f>
        <v>25</v>
      </c>
      <c r="AL63" s="417">
        <f>SUM(F64:AJ64)/8*1.5</f>
        <v>0</v>
      </c>
      <c r="AM63" s="419">
        <f>SUMIF($F$6:$AJ$6,"C.Nhật",$F63:$AJ64)/8*2</f>
        <v>0</v>
      </c>
      <c r="AN63" s="407">
        <f>SUM(AK63:AM64)</f>
        <v>25</v>
      </c>
      <c r="AO63" s="421">
        <v>26</v>
      </c>
      <c r="AP63" s="407"/>
      <c r="AQ63" s="407"/>
      <c r="AR63" s="407"/>
      <c r="AS63" s="409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412"/>
      <c r="B64" s="412"/>
      <c r="C64" s="414"/>
      <c r="D64" s="416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18"/>
      <c r="AL64" s="418"/>
      <c r="AM64" s="420"/>
      <c r="AN64" s="408"/>
      <c r="AO64" s="422"/>
      <c r="AP64" s="408"/>
      <c r="AQ64" s="408"/>
      <c r="AR64" s="408"/>
      <c r="AS64" s="410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411">
        <f>A63+1</f>
        <v>27</v>
      </c>
      <c r="B65" s="411" t="s">
        <v>121</v>
      </c>
      <c r="C65" s="413" t="str">
        <f>VLOOKUP(B65,DS,2,0)</f>
        <v>Lâm Lin</v>
      </c>
      <c r="D65" s="415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417">
        <f>((SUM(F65:AJ65))/8)-(SUMIF($F$6:$AJ$6,"C.Nhật",F65:AJ65)/8)</f>
        <v>25</v>
      </c>
      <c r="AL65" s="417">
        <f>SUM(F66:AJ66)/8*1.5</f>
        <v>0</v>
      </c>
      <c r="AM65" s="419">
        <f>SUMIF($F$6:$AJ$6,"C.Nhật",$F65:$AJ66)/8*2</f>
        <v>0</v>
      </c>
      <c r="AN65" s="407">
        <f>SUM(AK65:AM66)</f>
        <v>25</v>
      </c>
      <c r="AO65" s="421">
        <v>27</v>
      </c>
      <c r="AP65" s="407"/>
      <c r="AQ65" s="407"/>
      <c r="AR65" s="407"/>
      <c r="AS65" s="409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412"/>
      <c r="B66" s="412"/>
      <c r="C66" s="414"/>
      <c r="D66" s="416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18"/>
      <c r="AL66" s="418"/>
      <c r="AM66" s="420"/>
      <c r="AN66" s="408"/>
      <c r="AO66" s="422"/>
      <c r="AP66" s="408"/>
      <c r="AQ66" s="408"/>
      <c r="AR66" s="408"/>
      <c r="AS66" s="410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411">
        <f>A65+1</f>
        <v>28</v>
      </c>
      <c r="B67" s="411" t="s">
        <v>122</v>
      </c>
      <c r="C67" s="413" t="str">
        <f>VLOOKUP(B67,DS,2,0)</f>
        <v>Lâm Chanh Đa Ra</v>
      </c>
      <c r="D67" s="415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417">
        <f>((SUM(F67:AJ67))/8)-(SUMIF($F$6:$AJ$6,"C.Nhật",F67:AJ67)/8)</f>
        <v>25</v>
      </c>
      <c r="AL67" s="417">
        <f>SUM(F68:AJ68)/8*1.5</f>
        <v>0</v>
      </c>
      <c r="AM67" s="419">
        <f>SUMIF($F$6:$AJ$6,"C.Nhật",$F67:$AJ68)/8*2</f>
        <v>0</v>
      </c>
      <c r="AN67" s="407">
        <f>SUM(AK67:AM68)</f>
        <v>25</v>
      </c>
      <c r="AO67" s="421">
        <v>28</v>
      </c>
      <c r="AP67" s="407"/>
      <c r="AQ67" s="407"/>
      <c r="AR67" s="407"/>
      <c r="AS67" s="409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412"/>
      <c r="B68" s="412"/>
      <c r="C68" s="414"/>
      <c r="D68" s="416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18"/>
      <c r="AL68" s="418"/>
      <c r="AM68" s="420"/>
      <c r="AN68" s="408"/>
      <c r="AO68" s="422"/>
      <c r="AP68" s="408"/>
      <c r="AQ68" s="408"/>
      <c r="AR68" s="408"/>
      <c r="AS68" s="410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3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3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53" t="s">
        <v>112</v>
      </c>
      <c r="AN96" s="454"/>
      <c r="AO96" s="454"/>
      <c r="AP96" s="454"/>
      <c r="AQ96" s="454"/>
      <c r="AR96" s="454"/>
      <c r="AS96" s="455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96" t="s">
        <v>28</v>
      </c>
      <c r="B100" s="496" t="s">
        <v>3</v>
      </c>
      <c r="C100" s="496" t="s">
        <v>1</v>
      </c>
      <c r="D100" s="434" t="s">
        <v>29</v>
      </c>
      <c r="E100" s="496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441" t="s">
        <v>15</v>
      </c>
      <c r="AL100" s="442"/>
      <c r="AM100" s="443"/>
      <c r="AN100" s="432" t="s">
        <v>45</v>
      </c>
      <c r="AO100" s="432" t="s">
        <v>41</v>
      </c>
      <c r="AP100" s="432" t="s">
        <v>42</v>
      </c>
      <c r="AQ100" s="432" t="s">
        <v>43</v>
      </c>
      <c r="AR100" s="432" t="s">
        <v>44</v>
      </c>
      <c r="AS100" s="434" t="s">
        <v>0</v>
      </c>
      <c r="AT100" s="427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435"/>
      <c r="B101" s="435"/>
      <c r="C101" s="435"/>
      <c r="D101" s="435"/>
      <c r="E101" s="435"/>
      <c r="F101" s="322" t="str">
        <f>CHOOSE(WEEKDAY(F100),"C.Nhật","T.Hai","T.Ba","T.Tư","T.Năm","T.Sáu","T.Bảy")</f>
        <v>C.Nhật</v>
      </c>
      <c r="G101" s="322" t="str">
        <f t="shared" ref="G101:AI101" si="4">CHOOSE(WEEKDAY(G100),"C.Nhật","T.Hai","T.Ba","T.Tư","T.Năm","T.Sáu","T.Bảy")</f>
        <v>T.Hai</v>
      </c>
      <c r="H101" s="322" t="str">
        <f t="shared" si="4"/>
        <v>T.Ba</v>
      </c>
      <c r="I101" s="322" t="str">
        <f t="shared" si="4"/>
        <v>T.Tư</v>
      </c>
      <c r="J101" s="322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433"/>
      <c r="AO101" s="433"/>
      <c r="AP101" s="433"/>
      <c r="AQ101" s="433"/>
      <c r="AR101" s="433"/>
      <c r="AS101" s="435"/>
      <c r="AT101" s="427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3">
        <v>1</v>
      </c>
      <c r="B102" s="323">
        <v>2</v>
      </c>
      <c r="C102" s="323">
        <v>3</v>
      </c>
      <c r="D102" s="323">
        <v>4</v>
      </c>
      <c r="E102" s="323">
        <v>5</v>
      </c>
      <c r="F102" s="323">
        <v>6</v>
      </c>
      <c r="G102" s="323">
        <v>7</v>
      </c>
      <c r="H102" s="323">
        <v>8</v>
      </c>
      <c r="I102" s="323">
        <v>9</v>
      </c>
      <c r="J102" s="323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6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25">
        <v>1</v>
      </c>
      <c r="B103" s="425" t="s">
        <v>68</v>
      </c>
      <c r="C103" s="413" t="str">
        <f>VLOOKUP(B103,DS,2,0)</f>
        <v>Nguyễn Thiện Duy</v>
      </c>
      <c r="D103" s="415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417">
        <f>((SUM(F103:AJ103))/8)-(SUMIF($F$6:$AJ$6,"C.Nhật",F103:AJ103)/8)</f>
        <v>20</v>
      </c>
      <c r="AL103" s="417">
        <f>SUM(F104:AJ104)/8*1.5</f>
        <v>0</v>
      </c>
      <c r="AM103" s="419">
        <f>SUMIF($F$6:$AJ$6,"C.Nhật",$F103:$AJ104)/8*2</f>
        <v>0</v>
      </c>
      <c r="AN103" s="407">
        <f>SUM(AK103:AM104)</f>
        <v>20</v>
      </c>
      <c r="AO103" s="421">
        <v>28</v>
      </c>
      <c r="AP103" s="407"/>
      <c r="AQ103" s="407"/>
      <c r="AR103" s="407"/>
      <c r="AS103" s="430"/>
      <c r="AT103" s="296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26"/>
      <c r="B104" s="426"/>
      <c r="C104" s="414"/>
      <c r="D104" s="416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0"/>
      <c r="AJ104" s="320"/>
      <c r="AK104" s="418"/>
      <c r="AL104" s="418"/>
      <c r="AM104" s="420"/>
      <c r="AN104" s="408"/>
      <c r="AO104" s="422"/>
      <c r="AP104" s="408"/>
      <c r="AQ104" s="408"/>
      <c r="AR104" s="408"/>
      <c r="AS104" s="431"/>
      <c r="AT104" s="296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25">
        <f>A103+1</f>
        <v>2</v>
      </c>
      <c r="B105" s="425" t="s">
        <v>70</v>
      </c>
      <c r="C105" s="413" t="str">
        <f>VLOOKUP(B105,DS,2,0)</f>
        <v>Nguyễn Văn Sẽ</v>
      </c>
      <c r="D105" s="415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417">
        <f>((SUM(F105:AJ105))/8)-(SUMIF($F$6:$AJ$6,"C.Nhật",F105:AJ105)/8)</f>
        <v>25</v>
      </c>
      <c r="AL105" s="417">
        <f>SUM(F106:AJ106)/8*1.5</f>
        <v>0</v>
      </c>
      <c r="AM105" s="419">
        <f>SUMIF($F$6:$AJ$6,"C.Nhật",$F105:$AJ106)/8*2</f>
        <v>0</v>
      </c>
      <c r="AN105" s="407">
        <f>SUM(AK105:AM106)</f>
        <v>25</v>
      </c>
      <c r="AO105" s="421">
        <v>29</v>
      </c>
      <c r="AP105" s="407"/>
      <c r="AQ105" s="407"/>
      <c r="AR105" s="407"/>
      <c r="AS105" s="430"/>
      <c r="AT105" s="296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26"/>
      <c r="B106" s="426"/>
      <c r="C106" s="414"/>
      <c r="D106" s="416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0"/>
      <c r="AJ106" s="320"/>
      <c r="AK106" s="418"/>
      <c r="AL106" s="418"/>
      <c r="AM106" s="420"/>
      <c r="AN106" s="408"/>
      <c r="AO106" s="422"/>
      <c r="AP106" s="408"/>
      <c r="AQ106" s="408"/>
      <c r="AR106" s="408"/>
      <c r="AS106" s="431"/>
      <c r="AT106" s="296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25">
        <f>A105+1</f>
        <v>3</v>
      </c>
      <c r="B107" s="425" t="s">
        <v>72</v>
      </c>
      <c r="C107" s="413" t="str">
        <f>VLOOKUP(B107,DS,2,0)</f>
        <v>Võ Uyên Phương</v>
      </c>
      <c r="D107" s="415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417">
        <f>((SUM(F107:AJ107))/8)-(SUMIF($F$6:$AJ$6,"C.Nhật",F107:AJ107)/8)</f>
        <v>25</v>
      </c>
      <c r="AL107" s="417">
        <f>SUM(F108:AJ108)/8*1.5</f>
        <v>0</v>
      </c>
      <c r="AM107" s="419">
        <f>SUMIF($F$6:$AJ$6,"C.Nhật",$F107:$AJ108)/8*2</f>
        <v>0</v>
      </c>
      <c r="AN107" s="407">
        <f>SUM(AK107:AM108)</f>
        <v>25</v>
      </c>
      <c r="AO107" s="421">
        <v>30</v>
      </c>
      <c r="AP107" s="407"/>
      <c r="AQ107" s="407"/>
      <c r="AR107" s="407"/>
      <c r="AS107" s="430"/>
      <c r="AT107" s="296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26"/>
      <c r="B108" s="426"/>
      <c r="C108" s="414"/>
      <c r="D108" s="416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0"/>
      <c r="AJ108" s="320"/>
      <c r="AK108" s="418"/>
      <c r="AL108" s="418"/>
      <c r="AM108" s="420"/>
      <c r="AN108" s="408"/>
      <c r="AO108" s="422"/>
      <c r="AP108" s="408"/>
      <c r="AQ108" s="408"/>
      <c r="AR108" s="408"/>
      <c r="AS108" s="431"/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25">
        <f>A107+1</f>
        <v>4</v>
      </c>
      <c r="B109" s="425" t="s">
        <v>75</v>
      </c>
      <c r="C109" s="413" t="str">
        <f>VLOOKUP(B109,DS,2,0)</f>
        <v>Lê Nguyễn Huy Cường</v>
      </c>
      <c r="D109" s="415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417">
        <f>((SUM(F109:AJ109))/8)-(SUMIF($F$6:$AJ$6,"C.Nhật",F109:AJ109)/8)</f>
        <v>25</v>
      </c>
      <c r="AL109" s="417">
        <f>SUM(F110:AJ110)/8*1.5</f>
        <v>0</v>
      </c>
      <c r="AM109" s="419">
        <f>SUMIF($F$6:$AJ$6,"C.Nhật",$F109:$AJ110)/8*2</f>
        <v>0</v>
      </c>
      <c r="AN109" s="407">
        <f>SUM(AK109:AM110)</f>
        <v>25</v>
      </c>
      <c r="AO109" s="421">
        <v>31</v>
      </c>
      <c r="AP109" s="407"/>
      <c r="AQ109" s="407"/>
      <c r="AR109" s="407"/>
      <c r="AS109" s="430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26"/>
      <c r="B110" s="426"/>
      <c r="C110" s="414"/>
      <c r="D110" s="416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18"/>
      <c r="AL110" s="418"/>
      <c r="AM110" s="420"/>
      <c r="AN110" s="408"/>
      <c r="AO110" s="422"/>
      <c r="AP110" s="408"/>
      <c r="AQ110" s="408"/>
      <c r="AR110" s="408"/>
      <c r="AS110" s="431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25">
        <f>A109+1</f>
        <v>5</v>
      </c>
      <c r="B111" s="425" t="s">
        <v>77</v>
      </c>
      <c r="C111" s="413" t="str">
        <f>VLOOKUP(B111,DS,2,0)</f>
        <v>Nguyễn Văn Bé Tư</v>
      </c>
      <c r="D111" s="415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417">
        <f>((SUM(F111:AJ111))/8)-(SUMIF($F$6:$AJ$6,"C.Nhật",F111:AJ111)/8)</f>
        <v>25</v>
      </c>
      <c r="AL111" s="417">
        <f>SUM(F112:AJ112)/8*1.5</f>
        <v>0</v>
      </c>
      <c r="AM111" s="419">
        <f>SUMIF($F$6:$AJ$6,"C.Nhật",$F111:$AJ112)/8*2</f>
        <v>0</v>
      </c>
      <c r="AN111" s="407">
        <f>SUM(AK111:AM112)</f>
        <v>25</v>
      </c>
      <c r="AO111" s="421">
        <v>32</v>
      </c>
      <c r="AP111" s="407"/>
      <c r="AQ111" s="407"/>
      <c r="AR111" s="407"/>
      <c r="AS111" s="430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26"/>
      <c r="B112" s="426"/>
      <c r="C112" s="414"/>
      <c r="D112" s="416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18"/>
      <c r="AL112" s="418"/>
      <c r="AM112" s="420"/>
      <c r="AN112" s="408"/>
      <c r="AO112" s="422"/>
      <c r="AP112" s="408"/>
      <c r="AQ112" s="408"/>
      <c r="AR112" s="408"/>
      <c r="AS112" s="431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25">
        <f>A111+1</f>
        <v>6</v>
      </c>
      <c r="B113" s="425" t="s">
        <v>78</v>
      </c>
      <c r="C113" s="413" t="str">
        <f>VLOOKUP(B113,DS,2,0)</f>
        <v>Dương Thanh Tuấn</v>
      </c>
      <c r="D113" s="415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417">
        <f>((SUM(F113:AJ113))/8)-(SUMIF($F$6:$AJ$6,"C.Nhật",F113:AJ113)/8)</f>
        <v>25</v>
      </c>
      <c r="AL113" s="417">
        <f>SUM(F114:AJ114)/8*1.5</f>
        <v>0</v>
      </c>
      <c r="AM113" s="419">
        <f>SUMIF($F$6:$AJ$6,"C.Nhật",$F113:$AJ114)/8*2</f>
        <v>0</v>
      </c>
      <c r="AN113" s="407">
        <f>SUM(AK113:AM114)</f>
        <v>25</v>
      </c>
      <c r="AO113" s="421">
        <v>33</v>
      </c>
      <c r="AP113" s="407"/>
      <c r="AQ113" s="407"/>
      <c r="AR113" s="407"/>
      <c r="AS113" s="430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26"/>
      <c r="B114" s="426"/>
      <c r="C114" s="414"/>
      <c r="D114" s="416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18"/>
      <c r="AL114" s="418"/>
      <c r="AM114" s="420"/>
      <c r="AN114" s="408"/>
      <c r="AO114" s="422"/>
      <c r="AP114" s="408"/>
      <c r="AQ114" s="408"/>
      <c r="AR114" s="408"/>
      <c r="AS114" s="431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25">
        <f>A113+1</f>
        <v>7</v>
      </c>
      <c r="B115" s="425" t="s">
        <v>81</v>
      </c>
      <c r="C115" s="413" t="str">
        <f>VLOOKUP(B115,DS,2,0)</f>
        <v>Nguyễn Thiện Duyệt</v>
      </c>
      <c r="D115" s="415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417">
        <f>((SUM(F115:AJ115))/8)-(SUMIF($F$6:$AJ$6,"C.Nhật",F115:AJ115)/8)</f>
        <v>25</v>
      </c>
      <c r="AL115" s="417">
        <f>SUM(F116:AJ116)/8*1.5</f>
        <v>0</v>
      </c>
      <c r="AM115" s="419">
        <f>SUMIF($F$6:$AJ$6,"C.Nhật",$F115:$AJ116)/8*2</f>
        <v>0</v>
      </c>
      <c r="AN115" s="407">
        <f>SUM(AK115:AM116)</f>
        <v>25</v>
      </c>
      <c r="AO115" s="421">
        <v>34</v>
      </c>
      <c r="AP115" s="407"/>
      <c r="AQ115" s="407"/>
      <c r="AR115" s="407"/>
      <c r="AS115" s="430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26"/>
      <c r="B116" s="426"/>
      <c r="C116" s="414"/>
      <c r="D116" s="416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18"/>
      <c r="AL116" s="418"/>
      <c r="AM116" s="420"/>
      <c r="AN116" s="408"/>
      <c r="AO116" s="422"/>
      <c r="AP116" s="408"/>
      <c r="AQ116" s="408"/>
      <c r="AR116" s="408"/>
      <c r="AS116" s="431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25">
        <f>A115+1</f>
        <v>8</v>
      </c>
      <c r="B117" s="425" t="s">
        <v>192</v>
      </c>
      <c r="C117" s="413" t="str">
        <f>VLOOKUP(B117,DS,2,0)</f>
        <v>Trần Đình Thái</v>
      </c>
      <c r="D117" s="415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417">
        <f>((SUM(F117:AJ117))/8)-(SUMIF($F$6:$AJ$6,"C.Nhật",F117:AJ117)/8)</f>
        <v>25</v>
      </c>
      <c r="AL117" s="417">
        <f>SUM(F118:AJ118)/8*1.5</f>
        <v>0</v>
      </c>
      <c r="AM117" s="419">
        <f>SUMIF($F$6:$AJ$6,"C.Nhật",$F117:$AJ118)/8*2</f>
        <v>0</v>
      </c>
      <c r="AN117" s="407">
        <f>SUM(AK117:AM118)</f>
        <v>25</v>
      </c>
      <c r="AO117" s="421">
        <v>34</v>
      </c>
      <c r="AP117" s="407"/>
      <c r="AQ117" s="407"/>
      <c r="AR117" s="407"/>
      <c r="AS117" s="430"/>
      <c r="AT117" s="335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26"/>
      <c r="B118" s="426"/>
      <c r="C118" s="414"/>
      <c r="D118" s="416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18"/>
      <c r="AL118" s="418"/>
      <c r="AM118" s="420"/>
      <c r="AN118" s="408"/>
      <c r="AO118" s="422"/>
      <c r="AP118" s="408"/>
      <c r="AQ118" s="408"/>
      <c r="AR118" s="408"/>
      <c r="AS118" s="431"/>
      <c r="AT118" s="335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7" priority="1" stopIfTrue="1">
      <formula>IF(WEEKDAY(F$5)=1,TRUE,FALSE)</formula>
    </cfRule>
  </conditionalFormatting>
  <printOptions horizontalCentered="1"/>
  <pageMargins left="0.24" right="0.24" top="0.37" bottom="0.18" header="0.37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2"/>
  <sheetViews>
    <sheetView zoomScaleNormal="70" workbookViewId="0">
      <pane xSplit="3" ySplit="8" topLeftCell="D3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K32" sqref="K32:K3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87" t="str">
        <f>"BẢNG THANH TOÁN LƯƠNG THÁNG"&amp;" "&amp;TEXT($E$4,"mm")&amp;" / "&amp;TEXT($E$4,"yyyy")</f>
        <v>BẢNG THANH TOÁN LƯƠNG THÁNG 05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297" t="s">
        <v>40</v>
      </c>
      <c r="G7" s="294" t="s">
        <v>18</v>
      </c>
      <c r="H7" s="297" t="s">
        <v>40</v>
      </c>
      <c r="I7" s="301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4336000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4336000</v>
      </c>
      <c r="L10" s="90">
        <f>+F10*15000</f>
        <v>375000</v>
      </c>
      <c r="M10" s="40">
        <f>K10+L10</f>
        <v>4711000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4255720</v>
      </c>
      <c r="R10" s="39">
        <f>VLOOKUP(B10,DS,23,0)</f>
        <v>0</v>
      </c>
      <c r="S10" s="45">
        <f>Q10-R10</f>
        <v>4255720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4056000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4056000</v>
      </c>
      <c r="L11" s="90">
        <f>+F11*15000</f>
        <v>375000</v>
      </c>
      <c r="M11" s="40">
        <f>K11+L11</f>
        <v>4431000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4005120</v>
      </c>
      <c r="R11" s="39">
        <f>VLOOKUP(B11,DS,23,0)</f>
        <v>0</v>
      </c>
      <c r="S11" s="45">
        <f>Q11-R11</f>
        <v>4005120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- 05'!$B$8:$AS$68,36,0)</f>
        <v>25</v>
      </c>
      <c r="G13" s="220">
        <f t="shared" ref="G13:G39" si="3">ROUND(E13/$U$2*F13,0)</f>
        <v>3549000</v>
      </c>
      <c r="H13" s="92">
        <f>(VLOOKUP(B13,'CC - 05'!$B$8:$AS$68,37,0)+VLOOKUP(B13,'CC - 05'!$B$8:$AS$68,38,0))</f>
        <v>0</v>
      </c>
      <c r="I13" s="220">
        <f t="shared" ref="I13:I39" si="4">ROUND(E13/$U$2*H13,0)</f>
        <v>0</v>
      </c>
      <c r="J13" s="221">
        <f t="shared" ref="J13:K25" si="5">F13+H13</f>
        <v>25</v>
      </c>
      <c r="K13" s="39">
        <f t="shared" si="5"/>
        <v>3549000</v>
      </c>
      <c r="L13" s="90">
        <f t="shared" ref="L13:L39" si="6">+F13*15000</f>
        <v>375000</v>
      </c>
      <c r="M13" s="40">
        <f t="shared" ref="M13:M39" si="7">K13+L13</f>
        <v>3924000</v>
      </c>
      <c r="N13" s="40">
        <f t="shared" ref="N13:N30" si="8">IF(VLOOKUP(B13,DS,13,0)="x",E13*$N$4,0)</f>
        <v>283920</v>
      </c>
      <c r="O13" s="40">
        <f t="shared" ref="O13:O30" si="9">IF(VLOOKUP(B13,DS,13,0)="x",E13*$O$4,0)</f>
        <v>53235</v>
      </c>
      <c r="P13" s="40">
        <f t="shared" ref="P13:P30" si="10">IF(VLOOKUP(B13,DS,13,0)="x",E13*$P$4,0)</f>
        <v>35490</v>
      </c>
      <c r="Q13" s="39">
        <f>M13-SUM(N13:P13)</f>
        <v>3551355</v>
      </c>
      <c r="R13" s="39">
        <f t="shared" ref="R13:R39" si="11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3317000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3317000</v>
      </c>
      <c r="L14" s="90">
        <f t="shared" si="6"/>
        <v>375000</v>
      </c>
      <c r="M14" s="40">
        <f t="shared" si="7"/>
        <v>3692000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3343715</v>
      </c>
      <c r="R14" s="39">
        <f t="shared" si="11"/>
        <v>0</v>
      </c>
      <c r="S14" s="45">
        <f t="shared" ref="S14:S39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3317000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3317000</v>
      </c>
      <c r="L15" s="90">
        <f t="shared" si="6"/>
        <v>375000</v>
      </c>
      <c r="M15" s="40">
        <f t="shared" si="7"/>
        <v>3692000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3343715</v>
      </c>
      <c r="R15" s="39">
        <f t="shared" si="11"/>
        <v>0</v>
      </c>
      <c r="S15" s="45">
        <f t="shared" si="13"/>
        <v>3343715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3317000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3317000</v>
      </c>
      <c r="L16" s="90">
        <f t="shared" si="6"/>
        <v>375000</v>
      </c>
      <c r="M16" s="40">
        <f t="shared" si="7"/>
        <v>3692000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3343715</v>
      </c>
      <c r="R16" s="39">
        <f t="shared" si="11"/>
        <v>0</v>
      </c>
      <c r="S16" s="45">
        <f t="shared" si="13"/>
        <v>3343715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3317000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3317000</v>
      </c>
      <c r="L17" s="90">
        <f t="shared" si="6"/>
        <v>375000</v>
      </c>
      <c r="M17" s="40">
        <f t="shared" si="7"/>
        <v>3692000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3343715</v>
      </c>
      <c r="R17" s="39">
        <f t="shared" si="11"/>
        <v>0</v>
      </c>
      <c r="S17" s="45">
        <f t="shared" si="13"/>
        <v>3343715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3317000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3317000</v>
      </c>
      <c r="L18" s="90">
        <f t="shared" si="6"/>
        <v>375000</v>
      </c>
      <c r="M18" s="40">
        <f t="shared" si="7"/>
        <v>3692000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3343715</v>
      </c>
      <c r="R18" s="39">
        <f t="shared" si="11"/>
        <v>0</v>
      </c>
      <c r="S18" s="45">
        <f t="shared" si="13"/>
        <v>3343715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3317000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3317000</v>
      </c>
      <c r="L19" s="90">
        <f t="shared" si="6"/>
        <v>375000</v>
      </c>
      <c r="M19" s="40">
        <f t="shared" si="7"/>
        <v>3692000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3343715</v>
      </c>
      <c r="R19" s="39">
        <f t="shared" si="11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3317000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3317000</v>
      </c>
      <c r="L20" s="90">
        <f t="shared" si="6"/>
        <v>375000</v>
      </c>
      <c r="M20" s="40">
        <f t="shared" si="7"/>
        <v>3692000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3343715</v>
      </c>
      <c r="R20" s="39">
        <f t="shared" si="11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3317000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3317000</v>
      </c>
      <c r="L21" s="90">
        <f t="shared" si="6"/>
        <v>375000</v>
      </c>
      <c r="M21" s="40">
        <f t="shared" si="7"/>
        <v>3692000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3343715</v>
      </c>
      <c r="R21" s="39">
        <f t="shared" si="11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3317000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3317000</v>
      </c>
      <c r="L22" s="90">
        <f t="shared" si="6"/>
        <v>375000</v>
      </c>
      <c r="M22" s="40">
        <f t="shared" si="7"/>
        <v>3692000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3343715</v>
      </c>
      <c r="R22" s="39">
        <f t="shared" si="11"/>
        <v>0</v>
      </c>
      <c r="S22" s="45">
        <f t="shared" si="13"/>
        <v>3343715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3317000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3317000</v>
      </c>
      <c r="L23" s="90">
        <f t="shared" si="6"/>
        <v>375000</v>
      </c>
      <c r="M23" s="40">
        <f t="shared" si="7"/>
        <v>3692000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3343715</v>
      </c>
      <c r="R23" s="39">
        <f t="shared" si="11"/>
        <v>0</v>
      </c>
      <c r="S23" s="45">
        <f t="shared" si="13"/>
        <v>3343715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3317000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3317000</v>
      </c>
      <c r="L24" s="90">
        <f t="shared" si="6"/>
        <v>375000</v>
      </c>
      <c r="M24" s="40">
        <f t="shared" si="7"/>
        <v>3692000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3343715</v>
      </c>
      <c r="R24" s="39">
        <f t="shared" si="11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3317000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3317000</v>
      </c>
      <c r="L25" s="90">
        <f t="shared" si="6"/>
        <v>375000</v>
      </c>
      <c r="M25" s="40">
        <f t="shared" si="7"/>
        <v>3692000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3343715</v>
      </c>
      <c r="R25" s="39">
        <f t="shared" si="11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3317000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ref="J26:K39" si="14">F26+H26</f>
        <v>25</v>
      </c>
      <c r="K26" s="39">
        <f t="shared" si="14"/>
        <v>3317000</v>
      </c>
      <c r="L26" s="90">
        <f t="shared" si="6"/>
        <v>375000</v>
      </c>
      <c r="M26" s="40">
        <f t="shared" si="7"/>
        <v>3692000</v>
      </c>
      <c r="N26" s="40">
        <f>IF(VLOOKUP(B26,DS,13,0)="x",E26*$N$4,0)</f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3343715</v>
      </c>
      <c r="R26" s="39">
        <f t="shared" si="11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3317000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si="14"/>
        <v>25</v>
      </c>
      <c r="K27" s="39">
        <f t="shared" si="14"/>
        <v>3317000</v>
      </c>
      <c r="L27" s="90">
        <f t="shared" si="6"/>
        <v>375000</v>
      </c>
      <c r="M27" s="40">
        <f t="shared" si="7"/>
        <v>3692000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3343715</v>
      </c>
      <c r="R27" s="39">
        <f t="shared" si="11"/>
        <v>0</v>
      </c>
      <c r="S27" s="45">
        <f t="shared" si="13"/>
        <v>3343715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3317000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3317000</v>
      </c>
      <c r="L28" s="90">
        <f t="shared" si="6"/>
        <v>375000</v>
      </c>
      <c r="M28" s="40">
        <f t="shared" si="7"/>
        <v>3692000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3343715</v>
      </c>
      <c r="R28" s="39">
        <f t="shared" si="11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3317000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3317000</v>
      </c>
      <c r="L29" s="90">
        <f t="shared" si="6"/>
        <v>375000</v>
      </c>
      <c r="M29" s="40">
        <f t="shared" si="7"/>
        <v>3692000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3343715</v>
      </c>
      <c r="R29" s="39">
        <f t="shared" si="11"/>
        <v>0</v>
      </c>
      <c r="S29" s="45">
        <f t="shared" si="13"/>
        <v>3343715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3317000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3317000</v>
      </c>
      <c r="L30" s="90">
        <f t="shared" si="6"/>
        <v>375000</v>
      </c>
      <c r="M30" s="40">
        <f t="shared" si="7"/>
        <v>3692000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3343715</v>
      </c>
      <c r="R30" s="39">
        <f t="shared" si="11"/>
        <v>0</v>
      </c>
      <c r="S30" s="45">
        <f t="shared" si="13"/>
        <v>3343715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8"/>
      <c r="B31" s="316" t="s">
        <v>188</v>
      </c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40"/>
      <c r="O31" s="40"/>
      <c r="P31" s="40"/>
      <c r="Q31" s="315"/>
      <c r="R31" s="315"/>
      <c r="S31" s="315"/>
      <c r="T31" s="315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21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- 05'!$B$8:$AS$68,36,0)</f>
        <v>25</v>
      </c>
      <c r="G32" s="220">
        <f t="shared" si="3"/>
        <v>3549000</v>
      </c>
      <c r="H32" s="92">
        <f>(VLOOKUP(B32,'CC - 05'!$B$8:$AS$68,37,0)+VLOOKUP(B32,'CC - 05'!$B$8:$AS$68,38,0))</f>
        <v>0</v>
      </c>
      <c r="I32" s="220">
        <f t="shared" si="4"/>
        <v>0</v>
      </c>
      <c r="J32" s="221">
        <f t="shared" si="14"/>
        <v>25</v>
      </c>
      <c r="K32" s="39">
        <f t="shared" si="14"/>
        <v>3549000</v>
      </c>
      <c r="L32" s="90">
        <f t="shared" si="6"/>
        <v>375000</v>
      </c>
      <c r="M32" s="40">
        <f t="shared" si="7"/>
        <v>3924000</v>
      </c>
      <c r="N32" s="40">
        <f t="shared" ref="N32:N38" si="15">IF(VLOOKUP(B32,DS,13,0)="x",E32*$N$4,0)</f>
        <v>283920</v>
      </c>
      <c r="O32" s="40">
        <f t="shared" ref="O32:O39" si="16">IF(VLOOKUP(B32,DS,13,0)="x",E32*$O$4,0)</f>
        <v>53235</v>
      </c>
      <c r="P32" s="40">
        <f t="shared" ref="P32:P39" si="17">IF(VLOOKUP(B32,DS,13,0)="x",E32*$P$4,0)</f>
        <v>35490</v>
      </c>
      <c r="Q32" s="39">
        <f t="shared" si="12"/>
        <v>3551355</v>
      </c>
      <c r="R32" s="39">
        <f t="shared" si="11"/>
        <v>0</v>
      </c>
      <c r="S32" s="45">
        <f t="shared" si="13"/>
        <v>3551355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22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- 05'!$B$8:$AS$68,36,0)</f>
        <v>25</v>
      </c>
      <c r="G33" s="220">
        <f t="shared" si="3"/>
        <v>3317000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3317000</v>
      </c>
      <c r="L33" s="90">
        <f t="shared" si="6"/>
        <v>375000</v>
      </c>
      <c r="M33" s="40">
        <f t="shared" si="7"/>
        <v>3692000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3343715</v>
      </c>
      <c r="R33" s="39">
        <f t="shared" si="11"/>
        <v>0</v>
      </c>
      <c r="S33" s="45">
        <f t="shared" si="13"/>
        <v>3343715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3317000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3317000</v>
      </c>
      <c r="L34" s="90">
        <f t="shared" si="6"/>
        <v>375000</v>
      </c>
      <c r="M34" s="40">
        <f t="shared" si="7"/>
        <v>3692000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3343715</v>
      </c>
      <c r="R34" s="39">
        <f t="shared" si="11"/>
        <v>0</v>
      </c>
      <c r="S34" s="45">
        <f t="shared" si="13"/>
        <v>3343715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3317000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3317000</v>
      </c>
      <c r="L35" s="90">
        <f t="shared" si="6"/>
        <v>375000</v>
      </c>
      <c r="M35" s="40">
        <f t="shared" si="7"/>
        <v>3692000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3343715</v>
      </c>
      <c r="R35" s="39">
        <f t="shared" si="11"/>
        <v>0</v>
      </c>
      <c r="S35" s="45">
        <f t="shared" si="13"/>
        <v>3343715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3317000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3317000</v>
      </c>
      <c r="L36" s="90">
        <f t="shared" si="6"/>
        <v>375000</v>
      </c>
      <c r="M36" s="40">
        <f t="shared" si="7"/>
        <v>3692000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3343715</v>
      </c>
      <c r="R36" s="39">
        <f t="shared" si="11"/>
        <v>0</v>
      </c>
      <c r="S36" s="45">
        <f t="shared" si="13"/>
        <v>3343715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3317000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3317000</v>
      </c>
      <c r="L37" s="90">
        <f t="shared" si="6"/>
        <v>375000</v>
      </c>
      <c r="M37" s="40">
        <f t="shared" si="7"/>
        <v>3692000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3343715</v>
      </c>
      <c r="R37" s="39">
        <f t="shared" si="11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3317000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3317000</v>
      </c>
      <c r="L38" s="90">
        <f t="shared" si="6"/>
        <v>375000</v>
      </c>
      <c r="M38" s="40">
        <f t="shared" si="7"/>
        <v>3692000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3343715</v>
      </c>
      <c r="R38" s="39">
        <f t="shared" si="11"/>
        <v>0</v>
      </c>
      <c r="S38" s="45">
        <f t="shared" si="13"/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3317000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3317000</v>
      </c>
      <c r="L39" s="90">
        <f t="shared" si="6"/>
        <v>375000</v>
      </c>
      <c r="M39" s="40">
        <f t="shared" si="7"/>
        <v>3692000</v>
      </c>
      <c r="N39" s="40">
        <f>IF(VLOOKUP(B39,DS,13,0)="x",E39*$N$4,0)</f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3343715</v>
      </c>
      <c r="R39" s="39">
        <f t="shared" si="11"/>
        <v>0</v>
      </c>
      <c r="S39" s="45">
        <f t="shared" si="13"/>
        <v>3343715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4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2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86" t="s">
        <v>25</v>
      </c>
      <c r="B41" s="486"/>
      <c r="C41" s="486"/>
      <c r="D41" s="486"/>
      <c r="E41" s="140">
        <f>SUM(E10:E40)</f>
        <v>95098000</v>
      </c>
      <c r="F41" s="140"/>
      <c r="G41" s="140">
        <f>SUM(G10:G40)</f>
        <v>95098000</v>
      </c>
      <c r="H41" s="140"/>
      <c r="I41" s="140">
        <f>SUM(I10:I40)</f>
        <v>0</v>
      </c>
      <c r="J41" s="26"/>
      <c r="K41" s="26">
        <f t="shared" ref="K41:S41" si="18">SUM(K10:K40)</f>
        <v>95098000</v>
      </c>
      <c r="L41" s="26">
        <f t="shared" si="18"/>
        <v>10500000</v>
      </c>
      <c r="M41" s="26">
        <f t="shared" si="18"/>
        <v>105598000</v>
      </c>
      <c r="N41" s="26">
        <f>SUM(N10:N40)</f>
        <v>7607840</v>
      </c>
      <c r="O41" s="26">
        <f t="shared" si="18"/>
        <v>1426470</v>
      </c>
      <c r="P41" s="26">
        <f t="shared" si="18"/>
        <v>950980</v>
      </c>
      <c r="Q41" s="26">
        <f t="shared" si="18"/>
        <v>95612710</v>
      </c>
      <c r="R41" s="26">
        <f t="shared" si="18"/>
        <v>0</v>
      </c>
      <c r="S41" s="26">
        <f t="shared" si="18"/>
        <v>95612710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31   tháng   05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299"/>
      <c r="C54" s="299"/>
      <c r="D54" s="467" t="str">
        <f>D1</f>
        <v>BẢNG THANH TOÁN LƯƠNG THÁNG 05 / 2016</v>
      </c>
      <c r="E54" s="467"/>
      <c r="F54" s="467"/>
      <c r="G54" s="467"/>
      <c r="H54" s="467"/>
      <c r="I54" s="467"/>
      <c r="J54" s="467"/>
      <c r="K54" s="467"/>
      <c r="L54" s="467"/>
      <c r="M54" s="467"/>
      <c r="N54" s="467"/>
      <c r="O54" s="467"/>
      <c r="P54" s="467"/>
      <c r="Q54" s="468"/>
      <c r="R54" s="469" t="s">
        <v>112</v>
      </c>
      <c r="S54" s="470"/>
      <c r="T54" s="471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299"/>
      <c r="C55" s="299"/>
      <c r="D55" s="299"/>
      <c r="E55" s="200"/>
      <c r="F55" s="299"/>
      <c r="G55" s="299"/>
      <c r="H55" s="299"/>
      <c r="I55" s="299"/>
      <c r="J55" s="201"/>
      <c r="K55" s="299"/>
      <c r="L55" s="299"/>
      <c r="M55" s="299"/>
      <c r="N55" s="299"/>
      <c r="O55" s="299"/>
      <c r="P55" s="299"/>
      <c r="Q55" s="299"/>
      <c r="R55" s="299"/>
      <c r="S55" s="299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299"/>
      <c r="C56" s="299"/>
      <c r="D56" s="299"/>
      <c r="E56" s="200"/>
      <c r="F56" s="299"/>
      <c r="G56" s="299"/>
      <c r="H56" s="299"/>
      <c r="I56" s="299"/>
      <c r="J56" s="201"/>
      <c r="K56" s="299"/>
      <c r="L56" s="299"/>
      <c r="M56" s="299"/>
      <c r="N56" s="299"/>
      <c r="O56" s="299"/>
      <c r="P56" s="299"/>
      <c r="Q56" s="299"/>
      <c r="R56" s="299"/>
      <c r="S56" s="299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72" t="s">
        <v>19</v>
      </c>
      <c r="B58" s="472" t="s">
        <v>20</v>
      </c>
      <c r="C58" s="474" t="s">
        <v>1</v>
      </c>
      <c r="D58" s="474" t="s">
        <v>2</v>
      </c>
      <c r="E58" s="475" t="s">
        <v>56</v>
      </c>
      <c r="F58" s="476" t="s">
        <v>26</v>
      </c>
      <c r="G58" s="477"/>
      <c r="H58" s="477"/>
      <c r="I58" s="477"/>
      <c r="J58" s="477"/>
      <c r="K58" s="478"/>
      <c r="L58" s="458" t="s">
        <v>57</v>
      </c>
      <c r="M58" s="458" t="s">
        <v>5</v>
      </c>
      <c r="N58" s="474" t="s">
        <v>6</v>
      </c>
      <c r="O58" s="474"/>
      <c r="P58" s="474"/>
      <c r="Q58" s="461" t="s">
        <v>7</v>
      </c>
      <c r="R58" s="461" t="s">
        <v>8</v>
      </c>
      <c r="S58" s="461" t="s">
        <v>9</v>
      </c>
      <c r="T58" s="479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73"/>
      <c r="B59" s="473"/>
      <c r="C59" s="474"/>
      <c r="D59" s="474"/>
      <c r="E59" s="475"/>
      <c r="F59" s="476" t="s">
        <v>59</v>
      </c>
      <c r="G59" s="478"/>
      <c r="H59" s="481" t="s">
        <v>189</v>
      </c>
      <c r="I59" s="482"/>
      <c r="J59" s="463" t="s">
        <v>27</v>
      </c>
      <c r="K59" s="461" t="s">
        <v>4</v>
      </c>
      <c r="L59" s="459"/>
      <c r="M59" s="459"/>
      <c r="N59" s="465" t="s">
        <v>12</v>
      </c>
      <c r="O59" s="461" t="s">
        <v>13</v>
      </c>
      <c r="P59" s="461" t="s">
        <v>34</v>
      </c>
      <c r="Q59" s="462"/>
      <c r="R59" s="462"/>
      <c r="S59" s="462"/>
      <c r="T59" s="480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73"/>
      <c r="B60" s="473"/>
      <c r="C60" s="461"/>
      <c r="D60" s="461"/>
      <c r="E60" s="475"/>
      <c r="F60" s="300" t="s">
        <v>40</v>
      </c>
      <c r="G60" s="301" t="s">
        <v>18</v>
      </c>
      <c r="H60" s="297" t="s">
        <v>40</v>
      </c>
      <c r="I60" s="301" t="s">
        <v>18</v>
      </c>
      <c r="J60" s="464"/>
      <c r="K60" s="462"/>
      <c r="L60" s="460"/>
      <c r="M60" s="460"/>
      <c r="N60" s="466"/>
      <c r="O60" s="462"/>
      <c r="P60" s="462"/>
      <c r="Q60" s="462"/>
      <c r="R60" s="462"/>
      <c r="S60" s="462"/>
      <c r="T60" s="480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- 05'!$B$103:$AN$116,36,0)</f>
        <v>20</v>
      </c>
      <c r="G62" s="220">
        <f t="shared" ref="G62:G68" si="22">ROUND(E62/$U$2*F62,0)</f>
        <v>8680800</v>
      </c>
      <c r="H62" s="92">
        <f>(VLOOKUP(B62,'CC - 05'!B$103:AS$116,37,0)+VLOOKUP(B62,'CC - 05'!B$103:AS$116,38,0))</f>
        <v>0</v>
      </c>
      <c r="I62" s="220">
        <f t="shared" ref="I62:I68" si="23">ROUND(E62/$U$2*H62,0)</f>
        <v>0</v>
      </c>
      <c r="J62" s="221">
        <f t="shared" ref="J62:K68" si="24">F62+H62</f>
        <v>20</v>
      </c>
      <c r="K62" s="39">
        <f t="shared" si="24"/>
        <v>8680800</v>
      </c>
      <c r="L62" s="90">
        <f>+F62*15000</f>
        <v>300000</v>
      </c>
      <c r="M62" s="222">
        <f t="shared" ref="M62:M68" si="25">K62+SUM(L62:L62)</f>
        <v>8980800</v>
      </c>
      <c r="N62" s="40">
        <f t="shared" ref="N62:N68" si="26">IF(VLOOKUP(B62,DS,13,0)="x",E62*$N$4,0)</f>
        <v>868080</v>
      </c>
      <c r="O62" s="40">
        <f t="shared" ref="O62:O68" si="27">IF(VLOOKUP(B62,DS,13,0)="x",E62*$O$4,0)</f>
        <v>162765</v>
      </c>
      <c r="P62" s="40">
        <f t="shared" ref="P62:P68" si="28">IF(VLOOKUP(B62,DS,13,0)="x",E62*$P$4,0)</f>
        <v>108510</v>
      </c>
      <c r="Q62" s="220">
        <f t="shared" ref="Q62:Q68" si="29">M62-SUM(N62:P62)</f>
        <v>7841445</v>
      </c>
      <c r="R62" s="220">
        <f t="shared" ref="R62:R68" si="30">VLOOKUP(B62,DS,23,0)</f>
        <v>0</v>
      </c>
      <c r="S62" s="223">
        <f>Q62-R62</f>
        <v>7841445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- 05'!$B$103:$AN$116,36,0)</f>
        <v>25</v>
      </c>
      <c r="G63" s="220">
        <f t="shared" si="22"/>
        <v>4895000</v>
      </c>
      <c r="H63" s="92">
        <f>(VLOOKUP(B63,'CC - 05'!B$103:AS$116,37,0)+VLOOKUP(B63,'CC - 05'!B$103:AS$116,38,0))</f>
        <v>0</v>
      </c>
      <c r="I63" s="220">
        <f t="shared" si="23"/>
        <v>0</v>
      </c>
      <c r="J63" s="221">
        <f t="shared" si="24"/>
        <v>25</v>
      </c>
      <c r="K63" s="39">
        <f t="shared" si="24"/>
        <v>4895000</v>
      </c>
      <c r="L63" s="90">
        <f t="shared" ref="L63:L68" si="31">+F63*15000</f>
        <v>375000</v>
      </c>
      <c r="M63" s="222">
        <f t="shared" si="25"/>
        <v>5270000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4756025</v>
      </c>
      <c r="R63" s="220">
        <f t="shared" si="30"/>
        <v>0</v>
      </c>
      <c r="S63" s="223">
        <f t="shared" ref="S63:S68" si="32">Q63-R63</f>
        <v>4756025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4895000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4895000</v>
      </c>
      <c r="L64" s="90">
        <f t="shared" si="31"/>
        <v>375000</v>
      </c>
      <c r="M64" s="222">
        <f t="shared" si="25"/>
        <v>5270000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4756025</v>
      </c>
      <c r="R64" s="220">
        <f t="shared" si="30"/>
        <v>0</v>
      </c>
      <c r="S64" s="223">
        <f t="shared" si="32"/>
        <v>4756025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- 05'!$B$103:$AN$116,36,0)</f>
        <v>25</v>
      </c>
      <c r="G65" s="220">
        <f t="shared" si="22"/>
        <v>4336000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4336000</v>
      </c>
      <c r="L65" s="90">
        <f t="shared" si="31"/>
        <v>375000</v>
      </c>
      <c r="M65" s="222">
        <f t="shared" si="25"/>
        <v>4711000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4255720</v>
      </c>
      <c r="R65" s="220">
        <f t="shared" si="30"/>
        <v>0</v>
      </c>
      <c r="S65" s="223">
        <f t="shared" si="32"/>
        <v>4255720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- 05'!$B$103:$AN$116,36,0)</f>
        <v>25</v>
      </c>
      <c r="G66" s="220">
        <f t="shared" si="22"/>
        <v>3496000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3496000</v>
      </c>
      <c r="L66" s="90">
        <f t="shared" si="31"/>
        <v>375000</v>
      </c>
      <c r="M66" s="222">
        <f t="shared" si="25"/>
        <v>3871000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3503920</v>
      </c>
      <c r="R66" s="220">
        <f t="shared" si="30"/>
        <v>0</v>
      </c>
      <c r="S66" s="223">
        <f t="shared" si="32"/>
        <v>3503920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- 05'!$B$103:$AN$116,36,0)</f>
        <v>25</v>
      </c>
      <c r="G67" s="220">
        <f t="shared" si="22"/>
        <v>4056000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4056000</v>
      </c>
      <c r="L67" s="90">
        <f t="shared" si="31"/>
        <v>375000</v>
      </c>
      <c r="M67" s="222">
        <f t="shared" si="25"/>
        <v>4431000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4005120</v>
      </c>
      <c r="R67" s="220">
        <f t="shared" si="30"/>
        <v>0</v>
      </c>
      <c r="S67" s="223">
        <f t="shared" si="32"/>
        <v>4005120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- 05'!$B$103:$AN$116,36,0)</f>
        <v>25</v>
      </c>
      <c r="G68" s="220">
        <f t="shared" si="22"/>
        <v>4840000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4840000</v>
      </c>
      <c r="L68" s="90">
        <f t="shared" si="31"/>
        <v>375000</v>
      </c>
      <c r="M68" s="222">
        <f t="shared" si="25"/>
        <v>5215000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4706800</v>
      </c>
      <c r="R68" s="220">
        <f t="shared" si="30"/>
        <v>0</v>
      </c>
      <c r="S68" s="223">
        <f t="shared" si="32"/>
        <v>4706800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- 05'!$B$103:$AN$118,36,0)</f>
        <v>25</v>
      </c>
      <c r="G69" s="220">
        <f>ROUND(E69/$U$2*F69,0)</f>
        <v>3568000</v>
      </c>
      <c r="H69" s="92">
        <f>(VLOOKUP(B69,'CC - 05'!B$103:AS$118,37,0)+VLOOKUP(B69,'CC - 05'!B$103:AS$118,38,0))</f>
        <v>0</v>
      </c>
      <c r="I69" s="220">
        <f>ROUND(E69/$U$2*H69,0)</f>
        <v>0</v>
      </c>
      <c r="J69" s="221">
        <f>F69+H69</f>
        <v>25</v>
      </c>
      <c r="K69" s="39">
        <f>G69+I69</f>
        <v>3568000</v>
      </c>
      <c r="L69" s="90">
        <f>+F69*15000</f>
        <v>375000</v>
      </c>
      <c r="M69" s="222">
        <f>K69+SUM(L69:L69)</f>
        <v>3943000</v>
      </c>
      <c r="N69" s="40">
        <f>IF(VLOOKUP(B69,DS,13,0)="x",E69*$N$4,0)</f>
        <v>285440</v>
      </c>
      <c r="O69" s="40">
        <f>IF(VLOOKUP(B69,DS,13,0)="x",E69*$O$4,0)</f>
        <v>53520</v>
      </c>
      <c r="P69" s="40">
        <f>IF(VLOOKUP(B69,DS,13,0)="x",E69*$P$4,0)</f>
        <v>35680</v>
      </c>
      <c r="Q69" s="220">
        <f>M69-SUM(N69:P69)</f>
        <v>3568360</v>
      </c>
      <c r="R69" s="220">
        <f>VLOOKUP(B69,DS,23,0)</f>
        <v>0</v>
      </c>
      <c r="S69" s="223">
        <f>Q69-R69</f>
        <v>3568360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3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56" t="s">
        <v>25</v>
      </c>
      <c r="B71" s="457"/>
      <c r="C71" s="457"/>
      <c r="D71" s="457"/>
      <c r="E71" s="231">
        <f>SUM(E62:E69)</f>
        <v>40937000</v>
      </c>
      <c r="F71" s="231"/>
      <c r="G71" s="231">
        <f>SUM(G62:G69)</f>
        <v>38766800</v>
      </c>
      <c r="H71" s="231">
        <f t="shared" ref="H71:R71" si="33">SUM(H62:H70)</f>
        <v>0</v>
      </c>
      <c r="I71" s="231">
        <f t="shared" si="33"/>
        <v>0</v>
      </c>
      <c r="J71" s="231">
        <f t="shared" si="33"/>
        <v>195</v>
      </c>
      <c r="K71" s="232">
        <f t="shared" si="33"/>
        <v>38766800</v>
      </c>
      <c r="L71" s="232">
        <f t="shared" si="33"/>
        <v>2925000</v>
      </c>
      <c r="M71" s="232">
        <f t="shared" si="33"/>
        <v>41691800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37393415</v>
      </c>
      <c r="R71" s="232">
        <f t="shared" si="33"/>
        <v>0</v>
      </c>
      <c r="S71" s="232">
        <f>SUM(S62:S70)</f>
        <v>37393415</v>
      </c>
      <c r="T71" s="232"/>
      <c r="U71" s="182"/>
      <c r="V71" s="233">
        <f>S71+S41</f>
        <v>133006125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31   tháng   05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  <row r="77" spans="1:31">
      <c r="N77" s="6">
        <v>3274960</v>
      </c>
    </row>
    <row r="78" spans="1:31">
      <c r="N78" s="6">
        <v>7873200</v>
      </c>
    </row>
    <row r="79" spans="1:31">
      <c r="N79" s="6">
        <v>614055</v>
      </c>
    </row>
    <row r="80" spans="1:31">
      <c r="N80" s="6">
        <v>1476225</v>
      </c>
    </row>
    <row r="81" spans="14:14">
      <c r="N81" s="6">
        <v>409370</v>
      </c>
    </row>
    <row r="82" spans="14:14">
      <c r="N82" s="6">
        <v>984150</v>
      </c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B25:B30 A13:B24 Q13:S30 W13:W30 AF13:IK30 A25:A39" name="Range1_5"/>
    <protectedRange password="CC78" sqref="U32:U39 X32:AE39 U13:U30 X13:AE30" name="Range1_2_3"/>
    <protectedRange password="CC78" sqref="V32:V39 V13:V30" name="Range1_1_3"/>
    <protectedRange password="CC78" sqref="K10:K11 K32:K39 K62:K69 K13:K30" name="Range1_6"/>
    <protectedRange password="CC78" sqref="A2:A3 A55:A56" name="Range1_2_1_3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3"/>
  <sheetViews>
    <sheetView zoomScaleNormal="115" workbookViewId="0">
      <pane xSplit="3" ySplit="6" topLeftCell="L9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84" sqref="A84:AS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T.Tư</v>
      </c>
      <c r="G6" s="302" t="str">
        <f t="shared" ref="G6:AI6" si="1">CHOOSE(WEEKDAY(G5),"C.Nhật","T.Hai","T.Ba","T.Tư","T.Năm","T.Sáu","T.Bảy")</f>
        <v>T.Năm</v>
      </c>
      <c r="H6" s="302" t="str">
        <f t="shared" si="1"/>
        <v>T.Sáu</v>
      </c>
      <c r="I6" s="302" t="str">
        <f t="shared" si="1"/>
        <v>T.Bảy</v>
      </c>
      <c r="J6" s="302" t="str">
        <f t="shared" si="1"/>
        <v>C.Nhật</v>
      </c>
      <c r="K6" s="302" t="str">
        <f t="shared" si="1"/>
        <v>T.Hai</v>
      </c>
      <c r="L6" s="302" t="str">
        <f t="shared" si="1"/>
        <v>T.Ba</v>
      </c>
      <c r="M6" s="302" t="str">
        <f t="shared" si="1"/>
        <v>T.Tư</v>
      </c>
      <c r="N6" s="302" t="str">
        <f t="shared" si="1"/>
        <v>T.Năm</v>
      </c>
      <c r="O6" s="302" t="str">
        <f t="shared" si="1"/>
        <v>T.Sáu</v>
      </c>
      <c r="P6" s="302" t="str">
        <f t="shared" si="1"/>
        <v>T.Bảy</v>
      </c>
      <c r="Q6" s="302" t="str">
        <f t="shared" si="1"/>
        <v>C.Nhật</v>
      </c>
      <c r="R6" s="302" t="str">
        <f t="shared" si="1"/>
        <v>T.Hai</v>
      </c>
      <c r="S6" s="302" t="str">
        <f t="shared" si="1"/>
        <v>T.Ba</v>
      </c>
      <c r="T6" s="302" t="str">
        <f t="shared" si="1"/>
        <v>T.Tư</v>
      </c>
      <c r="U6" s="302" t="str">
        <f t="shared" si="1"/>
        <v>T.Năm</v>
      </c>
      <c r="V6" s="302" t="str">
        <f t="shared" si="1"/>
        <v>T.Sáu</v>
      </c>
      <c r="W6" s="302" t="str">
        <f t="shared" si="1"/>
        <v>T.Bảy</v>
      </c>
      <c r="X6" s="302" t="str">
        <f t="shared" si="1"/>
        <v>C.Nhật</v>
      </c>
      <c r="Y6" s="302" t="str">
        <f t="shared" si="1"/>
        <v>T.Hai</v>
      </c>
      <c r="Z6" s="302" t="str">
        <f t="shared" si="1"/>
        <v>T.Ba</v>
      </c>
      <c r="AA6" s="302" t="str">
        <f t="shared" si="1"/>
        <v>T.Tư</v>
      </c>
      <c r="AB6" s="302" t="str">
        <f t="shared" si="1"/>
        <v>T.Năm</v>
      </c>
      <c r="AC6" s="302" t="str">
        <f t="shared" si="1"/>
        <v>T.Sáu</v>
      </c>
      <c r="AD6" s="302" t="str">
        <f t="shared" si="1"/>
        <v>T.Bảy</v>
      </c>
      <c r="AE6" s="302" t="str">
        <f t="shared" si="1"/>
        <v>C.Nhật</v>
      </c>
      <c r="AF6" s="302" t="str">
        <f t="shared" si="1"/>
        <v>T.Hai</v>
      </c>
      <c r="AG6" s="302" t="str">
        <f t="shared" si="1"/>
        <v>T.Ba</v>
      </c>
      <c r="AH6" s="302" t="str">
        <f t="shared" si="1"/>
        <v>T.Tư</v>
      </c>
      <c r="AI6" s="302" t="str">
        <f t="shared" si="1"/>
        <v>T.Năm</v>
      </c>
      <c r="AJ6" s="302"/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417">
        <f>((SUM(F9:AJ9))/8)-(SUMIF($F$6:$AJ$6,"C.Nhật",F9:AJ9)/8)</f>
        <v>26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26</v>
      </c>
      <c r="AO9" s="421">
        <v>0</v>
      </c>
      <c r="AP9" s="407"/>
      <c r="AQ9" s="407"/>
      <c r="AR9" s="407"/>
      <c r="AS9" s="409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417">
        <f>((SUM(F11:AJ11))/8)-(SUMIF($F$6:$AJ$6,"C.Nhật",F11:AJ11)/8)</f>
        <v>26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26</v>
      </c>
      <c r="AO11" s="421">
        <v>0</v>
      </c>
      <c r="AP11" s="407"/>
      <c r="AQ11" s="407"/>
      <c r="AR11" s="407"/>
      <c r="AS11" s="409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84</v>
      </c>
      <c r="C14" s="413" t="str">
        <f>VLOOKUP(B14,DS,2,0)</f>
        <v xml:space="preserve"> Lâm Thị Mộng Kiều 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417">
        <f>((SUM(F14:AJ14))/8)-(SUMIF($F$6:$AJ$6,"C.Nhật",F14:AJ14)/8)</f>
        <v>26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26</v>
      </c>
      <c r="AO14" s="421">
        <v>0</v>
      </c>
      <c r="AP14" s="407"/>
      <c r="AQ14" s="407"/>
      <c r="AR14" s="407"/>
      <c r="AS14" s="409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v>4</v>
      </c>
      <c r="B16" s="411" t="s">
        <v>85</v>
      </c>
      <c r="C16" s="413" t="str">
        <f>VLOOKUP(B16,DS,2,0)</f>
        <v>Huỳnh Thị Hường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417">
        <f>((SUM(F16:AJ16))/8)-(SUMIF($F$6:$AJ$6,"C.Nhật",F16:AJ16)/8)</f>
        <v>26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26</v>
      </c>
      <c r="AO16" s="421">
        <v>0</v>
      </c>
      <c r="AP16" s="407"/>
      <c r="AQ16" s="407"/>
      <c r="AR16" s="407"/>
      <c r="AS16" s="409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>A16+1</f>
        <v>5</v>
      </c>
      <c r="B18" s="411" t="s">
        <v>86</v>
      </c>
      <c r="C18" s="413" t="str">
        <f>VLOOKUP(B18,DS,2,0)</f>
        <v>Nguyễn Thị Rong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417">
        <f>((SUM(F18:AJ18))/8)-(SUMIF($F$6:$AJ$6,"C.Nhật",F18:AJ18)/8)</f>
        <v>26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26</v>
      </c>
      <c r="AO18" s="421">
        <v>0</v>
      </c>
      <c r="AP18" s="407"/>
      <c r="AQ18" s="407"/>
      <c r="AR18" s="407"/>
      <c r="AS18" s="409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 t="shared" ref="A20:A26" si="2">A18+1</f>
        <v>6</v>
      </c>
      <c r="B20" s="411" t="s">
        <v>87</v>
      </c>
      <c r="C20" s="413" t="str">
        <f>VLOOKUP(B20,DS,2,0)</f>
        <v>Sơn Thị Nil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417">
        <f>((SUM(F20:AJ20))/8)-(SUMIF($F$6:$AJ$6,"C.Nhật",F20:AJ20)/8)</f>
        <v>26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26</v>
      </c>
      <c r="AO20" s="421">
        <v>0</v>
      </c>
      <c r="AP20" s="407"/>
      <c r="AQ20" s="407"/>
      <c r="AR20" s="407"/>
      <c r="AS20" s="409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>A20+1</f>
        <v>7</v>
      </c>
      <c r="B22" s="411" t="s">
        <v>91</v>
      </c>
      <c r="C22" s="413" t="str">
        <f>VLOOKUP(B22,DS,2,0)</f>
        <v>Nguyễn Thị Lựu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417">
        <f>((SUM(F22:AJ22))/8)-(SUMIF($F$6:$AJ$6,"C.Nhật",F22:AJ22)/8)</f>
        <v>26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26</v>
      </c>
      <c r="AO22" s="421">
        <v>0</v>
      </c>
      <c r="AP22" s="407"/>
      <c r="AQ22" s="407"/>
      <c r="AR22" s="407"/>
      <c r="AS22" s="409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8</v>
      </c>
      <c r="B24" s="411" t="s">
        <v>92</v>
      </c>
      <c r="C24" s="413" t="str">
        <f>VLOOKUP(B24,DS,2,0)</f>
        <v>Lý Thị Được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417">
        <f>((SUM(F24:AJ24))/8)-(SUMIF($F$6:$AJ$6,"C.Nhật",F24:AJ24)/8)</f>
        <v>26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26</v>
      </c>
      <c r="AO24" s="421">
        <v>0</v>
      </c>
      <c r="AP24" s="407"/>
      <c r="AQ24" s="407"/>
      <c r="AR24" s="407"/>
      <c r="AS24" s="409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 t="shared" si="2"/>
        <v>9</v>
      </c>
      <c r="B26" s="411" t="s">
        <v>93</v>
      </c>
      <c r="C26" s="413" t="str">
        <f>VLOOKUP(B26,DS,2,0)</f>
        <v>Lý La Quan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417">
        <f>((SUM(F26:AJ26))/8)-(SUMIF($F$6:$AJ$6,"C.Nhật",F26:AJ26)/8)</f>
        <v>26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26</v>
      </c>
      <c r="AO26" s="421">
        <v>0</v>
      </c>
      <c r="AP26" s="407"/>
      <c r="AQ26" s="407"/>
      <c r="AR26" s="407"/>
      <c r="AS26" s="409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94</v>
      </c>
      <c r="C28" s="413" t="str">
        <f>VLOOKUP(B28,DS,2,0)</f>
        <v>Trà Thị Soi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417">
        <f>((SUM(F28:AJ28))/8)-(SUMIF($F$6:$AJ$6,"C.Nhật",F28:AJ28)/8)</f>
        <v>26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26</v>
      </c>
      <c r="AO28" s="421">
        <v>0</v>
      </c>
      <c r="AP28" s="407"/>
      <c r="AQ28" s="407"/>
      <c r="AR28" s="407"/>
      <c r="AS28" s="409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96</v>
      </c>
      <c r="C30" s="413" t="str">
        <f>VLOOKUP(B30,DS,2,0)</f>
        <v>Sơn Thị Thương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417">
        <f>((SUM(F30:AJ30))/8)-(SUMIF($F$6:$AJ$6,"C.Nhật",F30:AJ30)/8)</f>
        <v>26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26</v>
      </c>
      <c r="AO30" s="421">
        <v>0</v>
      </c>
      <c r="AP30" s="407"/>
      <c r="AQ30" s="407"/>
      <c r="AR30" s="407"/>
      <c r="AS30" s="409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100</v>
      </c>
      <c r="C32" s="413" t="str">
        <f>VLOOKUP(B32,DS,2,0)</f>
        <v>Sơn Thị Chành Đa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417">
        <f>((SUM(F32:AJ32))/8)-(SUMIF($F$6:$AJ$6,"C.Nhật",F32:AJ32)/8)</f>
        <v>26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26</v>
      </c>
      <c r="AO32" s="421">
        <v>0</v>
      </c>
      <c r="AP32" s="407"/>
      <c r="AQ32" s="407"/>
      <c r="AR32" s="407"/>
      <c r="AS32" s="409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101</v>
      </c>
      <c r="C34" s="413" t="str">
        <f>VLOOKUP(B34,DS,2,0)</f>
        <v>Trần Thị Bích Phượng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417">
        <f>((SUM(F34:AJ34))/8)-(SUMIF($F$6:$AJ$6,"C.Nhật",F34:AJ34)/8)</f>
        <v>26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26</v>
      </c>
      <c r="AO34" s="421">
        <v>0</v>
      </c>
      <c r="AP34" s="407"/>
      <c r="AQ34" s="407"/>
      <c r="AR34" s="407"/>
      <c r="AS34" s="409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102</v>
      </c>
      <c r="C36" s="413" t="str">
        <f>VLOOKUP(B36,DS,2,0)</f>
        <v>Sơn Thị Trường Sa</v>
      </c>
      <c r="D36" s="415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417">
        <f>((SUM(F36:AJ36))/8)-(SUMIF($F$6:$AJ$6,"C.Nhật",F36:AJ36)/8)</f>
        <v>26</v>
      </c>
      <c r="AL36" s="417">
        <f>SUM(F37:AI37)/8*1.5</f>
        <v>0</v>
      </c>
      <c r="AM36" s="419">
        <f>SUMIF($F$6:$AI$6,"C.Nhật",$F36:$AI37)/8*2</f>
        <v>0</v>
      </c>
      <c r="AN36" s="407">
        <f>SUM(AK36:AM37)</f>
        <v>26</v>
      </c>
      <c r="AO36" s="421">
        <v>0</v>
      </c>
      <c r="AP36" s="407"/>
      <c r="AQ36" s="407"/>
      <c r="AR36" s="407"/>
      <c r="AS36" s="409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1">
        <f>A36+1</f>
        <v>15</v>
      </c>
      <c r="B38" s="411" t="s">
        <v>103</v>
      </c>
      <c r="C38" s="413" t="str">
        <f>VLOOKUP(B38,DS,2,0)</f>
        <v>Lý Thị Sà Kha</v>
      </c>
      <c r="D38" s="415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417">
        <f>((SUM(F38:AJ38))/8)-(SUMIF($F$6:$AJ$6,"C.Nhật",F38:AJ38)/8)</f>
        <v>26</v>
      </c>
      <c r="AL38" s="417">
        <f>SUM(F39:AI39)/8*1.5</f>
        <v>0</v>
      </c>
      <c r="AM38" s="419">
        <f>SUMIF($F$6:$AI$6,"C.Nhật",$F38:$AI39)/8*2</f>
        <v>0</v>
      </c>
      <c r="AN38" s="407">
        <f>SUM(AK38:AM39)</f>
        <v>26</v>
      </c>
      <c r="AO38" s="421">
        <v>0</v>
      </c>
      <c r="AP38" s="407"/>
      <c r="AQ38" s="407"/>
      <c r="AR38" s="407"/>
      <c r="AS38" s="409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2"/>
      <c r="B39" s="412"/>
      <c r="C39" s="414"/>
      <c r="D39" s="416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18"/>
      <c r="AL39" s="418"/>
      <c r="AM39" s="420"/>
      <c r="AN39" s="408"/>
      <c r="AO39" s="422"/>
      <c r="AP39" s="408"/>
      <c r="AQ39" s="408"/>
      <c r="AR39" s="408"/>
      <c r="AS39" s="410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1">
        <f>A38+1</f>
        <v>16</v>
      </c>
      <c r="B40" s="411" t="s">
        <v>104</v>
      </c>
      <c r="C40" s="413" t="str">
        <f>VLOOKUP(B40,DS,2,0)</f>
        <v xml:space="preserve"> Lâm Thị Mộng Thường</v>
      </c>
      <c r="D40" s="415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417">
        <f>((SUM(F40:AJ40))/8)-(SUMIF($F$6:$AJ$6,"C.Nhật",F40:AJ40)/8)</f>
        <v>26</v>
      </c>
      <c r="AL40" s="417">
        <f>SUM(F41:AI41)/8*1.5</f>
        <v>0</v>
      </c>
      <c r="AM40" s="419">
        <f>SUMIF($F$6:$AI$6,"C.Nhật",$F40:$AI41)/8*2</f>
        <v>0</v>
      </c>
      <c r="AN40" s="407">
        <f>SUM(AK40:AM41)</f>
        <v>26</v>
      </c>
      <c r="AO40" s="421">
        <v>0</v>
      </c>
      <c r="AP40" s="407"/>
      <c r="AQ40" s="407"/>
      <c r="AR40" s="407"/>
      <c r="AS40" s="409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2"/>
      <c r="B41" s="412"/>
      <c r="C41" s="414"/>
      <c r="D41" s="416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18"/>
      <c r="AL41" s="418"/>
      <c r="AM41" s="420"/>
      <c r="AN41" s="408"/>
      <c r="AO41" s="422"/>
      <c r="AP41" s="408"/>
      <c r="AQ41" s="408"/>
      <c r="AR41" s="408"/>
      <c r="AS41" s="410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308" customFormat="1" ht="21" customHeight="1">
      <c r="A42" s="306" t="s">
        <v>187</v>
      </c>
      <c r="B42" s="309" t="s">
        <v>188</v>
      </c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0"/>
      <c r="AM42" s="310"/>
      <c r="AN42" s="310"/>
      <c r="AO42" s="310"/>
      <c r="AP42" s="310"/>
      <c r="AQ42" s="310"/>
      <c r="AR42" s="310"/>
      <c r="AS42" s="311"/>
      <c r="AT42" s="307"/>
    </row>
    <row r="43" spans="1:90" s="67" customFormat="1" ht="18" customHeight="1">
      <c r="A43" s="411">
        <f>A40+1</f>
        <v>17</v>
      </c>
      <c r="B43" s="411" t="s">
        <v>113</v>
      </c>
      <c r="C43" s="413" t="str">
        <f>VLOOKUP(B43,DS,2,0)</f>
        <v>Nguyễn Văn Bé Hai</v>
      </c>
      <c r="D43" s="415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/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/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/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/>
      <c r="AF43" s="171">
        <v>8</v>
      </c>
      <c r="AG43" s="171">
        <v>8</v>
      </c>
      <c r="AH43" s="171">
        <v>8</v>
      </c>
      <c r="AI43" s="171">
        <v>8</v>
      </c>
      <c r="AJ43" s="171"/>
      <c r="AK43" s="417">
        <f>((SUM(F43:AJ43))/8)-(SUMIF($F$6:$AJ$6,"C.Nhật",F43:AJ43)/8)</f>
        <v>26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26</v>
      </c>
      <c r="AO43" s="421">
        <v>0</v>
      </c>
      <c r="AP43" s="407"/>
      <c r="AQ43" s="407"/>
      <c r="AR43" s="407"/>
      <c r="AS43" s="409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18"/>
      <c r="AL44" s="418"/>
      <c r="AM44" s="420"/>
      <c r="AN44" s="408"/>
      <c r="AO44" s="422"/>
      <c r="AP44" s="408"/>
      <c r="AQ44" s="408"/>
      <c r="AR44" s="408"/>
      <c r="AS44" s="410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114</v>
      </c>
      <c r="C45" s="413" t="str">
        <f>VLOOKUP(B45,DS,2,0)</f>
        <v>Thạch Tiền</v>
      </c>
      <c r="D45" s="415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/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/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/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/>
      <c r="AF45" s="171">
        <v>8</v>
      </c>
      <c r="AG45" s="171">
        <v>8</v>
      </c>
      <c r="AH45" s="171">
        <v>8</v>
      </c>
      <c r="AI45" s="171">
        <v>8</v>
      </c>
      <c r="AJ45" s="171"/>
      <c r="AK45" s="417">
        <f>((SUM(F45:AJ45))/8)-(SUMIF($F$6:$AJ$6,"C.Nhật",F45:AJ45)/8)</f>
        <v>26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26</v>
      </c>
      <c r="AO45" s="421">
        <v>0</v>
      </c>
      <c r="AP45" s="407"/>
      <c r="AQ45" s="407"/>
      <c r="AR45" s="407"/>
      <c r="AS45" s="409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18"/>
      <c r="AL46" s="418"/>
      <c r="AM46" s="420"/>
      <c r="AN46" s="408"/>
      <c r="AO46" s="422"/>
      <c r="AP46" s="408"/>
      <c r="AQ46" s="408"/>
      <c r="AR46" s="408"/>
      <c r="AS46" s="410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118</v>
      </c>
      <c r="C47" s="413" t="str">
        <f>VLOOKUP(B47,DS,2,0)</f>
        <v>Trần Nhiên</v>
      </c>
      <c r="D47" s="415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/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/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/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/>
      <c r="AF47" s="171">
        <v>8</v>
      </c>
      <c r="AG47" s="171">
        <v>8</v>
      </c>
      <c r="AH47" s="171">
        <v>8</v>
      </c>
      <c r="AI47" s="171">
        <v>8</v>
      </c>
      <c r="AJ47" s="171"/>
      <c r="AK47" s="417">
        <f>((SUM(F47:AJ47))/8)-(SUMIF($F$6:$AJ$6,"C.Nhật",F47:AJ47)/8)</f>
        <v>26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26</v>
      </c>
      <c r="AO47" s="421">
        <v>0</v>
      </c>
      <c r="AP47" s="407"/>
      <c r="AQ47" s="407"/>
      <c r="AR47" s="407"/>
      <c r="AS47" s="409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18"/>
      <c r="AL48" s="418"/>
      <c r="AM48" s="420"/>
      <c r="AN48" s="408"/>
      <c r="AO48" s="422"/>
      <c r="AP48" s="408"/>
      <c r="AQ48" s="408"/>
      <c r="AR48" s="408"/>
      <c r="AS48" s="410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1">
        <f>A47+1</f>
        <v>20</v>
      </c>
      <c r="B49" s="411" t="s">
        <v>119</v>
      </c>
      <c r="C49" s="413" t="str">
        <f>VLOOKUP(B49,DS,2,0)</f>
        <v>Thạch Giang</v>
      </c>
      <c r="D49" s="415" t="str">
        <f>VLOOKUP(B49,DS,3,0)</f>
        <v>Công nhân</v>
      </c>
      <c r="E49" s="68" t="s">
        <v>32</v>
      </c>
      <c r="F49" s="171">
        <v>8</v>
      </c>
      <c r="G49" s="171">
        <v>8</v>
      </c>
      <c r="H49" s="171">
        <v>8</v>
      </c>
      <c r="I49" s="171">
        <v>8</v>
      </c>
      <c r="J49" s="171"/>
      <c r="K49" s="171">
        <v>8</v>
      </c>
      <c r="L49" s="171">
        <v>8</v>
      </c>
      <c r="M49" s="171">
        <v>8</v>
      </c>
      <c r="N49" s="171">
        <v>8</v>
      </c>
      <c r="O49" s="171">
        <v>8</v>
      </c>
      <c r="P49" s="171">
        <v>8</v>
      </c>
      <c r="Q49" s="171"/>
      <c r="R49" s="171">
        <v>8</v>
      </c>
      <c r="S49" s="171">
        <v>8</v>
      </c>
      <c r="T49" s="171">
        <v>8</v>
      </c>
      <c r="U49" s="171">
        <v>8</v>
      </c>
      <c r="V49" s="171">
        <v>8</v>
      </c>
      <c r="W49" s="171">
        <v>8</v>
      </c>
      <c r="X49" s="171"/>
      <c r="Y49" s="171">
        <v>8</v>
      </c>
      <c r="Z49" s="171">
        <v>8</v>
      </c>
      <c r="AA49" s="171">
        <v>8</v>
      </c>
      <c r="AB49" s="171">
        <v>8</v>
      </c>
      <c r="AC49" s="171">
        <v>8</v>
      </c>
      <c r="AD49" s="171">
        <v>8</v>
      </c>
      <c r="AE49" s="171"/>
      <c r="AF49" s="171">
        <v>8</v>
      </c>
      <c r="AG49" s="171">
        <v>8</v>
      </c>
      <c r="AH49" s="171">
        <v>8</v>
      </c>
      <c r="AI49" s="171">
        <v>8</v>
      </c>
      <c r="AJ49" s="171"/>
      <c r="AK49" s="417">
        <f>((SUM(F49:AJ49))/8)-(SUMIF($F$6:$AJ$6,"C.Nhật",F49:AJ49)/8)</f>
        <v>26</v>
      </c>
      <c r="AL49" s="417">
        <f>SUM(F50:AI50)/8*1.5</f>
        <v>0</v>
      </c>
      <c r="AM49" s="419">
        <f>SUMIF($F$6:$AI$6,"C.Nhật",$F49:$AI50)/8*2</f>
        <v>0</v>
      </c>
      <c r="AN49" s="407">
        <f>SUM(AK49:AM50)</f>
        <v>26</v>
      </c>
      <c r="AO49" s="421">
        <v>0</v>
      </c>
      <c r="AP49" s="407"/>
      <c r="AQ49" s="407"/>
      <c r="AR49" s="407"/>
      <c r="AS49" s="409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2"/>
      <c r="B50" s="412"/>
      <c r="C50" s="414"/>
      <c r="D50" s="416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0"/>
      <c r="AJ50" s="320"/>
      <c r="AK50" s="418"/>
      <c r="AL50" s="418"/>
      <c r="AM50" s="420"/>
      <c r="AN50" s="408"/>
      <c r="AO50" s="422"/>
      <c r="AP50" s="408"/>
      <c r="AQ50" s="408"/>
      <c r="AR50" s="408"/>
      <c r="AS50" s="410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411">
        <f>A49+1</f>
        <v>21</v>
      </c>
      <c r="B51" s="411" t="s">
        <v>120</v>
      </c>
      <c r="C51" s="413" t="str">
        <f>VLOOKUP(B51,DS,2,0)</f>
        <v>Thạch Quyền</v>
      </c>
      <c r="D51" s="415" t="str">
        <f>VLOOKUP(B51,DS,3,0)</f>
        <v>Công nhân</v>
      </c>
      <c r="E51" s="68" t="s">
        <v>32</v>
      </c>
      <c r="F51" s="171">
        <v>8</v>
      </c>
      <c r="G51" s="171">
        <v>8</v>
      </c>
      <c r="H51" s="171">
        <v>8</v>
      </c>
      <c r="I51" s="171">
        <v>8</v>
      </c>
      <c r="J51" s="171"/>
      <c r="K51" s="171">
        <v>8</v>
      </c>
      <c r="L51" s="171">
        <v>8</v>
      </c>
      <c r="M51" s="171">
        <v>8</v>
      </c>
      <c r="N51" s="171">
        <v>8</v>
      </c>
      <c r="O51" s="171">
        <v>8</v>
      </c>
      <c r="P51" s="171">
        <v>8</v>
      </c>
      <c r="Q51" s="171"/>
      <c r="R51" s="171">
        <v>8</v>
      </c>
      <c r="S51" s="171">
        <v>8</v>
      </c>
      <c r="T51" s="171">
        <v>8</v>
      </c>
      <c r="U51" s="171">
        <v>8</v>
      </c>
      <c r="V51" s="171">
        <v>8</v>
      </c>
      <c r="W51" s="171">
        <v>8</v>
      </c>
      <c r="X51" s="171"/>
      <c r="Y51" s="171">
        <v>8</v>
      </c>
      <c r="Z51" s="171">
        <v>8</v>
      </c>
      <c r="AA51" s="171">
        <v>8</v>
      </c>
      <c r="AB51" s="171">
        <v>8</v>
      </c>
      <c r="AC51" s="171">
        <v>8</v>
      </c>
      <c r="AD51" s="171">
        <v>8</v>
      </c>
      <c r="AE51" s="171"/>
      <c r="AF51" s="171">
        <v>8</v>
      </c>
      <c r="AG51" s="171">
        <v>8</v>
      </c>
      <c r="AH51" s="171">
        <v>8</v>
      </c>
      <c r="AI51" s="171">
        <v>8</v>
      </c>
      <c r="AJ51" s="171"/>
      <c r="AK51" s="417">
        <f>((SUM(F51:AJ51))/8)-(SUMIF($F$6:$AJ$6,"C.Nhật",F51:AJ51)/8)</f>
        <v>26</v>
      </c>
      <c r="AL51" s="417">
        <f>SUM(F52:AI52)/8*1.5</f>
        <v>0</v>
      </c>
      <c r="AM51" s="419">
        <f>SUMIF($F$6:$AI$6,"C.Nhật",$F51:$AI52)/8*2</f>
        <v>0</v>
      </c>
      <c r="AN51" s="407">
        <f>SUM(AK51:AM52)</f>
        <v>26</v>
      </c>
      <c r="AO51" s="421">
        <v>0</v>
      </c>
      <c r="AP51" s="407"/>
      <c r="AQ51" s="407"/>
      <c r="AR51" s="407"/>
      <c r="AS51" s="409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412"/>
      <c r="B52" s="412"/>
      <c r="C52" s="414"/>
      <c r="D52" s="416"/>
      <c r="E52" s="69" t="s">
        <v>31</v>
      </c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320"/>
      <c r="AJ52" s="320"/>
      <c r="AK52" s="418"/>
      <c r="AL52" s="418"/>
      <c r="AM52" s="420"/>
      <c r="AN52" s="408"/>
      <c r="AO52" s="422"/>
      <c r="AP52" s="408"/>
      <c r="AQ52" s="408"/>
      <c r="AR52" s="408"/>
      <c r="AS52" s="410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411">
        <f>A51+1</f>
        <v>22</v>
      </c>
      <c r="B53" s="411" t="s">
        <v>121</v>
      </c>
      <c r="C53" s="413" t="str">
        <f>VLOOKUP(B53,DS,2,0)</f>
        <v>Lâm Lin</v>
      </c>
      <c r="D53" s="415" t="str">
        <f>VLOOKUP(B53,DS,3,0)</f>
        <v>Công nhân</v>
      </c>
      <c r="E53" s="68" t="s">
        <v>32</v>
      </c>
      <c r="F53" s="171">
        <v>8</v>
      </c>
      <c r="G53" s="171">
        <v>8</v>
      </c>
      <c r="H53" s="171">
        <v>8</v>
      </c>
      <c r="I53" s="171">
        <v>8</v>
      </c>
      <c r="J53" s="171"/>
      <c r="K53" s="171">
        <v>8</v>
      </c>
      <c r="L53" s="171">
        <v>8</v>
      </c>
      <c r="M53" s="171">
        <v>8</v>
      </c>
      <c r="N53" s="171">
        <v>8</v>
      </c>
      <c r="O53" s="171">
        <v>8</v>
      </c>
      <c r="P53" s="171">
        <v>8</v>
      </c>
      <c r="Q53" s="171"/>
      <c r="R53" s="171">
        <v>8</v>
      </c>
      <c r="S53" s="171">
        <v>8</v>
      </c>
      <c r="T53" s="171">
        <v>8</v>
      </c>
      <c r="U53" s="171">
        <v>8</v>
      </c>
      <c r="V53" s="171">
        <v>8</v>
      </c>
      <c r="W53" s="171">
        <v>8</v>
      </c>
      <c r="X53" s="171"/>
      <c r="Y53" s="171">
        <v>8</v>
      </c>
      <c r="Z53" s="171">
        <v>8</v>
      </c>
      <c r="AA53" s="171">
        <v>8</v>
      </c>
      <c r="AB53" s="171">
        <v>8</v>
      </c>
      <c r="AC53" s="171">
        <v>8</v>
      </c>
      <c r="AD53" s="171">
        <v>8</v>
      </c>
      <c r="AE53" s="171"/>
      <c r="AF53" s="171">
        <v>8</v>
      </c>
      <c r="AG53" s="171">
        <v>8</v>
      </c>
      <c r="AH53" s="171">
        <v>8</v>
      </c>
      <c r="AI53" s="171">
        <v>8</v>
      </c>
      <c r="AJ53" s="171"/>
      <c r="AK53" s="417">
        <f>((SUM(F53:AJ53))/8)-(SUMIF($F$6:$AJ$6,"C.Nhật",F53:AJ53)/8)</f>
        <v>26</v>
      </c>
      <c r="AL53" s="417">
        <f>SUM(F54:AI54)/8*1.5</f>
        <v>0</v>
      </c>
      <c r="AM53" s="419">
        <f>SUMIF($F$6:$AI$6,"C.Nhật",$F53:$AI54)/8*2</f>
        <v>0</v>
      </c>
      <c r="AN53" s="407">
        <f>SUM(AK53:AM54)</f>
        <v>26</v>
      </c>
      <c r="AO53" s="421">
        <v>0</v>
      </c>
      <c r="AP53" s="407"/>
      <c r="AQ53" s="407"/>
      <c r="AR53" s="407"/>
      <c r="AS53" s="409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412"/>
      <c r="B54" s="412"/>
      <c r="C54" s="414"/>
      <c r="D54" s="416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18"/>
      <c r="AL54" s="418"/>
      <c r="AM54" s="420"/>
      <c r="AN54" s="408"/>
      <c r="AO54" s="422"/>
      <c r="AP54" s="408"/>
      <c r="AQ54" s="408"/>
      <c r="AR54" s="408"/>
      <c r="AS54" s="410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411">
        <f>A53+1</f>
        <v>23</v>
      </c>
      <c r="B55" s="411" t="s">
        <v>122</v>
      </c>
      <c r="C55" s="413" t="str">
        <f>VLOOKUP(B55,DS,2,0)</f>
        <v>Lâm Chanh Đa Ra</v>
      </c>
      <c r="D55" s="415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417">
        <f>((SUM(F55:AJ55))/8)-(SUMIF($F$6:$AJ$6,"C.Nhật",F55:AJ55)/8)</f>
        <v>26</v>
      </c>
      <c r="AL55" s="417">
        <f>SUM(F56:AI56)/8*1.5</f>
        <v>0</v>
      </c>
      <c r="AM55" s="419">
        <f>SUMIF($F$6:$AI$6,"C.Nhật",$F55:$AI56)/8*2</f>
        <v>0</v>
      </c>
      <c r="AN55" s="407">
        <f>SUM(AK55:AM56)</f>
        <v>26</v>
      </c>
      <c r="AO55" s="421">
        <v>0</v>
      </c>
      <c r="AP55" s="407"/>
      <c r="AQ55" s="407"/>
      <c r="AR55" s="407"/>
      <c r="AS55" s="409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412"/>
      <c r="B56" s="412"/>
      <c r="C56" s="414"/>
      <c r="D56" s="416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18"/>
      <c r="AL56" s="418"/>
      <c r="AM56" s="420"/>
      <c r="AN56" s="408"/>
      <c r="AO56" s="422"/>
      <c r="AP56" s="408"/>
      <c r="AQ56" s="408"/>
      <c r="AR56" s="408"/>
      <c r="AS56" s="410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70" customFormat="1" ht="12.75">
      <c r="A57" s="14"/>
      <c r="B57" s="71"/>
      <c r="C57" s="4"/>
      <c r="D57" s="113"/>
      <c r="E57" s="4"/>
      <c r="F57" s="75"/>
      <c r="G57" s="75"/>
      <c r="H57" s="72"/>
      <c r="I57" s="72"/>
      <c r="J57" s="120"/>
      <c r="K57" s="75"/>
      <c r="L57" s="72"/>
      <c r="M57" s="75"/>
      <c r="N57" s="75"/>
      <c r="O57" s="75"/>
      <c r="P57" s="75"/>
      <c r="Q57" s="72"/>
      <c r="R57" s="75"/>
      <c r="S57" s="75"/>
      <c r="T57" s="120"/>
      <c r="U57" s="75"/>
      <c r="V57" s="75"/>
      <c r="W57" s="75"/>
      <c r="X57" s="71"/>
      <c r="Y57" s="75"/>
      <c r="Z57" s="75"/>
      <c r="AA57" s="75"/>
      <c r="AB57" s="75"/>
      <c r="AC57" s="75"/>
      <c r="AD57" s="72"/>
      <c r="AE57" s="75"/>
      <c r="AF57" s="75"/>
      <c r="AG57" s="75"/>
      <c r="AH57" s="75"/>
      <c r="AI57" s="75"/>
      <c r="AJ57" s="75"/>
      <c r="AK57" s="4"/>
      <c r="AL57" s="4"/>
      <c r="AM57" s="98"/>
      <c r="AN57" s="74"/>
      <c r="AO57" s="74"/>
      <c r="AP57" s="74"/>
      <c r="AQ57" s="74"/>
      <c r="AR57" s="74"/>
      <c r="AS57" s="4"/>
      <c r="AT57" s="104"/>
    </row>
    <row r="58" spans="1:90" s="70" customFormat="1" ht="12.75">
      <c r="A58" s="14"/>
      <c r="B58" s="71"/>
      <c r="C58" s="14" t="s">
        <v>14</v>
      </c>
      <c r="D58" s="113"/>
      <c r="E58" s="4"/>
      <c r="F58" s="75"/>
      <c r="G58" s="75"/>
      <c r="H58" s="72"/>
      <c r="I58" s="72"/>
      <c r="J58" s="120"/>
      <c r="K58" s="75"/>
      <c r="L58" s="72"/>
      <c r="M58" s="75"/>
      <c r="N58" s="75"/>
      <c r="O58" s="75"/>
      <c r="P58" s="75"/>
      <c r="Q58" s="72"/>
      <c r="R58" s="75"/>
      <c r="S58" s="75"/>
      <c r="T58" s="120"/>
      <c r="U58" s="75"/>
      <c r="V58" s="75"/>
      <c r="W58" s="75"/>
      <c r="X58" s="71"/>
      <c r="Y58" s="75"/>
      <c r="Z58" s="75"/>
      <c r="AA58" s="75"/>
      <c r="AB58" s="75"/>
      <c r="AC58" s="75"/>
      <c r="AD58" s="72"/>
      <c r="AE58" s="75"/>
      <c r="AF58" s="75"/>
      <c r="AG58" s="75"/>
      <c r="AH58" s="75"/>
      <c r="AI58" s="75"/>
      <c r="AJ58" s="75"/>
      <c r="AK58" s="4"/>
      <c r="AL58" s="4"/>
      <c r="AM58" s="98"/>
      <c r="AN58" s="74"/>
      <c r="AO58" s="74"/>
      <c r="AP58" s="74"/>
      <c r="AQ58" s="74"/>
      <c r="AR58" s="74"/>
      <c r="AS58" s="4"/>
      <c r="AT58" s="104"/>
    </row>
    <row r="59" spans="1:90" s="70" customFormat="1" ht="12.75">
      <c r="A59" s="12"/>
      <c r="B59" s="12"/>
      <c r="C59" s="4"/>
      <c r="D59" s="113"/>
      <c r="E59" s="4"/>
      <c r="F59" s="75"/>
      <c r="G59" s="75"/>
      <c r="H59" s="121"/>
      <c r="I59" s="121"/>
      <c r="J59" s="121"/>
      <c r="K59" s="75"/>
      <c r="L59" s="121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121"/>
      <c r="AE59" s="75"/>
      <c r="AF59" s="75"/>
      <c r="AG59" s="75"/>
      <c r="AH59" s="75"/>
      <c r="AI59" s="75"/>
      <c r="AJ59" s="75"/>
      <c r="AK59" s="4"/>
      <c r="AL59" s="4"/>
      <c r="AM59" s="98"/>
      <c r="AN59" s="76"/>
      <c r="AO59" s="76"/>
      <c r="AP59" s="76"/>
      <c r="AQ59" s="76"/>
      <c r="AR59" s="76"/>
      <c r="AS59" s="4"/>
      <c r="AT59" s="104"/>
    </row>
    <row r="60" spans="1:90" s="73" customFormat="1" ht="15" customHeight="1">
      <c r="A60" s="12"/>
      <c r="B60" s="12"/>
      <c r="C60" s="4"/>
      <c r="D60" s="113"/>
      <c r="E60" s="4"/>
      <c r="F60" s="75"/>
      <c r="G60" s="75"/>
      <c r="H60" s="121"/>
      <c r="I60" s="121"/>
      <c r="J60" s="121"/>
      <c r="K60" s="75"/>
      <c r="L60" s="121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121"/>
      <c r="AE60" s="75"/>
      <c r="AF60" s="75"/>
      <c r="AG60" s="75"/>
      <c r="AH60" s="75"/>
      <c r="AI60" s="75"/>
      <c r="AJ60" s="75"/>
      <c r="AK60" s="4"/>
      <c r="AL60" s="4"/>
      <c r="AM60" s="98"/>
      <c r="AN60" s="76"/>
      <c r="AO60" s="76"/>
      <c r="AP60" s="76"/>
      <c r="AQ60" s="76"/>
      <c r="AR60" s="76"/>
      <c r="AS60" s="4"/>
      <c r="AT60" s="4"/>
    </row>
    <row r="61" spans="1:90" s="73" customFormat="1" ht="11.25">
      <c r="A61" s="12"/>
      <c r="B61" s="12"/>
      <c r="C61" s="4"/>
      <c r="D61" s="113"/>
      <c r="E61" s="4"/>
      <c r="F61" s="75"/>
      <c r="G61" s="75"/>
      <c r="H61" s="121"/>
      <c r="I61" s="121"/>
      <c r="J61" s="121"/>
      <c r="K61" s="75"/>
      <c r="L61" s="121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121"/>
      <c r="AE61" s="75"/>
      <c r="AF61" s="75"/>
      <c r="AG61" s="75"/>
      <c r="AH61" s="75"/>
      <c r="AI61" s="75"/>
      <c r="AJ61" s="75"/>
      <c r="AK61" s="4"/>
      <c r="AL61" s="4"/>
      <c r="AM61" s="98"/>
      <c r="AN61" s="76"/>
      <c r="AO61" s="76"/>
      <c r="AP61" s="76"/>
      <c r="AQ61" s="76"/>
      <c r="AR61" s="76"/>
      <c r="AS61" s="4"/>
      <c r="AT61" s="4"/>
    </row>
    <row r="62" spans="1:90" s="73" customFormat="1" ht="11.25">
      <c r="A62" s="12"/>
      <c r="B62" s="12"/>
      <c r="C62" s="4"/>
      <c r="D62" s="113"/>
      <c r="E62" s="4"/>
      <c r="F62" s="75"/>
      <c r="G62" s="75"/>
      <c r="H62" s="121"/>
      <c r="I62" s="121"/>
      <c r="J62" s="121"/>
      <c r="K62" s="75"/>
      <c r="L62" s="121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121"/>
      <c r="AE62" s="75"/>
      <c r="AF62" s="75"/>
      <c r="AG62" s="75"/>
      <c r="AH62" s="75"/>
      <c r="AI62" s="75"/>
      <c r="AJ62" s="75"/>
      <c r="AK62" s="4"/>
      <c r="AL62" s="4"/>
      <c r="AM62" s="98"/>
      <c r="AN62" s="76"/>
      <c r="AO62" s="76"/>
      <c r="AP62" s="76"/>
      <c r="AQ62" s="76"/>
      <c r="AR62" s="76"/>
      <c r="AS62" s="4"/>
      <c r="AT62" s="4"/>
    </row>
    <row r="63" spans="1:90" s="73" customFormat="1" ht="11.25">
      <c r="A63" s="10"/>
      <c r="B63" s="10"/>
      <c r="C63" s="14"/>
      <c r="D63" s="114"/>
      <c r="E63" s="77"/>
      <c r="F63" s="120"/>
      <c r="G63" s="122"/>
      <c r="H63" s="72"/>
      <c r="I63" s="72"/>
      <c r="J63" s="72"/>
      <c r="K63" s="122"/>
      <c r="L63" s="72"/>
      <c r="M63" s="122"/>
      <c r="N63" s="122"/>
      <c r="O63" s="122"/>
      <c r="P63" s="122"/>
      <c r="Q63" s="72"/>
      <c r="R63" s="120"/>
      <c r="S63" s="122"/>
      <c r="T63" s="122"/>
      <c r="U63" s="72"/>
      <c r="V63" s="122"/>
      <c r="W63" s="122"/>
      <c r="X63" s="72"/>
      <c r="Y63" s="122"/>
      <c r="Z63" s="122"/>
      <c r="AA63" s="122"/>
      <c r="AB63" s="122"/>
      <c r="AC63" s="122"/>
      <c r="AD63" s="72"/>
      <c r="AE63" s="122"/>
      <c r="AF63" s="122"/>
      <c r="AG63" s="122"/>
      <c r="AH63" s="122"/>
      <c r="AI63" s="122"/>
      <c r="AJ63" s="122"/>
      <c r="AK63" s="77"/>
      <c r="AM63" s="99"/>
      <c r="AN63" s="10"/>
      <c r="AO63" s="10"/>
      <c r="AP63" s="10"/>
      <c r="AQ63" s="10"/>
      <c r="AR63" s="10"/>
      <c r="AS63" s="14"/>
      <c r="AT63" s="4"/>
    </row>
    <row r="64" spans="1:90" s="73" customFormat="1" ht="12.75">
      <c r="A64" s="2"/>
      <c r="B64" s="2" t="s">
        <v>0</v>
      </c>
      <c r="C64" s="2"/>
      <c r="D64" s="293"/>
      <c r="E64" s="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4"/>
      <c r="AI64" s="124"/>
      <c r="AJ64" s="124"/>
      <c r="AK64" s="2"/>
      <c r="AL64" s="2"/>
      <c r="AM64" s="100"/>
      <c r="AN64" s="2"/>
      <c r="AO64" s="2"/>
      <c r="AP64" s="2"/>
      <c r="AQ64" s="2"/>
      <c r="AR64" s="2"/>
      <c r="AS64" s="2"/>
      <c r="AT64" s="4"/>
    </row>
    <row r="65" spans="1:46" s="73" customFormat="1" ht="12.75">
      <c r="A65" s="2"/>
      <c r="B65" s="2"/>
      <c r="C65" s="2" t="s">
        <v>46</v>
      </c>
      <c r="D65" s="293"/>
      <c r="E65" s="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4"/>
      <c r="AI65" s="124"/>
      <c r="AJ65" s="124"/>
      <c r="AK65" s="2"/>
      <c r="AL65" s="2"/>
      <c r="AM65" s="100"/>
      <c r="AN65" s="2"/>
      <c r="AO65" s="2"/>
      <c r="AP65" s="2"/>
      <c r="AQ65" s="2"/>
      <c r="AR65" s="2"/>
      <c r="AS65" s="2"/>
      <c r="AT65" s="14"/>
    </row>
    <row r="66" spans="1:46" ht="15" customHeight="1">
      <c r="C66" s="2" t="s">
        <v>47</v>
      </c>
    </row>
    <row r="67" spans="1:46" ht="15" customHeight="1">
      <c r="C67" s="2" t="s">
        <v>48</v>
      </c>
    </row>
    <row r="68" spans="1:46" ht="15" customHeight="1">
      <c r="C68" s="2" t="s">
        <v>49</v>
      </c>
    </row>
    <row r="69" spans="1:46" ht="15" customHeight="1">
      <c r="C69" s="2" t="s">
        <v>50</v>
      </c>
    </row>
    <row r="70" spans="1:46" ht="15" customHeight="1">
      <c r="C70" s="2" t="s">
        <v>51</v>
      </c>
    </row>
    <row r="71" spans="1:46" ht="15" customHeight="1">
      <c r="C71" s="2" t="s">
        <v>52</v>
      </c>
    </row>
    <row r="72" spans="1:46" ht="15" customHeight="1">
      <c r="C72" s="2" t="s">
        <v>53</v>
      </c>
    </row>
    <row r="73" spans="1:46" ht="15" customHeight="1">
      <c r="C73" s="2" t="s">
        <v>54</v>
      </c>
    </row>
    <row r="84" spans="1:91" s="149" customFormat="1" ht="20.25">
      <c r="A84" s="139"/>
      <c r="B84" s="143"/>
      <c r="C84" s="143"/>
      <c r="D84" s="144"/>
      <c r="E84" s="143"/>
      <c r="F84" s="144"/>
      <c r="G84" s="144"/>
      <c r="H84" s="144"/>
      <c r="I84" s="144"/>
      <c r="J84" s="144"/>
      <c r="K84" s="145"/>
      <c r="L84" s="145"/>
      <c r="M84" s="145"/>
      <c r="N84" s="145"/>
      <c r="O84" s="145"/>
      <c r="P84" s="145"/>
      <c r="Q84" s="145"/>
      <c r="R84" s="145"/>
      <c r="S84" s="146" t="str">
        <f>S1</f>
        <v>BẢNG CHẤM CÔNG THÁNG 06 NĂM 2016</v>
      </c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7"/>
      <c r="AL84" s="147"/>
      <c r="AM84" s="453" t="s">
        <v>112</v>
      </c>
      <c r="AN84" s="454"/>
      <c r="AO84" s="454"/>
      <c r="AP84" s="454"/>
      <c r="AQ84" s="454"/>
      <c r="AR84" s="454"/>
      <c r="AS84" s="455"/>
      <c r="AT84" s="148"/>
    </row>
    <row r="85" spans="1:91" s="149" customFormat="1" ht="20.25">
      <c r="A85" s="139" t="str">
        <f>$A$2</f>
        <v>Công ty TNHH Hải sản An Lạc</v>
      </c>
      <c r="B85" s="144"/>
      <c r="C85" s="144"/>
      <c r="D85" s="144"/>
      <c r="E85" s="144"/>
      <c r="F85" s="144"/>
      <c r="G85" s="144"/>
      <c r="H85" s="144"/>
      <c r="I85" s="144"/>
      <c r="J85" s="144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7"/>
      <c r="AL85" s="147"/>
      <c r="AM85" s="150"/>
      <c r="AN85" s="151"/>
      <c r="AO85" s="151"/>
      <c r="AP85" s="151"/>
      <c r="AQ85" s="151"/>
      <c r="AR85" s="151"/>
      <c r="AS85" s="152"/>
      <c r="AT85" s="152"/>
    </row>
    <row r="86" spans="1:91" s="149" customFormat="1" ht="21" customHeight="1">
      <c r="A86" s="139" t="str">
        <f>$A$3</f>
        <v>Địa chỉ: Lô A14, đường 4A, KCN Hải Sơn, Đức Hòa, Long An</v>
      </c>
      <c r="B86" s="153"/>
      <c r="C86" s="153"/>
      <c r="D86" s="154"/>
      <c r="E86" s="154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7"/>
      <c r="AL86" s="147"/>
      <c r="AM86" s="150"/>
      <c r="AN86" s="148"/>
      <c r="AO86" s="148"/>
      <c r="AP86" s="148"/>
      <c r="AQ86" s="148"/>
      <c r="AR86" s="148"/>
      <c r="AS86" s="155"/>
      <c r="AT86" s="155"/>
    </row>
    <row r="87" spans="1:91" s="149" customFormat="1" ht="14.25" customHeight="1">
      <c r="A87" s="156"/>
      <c r="B87" s="156"/>
      <c r="C87" s="157"/>
      <c r="D87" s="158"/>
      <c r="E87" s="159">
        <f>$E$4</f>
        <v>42522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61"/>
      <c r="AJ87" s="161"/>
      <c r="AK87" s="156"/>
      <c r="AL87" s="156"/>
      <c r="AM87" s="162"/>
      <c r="AN87" s="156"/>
      <c r="AO87" s="156"/>
      <c r="AP87" s="156"/>
      <c r="AQ87" s="156"/>
      <c r="AR87" s="156"/>
      <c r="AS87" s="156"/>
      <c r="AT87" s="163"/>
    </row>
    <row r="88" spans="1:91" s="165" customFormat="1" ht="18.75" customHeight="1">
      <c r="A88" s="496" t="s">
        <v>28</v>
      </c>
      <c r="B88" s="496" t="s">
        <v>3</v>
      </c>
      <c r="C88" s="496" t="s">
        <v>1</v>
      </c>
      <c r="D88" s="434" t="s">
        <v>29</v>
      </c>
      <c r="E88" s="496" t="s">
        <v>30</v>
      </c>
      <c r="F88" s="164">
        <f>+E87</f>
        <v>42522</v>
      </c>
      <c r="G88" s="164">
        <f t="shared" ref="G88:AG88" si="3">F88+1</f>
        <v>42523</v>
      </c>
      <c r="H88" s="164">
        <f t="shared" si="3"/>
        <v>42524</v>
      </c>
      <c r="I88" s="164">
        <f t="shared" si="3"/>
        <v>42525</v>
      </c>
      <c r="J88" s="164">
        <f t="shared" si="3"/>
        <v>42526</v>
      </c>
      <c r="K88" s="164">
        <f t="shared" si="3"/>
        <v>42527</v>
      </c>
      <c r="L88" s="164">
        <f t="shared" si="3"/>
        <v>42528</v>
      </c>
      <c r="M88" s="164">
        <f t="shared" si="3"/>
        <v>42529</v>
      </c>
      <c r="N88" s="164">
        <f t="shared" si="3"/>
        <v>42530</v>
      </c>
      <c r="O88" s="164">
        <f t="shared" si="3"/>
        <v>42531</v>
      </c>
      <c r="P88" s="164">
        <f t="shared" si="3"/>
        <v>42532</v>
      </c>
      <c r="Q88" s="164">
        <f t="shared" si="3"/>
        <v>42533</v>
      </c>
      <c r="R88" s="164">
        <f t="shared" si="3"/>
        <v>42534</v>
      </c>
      <c r="S88" s="164">
        <f t="shared" si="3"/>
        <v>42535</v>
      </c>
      <c r="T88" s="164">
        <f t="shared" si="3"/>
        <v>42536</v>
      </c>
      <c r="U88" s="164">
        <f t="shared" si="3"/>
        <v>42537</v>
      </c>
      <c r="V88" s="164">
        <f t="shared" si="3"/>
        <v>42538</v>
      </c>
      <c r="W88" s="164">
        <f t="shared" si="3"/>
        <v>42539</v>
      </c>
      <c r="X88" s="164">
        <f t="shared" si="3"/>
        <v>42540</v>
      </c>
      <c r="Y88" s="164">
        <f t="shared" si="3"/>
        <v>42541</v>
      </c>
      <c r="Z88" s="164">
        <f t="shared" si="3"/>
        <v>42542</v>
      </c>
      <c r="AA88" s="164">
        <f t="shared" si="3"/>
        <v>42543</v>
      </c>
      <c r="AB88" s="164">
        <f t="shared" si="3"/>
        <v>42544</v>
      </c>
      <c r="AC88" s="164">
        <f t="shared" si="3"/>
        <v>42545</v>
      </c>
      <c r="AD88" s="164">
        <f t="shared" si="3"/>
        <v>42546</v>
      </c>
      <c r="AE88" s="164">
        <f t="shared" si="3"/>
        <v>42547</v>
      </c>
      <c r="AF88" s="164">
        <f t="shared" si="3"/>
        <v>42548</v>
      </c>
      <c r="AG88" s="164">
        <f t="shared" si="3"/>
        <v>42549</v>
      </c>
      <c r="AH88" s="164">
        <f>AG88+1</f>
        <v>42550</v>
      </c>
      <c r="AI88" s="164">
        <f>AH88+1</f>
        <v>42551</v>
      </c>
      <c r="AJ88" s="164"/>
      <c r="AK88" s="441" t="s">
        <v>15</v>
      </c>
      <c r="AL88" s="442"/>
      <c r="AM88" s="443"/>
      <c r="AN88" s="432" t="s">
        <v>45</v>
      </c>
      <c r="AO88" s="432" t="s">
        <v>41</v>
      </c>
      <c r="AP88" s="432" t="s">
        <v>42</v>
      </c>
      <c r="AQ88" s="432" t="s">
        <v>43</v>
      </c>
      <c r="AR88" s="432" t="s">
        <v>44</v>
      </c>
      <c r="AS88" s="434" t="s">
        <v>0</v>
      </c>
      <c r="AT88" s="427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43.5" customHeight="1">
      <c r="A89" s="435"/>
      <c r="B89" s="435"/>
      <c r="C89" s="435"/>
      <c r="D89" s="435"/>
      <c r="E89" s="435"/>
      <c r="F89" s="322" t="str">
        <f>CHOOSE(WEEKDAY(F88),"C.Nhật","T.Hai","T.Ba","T.Tư","T.Năm","T.Sáu","T.Bảy")</f>
        <v>T.Tư</v>
      </c>
      <c r="G89" s="322" t="str">
        <f t="shared" ref="G89:AI89" si="4">CHOOSE(WEEKDAY(G88),"C.Nhật","T.Hai","T.Ba","T.Tư","T.Năm","T.Sáu","T.Bảy")</f>
        <v>T.Năm</v>
      </c>
      <c r="H89" s="322" t="str">
        <f t="shared" si="4"/>
        <v>T.Sáu</v>
      </c>
      <c r="I89" s="322" t="str">
        <f t="shared" si="4"/>
        <v>T.Bảy</v>
      </c>
      <c r="J89" s="322" t="str">
        <f t="shared" si="4"/>
        <v>C.Nhật</v>
      </c>
      <c r="K89" s="166" t="str">
        <f t="shared" si="4"/>
        <v>T.Hai</v>
      </c>
      <c r="L89" s="166" t="str">
        <f t="shared" si="4"/>
        <v>T.Ba</v>
      </c>
      <c r="M89" s="166" t="str">
        <f t="shared" si="4"/>
        <v>T.Tư</v>
      </c>
      <c r="N89" s="166" t="str">
        <f t="shared" si="4"/>
        <v>T.Năm</v>
      </c>
      <c r="O89" s="166" t="str">
        <f t="shared" si="4"/>
        <v>T.Sáu</v>
      </c>
      <c r="P89" s="166" t="str">
        <f t="shared" si="4"/>
        <v>T.Bảy</v>
      </c>
      <c r="Q89" s="166" t="str">
        <f t="shared" si="4"/>
        <v>C.Nhật</v>
      </c>
      <c r="R89" s="166" t="str">
        <f t="shared" si="4"/>
        <v>T.Hai</v>
      </c>
      <c r="S89" s="166" t="str">
        <f t="shared" si="4"/>
        <v>T.Ba</v>
      </c>
      <c r="T89" s="166" t="str">
        <f t="shared" si="4"/>
        <v>T.Tư</v>
      </c>
      <c r="U89" s="166" t="str">
        <f t="shared" si="4"/>
        <v>T.Năm</v>
      </c>
      <c r="V89" s="166" t="str">
        <f t="shared" si="4"/>
        <v>T.Sáu</v>
      </c>
      <c r="W89" s="166" t="str">
        <f t="shared" si="4"/>
        <v>T.Bảy</v>
      </c>
      <c r="X89" s="166" t="str">
        <f t="shared" si="4"/>
        <v>C.Nhật</v>
      </c>
      <c r="Y89" s="166" t="str">
        <f t="shared" si="4"/>
        <v>T.Hai</v>
      </c>
      <c r="Z89" s="166" t="str">
        <f t="shared" si="4"/>
        <v>T.Ba</v>
      </c>
      <c r="AA89" s="166" t="str">
        <f t="shared" si="4"/>
        <v>T.Tư</v>
      </c>
      <c r="AB89" s="166" t="str">
        <f t="shared" si="4"/>
        <v>T.Năm</v>
      </c>
      <c r="AC89" s="166" t="str">
        <f t="shared" si="4"/>
        <v>T.Sáu</v>
      </c>
      <c r="AD89" s="166" t="str">
        <f t="shared" si="4"/>
        <v>T.Bảy</v>
      </c>
      <c r="AE89" s="166" t="str">
        <f t="shared" si="4"/>
        <v>C.Nhật</v>
      </c>
      <c r="AF89" s="166" t="str">
        <f t="shared" si="4"/>
        <v>T.Hai</v>
      </c>
      <c r="AG89" s="166" t="str">
        <f t="shared" si="4"/>
        <v>T.Ba</v>
      </c>
      <c r="AH89" s="166" t="str">
        <f t="shared" si="4"/>
        <v>T.Tư</v>
      </c>
      <c r="AI89" s="166" t="str">
        <f t="shared" si="4"/>
        <v>T.Năm</v>
      </c>
      <c r="AJ89" s="166"/>
      <c r="AK89" s="167" t="s">
        <v>16</v>
      </c>
      <c r="AL89" s="167" t="s">
        <v>31</v>
      </c>
      <c r="AM89" s="168" t="s">
        <v>17</v>
      </c>
      <c r="AN89" s="433"/>
      <c r="AO89" s="433"/>
      <c r="AP89" s="433"/>
      <c r="AQ89" s="433"/>
      <c r="AR89" s="433"/>
      <c r="AS89" s="435"/>
      <c r="AT89" s="427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2.75" customHeight="1">
      <c r="A90" s="323">
        <v>1</v>
      </c>
      <c r="B90" s="323">
        <v>2</v>
      </c>
      <c r="C90" s="323">
        <v>3</v>
      </c>
      <c r="D90" s="323">
        <v>4</v>
      </c>
      <c r="E90" s="323">
        <v>5</v>
      </c>
      <c r="F90" s="323">
        <v>6</v>
      </c>
      <c r="G90" s="323">
        <v>7</v>
      </c>
      <c r="H90" s="323">
        <v>8</v>
      </c>
      <c r="I90" s="323">
        <v>9</v>
      </c>
      <c r="J90" s="323">
        <v>10</v>
      </c>
      <c r="K90" s="169">
        <v>11</v>
      </c>
      <c r="L90" s="169">
        <v>12</v>
      </c>
      <c r="M90" s="169">
        <v>13</v>
      </c>
      <c r="N90" s="169">
        <v>14</v>
      </c>
      <c r="O90" s="169">
        <v>15</v>
      </c>
      <c r="P90" s="169">
        <v>16</v>
      </c>
      <c r="Q90" s="169">
        <v>17</v>
      </c>
      <c r="R90" s="169">
        <v>18</v>
      </c>
      <c r="S90" s="169">
        <v>19</v>
      </c>
      <c r="T90" s="169">
        <v>20</v>
      </c>
      <c r="U90" s="169">
        <v>21</v>
      </c>
      <c r="V90" s="169">
        <v>22</v>
      </c>
      <c r="W90" s="169">
        <v>23</v>
      </c>
      <c r="X90" s="169">
        <v>24</v>
      </c>
      <c r="Y90" s="169">
        <v>25</v>
      </c>
      <c r="Z90" s="169">
        <v>26</v>
      </c>
      <c r="AA90" s="169">
        <v>27</v>
      </c>
      <c r="AB90" s="169">
        <v>28</v>
      </c>
      <c r="AC90" s="169">
        <v>29</v>
      </c>
      <c r="AD90" s="169">
        <v>30</v>
      </c>
      <c r="AE90" s="169">
        <v>31</v>
      </c>
      <c r="AF90" s="169">
        <v>32</v>
      </c>
      <c r="AG90" s="169">
        <v>33</v>
      </c>
      <c r="AH90" s="169">
        <v>34</v>
      </c>
      <c r="AI90" s="169">
        <v>35</v>
      </c>
      <c r="AJ90" s="169"/>
      <c r="AK90" s="169">
        <v>37</v>
      </c>
      <c r="AL90" s="169">
        <v>38</v>
      </c>
      <c r="AM90" s="169">
        <v>39</v>
      </c>
      <c r="AN90" s="169">
        <v>40</v>
      </c>
      <c r="AO90" s="169">
        <v>41</v>
      </c>
      <c r="AP90" s="169">
        <v>42</v>
      </c>
      <c r="AQ90" s="169">
        <v>43</v>
      </c>
      <c r="AR90" s="169">
        <v>44</v>
      </c>
      <c r="AS90" s="169">
        <v>45</v>
      </c>
      <c r="AT90" s="296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v>1</v>
      </c>
      <c r="B91" s="425" t="s">
        <v>68</v>
      </c>
      <c r="C91" s="413" t="str">
        <f>VLOOKUP(B91,DS,2,0)</f>
        <v>Nguyễn Thiện Duy</v>
      </c>
      <c r="D91" s="415" t="str">
        <f>VLOOKUP(B91,DS,3,0)</f>
        <v>Giám đốc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/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/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/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/>
      <c r="AF91" s="171">
        <v>8</v>
      </c>
      <c r="AG91" s="171">
        <v>8</v>
      </c>
      <c r="AH91" s="171">
        <v>8</v>
      </c>
      <c r="AI91" s="171">
        <v>8</v>
      </c>
      <c r="AJ91" s="171"/>
      <c r="AK91" s="417">
        <f>((SUM(F91:AJ91))/8)-(SUMIF($F$6:$AJ$6,"C.Nhật",F91:AJ91)/8)</f>
        <v>22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22</v>
      </c>
      <c r="AO91" s="423">
        <v>0</v>
      </c>
      <c r="AP91" s="428"/>
      <c r="AQ91" s="428"/>
      <c r="AR91" s="428"/>
      <c r="AS91" s="430"/>
      <c r="AT91" s="296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0"/>
      <c r="AJ92" s="320"/>
      <c r="AK92" s="418"/>
      <c r="AL92" s="418"/>
      <c r="AM92" s="420"/>
      <c r="AN92" s="408"/>
      <c r="AO92" s="424"/>
      <c r="AP92" s="429"/>
      <c r="AQ92" s="429"/>
      <c r="AR92" s="429"/>
      <c r="AS92" s="431"/>
      <c r="AT92" s="296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2</v>
      </c>
      <c r="B93" s="425" t="s">
        <v>70</v>
      </c>
      <c r="C93" s="413" t="str">
        <f>VLOOKUP(B93,DS,2,0)</f>
        <v>Nguyễn Văn Sẽ</v>
      </c>
      <c r="D93" s="415" t="str">
        <f>VLOOKUP(B93,DS,3,0)</f>
        <v>Kỹ Thuật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/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/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/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/>
      <c r="AF93" s="171">
        <v>8</v>
      </c>
      <c r="AG93" s="171">
        <v>8</v>
      </c>
      <c r="AH93" s="171">
        <v>8</v>
      </c>
      <c r="AI93" s="171">
        <v>8</v>
      </c>
      <c r="AJ93" s="171"/>
      <c r="AK93" s="417">
        <f>((SUM(F93:AJ93))/8)-(SUMIF($F$6:$AJ$6,"C.Nhật",F93:AJ93)/8)</f>
        <v>26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26</v>
      </c>
      <c r="AO93" s="423">
        <v>0</v>
      </c>
      <c r="AP93" s="428"/>
      <c r="AQ93" s="428"/>
      <c r="AR93" s="428"/>
      <c r="AS93" s="430"/>
      <c r="AT93" s="296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0"/>
      <c r="AJ94" s="320"/>
      <c r="AK94" s="418"/>
      <c r="AL94" s="418"/>
      <c r="AM94" s="420"/>
      <c r="AN94" s="408"/>
      <c r="AO94" s="424"/>
      <c r="AP94" s="429"/>
      <c r="AQ94" s="429"/>
      <c r="AR94" s="429"/>
      <c r="AS94" s="431"/>
      <c r="AT94" s="296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3</v>
      </c>
      <c r="B95" s="425" t="s">
        <v>72</v>
      </c>
      <c r="C95" s="413" t="str">
        <f>VLOOKUP(B95,DS,2,0)</f>
        <v>Võ Uyên Phương</v>
      </c>
      <c r="D95" s="415" t="str">
        <f>VLOOKUP(B95,DS,3,0)</f>
        <v>Kế toán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/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/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/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/>
      <c r="AF95" s="171">
        <v>8</v>
      </c>
      <c r="AG95" s="171">
        <v>8</v>
      </c>
      <c r="AH95" s="171">
        <v>8</v>
      </c>
      <c r="AI95" s="171">
        <v>8</v>
      </c>
      <c r="AJ95" s="171"/>
      <c r="AK95" s="417">
        <f>((SUM(F95:AJ95))/8)-(SUMIF($F$6:$AJ$6,"C.Nhật",F95:AJ95)/8)</f>
        <v>26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26</v>
      </c>
      <c r="AO95" s="423">
        <v>0</v>
      </c>
      <c r="AP95" s="428"/>
      <c r="AQ95" s="428"/>
      <c r="AR95" s="428"/>
      <c r="AS95" s="430"/>
      <c r="AT95" s="296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0"/>
      <c r="AJ96" s="320"/>
      <c r="AK96" s="418"/>
      <c r="AL96" s="418"/>
      <c r="AM96" s="420"/>
      <c r="AN96" s="408"/>
      <c r="AO96" s="424"/>
      <c r="AP96" s="429"/>
      <c r="AQ96" s="429"/>
      <c r="AR96" s="429"/>
      <c r="AS96" s="431"/>
      <c r="AT96" s="296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4</v>
      </c>
      <c r="B97" s="425" t="s">
        <v>75</v>
      </c>
      <c r="C97" s="413" t="str">
        <f>VLOOKUP(B97,DS,2,0)</f>
        <v>Lê Nguyễn Huy Cường</v>
      </c>
      <c r="D97" s="415" t="str">
        <f>VLOOKUP(B97,DS,3,0)</f>
        <v>XNK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/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/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/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/>
      <c r="AF97" s="171">
        <v>8</v>
      </c>
      <c r="AG97" s="171">
        <v>8</v>
      </c>
      <c r="AH97" s="171">
        <v>8</v>
      </c>
      <c r="AI97" s="171">
        <v>8</v>
      </c>
      <c r="AJ97" s="171"/>
      <c r="AK97" s="417">
        <f>((SUM(F97:AJ97))/8)-(SUMIF($F$6:$AJ$6,"C.Nhật",F97:AJ97)/8)</f>
        <v>26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26</v>
      </c>
      <c r="AO97" s="423">
        <v>0</v>
      </c>
      <c r="AP97" s="428"/>
      <c r="AQ97" s="428"/>
      <c r="AR97" s="428"/>
      <c r="AS97" s="430"/>
      <c r="AT97" s="296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0"/>
      <c r="AJ98" s="320"/>
      <c r="AK98" s="418"/>
      <c r="AL98" s="418"/>
      <c r="AM98" s="420"/>
      <c r="AN98" s="408"/>
      <c r="AO98" s="424"/>
      <c r="AP98" s="429"/>
      <c r="AQ98" s="429"/>
      <c r="AR98" s="429"/>
      <c r="AS98" s="431"/>
      <c r="AT98" s="296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25">
        <f>A97+1</f>
        <v>5</v>
      </c>
      <c r="B99" s="425" t="s">
        <v>77</v>
      </c>
      <c r="C99" s="413" t="str">
        <f>VLOOKUP(B99,DS,2,0)</f>
        <v>Nguyễn Văn Bé Tư</v>
      </c>
      <c r="D99" s="415" t="str">
        <f>VLOOKUP(B99,DS,3,0)</f>
        <v>Tài xế</v>
      </c>
      <c r="E99" s="68" t="s">
        <v>32</v>
      </c>
      <c r="F99" s="171">
        <v>8</v>
      </c>
      <c r="G99" s="171">
        <v>8</v>
      </c>
      <c r="H99" s="171">
        <v>8</v>
      </c>
      <c r="I99" s="171">
        <v>8</v>
      </c>
      <c r="J99" s="171"/>
      <c r="K99" s="171">
        <v>8</v>
      </c>
      <c r="L99" s="171">
        <v>8</v>
      </c>
      <c r="M99" s="171">
        <v>8</v>
      </c>
      <c r="N99" s="171">
        <v>8</v>
      </c>
      <c r="O99" s="171">
        <v>8</v>
      </c>
      <c r="P99" s="171">
        <v>8</v>
      </c>
      <c r="Q99" s="171"/>
      <c r="R99" s="171">
        <v>8</v>
      </c>
      <c r="S99" s="171">
        <v>8</v>
      </c>
      <c r="T99" s="171">
        <v>8</v>
      </c>
      <c r="U99" s="171">
        <v>8</v>
      </c>
      <c r="V99" s="171">
        <v>8</v>
      </c>
      <c r="W99" s="171">
        <v>8</v>
      </c>
      <c r="X99" s="171"/>
      <c r="Y99" s="171">
        <v>8</v>
      </c>
      <c r="Z99" s="171">
        <v>8</v>
      </c>
      <c r="AA99" s="171">
        <v>8</v>
      </c>
      <c r="AB99" s="171">
        <v>8</v>
      </c>
      <c r="AC99" s="171">
        <v>8</v>
      </c>
      <c r="AD99" s="171">
        <v>8</v>
      </c>
      <c r="AE99" s="171"/>
      <c r="AF99" s="171">
        <v>8</v>
      </c>
      <c r="AG99" s="171">
        <v>8</v>
      </c>
      <c r="AH99" s="171">
        <v>8</v>
      </c>
      <c r="AI99" s="171">
        <v>8</v>
      </c>
      <c r="AJ99" s="171"/>
      <c r="AK99" s="417">
        <f>((SUM(F99:AJ99))/8)-(SUMIF($F$6:$AJ$6,"C.Nhật",F99:AJ99)/8)</f>
        <v>26</v>
      </c>
      <c r="AL99" s="417">
        <f>SUM(F100:AI100)/8*1.5</f>
        <v>0</v>
      </c>
      <c r="AM99" s="419">
        <f>SUMIF($F$6:$AI$6,"C.Nhật",$F99:$AI100)/8*2</f>
        <v>0</v>
      </c>
      <c r="AN99" s="407">
        <f>SUM(AK99:AM100)</f>
        <v>26</v>
      </c>
      <c r="AO99" s="423">
        <v>0</v>
      </c>
      <c r="AP99" s="428"/>
      <c r="AQ99" s="428"/>
      <c r="AR99" s="428"/>
      <c r="AS99" s="430"/>
      <c r="AT99" s="296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26"/>
      <c r="B100" s="426"/>
      <c r="C100" s="414"/>
      <c r="D100" s="416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0"/>
      <c r="AJ100" s="320"/>
      <c r="AK100" s="418"/>
      <c r="AL100" s="418"/>
      <c r="AM100" s="420"/>
      <c r="AN100" s="408"/>
      <c r="AO100" s="424"/>
      <c r="AP100" s="429"/>
      <c r="AQ100" s="429"/>
      <c r="AR100" s="429"/>
      <c r="AS100" s="431"/>
      <c r="AT100" s="296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18" customHeight="1">
      <c r="A101" s="425">
        <f>A99+1</f>
        <v>6</v>
      </c>
      <c r="B101" s="425" t="s">
        <v>78</v>
      </c>
      <c r="C101" s="413" t="str">
        <f>VLOOKUP(B101,DS,2,0)</f>
        <v>Dương Thanh Tuấn</v>
      </c>
      <c r="D101" s="415" t="str">
        <f>VLOOKUP(B101,DS,3,0)</f>
        <v>Nhân sự</v>
      </c>
      <c r="E101" s="68" t="s">
        <v>32</v>
      </c>
      <c r="F101" s="171">
        <v>8</v>
      </c>
      <c r="G101" s="171">
        <v>8</v>
      </c>
      <c r="H101" s="171">
        <v>8</v>
      </c>
      <c r="I101" s="171">
        <v>8</v>
      </c>
      <c r="J101" s="171"/>
      <c r="K101" s="171">
        <v>8</v>
      </c>
      <c r="L101" s="171">
        <v>8</v>
      </c>
      <c r="M101" s="171">
        <v>8</v>
      </c>
      <c r="N101" s="171">
        <v>8</v>
      </c>
      <c r="O101" s="171">
        <v>8</v>
      </c>
      <c r="P101" s="171">
        <v>8</v>
      </c>
      <c r="Q101" s="171"/>
      <c r="R101" s="171">
        <v>8</v>
      </c>
      <c r="S101" s="171">
        <v>8</v>
      </c>
      <c r="T101" s="171">
        <v>8</v>
      </c>
      <c r="U101" s="171">
        <v>8</v>
      </c>
      <c r="V101" s="171">
        <v>8</v>
      </c>
      <c r="W101" s="171">
        <v>8</v>
      </c>
      <c r="X101" s="171"/>
      <c r="Y101" s="171">
        <v>8</v>
      </c>
      <c r="Z101" s="171">
        <v>8</v>
      </c>
      <c r="AA101" s="171">
        <v>8</v>
      </c>
      <c r="AB101" s="171">
        <v>8</v>
      </c>
      <c r="AC101" s="171">
        <v>8</v>
      </c>
      <c r="AD101" s="171">
        <v>8</v>
      </c>
      <c r="AE101" s="171"/>
      <c r="AF101" s="171">
        <v>8</v>
      </c>
      <c r="AG101" s="171">
        <v>8</v>
      </c>
      <c r="AH101" s="171">
        <v>8</v>
      </c>
      <c r="AI101" s="171">
        <v>8</v>
      </c>
      <c r="AJ101" s="171"/>
      <c r="AK101" s="417">
        <f>((SUM(F101:AJ101))/8)-(SUMIF($F$6:$AJ$6,"C.Nhật",F101:AJ101)/8)</f>
        <v>26</v>
      </c>
      <c r="AL101" s="417">
        <f>SUM(F102:AI102)/8*1.5</f>
        <v>0</v>
      </c>
      <c r="AM101" s="419">
        <f>SUMIF($F$6:$AI$6,"C.Nhật",$F101:$AI102)/8*2</f>
        <v>0</v>
      </c>
      <c r="AN101" s="407">
        <f>SUM(AK101:AM102)</f>
        <v>26</v>
      </c>
      <c r="AO101" s="423">
        <v>0</v>
      </c>
      <c r="AP101" s="428"/>
      <c r="AQ101" s="428"/>
      <c r="AR101" s="428"/>
      <c r="AS101" s="430"/>
      <c r="AT101" s="296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8" customHeight="1">
      <c r="A102" s="426"/>
      <c r="B102" s="426"/>
      <c r="C102" s="414"/>
      <c r="D102" s="416"/>
      <c r="E102" s="69" t="s">
        <v>31</v>
      </c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320"/>
      <c r="AJ102" s="320"/>
      <c r="AK102" s="418"/>
      <c r="AL102" s="418"/>
      <c r="AM102" s="420"/>
      <c r="AN102" s="408"/>
      <c r="AO102" s="424"/>
      <c r="AP102" s="429"/>
      <c r="AQ102" s="429"/>
      <c r="AR102" s="429"/>
      <c r="AS102" s="431"/>
      <c r="AT102" s="296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25">
        <f>A101+1</f>
        <v>7</v>
      </c>
      <c r="B103" s="425" t="s">
        <v>81</v>
      </c>
      <c r="C103" s="413" t="str">
        <f>VLOOKUP(B103,DS,2,0)</f>
        <v>Nguyễn Thiện Duyệt</v>
      </c>
      <c r="D103" s="415" t="str">
        <f>VLOOKUP(B103,DS,3,0)</f>
        <v>XNK</v>
      </c>
      <c r="E103" s="68" t="s">
        <v>32</v>
      </c>
      <c r="F103" s="171">
        <v>8</v>
      </c>
      <c r="G103" s="171">
        <v>8</v>
      </c>
      <c r="H103" s="171">
        <v>8</v>
      </c>
      <c r="I103" s="171">
        <v>8</v>
      </c>
      <c r="J103" s="171"/>
      <c r="K103" s="171">
        <v>8</v>
      </c>
      <c r="L103" s="171">
        <v>8</v>
      </c>
      <c r="M103" s="171">
        <v>8</v>
      </c>
      <c r="N103" s="171">
        <v>8</v>
      </c>
      <c r="O103" s="171">
        <v>8</v>
      </c>
      <c r="P103" s="171">
        <v>8</v>
      </c>
      <c r="Q103" s="171"/>
      <c r="R103" s="171">
        <v>8</v>
      </c>
      <c r="S103" s="171">
        <v>8</v>
      </c>
      <c r="T103" s="171">
        <v>8</v>
      </c>
      <c r="U103" s="171">
        <v>8</v>
      </c>
      <c r="V103" s="171">
        <v>8</v>
      </c>
      <c r="W103" s="171">
        <v>8</v>
      </c>
      <c r="X103" s="171"/>
      <c r="Y103" s="171">
        <v>8</v>
      </c>
      <c r="Z103" s="171">
        <v>8</v>
      </c>
      <c r="AA103" s="171">
        <v>8</v>
      </c>
      <c r="AB103" s="171">
        <v>8</v>
      </c>
      <c r="AC103" s="171">
        <v>8</v>
      </c>
      <c r="AD103" s="171">
        <v>8</v>
      </c>
      <c r="AE103" s="171"/>
      <c r="AF103" s="171">
        <v>8</v>
      </c>
      <c r="AG103" s="171">
        <v>8</v>
      </c>
      <c r="AH103" s="171">
        <v>8</v>
      </c>
      <c r="AI103" s="171">
        <v>8</v>
      </c>
      <c r="AJ103" s="171"/>
      <c r="AK103" s="417">
        <f>((SUM(F103:AJ103))/8)-(SUMIF($F$6:$AJ$6,"C.Nhật",F103:AJ103)/8)</f>
        <v>26</v>
      </c>
      <c r="AL103" s="417">
        <f>SUM(F104:AI104)/8*1.5</f>
        <v>0</v>
      </c>
      <c r="AM103" s="419">
        <f>SUMIF($F$6:$AI$6,"C.Nhật",$F103:$AI104)/8*2</f>
        <v>0</v>
      </c>
      <c r="AN103" s="407">
        <f>SUM(AK103:AM104)</f>
        <v>26</v>
      </c>
      <c r="AO103" s="423">
        <v>0</v>
      </c>
      <c r="AP103" s="428"/>
      <c r="AQ103" s="428"/>
      <c r="AR103" s="428"/>
      <c r="AS103" s="430"/>
      <c r="AT103" s="296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26"/>
      <c r="B104" s="426"/>
      <c r="C104" s="414"/>
      <c r="D104" s="416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0"/>
      <c r="AJ104" s="320"/>
      <c r="AK104" s="418"/>
      <c r="AL104" s="418"/>
      <c r="AM104" s="420"/>
      <c r="AN104" s="408"/>
      <c r="AO104" s="424"/>
      <c r="AP104" s="429"/>
      <c r="AQ104" s="429"/>
      <c r="AR104" s="429"/>
      <c r="AS104" s="431"/>
      <c r="AT104" s="296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25">
        <f>A103+1</f>
        <v>8</v>
      </c>
      <c r="B105" s="425" t="s">
        <v>192</v>
      </c>
      <c r="C105" s="413" t="str">
        <f>VLOOKUP(B105,DS,2,0)</f>
        <v>Trần Đình Thái</v>
      </c>
      <c r="D105" s="415" t="str">
        <f>VLOOKUP(B105,DS,3,0)</f>
        <v>Cơ Điện</v>
      </c>
      <c r="E105" s="68" t="s">
        <v>32</v>
      </c>
      <c r="F105" s="171">
        <v>8</v>
      </c>
      <c r="G105" s="171">
        <v>8</v>
      </c>
      <c r="H105" s="171">
        <v>8</v>
      </c>
      <c r="I105" s="171">
        <v>8</v>
      </c>
      <c r="J105" s="171"/>
      <c r="K105" s="171">
        <v>8</v>
      </c>
      <c r="L105" s="171">
        <v>8</v>
      </c>
      <c r="M105" s="171">
        <v>8</v>
      </c>
      <c r="N105" s="171">
        <v>8</v>
      </c>
      <c r="O105" s="171">
        <v>8</v>
      </c>
      <c r="P105" s="171">
        <v>8</v>
      </c>
      <c r="Q105" s="171"/>
      <c r="R105" s="171">
        <v>8</v>
      </c>
      <c r="S105" s="171">
        <v>8</v>
      </c>
      <c r="T105" s="171">
        <v>8</v>
      </c>
      <c r="U105" s="171">
        <v>8</v>
      </c>
      <c r="V105" s="171">
        <v>8</v>
      </c>
      <c r="W105" s="171">
        <v>8</v>
      </c>
      <c r="X105" s="171"/>
      <c r="Y105" s="171">
        <v>8</v>
      </c>
      <c r="Z105" s="171">
        <v>8</v>
      </c>
      <c r="AA105" s="171">
        <v>8</v>
      </c>
      <c r="AB105" s="171">
        <v>8</v>
      </c>
      <c r="AC105" s="171">
        <v>8</v>
      </c>
      <c r="AD105" s="171">
        <v>8</v>
      </c>
      <c r="AE105" s="171"/>
      <c r="AF105" s="171">
        <v>8</v>
      </c>
      <c r="AG105" s="171">
        <v>8</v>
      </c>
      <c r="AH105" s="171">
        <v>8</v>
      </c>
      <c r="AI105" s="171">
        <v>8</v>
      </c>
      <c r="AJ105" s="171"/>
      <c r="AK105" s="417">
        <f>((SUM(F105:AJ105))/8)-(SUMIF($F$6:$AJ$6,"C.Nhật",F105:AJ105)/8)</f>
        <v>26</v>
      </c>
      <c r="AL105" s="417">
        <f>SUM(F106:AI106)/8*1.5</f>
        <v>0</v>
      </c>
      <c r="AM105" s="419">
        <f>SUMIF($F$6:$AI$6,"C.Nhật",$F105:$AI106)/8*2</f>
        <v>0</v>
      </c>
      <c r="AN105" s="407">
        <f>SUM(AK105:AM106)</f>
        <v>26</v>
      </c>
      <c r="AO105" s="423">
        <v>0</v>
      </c>
      <c r="AP105" s="428"/>
      <c r="AQ105" s="428"/>
      <c r="AR105" s="428"/>
      <c r="AS105" s="430"/>
      <c r="AT105" s="335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26"/>
      <c r="B106" s="426"/>
      <c r="C106" s="414"/>
      <c r="D106" s="416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0"/>
      <c r="AJ106" s="320"/>
      <c r="AK106" s="418"/>
      <c r="AL106" s="418"/>
      <c r="AM106" s="420"/>
      <c r="AN106" s="408"/>
      <c r="AO106" s="424"/>
      <c r="AP106" s="429"/>
      <c r="AQ106" s="429"/>
      <c r="AR106" s="429"/>
      <c r="AS106" s="431"/>
      <c r="AT106" s="335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83" customFormat="1" ht="12.75">
      <c r="A107" s="173"/>
      <c r="B107" s="174"/>
      <c r="C107" s="175"/>
      <c r="D107" s="176"/>
      <c r="E107" s="175"/>
      <c r="F107" s="177"/>
      <c r="G107" s="177"/>
      <c r="H107" s="178"/>
      <c r="I107" s="178"/>
      <c r="J107" s="179"/>
      <c r="K107" s="177"/>
      <c r="L107" s="178"/>
      <c r="M107" s="177"/>
      <c r="N107" s="177"/>
      <c r="O107" s="177"/>
      <c r="P107" s="177"/>
      <c r="Q107" s="178"/>
      <c r="R107" s="177"/>
      <c r="S107" s="177"/>
      <c r="T107" s="179"/>
      <c r="U107" s="177"/>
      <c r="V107" s="177"/>
      <c r="W107" s="177"/>
      <c r="X107" s="174"/>
      <c r="Y107" s="177"/>
      <c r="Z107" s="177"/>
      <c r="AA107" s="177"/>
      <c r="AB107" s="177"/>
      <c r="AC107" s="177"/>
      <c r="AD107" s="178"/>
      <c r="AE107" s="177"/>
      <c r="AF107" s="177"/>
      <c r="AG107" s="177"/>
      <c r="AH107" s="177"/>
      <c r="AI107" s="177"/>
      <c r="AJ107" s="177"/>
      <c r="AK107" s="175"/>
      <c r="AL107" s="175"/>
      <c r="AM107" s="180"/>
      <c r="AN107" s="181"/>
      <c r="AO107" s="181"/>
      <c r="AP107" s="181"/>
      <c r="AQ107" s="181"/>
      <c r="AR107" s="181"/>
      <c r="AS107" s="175"/>
      <c r="AT107" s="182"/>
    </row>
    <row r="108" spans="1:91" s="183" customFormat="1" ht="12.75">
      <c r="A108" s="173"/>
      <c r="B108" s="174"/>
      <c r="C108" s="184" t="s">
        <v>14</v>
      </c>
      <c r="D108" s="176"/>
      <c r="E108" s="175"/>
      <c r="F108" s="177"/>
      <c r="G108" s="177"/>
      <c r="H108" s="178"/>
      <c r="I108" s="178"/>
      <c r="J108" s="179"/>
      <c r="K108" s="177"/>
      <c r="L108" s="178"/>
      <c r="M108" s="177"/>
      <c r="N108" s="177"/>
      <c r="O108" s="177"/>
      <c r="P108" s="177"/>
      <c r="Q108" s="178"/>
      <c r="R108" s="177"/>
      <c r="S108" s="177"/>
      <c r="T108" s="179"/>
      <c r="U108" s="177"/>
      <c r="V108" s="177"/>
      <c r="W108" s="177"/>
      <c r="X108" s="174"/>
      <c r="Y108" s="177"/>
      <c r="Z108" s="177"/>
      <c r="AA108" s="177"/>
      <c r="AB108" s="177"/>
      <c r="AC108" s="177"/>
      <c r="AD108" s="178"/>
      <c r="AE108" s="177"/>
      <c r="AF108" s="177"/>
      <c r="AG108" s="177"/>
      <c r="AH108" s="177"/>
      <c r="AI108" s="177"/>
      <c r="AJ108" s="177"/>
      <c r="AK108" s="175"/>
      <c r="AL108" s="175"/>
      <c r="AM108" s="180"/>
      <c r="AN108" s="181"/>
      <c r="AO108" s="181"/>
      <c r="AP108" s="181"/>
      <c r="AQ108" s="181"/>
      <c r="AR108" s="181"/>
      <c r="AS108" s="175"/>
      <c r="AT108" s="182"/>
    </row>
    <row r="109" spans="1:91" s="183" customFormat="1" ht="12.75">
      <c r="A109" s="185"/>
      <c r="B109" s="185"/>
      <c r="C109" s="175"/>
      <c r="D109" s="176"/>
      <c r="E109" s="175"/>
      <c r="F109" s="177"/>
      <c r="G109" s="177"/>
      <c r="H109" s="186"/>
      <c r="I109" s="186"/>
      <c r="J109" s="186"/>
      <c r="K109" s="177"/>
      <c r="L109" s="186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86"/>
      <c r="AE109" s="177"/>
      <c r="AF109" s="177"/>
      <c r="AG109" s="177"/>
      <c r="AH109" s="177"/>
      <c r="AI109" s="177"/>
      <c r="AJ109" s="177"/>
      <c r="AK109" s="175"/>
      <c r="AL109" s="175"/>
      <c r="AM109" s="180"/>
      <c r="AN109" s="187"/>
      <c r="AO109" s="187"/>
      <c r="AP109" s="187"/>
      <c r="AQ109" s="187"/>
      <c r="AR109" s="187"/>
      <c r="AS109" s="175"/>
      <c r="AT109" s="182"/>
    </row>
    <row r="110" spans="1:91" s="188" customFormat="1" ht="15" customHeight="1">
      <c r="A110" s="185"/>
      <c r="B110" s="185"/>
      <c r="C110" s="175"/>
      <c r="D110" s="176"/>
      <c r="E110" s="175"/>
      <c r="F110" s="177"/>
      <c r="G110" s="177"/>
      <c r="H110" s="186"/>
      <c r="I110" s="186"/>
      <c r="J110" s="186"/>
      <c r="K110" s="177"/>
      <c r="L110" s="186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86"/>
      <c r="AE110" s="177"/>
      <c r="AF110" s="177"/>
      <c r="AG110" s="177"/>
      <c r="AH110" s="177"/>
      <c r="AI110" s="177"/>
      <c r="AJ110" s="177"/>
      <c r="AK110" s="175"/>
      <c r="AL110" s="175"/>
      <c r="AM110" s="180"/>
      <c r="AN110" s="187"/>
      <c r="AO110" s="187"/>
      <c r="AP110" s="187"/>
      <c r="AQ110" s="187"/>
      <c r="AR110" s="187"/>
      <c r="AS110" s="175"/>
      <c r="AT110" s="175"/>
    </row>
    <row r="111" spans="1:91" s="188" customFormat="1" ht="11.25">
      <c r="A111" s="185"/>
      <c r="B111" s="185"/>
      <c r="C111" s="175"/>
      <c r="D111" s="176"/>
      <c r="E111" s="175"/>
      <c r="F111" s="177"/>
      <c r="G111" s="177"/>
      <c r="H111" s="186"/>
      <c r="I111" s="186"/>
      <c r="J111" s="186"/>
      <c r="K111" s="177"/>
      <c r="L111" s="186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86"/>
      <c r="AE111" s="177"/>
      <c r="AF111" s="177"/>
      <c r="AG111" s="177"/>
      <c r="AH111" s="177"/>
      <c r="AI111" s="177"/>
      <c r="AJ111" s="177"/>
      <c r="AK111" s="175"/>
      <c r="AL111" s="175"/>
      <c r="AM111" s="180"/>
      <c r="AN111" s="187"/>
      <c r="AO111" s="187"/>
      <c r="AP111" s="187"/>
      <c r="AQ111" s="187"/>
      <c r="AR111" s="187"/>
      <c r="AS111" s="175"/>
      <c r="AT111" s="175"/>
    </row>
    <row r="112" spans="1:91" s="188" customFormat="1" ht="11.25">
      <c r="A112" s="185"/>
      <c r="B112" s="185"/>
      <c r="C112" s="175"/>
      <c r="D112" s="176"/>
      <c r="E112" s="175"/>
      <c r="F112" s="177"/>
      <c r="G112" s="177"/>
      <c r="H112" s="186"/>
      <c r="I112" s="186"/>
      <c r="J112" s="186"/>
      <c r="K112" s="177"/>
      <c r="L112" s="186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86"/>
      <c r="AE112" s="177"/>
      <c r="AF112" s="177"/>
      <c r="AG112" s="177"/>
      <c r="AH112" s="177"/>
      <c r="AI112" s="177"/>
      <c r="AJ112" s="177"/>
      <c r="AK112" s="175"/>
      <c r="AL112" s="175"/>
      <c r="AM112" s="180"/>
      <c r="AN112" s="187"/>
      <c r="AO112" s="187"/>
      <c r="AP112" s="187"/>
      <c r="AQ112" s="187"/>
      <c r="AR112" s="187"/>
      <c r="AS112" s="175"/>
      <c r="AT112" s="175"/>
    </row>
    <row r="113" spans="1:46" s="188" customFormat="1" ht="11.25">
      <c r="A113" s="184"/>
      <c r="B113" s="184"/>
      <c r="C113" s="173"/>
      <c r="D113" s="189"/>
      <c r="E113" s="190"/>
      <c r="F113" s="179"/>
      <c r="G113" s="191"/>
      <c r="H113" s="178"/>
      <c r="I113" s="178"/>
      <c r="J113" s="178"/>
      <c r="K113" s="191"/>
      <c r="L113" s="178"/>
      <c r="M113" s="191"/>
      <c r="N113" s="191"/>
      <c r="O113" s="191"/>
      <c r="P113" s="191"/>
      <c r="Q113" s="178"/>
      <c r="R113" s="179"/>
      <c r="S113" s="191"/>
      <c r="T113" s="191"/>
      <c r="U113" s="178"/>
      <c r="V113" s="191"/>
      <c r="W113" s="191"/>
      <c r="X113" s="178"/>
      <c r="Y113" s="191"/>
      <c r="Z113" s="191"/>
      <c r="AA113" s="191"/>
      <c r="AB113" s="191"/>
      <c r="AC113" s="191"/>
      <c r="AD113" s="178"/>
      <c r="AE113" s="191"/>
      <c r="AF113" s="191"/>
      <c r="AG113" s="191"/>
      <c r="AH113" s="191"/>
      <c r="AI113" s="191"/>
      <c r="AJ113" s="191"/>
      <c r="AK113" s="190"/>
      <c r="AM113" s="192"/>
      <c r="AN113" s="184"/>
      <c r="AO113" s="184"/>
      <c r="AP113" s="184"/>
      <c r="AQ113" s="184"/>
      <c r="AR113" s="184"/>
      <c r="AS113" s="173"/>
      <c r="AT113" s="175"/>
    </row>
    <row r="114" spans="1:46" s="188" customFormat="1" ht="12.75">
      <c r="A114" s="149"/>
      <c r="B114" s="149" t="s">
        <v>0</v>
      </c>
      <c r="C114" s="149"/>
      <c r="D114" s="193"/>
      <c r="E114" s="149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K114" s="149"/>
      <c r="AL114" s="149"/>
      <c r="AM114" s="196"/>
      <c r="AN114" s="149"/>
      <c r="AO114" s="149"/>
      <c r="AP114" s="149"/>
      <c r="AQ114" s="149"/>
      <c r="AR114" s="149"/>
      <c r="AS114" s="149"/>
      <c r="AT114" s="175"/>
    </row>
    <row r="115" spans="1:46" s="188" customFormat="1" ht="12.75">
      <c r="A115" s="149"/>
      <c r="B115" s="149"/>
      <c r="C115" s="149" t="s">
        <v>46</v>
      </c>
      <c r="D115" s="193"/>
      <c r="E115" s="149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K115" s="149"/>
      <c r="AL115" s="149"/>
      <c r="AM115" s="196"/>
      <c r="AN115" s="149"/>
      <c r="AO115" s="149"/>
      <c r="AP115" s="149"/>
      <c r="AQ115" s="149"/>
      <c r="AR115" s="149"/>
      <c r="AS115" s="149"/>
      <c r="AT115" s="173"/>
    </row>
    <row r="116" spans="1:46" s="149" customFormat="1" ht="15" customHeight="1">
      <c r="C116" s="149" t="s">
        <v>47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1:46" s="149" customFormat="1" ht="15" customHeight="1">
      <c r="C117" s="149" t="s">
        <v>48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  <row r="118" spans="1:46" s="149" customFormat="1" ht="15" customHeight="1">
      <c r="C118" s="149" t="s">
        <v>49</v>
      </c>
      <c r="D118" s="193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5"/>
      <c r="AI118" s="195"/>
      <c r="AJ118" s="195"/>
      <c r="AM118" s="196"/>
    </row>
    <row r="119" spans="1:46" s="149" customFormat="1" ht="15" customHeight="1">
      <c r="C119" s="149" t="s">
        <v>50</v>
      </c>
      <c r="D119" s="193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5"/>
      <c r="AI119" s="195"/>
      <c r="AJ119" s="195"/>
      <c r="AM119" s="196"/>
    </row>
    <row r="120" spans="1:46" s="149" customFormat="1" ht="15" customHeight="1">
      <c r="C120" s="149" t="s">
        <v>51</v>
      </c>
      <c r="D120" s="193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5"/>
      <c r="AI120" s="195"/>
      <c r="AJ120" s="195"/>
      <c r="AM120" s="196"/>
    </row>
    <row r="121" spans="1:46" s="149" customFormat="1" ht="15" customHeight="1">
      <c r="C121" s="149" t="s">
        <v>52</v>
      </c>
      <c r="D121" s="193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5"/>
      <c r="AI121" s="195"/>
      <c r="AJ121" s="195"/>
      <c r="AM121" s="196"/>
    </row>
    <row r="122" spans="1:46" s="149" customFormat="1" ht="15" customHeight="1">
      <c r="C122" s="149" t="s">
        <v>53</v>
      </c>
      <c r="D122" s="193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5"/>
      <c r="AI122" s="195"/>
      <c r="AJ122" s="195"/>
      <c r="AM122" s="196"/>
    </row>
    <row r="123" spans="1:46" s="149" customFormat="1" ht="15" customHeight="1">
      <c r="C123" s="149" t="s">
        <v>54</v>
      </c>
      <c r="D123" s="193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5"/>
      <c r="AI123" s="195"/>
      <c r="AJ123" s="195"/>
      <c r="AM123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9:J62 Q57:Q58" name="Range1_1_1_1"/>
    <protectedRange password="CC78" sqref="J63" name="Range1_3_1_1"/>
    <protectedRange password="CC78" sqref="A84:A86" name="Range1_2_1_1"/>
    <protectedRange password="CC78" sqref="A91:A106" name="Range1_1_1"/>
    <protectedRange password="CC78" sqref="C91:E106 A91:A106" name="Range1_6_1"/>
    <protectedRange password="CC78" sqref="B91:B106" name="Range1_4_1"/>
    <protectedRange password="CC78" sqref="J109:J112 Q107:Q108" name="Range1_1_1_1_1"/>
    <protectedRange password="CC78" sqref="J113" name="Range1_3_1_1_1"/>
    <protectedRange password="CC78" sqref="A43:A56 A14:A41" name="Range1_1_2"/>
    <protectedRange password="CC78" sqref="C43:E56 A43:A56 C14:E41 A14:A41" name="Range1_6_2"/>
    <protectedRange password="CC78" sqref="B43:B56 B14:B41" name="Range1_4_2"/>
  </protectedRanges>
  <mergeCells count="431">
    <mergeCell ref="AS101:AS102"/>
    <mergeCell ref="AM103:AM104"/>
    <mergeCell ref="AN103:AN104"/>
    <mergeCell ref="AO103:AO104"/>
    <mergeCell ref="AP103:AP104"/>
    <mergeCell ref="AQ103:AQ104"/>
    <mergeCell ref="AO101:AO102"/>
    <mergeCell ref="AP101:AP102"/>
    <mergeCell ref="AQ101:AQ102"/>
    <mergeCell ref="AR101:AR102"/>
    <mergeCell ref="A103:A104"/>
    <mergeCell ref="B103:B104"/>
    <mergeCell ref="C103:C104"/>
    <mergeCell ref="D103:D104"/>
    <mergeCell ref="AK103:AK104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L99:AL100"/>
    <mergeCell ref="AM99:AM100"/>
    <mergeCell ref="AN99:AN100"/>
    <mergeCell ref="AO99:AO100"/>
    <mergeCell ref="AP99:AP100"/>
    <mergeCell ref="AQ99:AQ100"/>
    <mergeCell ref="AR103:AR104"/>
    <mergeCell ref="AS103:AS104"/>
    <mergeCell ref="AL103:AL104"/>
    <mergeCell ref="AO97:AO98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R95:AR96"/>
    <mergeCell ref="AS95:AS96"/>
    <mergeCell ref="AO95:AO96"/>
    <mergeCell ref="AP95:AP96"/>
    <mergeCell ref="AQ95:AQ96"/>
    <mergeCell ref="AT88:AT89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53:A54"/>
    <mergeCell ref="B53:B54"/>
    <mergeCell ref="C53:C54"/>
    <mergeCell ref="D53:D54"/>
    <mergeCell ref="AK53:AK54"/>
    <mergeCell ref="AL53:AL54"/>
    <mergeCell ref="AM53:AM54"/>
    <mergeCell ref="AM84:AS84"/>
    <mergeCell ref="A88:A89"/>
    <mergeCell ref="B88:B89"/>
    <mergeCell ref="C88:C89"/>
    <mergeCell ref="D88:D89"/>
    <mergeCell ref="E88:E89"/>
    <mergeCell ref="AK88:AM88"/>
    <mergeCell ref="AN88:AN89"/>
    <mergeCell ref="AO88:AO89"/>
    <mergeCell ref="AP88:AP89"/>
    <mergeCell ref="AQ88:AQ89"/>
    <mergeCell ref="AR88:AR89"/>
    <mergeCell ref="AS88:AS89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1:A52"/>
    <mergeCell ref="B51:B52"/>
    <mergeCell ref="C51:C52"/>
    <mergeCell ref="D51:D52"/>
    <mergeCell ref="AK51:AK52"/>
    <mergeCell ref="AL51:AL52"/>
    <mergeCell ref="AS51:AS52"/>
    <mergeCell ref="AM51:AM52"/>
    <mergeCell ref="AN51:AN52"/>
    <mergeCell ref="AO51:AO52"/>
    <mergeCell ref="AP51:AP52"/>
    <mergeCell ref="AQ51:AQ52"/>
    <mergeCell ref="AR51:AR52"/>
    <mergeCell ref="AS47:AS48"/>
    <mergeCell ref="AM47:AM48"/>
    <mergeCell ref="AN47:AN48"/>
    <mergeCell ref="AO47:AO48"/>
    <mergeCell ref="AP47:AP48"/>
    <mergeCell ref="AQ47:AQ48"/>
    <mergeCell ref="AR47:AR48"/>
    <mergeCell ref="AN53:AN54"/>
    <mergeCell ref="AO53:AO54"/>
    <mergeCell ref="AP49:AP50"/>
    <mergeCell ref="AQ49:AQ50"/>
    <mergeCell ref="AR49:AR50"/>
    <mergeCell ref="AS49:AS50"/>
    <mergeCell ref="AP53:AP54"/>
    <mergeCell ref="AQ53:AQ54"/>
    <mergeCell ref="AR53:AR54"/>
    <mergeCell ref="AS53:AS54"/>
    <mergeCell ref="AL49:AL50"/>
    <mergeCell ref="AM49:AM50"/>
    <mergeCell ref="AN49:AN50"/>
    <mergeCell ref="AO49:AO50"/>
    <mergeCell ref="A47:A48"/>
    <mergeCell ref="B47:B48"/>
    <mergeCell ref="C47:C48"/>
    <mergeCell ref="D47:D48"/>
    <mergeCell ref="AK47:AK48"/>
    <mergeCell ref="AL47:AL48"/>
    <mergeCell ref="A49:A50"/>
    <mergeCell ref="B49:B50"/>
    <mergeCell ref="C49:C50"/>
    <mergeCell ref="D49:D50"/>
    <mergeCell ref="AK49:AK50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L38:AL39"/>
    <mergeCell ref="AM38:AM39"/>
    <mergeCell ref="AN38:AN39"/>
    <mergeCell ref="AO38:AO39"/>
    <mergeCell ref="A32:A33"/>
    <mergeCell ref="B32:B33"/>
    <mergeCell ref="C32:C33"/>
    <mergeCell ref="D32:D33"/>
    <mergeCell ref="AK32:AK33"/>
    <mergeCell ref="AL32:AL33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M26:AM27"/>
    <mergeCell ref="AN26:AN27"/>
    <mergeCell ref="AO26:AO27"/>
    <mergeCell ref="AS32:AS33"/>
    <mergeCell ref="AM32:AM33"/>
    <mergeCell ref="AN32:AN33"/>
    <mergeCell ref="AO32:AO33"/>
    <mergeCell ref="AP32:AP33"/>
    <mergeCell ref="AQ32:AQ33"/>
    <mergeCell ref="AR32:AR33"/>
    <mergeCell ref="A22:A23"/>
    <mergeCell ref="B22:B23"/>
    <mergeCell ref="C22:C23"/>
    <mergeCell ref="D22:D23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R20:AR21"/>
    <mergeCell ref="AS20:AS21"/>
    <mergeCell ref="AP22:AP23"/>
    <mergeCell ref="AQ22:AQ23"/>
    <mergeCell ref="AR22:AR23"/>
    <mergeCell ref="AP26:AP27"/>
    <mergeCell ref="AQ26:AQ27"/>
    <mergeCell ref="AR26:AR27"/>
    <mergeCell ref="AS22:AS23"/>
    <mergeCell ref="AN20:AN21"/>
    <mergeCell ref="AO20:AO21"/>
    <mergeCell ref="AK22:AK23"/>
    <mergeCell ref="AL22:AL23"/>
    <mergeCell ref="AM22:AM23"/>
    <mergeCell ref="AN22:AN23"/>
    <mergeCell ref="AO22:AO23"/>
    <mergeCell ref="AP20:AP21"/>
    <mergeCell ref="AQ20:AQ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05:AP106"/>
    <mergeCell ref="AQ105:AQ106"/>
    <mergeCell ref="AR105:AR106"/>
    <mergeCell ref="AS105:AS106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</mergeCells>
  <conditionalFormatting sqref="F5:AJ6 F88:AJ89 F9:AJ12 F91:AJ106 F43:AJ56 F14:AJ41">
    <cfRule type="expression" dxfId="6" priority="1" stopIfTrue="1">
      <formula>IF(WEEKDAY(F$5)=1,TRUE,FALSE)</formula>
    </cfRule>
  </conditionalFormatting>
  <printOptions horizontalCentered="1"/>
  <pageMargins left="0.24" right="0.24" top="0.32" bottom="0.33" header="0.25" footer="0.34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1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K28" sqref="K28:K3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87" t="str">
        <f>"BẢNG THANH TOÁN LƯƠNG THÁNG"&amp;" "&amp;TEXT($E$4,"mm")&amp;" / "&amp;TEXT($E$4,"yyyy")</f>
        <v>BẢNG THANH TOÁN LƯƠNG THÁNG 06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297" t="s">
        <v>40</v>
      </c>
      <c r="G7" s="294" t="s">
        <v>18</v>
      </c>
      <c r="H7" s="297" t="s">
        <v>40</v>
      </c>
      <c r="I7" s="301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5.5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- 06'!$B$8:$AS$56,36,0)</f>
        <v>26</v>
      </c>
      <c r="G10" s="220">
        <f>ROUND(E10/$U$2*F10,0)</f>
        <v>4336000</v>
      </c>
      <c r="H10" s="92">
        <f>(VLOOKUP(B10,'CC - 06'!$B$8:$AS$56,37,0)+VLOOKUP(B10,'CC - 06'!$B$8:$AS$56,38,0))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5.5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- 06'!$B$8:$AS$56,36,0)</f>
        <v>26</v>
      </c>
      <c r="G11" s="220">
        <f>ROUND(E11/$U$2*F11,0)</f>
        <v>4056000</v>
      </c>
      <c r="H11" s="92">
        <f>(VLOOKUP(B11,'CC - 06'!$B$8:$AS$56,37,0)+VLOOKUP(B11,'CC - 06'!$B$8:$AS$56,38,0))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5.5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5.5" customHeight="1">
      <c r="A13" s="38">
        <v>3</v>
      </c>
      <c r="B13" s="141" t="s">
        <v>84</v>
      </c>
      <c r="C13" s="89" t="str">
        <f t="shared" ref="C13:C34" si="0">VLOOKUP(B13,DS,2,0)</f>
        <v xml:space="preserve"> Lâm Thị Mộng Kiều </v>
      </c>
      <c r="D13" s="116" t="str">
        <f t="shared" ref="D13:D34" si="1">VLOOKUP(B13,DS,3,0)</f>
        <v>Công nhân</v>
      </c>
      <c r="E13" s="90">
        <f t="shared" ref="E13:E34" si="2">VLOOKUP(B13,DS,4,0)</f>
        <v>3549000</v>
      </c>
      <c r="F13" s="92">
        <f>VLOOKUP(B13,'CC - 06'!$B$8:$AS$56,36,0)</f>
        <v>26</v>
      </c>
      <c r="G13" s="220">
        <f t="shared" ref="G13:G34" si="3">ROUND(E13/$U$2*F13,0)</f>
        <v>3549000</v>
      </c>
      <c r="H13" s="92">
        <f>(VLOOKUP(B13,'CC - 06'!$B$8:$AS$56,37,0)+VLOOKUP(B13,'CC - 06'!$B$8:$AS$56,38,0))</f>
        <v>0</v>
      </c>
      <c r="I13" s="220">
        <f t="shared" ref="I13:I34" si="4">ROUND(E13/$U$2*H13,0)</f>
        <v>0</v>
      </c>
      <c r="J13" s="221">
        <f t="shared" ref="J13:K21" si="5">F13+H13</f>
        <v>26</v>
      </c>
      <c r="K13" s="39">
        <f t="shared" si="5"/>
        <v>3549000</v>
      </c>
      <c r="L13" s="90">
        <f t="shared" ref="L13:L34" si="6">+F13*15000</f>
        <v>390000</v>
      </c>
      <c r="M13" s="40">
        <f t="shared" ref="M13:M34" si="7">K13+L13</f>
        <v>3939000</v>
      </c>
      <c r="N13" s="40">
        <f t="shared" ref="N13:N26" si="8">IF(VLOOKUP(B13,DS,14,0)="x",E13*$N$4,0)</f>
        <v>283920</v>
      </c>
      <c r="O13" s="40">
        <f t="shared" ref="O13:O26" si="9">IF(VLOOKUP(B13,DS,14,0)="x",E13*$O$4,0)</f>
        <v>53235</v>
      </c>
      <c r="P13" s="40">
        <f t="shared" ref="P13:P26" si="10">IF(VLOOKUP(B13,DS,14,0)="x",E13*$P$4,0)</f>
        <v>35490</v>
      </c>
      <c r="Q13" s="39">
        <f>M13-SUM(N13:P13)</f>
        <v>3566355</v>
      </c>
      <c r="R13" s="39">
        <f t="shared" ref="R13:R34" si="11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5.5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- 06'!$B$8:$AS$56,36,0)</f>
        <v>26</v>
      </c>
      <c r="G14" s="220">
        <f t="shared" si="3"/>
        <v>3317000</v>
      </c>
      <c r="H14" s="92">
        <f>(VLOOKUP(B14,'CC - 06'!$B$8:$AS$56,37,0)+VLOOKUP(B14,'CC - 06'!$B$8:$AS$56,38,0))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29" si="12">M14-SUM(N14:P14)</f>
        <v>3358715</v>
      </c>
      <c r="R14" s="39">
        <f t="shared" si="11"/>
        <v>0</v>
      </c>
      <c r="S14" s="45">
        <f t="shared" ref="S14:S34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5.5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- 06'!$B$8:$AS$56,36,0)</f>
        <v>26</v>
      </c>
      <c r="G15" s="220">
        <f t="shared" si="3"/>
        <v>3317000</v>
      </c>
      <c r="H15" s="92">
        <f>(VLOOKUP(B15,'CC - 06'!$B$8:$AS$56,37,0)+VLOOKUP(B15,'CC - 06'!$B$8:$AS$56,38,0))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3358715</v>
      </c>
      <c r="R15" s="39">
        <f t="shared" si="11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5.5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- 06'!$B$8:$AS$56,36,0)</f>
        <v>26</v>
      </c>
      <c r="G16" s="220">
        <f t="shared" si="3"/>
        <v>3317000</v>
      </c>
      <c r="H16" s="92">
        <f>(VLOOKUP(B16,'CC - 06'!$B$8:$AS$56,37,0)+VLOOKUP(B16,'CC - 06'!$B$8:$AS$56,38,0))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3358715</v>
      </c>
      <c r="R16" s="39">
        <f t="shared" si="11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5.5" customHeight="1">
      <c r="A17" s="38">
        <v>7</v>
      </c>
      <c r="B17" s="141" t="s">
        <v>91</v>
      </c>
      <c r="C17" s="89" t="str">
        <f t="shared" si="0"/>
        <v>Nguyễn Thị Lựu</v>
      </c>
      <c r="D17" s="116" t="str">
        <f t="shared" si="1"/>
        <v>Công nhân</v>
      </c>
      <c r="E17" s="90">
        <f t="shared" si="2"/>
        <v>3317000</v>
      </c>
      <c r="F17" s="92">
        <f>VLOOKUP(B17,'CC - 06'!$B$8:$AS$56,36,0)</f>
        <v>26</v>
      </c>
      <c r="G17" s="220">
        <f t="shared" si="3"/>
        <v>3317000</v>
      </c>
      <c r="H17" s="92">
        <f>(VLOOKUP(B17,'CC - 06'!$B$8:$AS$56,37,0)+VLOOKUP(B17,'CC - 06'!$B$8:$AS$56,38,0))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3358715</v>
      </c>
      <c r="R17" s="39">
        <f t="shared" si="11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5.5" customHeight="1">
      <c r="A18" s="38">
        <v>8</v>
      </c>
      <c r="B18" s="141" t="s">
        <v>92</v>
      </c>
      <c r="C18" s="89" t="str">
        <f t="shared" si="0"/>
        <v>Lý Thị Được</v>
      </c>
      <c r="D18" s="116" t="str">
        <f t="shared" si="1"/>
        <v>Công nhân</v>
      </c>
      <c r="E18" s="90">
        <f t="shared" si="2"/>
        <v>3317000</v>
      </c>
      <c r="F18" s="92">
        <f>VLOOKUP(B18,'CC - 06'!$B$8:$AS$56,36,0)</f>
        <v>26</v>
      </c>
      <c r="G18" s="220">
        <f t="shared" si="3"/>
        <v>3317000</v>
      </c>
      <c r="H18" s="92">
        <f>(VLOOKUP(B18,'CC - 06'!$B$8:$AS$56,37,0)+VLOOKUP(B18,'CC - 06'!$B$8:$AS$56,38,0))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3358715</v>
      </c>
      <c r="R18" s="39">
        <f t="shared" si="11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5.5" customHeight="1">
      <c r="A19" s="38">
        <v>9</v>
      </c>
      <c r="B19" s="141" t="s">
        <v>93</v>
      </c>
      <c r="C19" s="89" t="str">
        <f t="shared" si="0"/>
        <v>Lý La Quan</v>
      </c>
      <c r="D19" s="116" t="str">
        <f t="shared" si="1"/>
        <v>Công nhân</v>
      </c>
      <c r="E19" s="90">
        <f t="shared" si="2"/>
        <v>3317000</v>
      </c>
      <c r="F19" s="92">
        <f>VLOOKUP(B19,'CC - 06'!$B$8:$AS$56,36,0)</f>
        <v>26</v>
      </c>
      <c r="G19" s="220">
        <f t="shared" si="3"/>
        <v>3317000</v>
      </c>
      <c r="H19" s="92">
        <f>(VLOOKUP(B19,'CC - 06'!$B$8:$AS$56,37,0)+VLOOKUP(B19,'CC - 06'!$B$8:$AS$56,38,0))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3358715</v>
      </c>
      <c r="R19" s="39">
        <f t="shared" si="11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5.5" customHeight="1">
      <c r="A20" s="38">
        <v>10</v>
      </c>
      <c r="B20" s="141" t="s">
        <v>94</v>
      </c>
      <c r="C20" s="89" t="str">
        <f t="shared" si="0"/>
        <v>Trà Thị Soi</v>
      </c>
      <c r="D20" s="116" t="str">
        <f t="shared" si="1"/>
        <v>Công nhân</v>
      </c>
      <c r="E20" s="90">
        <f t="shared" si="2"/>
        <v>3317000</v>
      </c>
      <c r="F20" s="92">
        <f>VLOOKUP(B20,'CC - 06'!$B$8:$AS$56,36,0)</f>
        <v>26</v>
      </c>
      <c r="G20" s="220">
        <f t="shared" si="3"/>
        <v>3317000</v>
      </c>
      <c r="H20" s="92">
        <f>(VLOOKUP(B20,'CC - 06'!$B$8:$AS$56,37,0)+VLOOKUP(B20,'CC - 06'!$B$8:$AS$56,38,0))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3358715</v>
      </c>
      <c r="R20" s="39">
        <f t="shared" si="11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5.5" customHeight="1">
      <c r="A21" s="38">
        <v>11</v>
      </c>
      <c r="B21" s="141" t="s">
        <v>96</v>
      </c>
      <c r="C21" s="89" t="str">
        <f t="shared" si="0"/>
        <v>Sơn Thị Thương</v>
      </c>
      <c r="D21" s="116" t="str">
        <f t="shared" si="1"/>
        <v>Công nhân</v>
      </c>
      <c r="E21" s="90">
        <f t="shared" si="2"/>
        <v>3317000</v>
      </c>
      <c r="F21" s="92">
        <f>VLOOKUP(B21,'CC - 06'!$B$8:$AS$56,36,0)</f>
        <v>26</v>
      </c>
      <c r="G21" s="220">
        <f t="shared" si="3"/>
        <v>3317000</v>
      </c>
      <c r="H21" s="92">
        <f>(VLOOKUP(B21,'CC - 06'!$B$8:$AS$56,37,0)+VLOOKUP(B21,'CC - 06'!$B$8:$AS$56,38,0))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3358715</v>
      </c>
      <c r="R21" s="39">
        <f t="shared" si="11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5.5" customHeight="1">
      <c r="A22" s="38">
        <v>12</v>
      </c>
      <c r="B22" s="141" t="s">
        <v>100</v>
      </c>
      <c r="C22" s="89" t="str">
        <f t="shared" si="0"/>
        <v>Sơn Thị Chành Đa</v>
      </c>
      <c r="D22" s="116" t="str">
        <f t="shared" si="1"/>
        <v>Công nhân</v>
      </c>
      <c r="E22" s="90">
        <f t="shared" si="2"/>
        <v>3317000</v>
      </c>
      <c r="F22" s="92">
        <f>VLOOKUP(B22,'CC - 06'!$B$8:$AS$56,36,0)</f>
        <v>26</v>
      </c>
      <c r="G22" s="220">
        <f t="shared" si="3"/>
        <v>3317000</v>
      </c>
      <c r="H22" s="92">
        <f>(VLOOKUP(B22,'CC - 06'!$B$8:$AS$56,37,0)+VLOOKUP(B22,'CC - 06'!$B$8:$AS$56,38,0))</f>
        <v>0</v>
      </c>
      <c r="I22" s="220">
        <f t="shared" si="4"/>
        <v>0</v>
      </c>
      <c r="J22" s="221">
        <f t="shared" ref="J22:K34" si="14">F22+H22</f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3358715</v>
      </c>
      <c r="R22" s="39">
        <f t="shared" si="11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5.5" customHeight="1">
      <c r="A23" s="38">
        <v>13</v>
      </c>
      <c r="B23" s="141" t="s">
        <v>101</v>
      </c>
      <c r="C23" s="89" t="str">
        <f t="shared" si="0"/>
        <v>Trần Thị Bích Phượng</v>
      </c>
      <c r="D23" s="116" t="str">
        <f t="shared" si="1"/>
        <v>Công nhân</v>
      </c>
      <c r="E23" s="90">
        <f t="shared" si="2"/>
        <v>3317000</v>
      </c>
      <c r="F23" s="92">
        <f>VLOOKUP(B23,'CC - 06'!$B$8:$AS$56,36,0)</f>
        <v>26</v>
      </c>
      <c r="G23" s="220">
        <f t="shared" si="3"/>
        <v>3317000</v>
      </c>
      <c r="H23" s="92">
        <f>(VLOOKUP(B23,'CC - 06'!$B$8:$AS$56,37,0)+VLOOKUP(B23,'CC - 06'!$B$8:$AS$56,38,0))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3358715</v>
      </c>
      <c r="R23" s="39">
        <f t="shared" si="11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5.5" customHeight="1">
      <c r="A24" s="38">
        <v>14</v>
      </c>
      <c r="B24" s="141" t="s">
        <v>102</v>
      </c>
      <c r="C24" s="89" t="str">
        <f t="shared" si="0"/>
        <v>Sơn Thị Trường Sa</v>
      </c>
      <c r="D24" s="116" t="str">
        <f t="shared" si="1"/>
        <v>Công nhân</v>
      </c>
      <c r="E24" s="90">
        <f t="shared" si="2"/>
        <v>3317000</v>
      </c>
      <c r="F24" s="92">
        <f>VLOOKUP(B24,'CC - 06'!$B$8:$AS$56,36,0)</f>
        <v>26</v>
      </c>
      <c r="G24" s="220">
        <f t="shared" si="3"/>
        <v>3317000</v>
      </c>
      <c r="H24" s="92">
        <f>(VLOOKUP(B24,'CC - 06'!$B$8:$AS$56,37,0)+VLOOKUP(B24,'CC - 06'!$B$8:$AS$56,38,0))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3358715</v>
      </c>
      <c r="R24" s="39">
        <f t="shared" si="11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5.5" customHeight="1">
      <c r="A25" s="38">
        <v>15</v>
      </c>
      <c r="B25" s="141" t="s">
        <v>103</v>
      </c>
      <c r="C25" s="89" t="str">
        <f t="shared" si="0"/>
        <v>Lý Thị Sà Kha</v>
      </c>
      <c r="D25" s="116" t="str">
        <f t="shared" si="1"/>
        <v>Công nhân</v>
      </c>
      <c r="E25" s="90">
        <f t="shared" si="2"/>
        <v>3317000</v>
      </c>
      <c r="F25" s="92">
        <f>VLOOKUP(B25,'CC - 06'!$B$8:$AS$56,36,0)</f>
        <v>26</v>
      </c>
      <c r="G25" s="220">
        <f t="shared" si="3"/>
        <v>3317000</v>
      </c>
      <c r="H25" s="92">
        <f>(VLOOKUP(B25,'CC - 06'!$B$8:$AS$56,37,0)+VLOOKUP(B25,'CC - 06'!$B$8:$AS$56,38,0))</f>
        <v>0</v>
      </c>
      <c r="I25" s="220">
        <f t="shared" si="4"/>
        <v>0</v>
      </c>
      <c r="J25" s="221">
        <f t="shared" si="14"/>
        <v>26</v>
      </c>
      <c r="K25" s="39">
        <f t="shared" si="14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3358715</v>
      </c>
      <c r="R25" s="39">
        <f t="shared" si="11"/>
        <v>0</v>
      </c>
      <c r="S25" s="45">
        <f t="shared" si="13"/>
        <v>3358715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5.5" customHeight="1">
      <c r="A26" s="38">
        <v>16</v>
      </c>
      <c r="B26" s="141" t="s">
        <v>104</v>
      </c>
      <c r="C26" s="89" t="str">
        <f t="shared" si="0"/>
        <v xml:space="preserve"> Lâm Thị Mộng Thường</v>
      </c>
      <c r="D26" s="116" t="str">
        <f t="shared" si="1"/>
        <v>Công nhân</v>
      </c>
      <c r="E26" s="90">
        <f t="shared" si="2"/>
        <v>3317000</v>
      </c>
      <c r="F26" s="92">
        <f>VLOOKUP(B26,'CC - 06'!$B$8:$AS$56,36,0)</f>
        <v>26</v>
      </c>
      <c r="G26" s="220">
        <f t="shared" si="3"/>
        <v>3317000</v>
      </c>
      <c r="H26" s="92">
        <f>(VLOOKUP(B26,'CC - 06'!$B$8:$AS$56,37,0)+VLOOKUP(B26,'CC - 06'!$B$8:$AS$56,38,0))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3358715</v>
      </c>
      <c r="R26" s="39">
        <f t="shared" si="11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85" customFormat="1" ht="25.5" customHeight="1">
      <c r="A27" s="38"/>
      <c r="B27" s="316" t="s">
        <v>188</v>
      </c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40"/>
      <c r="O27" s="40"/>
      <c r="P27" s="40"/>
      <c r="Q27" s="315"/>
      <c r="R27" s="315"/>
      <c r="S27" s="315"/>
      <c r="T27" s="315"/>
      <c r="U27" s="104"/>
      <c r="V27" s="86"/>
      <c r="W27" s="86"/>
      <c r="X27" s="87"/>
      <c r="Y27" s="87"/>
      <c r="Z27" s="87"/>
      <c r="AA27" s="88"/>
      <c r="AB27" s="88"/>
      <c r="AC27" s="88"/>
      <c r="AD27" s="88"/>
      <c r="AE27" s="88"/>
    </row>
    <row r="28" spans="1:31" s="36" customFormat="1" ht="25.5" customHeight="1">
      <c r="A28" s="38">
        <v>17</v>
      </c>
      <c r="B28" s="261" t="s">
        <v>113</v>
      </c>
      <c r="C28" s="89" t="str">
        <f t="shared" si="0"/>
        <v>Nguyễn Văn Bé Hai</v>
      </c>
      <c r="D28" s="116" t="str">
        <f t="shared" si="1"/>
        <v>Công nhân</v>
      </c>
      <c r="E28" s="90">
        <f t="shared" si="2"/>
        <v>3549000</v>
      </c>
      <c r="F28" s="92">
        <f>VLOOKUP(B28,'CC - 06'!$B$8:$AS$56,36,0)</f>
        <v>26</v>
      </c>
      <c r="G28" s="220">
        <f t="shared" si="3"/>
        <v>3549000</v>
      </c>
      <c r="H28" s="92">
        <f>(VLOOKUP(B28,'CC - 06'!$B$8:$AS$56,37,0)+VLOOKUP(B28,'CC - 06'!$B$8:$AS$56,38,0))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3549000</v>
      </c>
      <c r="L28" s="90">
        <f t="shared" si="6"/>
        <v>390000</v>
      </c>
      <c r="M28" s="40">
        <f t="shared" si="7"/>
        <v>3939000</v>
      </c>
      <c r="N28" s="40">
        <f t="shared" ref="N28:N34" si="15">IF(VLOOKUP(B28,DS,14,0)="x",E28*$N$4,0)</f>
        <v>283920</v>
      </c>
      <c r="O28" s="40">
        <f t="shared" ref="O28:O34" si="16">IF(VLOOKUP(B28,DS,14,0)="x",E28*$O$4,0)</f>
        <v>53235</v>
      </c>
      <c r="P28" s="40">
        <f t="shared" ref="P28:P34" si="17">IF(VLOOKUP(B28,DS,14,0)="x",E28*$P$4,0)</f>
        <v>35490</v>
      </c>
      <c r="Q28" s="39">
        <f t="shared" si="12"/>
        <v>3566355</v>
      </c>
      <c r="R28" s="39">
        <f t="shared" si="11"/>
        <v>0</v>
      </c>
      <c r="S28" s="45">
        <f t="shared" si="13"/>
        <v>3566355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5.5" customHeight="1">
      <c r="A29" s="38">
        <v>18</v>
      </c>
      <c r="B29" s="261" t="s">
        <v>114</v>
      </c>
      <c r="C29" s="89" t="str">
        <f t="shared" si="0"/>
        <v>Thạch Tiền</v>
      </c>
      <c r="D29" s="116" t="str">
        <f t="shared" si="1"/>
        <v>Công nhân</v>
      </c>
      <c r="E29" s="90">
        <f t="shared" si="2"/>
        <v>3317000</v>
      </c>
      <c r="F29" s="92">
        <f>VLOOKUP(B29,'CC - 06'!$B$8:$AS$56,36,0)</f>
        <v>26</v>
      </c>
      <c r="G29" s="220">
        <f t="shared" si="3"/>
        <v>3317000</v>
      </c>
      <c r="H29" s="92">
        <f>(VLOOKUP(B29,'CC - 06'!$B$8:$AS$56,37,0)+VLOOKUP(B29,'CC - 06'!$B$8:$AS$56,38,0))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2"/>
        <v>3358715</v>
      </c>
      <c r="R29" s="39">
        <f t="shared" si="11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5.5" customHeight="1">
      <c r="A30" s="38">
        <v>19</v>
      </c>
      <c r="B30" s="261" t="s">
        <v>118</v>
      </c>
      <c r="C30" s="89" t="str">
        <f t="shared" si="0"/>
        <v>Trần Nhiên</v>
      </c>
      <c r="D30" s="116" t="str">
        <f t="shared" si="1"/>
        <v>Công nhân</v>
      </c>
      <c r="E30" s="90">
        <f t="shared" si="2"/>
        <v>3317000</v>
      </c>
      <c r="F30" s="92">
        <f>VLOOKUP(B30,'CC - 06'!$B$8:$AS$56,36,0)</f>
        <v>26</v>
      </c>
      <c r="G30" s="220">
        <f t="shared" si="3"/>
        <v>3317000</v>
      </c>
      <c r="H30" s="92">
        <f>(VLOOKUP(B30,'CC - 06'!$B$8:$AS$56,37,0)+VLOOKUP(B30,'CC - 06'!$B$8:$AS$56,38,0))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>M30-SUM(N30:P30)</f>
        <v>3358715</v>
      </c>
      <c r="R30" s="39">
        <f t="shared" si="11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5.5" customHeight="1">
      <c r="A31" s="38">
        <v>20</v>
      </c>
      <c r="B31" s="261" t="s">
        <v>119</v>
      </c>
      <c r="C31" s="89" t="str">
        <f t="shared" si="0"/>
        <v>Thạch Giang</v>
      </c>
      <c r="D31" s="116" t="str">
        <f t="shared" si="1"/>
        <v>Công nhân</v>
      </c>
      <c r="E31" s="90">
        <f t="shared" si="2"/>
        <v>3317000</v>
      </c>
      <c r="F31" s="92">
        <f>VLOOKUP(B31,'CC - 06'!$B$8:$AS$56,36,0)</f>
        <v>26</v>
      </c>
      <c r="G31" s="220">
        <f t="shared" si="3"/>
        <v>3317000</v>
      </c>
      <c r="H31" s="92">
        <f>(VLOOKUP(B31,'CC - 06'!$B$8:$AS$56,37,0)+VLOOKUP(B31,'CC - 06'!$B$8:$AS$56,38,0))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>M31-SUM(N31:P31)</f>
        <v>3358715</v>
      </c>
      <c r="R31" s="39">
        <f t="shared" si="11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5.5" customHeight="1">
      <c r="A32" s="38">
        <v>21</v>
      </c>
      <c r="B32" s="261" t="s">
        <v>120</v>
      </c>
      <c r="C32" s="89" t="str">
        <f t="shared" si="0"/>
        <v>Thạch Quyền</v>
      </c>
      <c r="D32" s="116" t="str">
        <f t="shared" si="1"/>
        <v>Công nhân</v>
      </c>
      <c r="E32" s="90">
        <f t="shared" si="2"/>
        <v>3317000</v>
      </c>
      <c r="F32" s="92">
        <f>VLOOKUP(B32,'CC - 06'!$B$8:$AS$56,36,0)</f>
        <v>26</v>
      </c>
      <c r="G32" s="220">
        <f t="shared" si="3"/>
        <v>3317000</v>
      </c>
      <c r="H32" s="92">
        <f>(VLOOKUP(B32,'CC - 06'!$B$8:$AS$56,37,0)+VLOOKUP(B32,'CC - 06'!$B$8:$AS$56,38,0))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15"/>
        <v>265360</v>
      </c>
      <c r="O32" s="40">
        <f t="shared" si="16"/>
        <v>49755</v>
      </c>
      <c r="P32" s="40">
        <f t="shared" si="17"/>
        <v>33170</v>
      </c>
      <c r="Q32" s="39">
        <f>M32-SUM(N32:P32)</f>
        <v>3358715</v>
      </c>
      <c r="R32" s="39">
        <f t="shared" si="11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5.5" customHeight="1">
      <c r="A33" s="38">
        <v>22</v>
      </c>
      <c r="B33" s="261" t="s">
        <v>121</v>
      </c>
      <c r="C33" s="89" t="str">
        <f t="shared" si="0"/>
        <v>Lâm Lin</v>
      </c>
      <c r="D33" s="116" t="str">
        <f t="shared" si="1"/>
        <v>Công nhân</v>
      </c>
      <c r="E33" s="90">
        <f t="shared" si="2"/>
        <v>3317000</v>
      </c>
      <c r="F33" s="92">
        <f>VLOOKUP(B33,'CC - 06'!$B$8:$AS$56,36,0)</f>
        <v>26</v>
      </c>
      <c r="G33" s="220">
        <f t="shared" si="3"/>
        <v>3317000</v>
      </c>
      <c r="H33" s="92">
        <f>(VLOOKUP(B33,'CC - 06'!$B$8:$AS$56,37,0)+VLOOKUP(B33,'CC - 06'!$B$8:$AS$56,38,0))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3317000</v>
      </c>
      <c r="L33" s="90">
        <f t="shared" si="6"/>
        <v>390000</v>
      </c>
      <c r="M33" s="40">
        <f t="shared" si="7"/>
        <v>3707000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>M33-SUM(N33:P33)</f>
        <v>3358715</v>
      </c>
      <c r="R33" s="39">
        <f t="shared" si="11"/>
        <v>0</v>
      </c>
      <c r="S33" s="45">
        <f t="shared" si="13"/>
        <v>3358715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5.5" customHeight="1">
      <c r="A34" s="38">
        <v>23</v>
      </c>
      <c r="B34" s="261" t="s">
        <v>122</v>
      </c>
      <c r="C34" s="89" t="str">
        <f t="shared" si="0"/>
        <v>Lâm Chanh Đa Ra</v>
      </c>
      <c r="D34" s="116" t="str">
        <f t="shared" si="1"/>
        <v>Công nhân</v>
      </c>
      <c r="E34" s="90">
        <f t="shared" si="2"/>
        <v>3317000</v>
      </c>
      <c r="F34" s="92">
        <f>VLOOKUP(B34,'CC - 06'!$B$8:$AS$56,36,0)</f>
        <v>26</v>
      </c>
      <c r="G34" s="220">
        <f t="shared" si="3"/>
        <v>3317000</v>
      </c>
      <c r="H34" s="92">
        <f>(VLOOKUP(B34,'CC - 06'!$B$8:$AS$56,37,0)+VLOOKUP(B34,'CC - 06'!$B$8:$AS$56,38,0))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3317000</v>
      </c>
      <c r="L34" s="90">
        <f t="shared" si="6"/>
        <v>390000</v>
      </c>
      <c r="M34" s="40">
        <f t="shared" si="7"/>
        <v>3707000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>M34-SUM(N34:P34)</f>
        <v>3358715</v>
      </c>
      <c r="R34" s="39">
        <f t="shared" si="11"/>
        <v>0</v>
      </c>
      <c r="S34" s="45">
        <f t="shared" si="13"/>
        <v>3358715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2.5" customHeight="1">
      <c r="A35" s="41"/>
      <c r="B35" s="314"/>
      <c r="C35" s="42"/>
      <c r="D35" s="3"/>
      <c r="E35" s="43"/>
      <c r="F35" s="43"/>
      <c r="G35" s="43"/>
      <c r="H35" s="43"/>
      <c r="I35" s="43"/>
      <c r="J35" s="44"/>
      <c r="K35" s="43"/>
      <c r="L35" s="43"/>
      <c r="M35" s="312"/>
      <c r="N35" s="43"/>
      <c r="O35" s="43"/>
      <c r="P35" s="43"/>
      <c r="Q35" s="43"/>
      <c r="R35" s="43"/>
      <c r="S35" s="43"/>
      <c r="T35" s="39"/>
      <c r="U35" s="104"/>
      <c r="V35" s="37"/>
      <c r="W35" s="37"/>
      <c r="X35" s="37"/>
      <c r="Y35" s="37"/>
      <c r="Z35" s="37"/>
    </row>
    <row r="36" spans="1:31" s="32" customFormat="1" ht="21" customHeight="1">
      <c r="A36" s="486" t="s">
        <v>25</v>
      </c>
      <c r="B36" s="486"/>
      <c r="C36" s="486"/>
      <c r="D36" s="486"/>
      <c r="E36" s="140">
        <f>SUM(E10:E35)</f>
        <v>78513000</v>
      </c>
      <c r="F36" s="140"/>
      <c r="G36" s="140">
        <f>SUM(G10:G35)</f>
        <v>78513000</v>
      </c>
      <c r="H36" s="140"/>
      <c r="I36" s="140">
        <f>SUM(I10:I35)</f>
        <v>0</v>
      </c>
      <c r="J36" s="26"/>
      <c r="K36" s="26">
        <f t="shared" ref="K36:S36" si="18">SUM(K10:K35)</f>
        <v>78513000</v>
      </c>
      <c r="L36" s="26">
        <f t="shared" si="18"/>
        <v>8970000</v>
      </c>
      <c r="M36" s="26">
        <f t="shared" si="18"/>
        <v>87483000</v>
      </c>
      <c r="N36" s="26">
        <f t="shared" si="18"/>
        <v>6281040</v>
      </c>
      <c r="O36" s="26">
        <f t="shared" si="18"/>
        <v>1177695</v>
      </c>
      <c r="P36" s="26">
        <f t="shared" si="18"/>
        <v>785130</v>
      </c>
      <c r="Q36" s="26">
        <f t="shared" si="18"/>
        <v>79239135</v>
      </c>
      <c r="R36" s="26">
        <f t="shared" si="18"/>
        <v>0</v>
      </c>
      <c r="S36" s="26">
        <f t="shared" si="18"/>
        <v>79239135</v>
      </c>
      <c r="T36" s="26"/>
      <c r="U36" s="104"/>
      <c r="V36" s="33"/>
      <c r="W36" s="33"/>
      <c r="X36" s="33"/>
      <c r="Y36" s="33"/>
      <c r="Z36" s="33"/>
    </row>
    <row r="37" spans="1:31" ht="11.25" customHeight="1">
      <c r="A37" s="8"/>
      <c r="B37" s="8"/>
      <c r="C37" s="9"/>
      <c r="D37" s="117"/>
      <c r="E37" s="94"/>
      <c r="F37" s="9"/>
      <c r="G37" s="9"/>
      <c r="H37" s="9"/>
      <c r="I37" s="9"/>
      <c r="K37" s="9"/>
      <c r="L37" s="9"/>
      <c r="M37" s="102"/>
      <c r="N37" s="9"/>
      <c r="O37" s="9"/>
      <c r="P37" s="9"/>
      <c r="Q37" s="9"/>
      <c r="R37" s="9"/>
      <c r="S37" s="9"/>
      <c r="T37" s="9"/>
      <c r="U37" s="104"/>
    </row>
    <row r="38" spans="1:31" s="36" customFormat="1" ht="11.25" customHeight="1">
      <c r="A38" s="78"/>
      <c r="B38" s="78"/>
      <c r="C38" s="78"/>
      <c r="D38" s="133"/>
      <c r="E38" s="134"/>
      <c r="F38" s="78"/>
      <c r="G38" s="78"/>
      <c r="H38" s="78"/>
      <c r="I38" s="78"/>
      <c r="J38" s="135"/>
      <c r="K38" s="134"/>
      <c r="L38" s="78"/>
      <c r="M38" s="78"/>
      <c r="N38" s="78"/>
      <c r="O38" s="78"/>
      <c r="P38" s="78"/>
      <c r="Q38" s="78"/>
      <c r="R38" s="78"/>
      <c r="S38" s="108" t="str">
        <f>"Long An, ngày  "&amp;$V$2&amp;"   tháng   "&amp;TEXT(E4,"mm")&amp;"   năm "&amp;TEXT(E4,"yyyy")</f>
        <v>Long An, ngày  30   tháng   06   năm 2016</v>
      </c>
      <c r="T38" s="78"/>
      <c r="U38" s="136"/>
      <c r="V38" s="37"/>
      <c r="W38" s="37"/>
      <c r="X38" s="37"/>
      <c r="Y38" s="37"/>
      <c r="Z38" s="37"/>
    </row>
    <row r="39" spans="1:31" s="36" customFormat="1" ht="12.75">
      <c r="A39" s="29"/>
      <c r="B39" s="29"/>
      <c r="C39" s="29" t="s">
        <v>60</v>
      </c>
      <c r="D39" s="137"/>
      <c r="E39" s="79"/>
      <c r="F39" s="136"/>
      <c r="G39" s="79"/>
      <c r="H39" s="79"/>
      <c r="I39" s="79"/>
      <c r="J39" s="138"/>
      <c r="K39" s="37"/>
      <c r="L39" s="29"/>
      <c r="M39" s="259"/>
      <c r="N39" s="20"/>
      <c r="O39" s="20"/>
      <c r="P39" s="20"/>
      <c r="Q39" s="20"/>
      <c r="S39" s="136" t="s">
        <v>22</v>
      </c>
      <c r="T39" s="136"/>
      <c r="U39" s="136"/>
      <c r="V39" s="37"/>
      <c r="W39" s="37"/>
      <c r="X39" s="37"/>
      <c r="Y39" s="37"/>
      <c r="Z39" s="37"/>
    </row>
    <row r="40" spans="1:31" ht="12">
      <c r="A40" s="8"/>
      <c r="B40" s="8"/>
      <c r="C40" s="15"/>
      <c r="E40" s="13"/>
      <c r="F40" s="12"/>
      <c r="G40" s="13"/>
      <c r="H40" s="13"/>
      <c r="I40" s="13"/>
      <c r="K40" s="7"/>
      <c r="L40" s="15"/>
      <c r="N40" s="11"/>
      <c r="O40" s="11"/>
      <c r="P40" s="11"/>
      <c r="Q40" s="11"/>
      <c r="S40" s="11"/>
      <c r="T40" s="12"/>
      <c r="U40" s="104"/>
    </row>
    <row r="41" spans="1:31" ht="12">
      <c r="C41" s="15"/>
      <c r="L41" s="15"/>
      <c r="T41" s="15"/>
      <c r="U41" s="104"/>
    </row>
    <row r="42" spans="1:31" ht="12">
      <c r="U42" s="104"/>
    </row>
    <row r="43" spans="1:31" ht="12">
      <c r="U43" s="104"/>
    </row>
    <row r="44" spans="1:31" ht="12">
      <c r="U44" s="104"/>
    </row>
    <row r="45" spans="1:31" ht="12">
      <c r="U45" s="104"/>
    </row>
    <row r="46" spans="1:31" ht="12">
      <c r="U46" s="104"/>
    </row>
    <row r="47" spans="1:31" ht="12">
      <c r="U47" s="104"/>
    </row>
    <row r="48" spans="1:31" ht="12">
      <c r="U48" s="104"/>
    </row>
    <row r="49" spans="1:31" s="175" customFormat="1" ht="29.25" customHeight="1">
      <c r="A49" s="139"/>
      <c r="B49" s="299"/>
      <c r="C49" s="299"/>
      <c r="D49" s="467" t="str">
        <f>D1</f>
        <v>BẢNG THANH TOÁN LƯƠNG THÁNG 06 / 2016</v>
      </c>
      <c r="E49" s="467"/>
      <c r="F49" s="467"/>
      <c r="G49" s="467"/>
      <c r="H49" s="467"/>
      <c r="I49" s="467"/>
      <c r="J49" s="467"/>
      <c r="K49" s="467"/>
      <c r="L49" s="467"/>
      <c r="M49" s="467"/>
      <c r="N49" s="467"/>
      <c r="O49" s="467"/>
      <c r="P49" s="467"/>
      <c r="Q49" s="468"/>
      <c r="R49" s="469" t="s">
        <v>112</v>
      </c>
      <c r="S49" s="470"/>
      <c r="T49" s="471"/>
      <c r="U49" s="104"/>
      <c r="V49" s="7"/>
      <c r="W49" s="198"/>
      <c r="X49" s="198"/>
      <c r="Y49" s="199"/>
      <c r="Z49" s="199"/>
    </row>
    <row r="50" spans="1:31" s="175" customFormat="1" ht="15" customHeight="1">
      <c r="A50" s="139" t="str">
        <f>TH!$A$1</f>
        <v>Công ty TNHH Hải sản An Lạc</v>
      </c>
      <c r="B50" s="299"/>
      <c r="C50" s="299"/>
      <c r="D50" s="299"/>
      <c r="E50" s="200"/>
      <c r="F50" s="299"/>
      <c r="G50" s="299"/>
      <c r="H50" s="299"/>
      <c r="I50" s="299"/>
      <c r="J50" s="201"/>
      <c r="K50" s="299"/>
      <c r="L50" s="299"/>
      <c r="M50" s="299"/>
      <c r="N50" s="299"/>
      <c r="O50" s="299"/>
      <c r="P50" s="299"/>
      <c r="Q50" s="299"/>
      <c r="R50" s="299"/>
      <c r="S50" s="299"/>
      <c r="T50" s="151"/>
      <c r="U50" s="104"/>
      <c r="V50" s="7"/>
      <c r="W50" s="198"/>
      <c r="X50" s="198"/>
      <c r="Y50" s="199"/>
      <c r="Z50" s="199"/>
    </row>
    <row r="51" spans="1:31" s="175" customFormat="1" ht="15" customHeight="1">
      <c r="A51" s="139" t="str">
        <f>TH!$A$2</f>
        <v>Địa chỉ: Lô A14, đường 4A, KCN Hải Sơn, Đức Hòa, Long An</v>
      </c>
      <c r="B51" s="299"/>
      <c r="C51" s="299"/>
      <c r="D51" s="299"/>
      <c r="E51" s="200"/>
      <c r="F51" s="299"/>
      <c r="G51" s="299"/>
      <c r="H51" s="299"/>
      <c r="I51" s="299"/>
      <c r="J51" s="201"/>
      <c r="K51" s="299"/>
      <c r="L51" s="299"/>
      <c r="M51" s="299"/>
      <c r="N51" s="299"/>
      <c r="O51" s="299"/>
      <c r="P51" s="299"/>
      <c r="Q51" s="299"/>
      <c r="R51" s="299"/>
      <c r="S51" s="299"/>
      <c r="T51" s="151"/>
      <c r="U51" s="104"/>
      <c r="V51" s="7"/>
      <c r="W51" s="198"/>
      <c r="X51" s="198"/>
      <c r="Y51" s="199"/>
      <c r="Z51" s="199"/>
    </row>
    <row r="52" spans="1:31" s="205" customFormat="1" ht="14.25" customHeight="1">
      <c r="A52" s="203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04"/>
      <c r="V52" s="7"/>
      <c r="W52" s="204"/>
      <c r="X52" s="204"/>
      <c r="Y52" s="204"/>
      <c r="Z52" s="204"/>
    </row>
    <row r="53" spans="1:31" s="208" customFormat="1" ht="24" customHeight="1">
      <c r="A53" s="472" t="s">
        <v>19</v>
      </c>
      <c r="B53" s="472" t="s">
        <v>20</v>
      </c>
      <c r="C53" s="474" t="s">
        <v>1</v>
      </c>
      <c r="D53" s="474" t="s">
        <v>2</v>
      </c>
      <c r="E53" s="475" t="s">
        <v>56</v>
      </c>
      <c r="F53" s="476" t="s">
        <v>26</v>
      </c>
      <c r="G53" s="477"/>
      <c r="H53" s="477"/>
      <c r="I53" s="477"/>
      <c r="J53" s="477"/>
      <c r="K53" s="478"/>
      <c r="L53" s="458" t="s">
        <v>57</v>
      </c>
      <c r="M53" s="458" t="s">
        <v>5</v>
      </c>
      <c r="N53" s="474" t="s">
        <v>6</v>
      </c>
      <c r="O53" s="474"/>
      <c r="P53" s="474"/>
      <c r="Q53" s="461" t="s">
        <v>7</v>
      </c>
      <c r="R53" s="461" t="s">
        <v>8</v>
      </c>
      <c r="S53" s="461" t="s">
        <v>9</v>
      </c>
      <c r="T53" s="479" t="s">
        <v>10</v>
      </c>
      <c r="U53" s="182"/>
      <c r="V53" s="207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08" customFormat="1" ht="33.75" customHeight="1">
      <c r="A54" s="473"/>
      <c r="B54" s="473"/>
      <c r="C54" s="474"/>
      <c r="D54" s="474"/>
      <c r="E54" s="475"/>
      <c r="F54" s="476" t="s">
        <v>59</v>
      </c>
      <c r="G54" s="478"/>
      <c r="H54" s="481" t="s">
        <v>189</v>
      </c>
      <c r="I54" s="482"/>
      <c r="J54" s="463" t="s">
        <v>27</v>
      </c>
      <c r="K54" s="461" t="s">
        <v>4</v>
      </c>
      <c r="L54" s="459"/>
      <c r="M54" s="459"/>
      <c r="N54" s="465" t="s">
        <v>12</v>
      </c>
      <c r="O54" s="461" t="s">
        <v>13</v>
      </c>
      <c r="P54" s="461" t="s">
        <v>34</v>
      </c>
      <c r="Q54" s="462"/>
      <c r="R54" s="462"/>
      <c r="S54" s="462"/>
      <c r="T54" s="480"/>
      <c r="U54" s="182"/>
      <c r="V54" s="207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08" customFormat="1" ht="35.25" customHeight="1">
      <c r="A55" s="473"/>
      <c r="B55" s="473"/>
      <c r="C55" s="461"/>
      <c r="D55" s="461"/>
      <c r="E55" s="475"/>
      <c r="F55" s="300" t="s">
        <v>40</v>
      </c>
      <c r="G55" s="301" t="s">
        <v>18</v>
      </c>
      <c r="H55" s="297" t="s">
        <v>40</v>
      </c>
      <c r="I55" s="301" t="s">
        <v>18</v>
      </c>
      <c r="J55" s="464"/>
      <c r="K55" s="462"/>
      <c r="L55" s="460"/>
      <c r="M55" s="460"/>
      <c r="N55" s="466"/>
      <c r="O55" s="462"/>
      <c r="P55" s="462"/>
      <c r="Q55" s="462"/>
      <c r="R55" s="462"/>
      <c r="S55" s="462"/>
      <c r="T55" s="480"/>
      <c r="U55" s="182"/>
      <c r="V55" s="207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14" customFormat="1" ht="12.75" customHeight="1">
      <c r="A56" s="210">
        <v>1</v>
      </c>
      <c r="B56" s="210">
        <v>2</v>
      </c>
      <c r="C56" s="210">
        <v>3</v>
      </c>
      <c r="D56" s="210">
        <v>4</v>
      </c>
      <c r="E56" s="210">
        <v>5</v>
      </c>
      <c r="F56" s="210">
        <v>7</v>
      </c>
      <c r="G56" s="210">
        <v>8</v>
      </c>
      <c r="H56" s="210">
        <v>9</v>
      </c>
      <c r="I56" s="210">
        <v>10</v>
      </c>
      <c r="J56" s="210">
        <v>13</v>
      </c>
      <c r="K56" s="210">
        <v>14</v>
      </c>
      <c r="L56" s="210">
        <v>16</v>
      </c>
      <c r="M56" s="84">
        <v>17</v>
      </c>
      <c r="N56" s="210">
        <v>24</v>
      </c>
      <c r="O56" s="210">
        <v>25</v>
      </c>
      <c r="P56" s="210">
        <v>26</v>
      </c>
      <c r="Q56" s="210">
        <v>29</v>
      </c>
      <c r="R56" s="210">
        <v>30</v>
      </c>
      <c r="S56" s="210">
        <v>31</v>
      </c>
      <c r="T56" s="210">
        <v>32</v>
      </c>
      <c r="U56" s="182"/>
      <c r="V56" s="211"/>
      <c r="W56" s="211"/>
      <c r="X56" s="212"/>
      <c r="Y56" s="212"/>
      <c r="Z56" s="212"/>
      <c r="AA56" s="213"/>
      <c r="AB56" s="213"/>
      <c r="AC56" s="213"/>
      <c r="AD56" s="213"/>
      <c r="AE56" s="213"/>
    </row>
    <row r="57" spans="1:31" s="225" customFormat="1" ht="23.25" customHeight="1">
      <c r="A57" s="215">
        <v>1</v>
      </c>
      <c r="B57" s="215" t="s">
        <v>68</v>
      </c>
      <c r="C57" s="216" t="str">
        <f t="shared" ref="C57:C63" si="19">VLOOKUP(B57,DS,2,0)</f>
        <v>Nguyễn Thiện Duy</v>
      </c>
      <c r="D57" s="217" t="str">
        <f t="shared" ref="D57:D63" si="20">VLOOKUP(B57,DS,3,0)</f>
        <v>Giám đốc</v>
      </c>
      <c r="E57" s="218">
        <f t="shared" ref="E57:E63" si="21">VLOOKUP(B57,DS,4,0)</f>
        <v>10851000</v>
      </c>
      <c r="F57" s="219">
        <f>VLOOKUP(B57,'CC - 06'!$B$91:$AN$104,36,0)</f>
        <v>22</v>
      </c>
      <c r="G57" s="220">
        <f t="shared" ref="G57:G63" si="22">ROUND(E57/$U$2*F57,0)</f>
        <v>9181615</v>
      </c>
      <c r="H57" s="92">
        <f>(VLOOKUP(B57,'CC - 06'!B$91:AS$104,37,0)+VLOOKUP(B57,'CC - 06'!B$91:AS$104,38,0))</f>
        <v>0</v>
      </c>
      <c r="I57" s="220">
        <f t="shared" ref="I57:I63" si="23">ROUND(E57/$U$2*H57,0)</f>
        <v>0</v>
      </c>
      <c r="J57" s="221">
        <f t="shared" ref="J57:K63" si="24">F57+H57</f>
        <v>22</v>
      </c>
      <c r="K57" s="39">
        <f t="shared" si="24"/>
        <v>9181615</v>
      </c>
      <c r="L57" s="90">
        <f>+F57*15000</f>
        <v>330000</v>
      </c>
      <c r="M57" s="222">
        <f t="shared" ref="M57:M63" si="25">K57+SUM(L57:L57)</f>
        <v>9511615</v>
      </c>
      <c r="N57" s="40">
        <f t="shared" ref="N57:N63" si="26">IF(VLOOKUP(B57,DS,14,0)="x",E57*$N$4,0)</f>
        <v>868080</v>
      </c>
      <c r="O57" s="40">
        <f t="shared" ref="O57:O63" si="27">IF(VLOOKUP(B57,DS,14,0)="x",E57*$O$4,0)</f>
        <v>162765</v>
      </c>
      <c r="P57" s="40">
        <f t="shared" ref="P57:P63" si="28">IF(VLOOKUP(B57,DS,14,0)="x",E57*$P$4,0)</f>
        <v>108510</v>
      </c>
      <c r="Q57" s="220">
        <f t="shared" ref="Q57:Q63" si="29">M57-SUM(N57:P57)</f>
        <v>8372260</v>
      </c>
      <c r="R57" s="220">
        <f t="shared" ref="R57:R63" si="30">VLOOKUP(B57,DS,23,0)</f>
        <v>0</v>
      </c>
      <c r="S57" s="223">
        <f>Q57-R57</f>
        <v>8372260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2</v>
      </c>
      <c r="B58" s="215" t="s">
        <v>70</v>
      </c>
      <c r="C58" s="216" t="str">
        <f t="shared" si="19"/>
        <v>Nguyễn Văn Sẽ</v>
      </c>
      <c r="D58" s="217" t="str">
        <f t="shared" si="20"/>
        <v>Kỹ Thuật</v>
      </c>
      <c r="E58" s="218">
        <f t="shared" si="21"/>
        <v>4895000</v>
      </c>
      <c r="F58" s="219">
        <f>VLOOKUP(B58,'CC - 06'!$B$91:$AN$104,36,0)</f>
        <v>26</v>
      </c>
      <c r="G58" s="220">
        <f t="shared" si="22"/>
        <v>4895000</v>
      </c>
      <c r="H58" s="92">
        <f>(VLOOKUP(B58,'CC - 06'!B$91:AS$104,37,0)+VLOOKUP(B58,'CC - 06'!B$91:AS$104,38,0))</f>
        <v>0</v>
      </c>
      <c r="I58" s="220">
        <f t="shared" si="23"/>
        <v>0</v>
      </c>
      <c r="J58" s="221">
        <f t="shared" si="24"/>
        <v>26</v>
      </c>
      <c r="K58" s="39">
        <f t="shared" si="24"/>
        <v>4895000</v>
      </c>
      <c r="L58" s="90">
        <f t="shared" ref="L58:L63" si="31">+F58*15000</f>
        <v>390000</v>
      </c>
      <c r="M58" s="222">
        <f t="shared" si="25"/>
        <v>5285000</v>
      </c>
      <c r="N58" s="40">
        <f t="shared" si="26"/>
        <v>391600</v>
      </c>
      <c r="O58" s="40">
        <f t="shared" si="27"/>
        <v>73425</v>
      </c>
      <c r="P58" s="40">
        <f t="shared" si="28"/>
        <v>48950</v>
      </c>
      <c r="Q58" s="220">
        <f t="shared" si="29"/>
        <v>4771025</v>
      </c>
      <c r="R58" s="220">
        <f t="shared" si="30"/>
        <v>0</v>
      </c>
      <c r="S58" s="223">
        <f t="shared" ref="S58:S63" si="32">Q58-R58</f>
        <v>4771025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3</v>
      </c>
      <c r="B59" s="215" t="s">
        <v>72</v>
      </c>
      <c r="C59" s="216" t="str">
        <f t="shared" si="19"/>
        <v>Võ Uyên Phương</v>
      </c>
      <c r="D59" s="217" t="str">
        <f t="shared" si="20"/>
        <v>Kế toán</v>
      </c>
      <c r="E59" s="218">
        <f t="shared" si="21"/>
        <v>4895000</v>
      </c>
      <c r="F59" s="219">
        <f>VLOOKUP(B59,'CC - 06'!$B$91:$AN$104,36,0)</f>
        <v>26</v>
      </c>
      <c r="G59" s="220">
        <f t="shared" si="22"/>
        <v>4895000</v>
      </c>
      <c r="H59" s="92">
        <f>(VLOOKUP(B59,'CC - 06'!B$91:AS$104,37,0)+VLOOKUP(B59,'CC - 06'!B$91:AS$104,38,0))</f>
        <v>0</v>
      </c>
      <c r="I59" s="220">
        <f t="shared" si="23"/>
        <v>0</v>
      </c>
      <c r="J59" s="221">
        <f t="shared" si="24"/>
        <v>26</v>
      </c>
      <c r="K59" s="39">
        <f t="shared" si="24"/>
        <v>4895000</v>
      </c>
      <c r="L59" s="90">
        <f t="shared" si="31"/>
        <v>390000</v>
      </c>
      <c r="M59" s="222">
        <f t="shared" si="25"/>
        <v>5285000</v>
      </c>
      <c r="N59" s="40">
        <f t="shared" si="26"/>
        <v>391600</v>
      </c>
      <c r="O59" s="40">
        <f t="shared" si="27"/>
        <v>73425</v>
      </c>
      <c r="P59" s="40">
        <f t="shared" si="28"/>
        <v>48950</v>
      </c>
      <c r="Q59" s="220">
        <f t="shared" si="29"/>
        <v>4771025</v>
      </c>
      <c r="R59" s="220">
        <f t="shared" si="30"/>
        <v>0</v>
      </c>
      <c r="S59" s="223">
        <f t="shared" si="32"/>
        <v>4771025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4</v>
      </c>
      <c r="B60" s="215" t="s">
        <v>75</v>
      </c>
      <c r="C60" s="216" t="str">
        <f t="shared" si="19"/>
        <v>Lê Nguyễn Huy Cường</v>
      </c>
      <c r="D60" s="217" t="str">
        <f t="shared" si="20"/>
        <v>XNK</v>
      </c>
      <c r="E60" s="218">
        <f t="shared" si="21"/>
        <v>4336000</v>
      </c>
      <c r="F60" s="219">
        <f>VLOOKUP(B60,'CC - 06'!$B$91:$AN$104,36,0)</f>
        <v>26</v>
      </c>
      <c r="G60" s="220">
        <f t="shared" si="22"/>
        <v>4336000</v>
      </c>
      <c r="H60" s="92">
        <f>(VLOOKUP(B60,'CC - 06'!B$91:AS$104,37,0)+VLOOKUP(B60,'CC - 06'!B$91:AS$104,38,0))</f>
        <v>0</v>
      </c>
      <c r="I60" s="220">
        <f t="shared" si="23"/>
        <v>0</v>
      </c>
      <c r="J60" s="221">
        <f t="shared" si="24"/>
        <v>26</v>
      </c>
      <c r="K60" s="39">
        <f t="shared" si="24"/>
        <v>4336000</v>
      </c>
      <c r="L60" s="90">
        <f t="shared" si="31"/>
        <v>390000</v>
      </c>
      <c r="M60" s="222">
        <f t="shared" si="25"/>
        <v>4726000</v>
      </c>
      <c r="N60" s="40">
        <f t="shared" si="26"/>
        <v>346880</v>
      </c>
      <c r="O60" s="40">
        <f t="shared" si="27"/>
        <v>65040</v>
      </c>
      <c r="P60" s="40">
        <f t="shared" si="28"/>
        <v>43360</v>
      </c>
      <c r="Q60" s="220">
        <f t="shared" si="29"/>
        <v>4270720</v>
      </c>
      <c r="R60" s="220">
        <f t="shared" si="30"/>
        <v>0</v>
      </c>
      <c r="S60" s="223">
        <f t="shared" si="32"/>
        <v>4270720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5</v>
      </c>
      <c r="B61" s="215" t="s">
        <v>77</v>
      </c>
      <c r="C61" s="216" t="str">
        <f t="shared" si="19"/>
        <v>Nguyễn Văn Bé Tư</v>
      </c>
      <c r="D61" s="217" t="str">
        <f t="shared" si="20"/>
        <v>Tài xế</v>
      </c>
      <c r="E61" s="218">
        <f t="shared" si="21"/>
        <v>3496000</v>
      </c>
      <c r="F61" s="219">
        <f>VLOOKUP(B61,'CC - 06'!$B$91:$AN$104,36,0)</f>
        <v>26</v>
      </c>
      <c r="G61" s="220">
        <f t="shared" si="22"/>
        <v>3496000</v>
      </c>
      <c r="H61" s="92">
        <f>(VLOOKUP(B61,'CC - 06'!B$91:AS$104,37,0)+VLOOKUP(B61,'CC - 06'!B$91:AS$104,38,0))</f>
        <v>0</v>
      </c>
      <c r="I61" s="220">
        <f t="shared" si="23"/>
        <v>0</v>
      </c>
      <c r="J61" s="221">
        <f t="shared" si="24"/>
        <v>26</v>
      </c>
      <c r="K61" s="39">
        <f t="shared" si="24"/>
        <v>3496000</v>
      </c>
      <c r="L61" s="90">
        <f t="shared" si="31"/>
        <v>390000</v>
      </c>
      <c r="M61" s="222">
        <f t="shared" si="25"/>
        <v>3886000</v>
      </c>
      <c r="N61" s="40">
        <f t="shared" si="26"/>
        <v>279680</v>
      </c>
      <c r="O61" s="40">
        <f t="shared" si="27"/>
        <v>52440</v>
      </c>
      <c r="P61" s="40">
        <f t="shared" si="28"/>
        <v>34960</v>
      </c>
      <c r="Q61" s="220">
        <f t="shared" si="29"/>
        <v>3518920</v>
      </c>
      <c r="R61" s="220">
        <f t="shared" si="30"/>
        <v>0</v>
      </c>
      <c r="S61" s="223">
        <f t="shared" si="32"/>
        <v>3518920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3.25" customHeight="1">
      <c r="A62" s="215">
        <v>6</v>
      </c>
      <c r="B62" s="215" t="s">
        <v>78</v>
      </c>
      <c r="C62" s="216" t="str">
        <f t="shared" si="19"/>
        <v>Dương Thanh Tuấn</v>
      </c>
      <c r="D62" s="217" t="str">
        <f t="shared" si="20"/>
        <v>Nhân sự</v>
      </c>
      <c r="E62" s="218">
        <f t="shared" si="21"/>
        <v>4056000</v>
      </c>
      <c r="F62" s="219">
        <f>VLOOKUP(B62,'CC - 06'!$B$91:$AN$104,36,0)</f>
        <v>26</v>
      </c>
      <c r="G62" s="220">
        <f t="shared" si="22"/>
        <v>4056000</v>
      </c>
      <c r="H62" s="92">
        <f>(VLOOKUP(B62,'CC - 06'!B$91:AS$104,37,0)+VLOOKUP(B62,'CC - 06'!B$91:AS$104,38,0))</f>
        <v>0</v>
      </c>
      <c r="I62" s="220">
        <f t="shared" si="23"/>
        <v>0</v>
      </c>
      <c r="J62" s="221">
        <f t="shared" si="24"/>
        <v>26</v>
      </c>
      <c r="K62" s="39">
        <f t="shared" si="24"/>
        <v>4056000</v>
      </c>
      <c r="L62" s="90">
        <f t="shared" si="31"/>
        <v>390000</v>
      </c>
      <c r="M62" s="222">
        <f t="shared" si="25"/>
        <v>4446000</v>
      </c>
      <c r="N62" s="40">
        <f t="shared" si="26"/>
        <v>324480</v>
      </c>
      <c r="O62" s="40">
        <f t="shared" si="27"/>
        <v>60840</v>
      </c>
      <c r="P62" s="40">
        <f t="shared" si="28"/>
        <v>40560</v>
      </c>
      <c r="Q62" s="220">
        <f t="shared" si="29"/>
        <v>4020120</v>
      </c>
      <c r="R62" s="220">
        <f t="shared" si="30"/>
        <v>0</v>
      </c>
      <c r="S62" s="223">
        <f t="shared" si="32"/>
        <v>4020120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7</v>
      </c>
      <c r="B63" s="215" t="s">
        <v>81</v>
      </c>
      <c r="C63" s="216" t="str">
        <f t="shared" si="19"/>
        <v>Nguyễn Thiện Duyệt</v>
      </c>
      <c r="D63" s="217" t="str">
        <f t="shared" si="20"/>
        <v>XNK</v>
      </c>
      <c r="E63" s="218">
        <f t="shared" si="21"/>
        <v>4840000</v>
      </c>
      <c r="F63" s="219">
        <f>VLOOKUP(B63,'CC - 06'!$B$91:$AN$104,36,0)</f>
        <v>26</v>
      </c>
      <c r="G63" s="220">
        <f t="shared" si="22"/>
        <v>4840000</v>
      </c>
      <c r="H63" s="92">
        <f>(VLOOKUP(B63,'CC - 06'!B$91:AS$104,37,0)+VLOOKUP(B63,'CC - 06'!B$91:AS$104,38,0))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4840000</v>
      </c>
      <c r="L63" s="90">
        <f t="shared" si="31"/>
        <v>390000</v>
      </c>
      <c r="M63" s="222">
        <f t="shared" si="25"/>
        <v>5230000</v>
      </c>
      <c r="N63" s="40">
        <f t="shared" si="26"/>
        <v>387200</v>
      </c>
      <c r="O63" s="40">
        <f t="shared" si="27"/>
        <v>72600</v>
      </c>
      <c r="P63" s="40">
        <f t="shared" si="28"/>
        <v>48400</v>
      </c>
      <c r="Q63" s="220">
        <f t="shared" si="29"/>
        <v>4721800</v>
      </c>
      <c r="R63" s="220">
        <f t="shared" si="30"/>
        <v>0</v>
      </c>
      <c r="S63" s="223">
        <f t="shared" si="32"/>
        <v>4721800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8</v>
      </c>
      <c r="B64" s="215" t="s">
        <v>192</v>
      </c>
      <c r="C64" s="216" t="str">
        <f>VLOOKUP(B64,DS,2,0)</f>
        <v>Trần Đình Thái</v>
      </c>
      <c r="D64" s="217" t="str">
        <f>VLOOKUP(B64,DS,3,0)</f>
        <v>Cơ Điện</v>
      </c>
      <c r="E64" s="218">
        <f>VLOOKUP(B64,DS,4,0)</f>
        <v>3568000</v>
      </c>
      <c r="F64" s="219">
        <f>VLOOKUP(B64,'CC - 06'!$B$91:$AN$106,36,0)</f>
        <v>26</v>
      </c>
      <c r="G64" s="220">
        <f>ROUND(E64/$U$2*F64,0)</f>
        <v>3568000</v>
      </c>
      <c r="H64" s="92">
        <f>(VLOOKUP(B64,'CC - 06'!B$91:AS$106,37,0)+VLOOKUP(B64,'CC - 06'!B$91:AS$106,38,0))</f>
        <v>0</v>
      </c>
      <c r="I64" s="220">
        <f>ROUND(E64/$U$2*H64,0)</f>
        <v>0</v>
      </c>
      <c r="J64" s="221">
        <f>F64+H64</f>
        <v>26</v>
      </c>
      <c r="K64" s="39">
        <f>G64+I64</f>
        <v>3568000</v>
      </c>
      <c r="L64" s="90">
        <f>+F64*15000</f>
        <v>390000</v>
      </c>
      <c r="M64" s="222">
        <f>K64+SUM(L64:L64)</f>
        <v>3958000</v>
      </c>
      <c r="N64" s="40">
        <f>IF(VLOOKUP(B64,DS,14,0)="x",E64*$N$4,0)</f>
        <v>285440</v>
      </c>
      <c r="O64" s="40">
        <f>IF(VLOOKUP(B64,DS,14,0)="x",E64*$O$4,0)</f>
        <v>53520</v>
      </c>
      <c r="P64" s="40">
        <f>IF(VLOOKUP(B64,DS,14,0)="x",E64*$P$4,0)</f>
        <v>35680</v>
      </c>
      <c r="Q64" s="220">
        <f>M64-SUM(N64:P64)</f>
        <v>3583360</v>
      </c>
      <c r="R64" s="220">
        <f>VLOOKUP(B64,DS,23,0)</f>
        <v>0</v>
      </c>
      <c r="S64" s="223">
        <f>Q64-R64</f>
        <v>3583360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26" s="225" customFormat="1" ht="22.5" customHeight="1">
      <c r="A65" s="226"/>
      <c r="B65" s="226"/>
      <c r="C65" s="227"/>
      <c r="D65" s="228"/>
      <c r="E65" s="229"/>
      <c r="F65" s="229"/>
      <c r="G65" s="229"/>
      <c r="H65" s="229"/>
      <c r="I65" s="229"/>
      <c r="J65" s="230"/>
      <c r="K65" s="229"/>
      <c r="L65" s="229"/>
      <c r="M65" s="313"/>
      <c r="N65" s="229"/>
      <c r="O65" s="229"/>
      <c r="P65" s="229"/>
      <c r="Q65" s="229"/>
      <c r="R65" s="229"/>
      <c r="S65" s="229"/>
      <c r="T65" s="220"/>
      <c r="U65" s="182"/>
      <c r="V65" s="224"/>
      <c r="W65" s="224"/>
      <c r="X65" s="224"/>
      <c r="Y65" s="224"/>
      <c r="Z65" s="224"/>
    </row>
    <row r="66" spans="1:26" s="234" customFormat="1" ht="21" customHeight="1">
      <c r="A66" s="456" t="s">
        <v>25</v>
      </c>
      <c r="B66" s="457"/>
      <c r="C66" s="457"/>
      <c r="D66" s="457"/>
      <c r="E66" s="231">
        <f>SUM(E57:E65)</f>
        <v>40937000</v>
      </c>
      <c r="F66" s="231"/>
      <c r="G66" s="231">
        <f t="shared" ref="G66:S66" si="33">SUM(G57:G65)</f>
        <v>39267615</v>
      </c>
      <c r="H66" s="231">
        <f t="shared" si="33"/>
        <v>0</v>
      </c>
      <c r="I66" s="231">
        <f t="shared" si="33"/>
        <v>0</v>
      </c>
      <c r="J66" s="231">
        <f t="shared" si="33"/>
        <v>204</v>
      </c>
      <c r="K66" s="232">
        <f t="shared" si="33"/>
        <v>39267615</v>
      </c>
      <c r="L66" s="232">
        <f t="shared" si="33"/>
        <v>3060000</v>
      </c>
      <c r="M66" s="232">
        <f t="shared" si="33"/>
        <v>42327615</v>
      </c>
      <c r="N66" s="232">
        <f t="shared" si="33"/>
        <v>3274960</v>
      </c>
      <c r="O66" s="232">
        <f t="shared" si="33"/>
        <v>614055</v>
      </c>
      <c r="P66" s="232">
        <f t="shared" si="33"/>
        <v>409370</v>
      </c>
      <c r="Q66" s="232">
        <f t="shared" si="33"/>
        <v>38029230</v>
      </c>
      <c r="R66" s="232">
        <f t="shared" si="33"/>
        <v>0</v>
      </c>
      <c r="S66" s="232">
        <f t="shared" si="33"/>
        <v>38029230</v>
      </c>
      <c r="T66" s="232"/>
      <c r="U66" s="182"/>
      <c r="V66" s="233">
        <f>S66+S36</f>
        <v>117268365</v>
      </c>
      <c r="W66" s="233"/>
      <c r="X66" s="233"/>
      <c r="Y66" s="233"/>
      <c r="Z66" s="233"/>
    </row>
    <row r="67" spans="1:26" s="242" customFormat="1" ht="13.5" customHeight="1">
      <c r="A67" s="235"/>
      <c r="B67" s="235"/>
      <c r="C67" s="236"/>
      <c r="D67" s="237"/>
      <c r="E67" s="238"/>
      <c r="F67" s="236"/>
      <c r="G67" s="236"/>
      <c r="H67" s="236"/>
      <c r="I67" s="236"/>
      <c r="J67" s="239"/>
      <c r="K67" s="236"/>
      <c r="L67" s="236"/>
      <c r="M67" s="240"/>
      <c r="N67" s="236"/>
      <c r="O67" s="236"/>
      <c r="P67" s="236"/>
      <c r="Q67" s="236"/>
      <c r="R67" s="236"/>
      <c r="S67" s="236"/>
      <c r="T67" s="236"/>
      <c r="U67" s="182"/>
      <c r="V67" s="241"/>
      <c r="W67" s="241"/>
      <c r="X67" s="241"/>
      <c r="Y67" s="241"/>
      <c r="Z67" s="241"/>
    </row>
    <row r="68" spans="1:26" s="225" customFormat="1" ht="17.25" customHeight="1">
      <c r="A68" s="243"/>
      <c r="B68" s="243"/>
      <c r="C68" s="243"/>
      <c r="D68" s="244"/>
      <c r="E68" s="245"/>
      <c r="F68" s="243"/>
      <c r="G68" s="243"/>
      <c r="H68" s="243"/>
      <c r="I68" s="243"/>
      <c r="J68" s="246"/>
      <c r="K68" s="245"/>
      <c r="L68" s="243"/>
      <c r="M68" s="243"/>
      <c r="N68" s="243"/>
      <c r="O68" s="243"/>
      <c r="P68" s="243"/>
      <c r="Q68" s="243"/>
      <c r="R68" s="243"/>
      <c r="S68" s="247" t="str">
        <f>$S$38</f>
        <v>Long An, ngày  30   tháng   06   năm 2016</v>
      </c>
      <c r="T68" s="243"/>
      <c r="U68" s="248"/>
      <c r="V68" s="224"/>
      <c r="W68" s="224"/>
      <c r="X68" s="224"/>
      <c r="Y68" s="224"/>
      <c r="Z68" s="224"/>
    </row>
    <row r="69" spans="1:26" s="225" customFormat="1" ht="12.75">
      <c r="A69" s="249"/>
      <c r="B69" s="249"/>
      <c r="C69" s="248" t="s">
        <v>60</v>
      </c>
      <c r="D69" s="250"/>
      <c r="E69" s="202"/>
      <c r="F69" s="248"/>
      <c r="G69" s="202"/>
      <c r="H69" s="202"/>
      <c r="I69" s="202"/>
      <c r="J69" s="251"/>
      <c r="K69" s="224"/>
      <c r="L69" s="252"/>
      <c r="M69" s="260"/>
      <c r="N69" s="253"/>
      <c r="O69" s="253"/>
      <c r="P69" s="253"/>
      <c r="Q69" s="253"/>
      <c r="S69" s="253" t="s">
        <v>22</v>
      </c>
      <c r="T69" s="248"/>
      <c r="U69" s="248"/>
      <c r="V69" s="224"/>
      <c r="W69" s="224"/>
      <c r="X69" s="224"/>
      <c r="Y69" s="224"/>
      <c r="Z69" s="224"/>
    </row>
    <row r="70" spans="1:26" s="242" customFormat="1" ht="12">
      <c r="A70" s="235"/>
      <c r="B70" s="235"/>
      <c r="C70" s="254"/>
      <c r="D70" s="254"/>
      <c r="E70" s="255"/>
      <c r="F70" s="185"/>
      <c r="G70" s="255"/>
      <c r="H70" s="255"/>
      <c r="I70" s="255"/>
      <c r="J70" s="239"/>
      <c r="K70" s="241"/>
      <c r="L70" s="256"/>
      <c r="N70" s="257"/>
      <c r="O70" s="257"/>
      <c r="P70" s="257"/>
      <c r="Q70" s="257"/>
      <c r="S70" s="257"/>
      <c r="T70" s="185"/>
      <c r="U70" s="182"/>
      <c r="V70" s="241"/>
      <c r="W70" s="241"/>
      <c r="X70" s="241"/>
      <c r="Y70" s="241"/>
      <c r="Z70" s="241"/>
    </row>
  </sheetData>
  <protectedRanges>
    <protectedRange password="CC78" sqref="V35:IK36 A10:B11 L35 C5:D7 B39:C39 V5:W9 A35:A40 B35:B38 B40 A71:A101 V12:W12 Q5:T7 AF5:IK12 L36:T36 V27:W27 E5:I6 D36:I36 N5:P6 L5 Q10:S11 L55 L39 J6:K7 L7 L53 AF27:IK27 A42:A48 N35:S35 W42:IK48 W10:W11 C71:IK101 J35:K36 A102:IK65369 C42:T48 V42:V52 H54:I54 B42:B101" name="Range1"/>
    <protectedRange password="CC78" sqref="F7:H7 H55" name="Range1_4"/>
    <protectedRange password="CC78" sqref="V39:IK40 S39:T40 N39:Q40 E39:I40" name="Range1_1_1"/>
    <protectedRange password="CC78" sqref="U1 W1:IK3 V4:IK4 B4:T4 U4:U12 X5:AE12 U27 X27:AE27 B1:Q3 R2:S3 U35:U5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5:IK66 L65 C53:D55 B69:C69 V53:W56 A65:A70 B65:B68 B70 N53:P54 Q53:T55 K65:K66 L66:T66 E53:I53 D66:J66 J65 J54:K55 L69 N65:S65 E54:G54 AF53:IK64 W57:W64 Q57:S64 A57:B64" name="Range1_3"/>
    <protectedRange password="CC78" sqref="F55:G55" name="Range1_4_2"/>
    <protectedRange password="CC78" sqref="V69:IK70 N69:Q70 S69:T70 E69:I70" name="Range1_1_1_1"/>
    <protectedRange password="CC78" sqref="W49:IK52 B52:T52 B49:Q51 R50:S51 U53:U70 X53:AE64" name="Range1_2_2"/>
    <protectedRange password="CC78" sqref="V57:V64" name="Range1_1_2"/>
    <protectedRange password="CC78" sqref="A49" name="Range1_2_1_1_1"/>
    <protectedRange password="CC78" sqref="I55" name="Range1_4_1_1"/>
    <protectedRange password="CC78" sqref="Q13:S26 W13:W26 AF13:IK26 A13:B15 AF28:IK34 B28:B34 W28:W34 Q28:S34 B16:B26 A16:A34" name="Range1_5"/>
    <protectedRange password="CC78" sqref="U13:U26 X13:AE26 X28:AE34 U28:U34" name="Range1_2_3"/>
    <protectedRange password="CC78" sqref="V13:V26 V28:V34" name="Range1_1_3"/>
    <protectedRange password="CC78" sqref="K10:K11 K57:K64 K13:K26 K28:K34" name="Range1_6"/>
    <protectedRange password="CC78" sqref="A2:A3 A50:A51" name="Range1_2_1_3"/>
  </protectedRanges>
  <autoFilter ref="A7:AE10"/>
  <mergeCells count="46">
    <mergeCell ref="A66:D66"/>
    <mergeCell ref="S53:S55"/>
    <mergeCell ref="T53:T55"/>
    <mergeCell ref="F54:G54"/>
    <mergeCell ref="H54:I54"/>
    <mergeCell ref="J54:J55"/>
    <mergeCell ref="K54:K55"/>
    <mergeCell ref="N54:N55"/>
    <mergeCell ref="O54:O55"/>
    <mergeCell ref="P54:P55"/>
    <mergeCell ref="F53:K53"/>
    <mergeCell ref="L53:L55"/>
    <mergeCell ref="M53:M55"/>
    <mergeCell ref="N53:P53"/>
    <mergeCell ref="Q53:Q55"/>
    <mergeCell ref="R53:R55"/>
    <mergeCell ref="O6:O7"/>
    <mergeCell ref="P6:P7"/>
    <mergeCell ref="A36:D36"/>
    <mergeCell ref="D49:Q49"/>
    <mergeCell ref="R49:T49"/>
    <mergeCell ref="F6:G6"/>
    <mergeCell ref="H6:I6"/>
    <mergeCell ref="J6:J7"/>
    <mergeCell ref="K6:K7"/>
    <mergeCell ref="A53:A55"/>
    <mergeCell ref="B53:B55"/>
    <mergeCell ref="C53:C55"/>
    <mergeCell ref="D53:D55"/>
    <mergeCell ref="E53:E55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7"/>
  <sheetViews>
    <sheetView zoomScaleNormal="115" workbookViewId="0">
      <pane xSplit="3" ySplit="6" topLeftCell="I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8" sqref="A78:AS10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6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>
        <f>AI5+1</f>
        <v>42582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T.Sáu</v>
      </c>
      <c r="G6" s="302" t="str">
        <f t="shared" ref="G6:AJ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 t="str">
        <f t="shared" si="1"/>
        <v>C.Nhật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2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17">
        <f>((SUM(F9:AJ9))/8)-(SUMIF($F$6:$AJ$6,"C.Nhật",F9:AJ9)/8)</f>
        <v>26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26</v>
      </c>
      <c r="AO9" s="421">
        <v>0</v>
      </c>
      <c r="AP9" s="407"/>
      <c r="AQ9" s="407"/>
      <c r="AR9" s="407"/>
      <c r="AS9" s="409"/>
      <c r="AT9" s="32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32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17">
        <f>((SUM(F11:AJ11))/8)-(SUMIF($F$6:$AJ$6,"C.Nhật",F11:AJ11)/8)</f>
        <v>26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26</v>
      </c>
      <c r="AO11" s="421">
        <v>0</v>
      </c>
      <c r="AP11" s="407"/>
      <c r="AQ11" s="407"/>
      <c r="AR11" s="407"/>
      <c r="AS11" s="409"/>
      <c r="AT11" s="3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3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17">
        <f>((SUM(F14:AJ14))/8)-(SUMIF($F$6:$AJ$6,"C.Nhật",F14:AJ14)/8)</f>
        <v>26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26</v>
      </c>
      <c r="AO14" s="421">
        <v>0</v>
      </c>
      <c r="AP14" s="407"/>
      <c r="AQ14" s="407"/>
      <c r="AR14" s="407"/>
      <c r="AS14" s="409"/>
      <c r="AT14" s="32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32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17">
        <f>((SUM(F16:AJ16))/8)-(SUMIF($F$6:$AJ$6,"C.Nhật",F16:AJ16)/8)</f>
        <v>26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26</v>
      </c>
      <c r="AO16" s="421">
        <v>0</v>
      </c>
      <c r="AP16" s="407"/>
      <c r="AQ16" s="407"/>
      <c r="AR16" s="407"/>
      <c r="AS16" s="409"/>
      <c r="AT16" s="32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32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4" si="2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17">
        <f>((SUM(F18:AJ18))/8)-(SUMIF($F$6:$AJ$6,"C.Nhật",F18:AJ18)/8)</f>
        <v>26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26</v>
      </c>
      <c r="AO18" s="421">
        <v>0</v>
      </c>
      <c r="AP18" s="407"/>
      <c r="AQ18" s="407"/>
      <c r="AR18" s="407"/>
      <c r="AS18" s="409"/>
      <c r="AT18" s="3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3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17">
        <f>((SUM(F20:AJ20))/8)-(SUMIF($F$6:$AJ$6,"C.Nhật",F20:AJ20)/8)</f>
        <v>26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26</v>
      </c>
      <c r="AO20" s="421">
        <v>0</v>
      </c>
      <c r="AP20" s="407"/>
      <c r="AQ20" s="407"/>
      <c r="AR20" s="407"/>
      <c r="AS20" s="409"/>
      <c r="AT20" s="3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3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17">
        <f>((SUM(F22:AJ22))/8)-(SUMIF($F$6:$AJ$6,"C.Nhật",F22:AJ22)/8)</f>
        <v>26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26</v>
      </c>
      <c r="AO22" s="421">
        <v>0</v>
      </c>
      <c r="AP22" s="407"/>
      <c r="AQ22" s="407"/>
      <c r="AR22" s="407"/>
      <c r="AS22" s="409"/>
      <c r="AT22" s="3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3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 t="shared" si="2"/>
        <v>8</v>
      </c>
      <c r="B24" s="411" t="s">
        <v>93</v>
      </c>
      <c r="C24" s="413" t="str">
        <f>VLOOKUP(B24,DS,2,0)</f>
        <v>Lý La Quan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17">
        <f>((SUM(F24:AJ24))/8)-(SUMIF($F$6:$AJ$6,"C.Nhật",F24:AJ24)/8)</f>
        <v>26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26</v>
      </c>
      <c r="AO24" s="421">
        <v>0</v>
      </c>
      <c r="AP24" s="407"/>
      <c r="AQ24" s="407"/>
      <c r="AR24" s="407"/>
      <c r="AS24" s="409"/>
      <c r="AT24" s="3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3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94</v>
      </c>
      <c r="C26" s="413" t="str">
        <f>VLOOKUP(B26,DS,2,0)</f>
        <v>Trà Thị Soi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17">
        <f>((SUM(F26:AJ26))/8)-(SUMIF($F$6:$AJ$6,"C.Nhật",F26:AJ26)/8)</f>
        <v>26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26</v>
      </c>
      <c r="AO26" s="421">
        <v>0</v>
      </c>
      <c r="AP26" s="407"/>
      <c r="AQ26" s="407"/>
      <c r="AR26" s="407"/>
      <c r="AS26" s="409"/>
      <c r="AT26" s="3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3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100</v>
      </c>
      <c r="C28" s="413" t="str">
        <f>VLOOKUP(B28,DS,2,0)</f>
        <v>Sơn Thị Chành Đa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17">
        <f>((SUM(F28:AJ28))/8)-(SUMIF($F$6:$AJ$6,"C.Nhật",F28:AJ28)/8)</f>
        <v>26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26</v>
      </c>
      <c r="AO28" s="421">
        <v>0</v>
      </c>
      <c r="AP28" s="407"/>
      <c r="AQ28" s="407"/>
      <c r="AR28" s="407"/>
      <c r="AS28" s="409"/>
      <c r="AT28" s="32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32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101</v>
      </c>
      <c r="C30" s="413" t="str">
        <f>VLOOKUP(B30,DS,2,0)</f>
        <v>Trần Thị Bích Phượng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17">
        <f>((SUM(F30:AJ30))/8)-(SUMIF($F$6:$AJ$6,"C.Nhật",F30:AJ30)/8)</f>
        <v>26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26</v>
      </c>
      <c r="AO30" s="421">
        <v>0</v>
      </c>
      <c r="AP30" s="407"/>
      <c r="AQ30" s="407"/>
      <c r="AR30" s="407"/>
      <c r="AS30" s="409"/>
      <c r="AT30" s="32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32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102</v>
      </c>
      <c r="C32" s="413" t="str">
        <f>VLOOKUP(B32,DS,2,0)</f>
        <v>Sơn Thị Trường Sa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17">
        <f>((SUM(F32:AJ32))/8)-(SUMIF($F$6:$AJ$6,"C.Nhật",F32:AJ32)/8)</f>
        <v>26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26</v>
      </c>
      <c r="AO32" s="421">
        <v>0</v>
      </c>
      <c r="AP32" s="407"/>
      <c r="AQ32" s="407"/>
      <c r="AR32" s="407"/>
      <c r="AS32" s="409"/>
      <c r="AT32" s="32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32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103</v>
      </c>
      <c r="C34" s="413" t="str">
        <f>VLOOKUP(B34,DS,2,0)</f>
        <v>Lý Thị Sà Kha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17">
        <f>((SUM(F34:AJ34))/8)-(SUMIF($F$6:$AJ$6,"C.Nhật",F34:AJ34)/8)</f>
        <v>26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26</v>
      </c>
      <c r="AO34" s="421">
        <v>0</v>
      </c>
      <c r="AP34" s="407"/>
      <c r="AQ34" s="407"/>
      <c r="AR34" s="407"/>
      <c r="AS34" s="409"/>
      <c r="AT34" s="32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32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411">
        <f>A34+1</f>
        <v>14</v>
      </c>
      <c r="B36" s="411" t="s">
        <v>104</v>
      </c>
      <c r="C36" s="413" t="str">
        <f>VLOOKUP(B36,DS,2,0)</f>
        <v xml:space="preserve"> Lâm Thị Mộng Thường</v>
      </c>
      <c r="D36" s="415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17">
        <f>((SUM(F36:AJ36))/8)-(SUMIF($F$6:$AJ$6,"C.Nhật",F36:AJ36)/8)</f>
        <v>26</v>
      </c>
      <c r="AL36" s="417">
        <f>SUM(F37:AI37)/8*1.5</f>
        <v>0</v>
      </c>
      <c r="AM36" s="419">
        <f>SUMIF($F$6:$AI$6,"C.Nhật",$F36:$AI37)/8*2</f>
        <v>0</v>
      </c>
      <c r="AN36" s="407">
        <f>SUM(AK36:AM37)</f>
        <v>26</v>
      </c>
      <c r="AO36" s="421">
        <v>0</v>
      </c>
      <c r="AP36" s="407"/>
      <c r="AQ36" s="407"/>
      <c r="AR36" s="407"/>
      <c r="AS36" s="409"/>
      <c r="AT36" s="32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412"/>
      <c r="B37" s="412"/>
      <c r="C37" s="414"/>
      <c r="D37" s="416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18"/>
      <c r="AL37" s="418"/>
      <c r="AM37" s="420"/>
      <c r="AN37" s="408"/>
      <c r="AO37" s="422"/>
      <c r="AP37" s="408"/>
      <c r="AQ37" s="408"/>
      <c r="AR37" s="408"/>
      <c r="AS37" s="410"/>
      <c r="AT37" s="32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308" customFormat="1" ht="21" customHeight="1">
      <c r="A38" s="306" t="s">
        <v>187</v>
      </c>
      <c r="B38" s="309" t="s">
        <v>188</v>
      </c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  <c r="AG38" s="310"/>
      <c r="AH38" s="310"/>
      <c r="AI38" s="310"/>
      <c r="AJ38" s="310"/>
      <c r="AK38" s="310"/>
      <c r="AL38" s="310"/>
      <c r="AM38" s="310"/>
      <c r="AN38" s="310"/>
      <c r="AO38" s="310"/>
      <c r="AP38" s="310"/>
      <c r="AQ38" s="310"/>
      <c r="AR38" s="310"/>
      <c r="AS38" s="311"/>
      <c r="AT38" s="307"/>
    </row>
    <row r="39" spans="1:90" s="67" customFormat="1" ht="18" customHeight="1">
      <c r="A39" s="411">
        <f>A36+1</f>
        <v>15</v>
      </c>
      <c r="B39" s="411" t="s">
        <v>113</v>
      </c>
      <c r="C39" s="413" t="str">
        <f>VLOOKUP(B39,DS,2,0)</f>
        <v>Nguyễn Văn Bé Hai</v>
      </c>
      <c r="D39" s="415" t="str">
        <f>VLOOKUP(B39,DS,3,0)</f>
        <v>Công nhân</v>
      </c>
      <c r="E39" s="68" t="s">
        <v>32</v>
      </c>
      <c r="F39" s="171">
        <v>8</v>
      </c>
      <c r="G39" s="171">
        <v>8</v>
      </c>
      <c r="H39" s="171"/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/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/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/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17">
        <f>((SUM(F39:AJ39))/8)-(SUMIF($F$6:$AJ$6,"C.Nhật",F39:AJ39)/8)</f>
        <v>26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26</v>
      </c>
      <c r="AO39" s="421">
        <v>0</v>
      </c>
      <c r="AP39" s="407"/>
      <c r="AQ39" s="407"/>
      <c r="AR39" s="407"/>
      <c r="AS39" s="409"/>
      <c r="AT39" s="32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18"/>
      <c r="AL40" s="418"/>
      <c r="AM40" s="420"/>
      <c r="AN40" s="408"/>
      <c r="AO40" s="422"/>
      <c r="AP40" s="408"/>
      <c r="AQ40" s="408"/>
      <c r="AR40" s="408"/>
      <c r="AS40" s="410"/>
      <c r="AT40" s="32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114</v>
      </c>
      <c r="C41" s="413" t="str">
        <f>VLOOKUP(B41,DS,2,0)</f>
        <v>Thạch Tiền</v>
      </c>
      <c r="D41" s="415" t="str">
        <f>VLOOKUP(B41,DS,3,0)</f>
        <v>Công nhân</v>
      </c>
      <c r="E41" s="68" t="s">
        <v>32</v>
      </c>
      <c r="F41" s="171">
        <v>8</v>
      </c>
      <c r="G41" s="171">
        <v>8</v>
      </c>
      <c r="H41" s="171"/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/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/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/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17">
        <f>((SUM(F41:AJ41))/8)-(SUMIF($F$6:$AJ$6,"C.Nhật",F41:AJ41)/8)</f>
        <v>26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26</v>
      </c>
      <c r="AO41" s="421">
        <v>0</v>
      </c>
      <c r="AP41" s="407"/>
      <c r="AQ41" s="407"/>
      <c r="AR41" s="407"/>
      <c r="AS41" s="409"/>
      <c r="AT41" s="329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18"/>
      <c r="AL42" s="418"/>
      <c r="AM42" s="420"/>
      <c r="AN42" s="408"/>
      <c r="AO42" s="422"/>
      <c r="AP42" s="408"/>
      <c r="AQ42" s="408"/>
      <c r="AR42" s="408"/>
      <c r="AS42" s="410"/>
      <c r="AT42" s="329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118</v>
      </c>
      <c r="C43" s="413" t="str">
        <f>VLOOKUP(B43,DS,2,0)</f>
        <v>Trần Nhiên</v>
      </c>
      <c r="D43" s="415" t="str">
        <f>VLOOKUP(B43,DS,3,0)</f>
        <v>Công nhân</v>
      </c>
      <c r="E43" s="68" t="s">
        <v>32</v>
      </c>
      <c r="F43" s="171">
        <v>8</v>
      </c>
      <c r="G43" s="171">
        <v>8</v>
      </c>
      <c r="H43" s="171"/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/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/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/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17">
        <f>((SUM(F43:AJ43))/8)-(SUMIF($F$6:$AJ$6,"C.Nhật",F43:AJ43)/8)</f>
        <v>26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26</v>
      </c>
      <c r="AO43" s="421">
        <v>0</v>
      </c>
      <c r="AP43" s="407"/>
      <c r="AQ43" s="407"/>
      <c r="AR43" s="407"/>
      <c r="AS43" s="409"/>
      <c r="AT43" s="32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18"/>
      <c r="AL44" s="418"/>
      <c r="AM44" s="420"/>
      <c r="AN44" s="408"/>
      <c r="AO44" s="422"/>
      <c r="AP44" s="408"/>
      <c r="AQ44" s="408"/>
      <c r="AR44" s="408"/>
      <c r="AS44" s="410"/>
      <c r="AT44" s="32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119</v>
      </c>
      <c r="C45" s="413" t="str">
        <f>VLOOKUP(B45,DS,2,0)</f>
        <v>Thạch Giang</v>
      </c>
      <c r="D45" s="415" t="str">
        <f>VLOOKUP(B45,DS,3,0)</f>
        <v>Công nhân</v>
      </c>
      <c r="E45" s="68" t="s">
        <v>32</v>
      </c>
      <c r="F45" s="171">
        <v>8</v>
      </c>
      <c r="G45" s="171">
        <v>8</v>
      </c>
      <c r="H45" s="171"/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/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/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/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17">
        <f>((SUM(F45:AJ45))/8)-(SUMIF($F$6:$AJ$6,"C.Nhật",F45:AJ45)/8)</f>
        <v>26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26</v>
      </c>
      <c r="AO45" s="421">
        <v>0</v>
      </c>
      <c r="AP45" s="407"/>
      <c r="AQ45" s="407"/>
      <c r="AR45" s="407"/>
      <c r="AS45" s="409"/>
      <c r="AT45" s="32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18"/>
      <c r="AL46" s="418"/>
      <c r="AM46" s="420"/>
      <c r="AN46" s="408"/>
      <c r="AO46" s="422"/>
      <c r="AP46" s="408"/>
      <c r="AQ46" s="408"/>
      <c r="AR46" s="408"/>
      <c r="AS46" s="410"/>
      <c r="AT46" s="32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120</v>
      </c>
      <c r="C47" s="413" t="str">
        <f>VLOOKUP(B47,DS,2,0)</f>
        <v>Thạch Quyền</v>
      </c>
      <c r="D47" s="415" t="str">
        <f>VLOOKUP(B47,DS,3,0)</f>
        <v>Công nhân</v>
      </c>
      <c r="E47" s="68" t="s">
        <v>32</v>
      </c>
      <c r="F47" s="171">
        <v>8</v>
      </c>
      <c r="G47" s="171">
        <v>8</v>
      </c>
      <c r="H47" s="171"/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/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/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/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17">
        <f>((SUM(F47:AJ47))/8)-(SUMIF($F$6:$AJ$6,"C.Nhật",F47:AJ47)/8)</f>
        <v>26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26</v>
      </c>
      <c r="AO47" s="421">
        <v>0</v>
      </c>
      <c r="AP47" s="407"/>
      <c r="AQ47" s="407"/>
      <c r="AR47" s="407"/>
      <c r="AS47" s="409"/>
      <c r="AT47" s="32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18"/>
      <c r="AL48" s="418"/>
      <c r="AM48" s="420"/>
      <c r="AN48" s="408"/>
      <c r="AO48" s="422"/>
      <c r="AP48" s="408"/>
      <c r="AQ48" s="408"/>
      <c r="AR48" s="408"/>
      <c r="AS48" s="410"/>
      <c r="AT48" s="32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411">
        <f>A47+1</f>
        <v>20</v>
      </c>
      <c r="B49" s="411" t="s">
        <v>122</v>
      </c>
      <c r="C49" s="413" t="str">
        <f>VLOOKUP(B49,DS,2,0)</f>
        <v>Lâm Chanh Đa Ra</v>
      </c>
      <c r="D49" s="415" t="str">
        <f>VLOOKUP(B49,DS,3,0)</f>
        <v>Công nhân</v>
      </c>
      <c r="E49" s="68" t="s">
        <v>32</v>
      </c>
      <c r="F49" s="171">
        <v>8</v>
      </c>
      <c r="G49" s="171">
        <v>8</v>
      </c>
      <c r="H49" s="171"/>
      <c r="I49" s="171">
        <v>8</v>
      </c>
      <c r="J49" s="171">
        <v>8</v>
      </c>
      <c r="K49" s="171">
        <v>8</v>
      </c>
      <c r="L49" s="171">
        <v>8</v>
      </c>
      <c r="M49" s="171">
        <v>8</v>
      </c>
      <c r="N49" s="171">
        <v>8</v>
      </c>
      <c r="O49" s="171"/>
      <c r="P49" s="171">
        <v>8</v>
      </c>
      <c r="Q49" s="171">
        <v>8</v>
      </c>
      <c r="R49" s="171">
        <v>8</v>
      </c>
      <c r="S49" s="171">
        <v>8</v>
      </c>
      <c r="T49" s="171">
        <v>8</v>
      </c>
      <c r="U49" s="171">
        <v>8</v>
      </c>
      <c r="V49" s="171"/>
      <c r="W49" s="171">
        <v>8</v>
      </c>
      <c r="X49" s="171">
        <v>8</v>
      </c>
      <c r="Y49" s="171">
        <v>8</v>
      </c>
      <c r="Z49" s="171">
        <v>8</v>
      </c>
      <c r="AA49" s="171">
        <v>8</v>
      </c>
      <c r="AB49" s="171">
        <v>8</v>
      </c>
      <c r="AC49" s="171"/>
      <c r="AD49" s="171">
        <v>8</v>
      </c>
      <c r="AE49" s="171">
        <v>8</v>
      </c>
      <c r="AF49" s="171">
        <v>8</v>
      </c>
      <c r="AG49" s="171">
        <v>8</v>
      </c>
      <c r="AH49" s="171">
        <v>8</v>
      </c>
      <c r="AI49" s="171">
        <v>8</v>
      </c>
      <c r="AJ49" s="171"/>
      <c r="AK49" s="417">
        <f>((SUM(F49:AJ49))/8)-(SUMIF($F$6:$AJ$6,"C.Nhật",F49:AJ49)/8)</f>
        <v>26</v>
      </c>
      <c r="AL49" s="417">
        <f>SUM(F50:AI50)/8*1.5</f>
        <v>0</v>
      </c>
      <c r="AM49" s="419">
        <f>SUMIF($F$6:$AI$6,"C.Nhật",$F49:$AI50)/8*2</f>
        <v>0</v>
      </c>
      <c r="AN49" s="407">
        <f>SUM(AK49:AM50)</f>
        <v>26</v>
      </c>
      <c r="AO49" s="421">
        <v>0</v>
      </c>
      <c r="AP49" s="407"/>
      <c r="AQ49" s="407"/>
      <c r="AR49" s="407"/>
      <c r="AS49" s="409"/>
      <c r="AT49" s="329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412"/>
      <c r="B50" s="412"/>
      <c r="C50" s="414"/>
      <c r="D50" s="416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0"/>
      <c r="AJ50" s="320"/>
      <c r="AK50" s="418"/>
      <c r="AL50" s="418"/>
      <c r="AM50" s="420"/>
      <c r="AN50" s="408"/>
      <c r="AO50" s="422"/>
      <c r="AP50" s="408"/>
      <c r="AQ50" s="408"/>
      <c r="AR50" s="408"/>
      <c r="AS50" s="410"/>
      <c r="AT50" s="329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70" customFormat="1" ht="12.75">
      <c r="A51" s="14"/>
      <c r="B51" s="71"/>
      <c r="C51" s="4"/>
      <c r="D51" s="113"/>
      <c r="E51" s="4"/>
      <c r="F51" s="75"/>
      <c r="G51" s="75"/>
      <c r="H51" s="72"/>
      <c r="I51" s="72"/>
      <c r="J51" s="120"/>
      <c r="K51" s="75"/>
      <c r="L51" s="72"/>
      <c r="M51" s="75"/>
      <c r="N51" s="75"/>
      <c r="O51" s="75"/>
      <c r="P51" s="75"/>
      <c r="Q51" s="72"/>
      <c r="R51" s="75"/>
      <c r="S51" s="75"/>
      <c r="T51" s="120"/>
      <c r="U51" s="75"/>
      <c r="V51" s="75"/>
      <c r="W51" s="75"/>
      <c r="X51" s="71"/>
      <c r="Y51" s="75"/>
      <c r="Z51" s="75"/>
      <c r="AA51" s="75"/>
      <c r="AB51" s="75"/>
      <c r="AC51" s="75"/>
      <c r="AD51" s="72"/>
      <c r="AE51" s="75"/>
      <c r="AF51" s="75"/>
      <c r="AG51" s="75"/>
      <c r="AH51" s="75"/>
      <c r="AI51" s="75"/>
      <c r="AJ51" s="75"/>
      <c r="AK51" s="4"/>
      <c r="AL51" s="4"/>
      <c r="AM51" s="98"/>
      <c r="AN51" s="74"/>
      <c r="AO51" s="74"/>
      <c r="AP51" s="74"/>
      <c r="AQ51" s="74"/>
      <c r="AR51" s="74"/>
      <c r="AS51" s="4"/>
      <c r="AT51" s="104"/>
    </row>
    <row r="52" spans="1:90" s="70" customFormat="1" ht="12.75">
      <c r="A52" s="14"/>
      <c r="B52" s="71"/>
      <c r="C52" s="14" t="s">
        <v>14</v>
      </c>
      <c r="D52" s="113"/>
      <c r="E52" s="4"/>
      <c r="F52" s="75"/>
      <c r="G52" s="75"/>
      <c r="H52" s="72"/>
      <c r="I52" s="72"/>
      <c r="J52" s="120"/>
      <c r="K52" s="75"/>
      <c r="L52" s="72"/>
      <c r="M52" s="75"/>
      <c r="N52" s="75"/>
      <c r="O52" s="75"/>
      <c r="P52" s="75"/>
      <c r="Q52" s="72"/>
      <c r="R52" s="75"/>
      <c r="S52" s="75"/>
      <c r="T52" s="120"/>
      <c r="U52" s="75"/>
      <c r="V52" s="75"/>
      <c r="W52" s="75"/>
      <c r="X52" s="71"/>
      <c r="Y52" s="75"/>
      <c r="Z52" s="75"/>
      <c r="AA52" s="75"/>
      <c r="AB52" s="75"/>
      <c r="AC52" s="75"/>
      <c r="AD52" s="72"/>
      <c r="AE52" s="75"/>
      <c r="AF52" s="75"/>
      <c r="AG52" s="75"/>
      <c r="AH52" s="75"/>
      <c r="AI52" s="75"/>
      <c r="AJ52" s="75"/>
      <c r="AK52" s="4"/>
      <c r="AL52" s="4"/>
      <c r="AM52" s="98"/>
      <c r="AN52" s="74"/>
      <c r="AO52" s="74"/>
      <c r="AP52" s="74"/>
      <c r="AQ52" s="74"/>
      <c r="AR52" s="74"/>
      <c r="AS52" s="4"/>
      <c r="AT52" s="104"/>
    </row>
    <row r="53" spans="1:90" s="70" customFormat="1" ht="12.7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104"/>
    </row>
    <row r="54" spans="1:90" s="73" customFormat="1" ht="15" customHeight="1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90" s="73" customFormat="1" ht="11.25">
      <c r="A55" s="12"/>
      <c r="B55" s="12"/>
      <c r="C55" s="4"/>
      <c r="D55" s="113"/>
      <c r="E55" s="4"/>
      <c r="F55" s="75"/>
      <c r="G55" s="75"/>
      <c r="H55" s="121"/>
      <c r="I55" s="121"/>
      <c r="J55" s="121"/>
      <c r="K55" s="75"/>
      <c r="L55" s="121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121"/>
      <c r="AE55" s="75"/>
      <c r="AF55" s="75"/>
      <c r="AG55" s="75"/>
      <c r="AH55" s="75"/>
      <c r="AI55" s="75"/>
      <c r="AJ55" s="75"/>
      <c r="AK55" s="4"/>
      <c r="AL55" s="4"/>
      <c r="AM55" s="98"/>
      <c r="AN55" s="76"/>
      <c r="AO55" s="76"/>
      <c r="AP55" s="76"/>
      <c r="AQ55" s="76"/>
      <c r="AR55" s="76"/>
      <c r="AS55" s="4"/>
      <c r="AT55" s="4"/>
    </row>
    <row r="56" spans="1:90" s="73" customFormat="1" ht="11.25">
      <c r="A56" s="12"/>
      <c r="B56" s="12"/>
      <c r="C56" s="4"/>
      <c r="D56" s="113"/>
      <c r="E56" s="4"/>
      <c r="F56" s="75"/>
      <c r="G56" s="75"/>
      <c r="H56" s="121"/>
      <c r="I56" s="121"/>
      <c r="J56" s="121"/>
      <c r="K56" s="75"/>
      <c r="L56" s="121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121"/>
      <c r="AE56" s="75"/>
      <c r="AF56" s="75"/>
      <c r="AG56" s="75"/>
      <c r="AH56" s="75"/>
      <c r="AI56" s="75"/>
      <c r="AJ56" s="75"/>
      <c r="AK56" s="4"/>
      <c r="AL56" s="4"/>
      <c r="AM56" s="98"/>
      <c r="AN56" s="76"/>
      <c r="AO56" s="76"/>
      <c r="AP56" s="76"/>
      <c r="AQ56" s="76"/>
      <c r="AR56" s="76"/>
      <c r="AS56" s="4"/>
      <c r="AT56" s="4"/>
    </row>
    <row r="57" spans="1:90" s="73" customFormat="1" ht="11.25">
      <c r="A57" s="10"/>
      <c r="B57" s="10"/>
      <c r="C57" s="14"/>
      <c r="D57" s="114"/>
      <c r="E57" s="77"/>
      <c r="F57" s="120"/>
      <c r="G57" s="122"/>
      <c r="H57" s="72"/>
      <c r="I57" s="72"/>
      <c r="J57" s="72"/>
      <c r="K57" s="122"/>
      <c r="L57" s="72"/>
      <c r="M57" s="122"/>
      <c r="N57" s="122"/>
      <c r="O57" s="122"/>
      <c r="P57" s="122"/>
      <c r="Q57" s="72"/>
      <c r="R57" s="120"/>
      <c r="S57" s="122"/>
      <c r="T57" s="122"/>
      <c r="U57" s="72"/>
      <c r="V57" s="122"/>
      <c r="W57" s="122"/>
      <c r="X57" s="72"/>
      <c r="Y57" s="122"/>
      <c r="Z57" s="122"/>
      <c r="AA57" s="122"/>
      <c r="AB57" s="122"/>
      <c r="AC57" s="122"/>
      <c r="AD57" s="72"/>
      <c r="AE57" s="122"/>
      <c r="AF57" s="122"/>
      <c r="AG57" s="122"/>
      <c r="AH57" s="122"/>
      <c r="AI57" s="122"/>
      <c r="AJ57" s="122"/>
      <c r="AK57" s="77"/>
      <c r="AM57" s="99"/>
      <c r="AN57" s="10"/>
      <c r="AO57" s="10"/>
      <c r="AP57" s="10"/>
      <c r="AQ57" s="10"/>
      <c r="AR57" s="10"/>
      <c r="AS57" s="14"/>
      <c r="AT57" s="4"/>
    </row>
    <row r="58" spans="1:90" s="73" customFormat="1" ht="12.75">
      <c r="A58" s="2"/>
      <c r="B58" s="2" t="s">
        <v>0</v>
      </c>
      <c r="C58" s="2"/>
      <c r="D58" s="326"/>
      <c r="E58" s="2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4"/>
      <c r="AI58" s="124"/>
      <c r="AJ58" s="124"/>
      <c r="AK58" s="2"/>
      <c r="AL58" s="2"/>
      <c r="AM58" s="100"/>
      <c r="AN58" s="2"/>
      <c r="AO58" s="2"/>
      <c r="AP58" s="2"/>
      <c r="AQ58" s="2"/>
      <c r="AR58" s="2"/>
      <c r="AS58" s="2"/>
      <c r="AT58" s="4"/>
    </row>
    <row r="59" spans="1:90" s="73" customFormat="1" ht="12.75">
      <c r="A59" s="2"/>
      <c r="B59" s="2"/>
      <c r="C59" s="2" t="s">
        <v>46</v>
      </c>
      <c r="D59" s="326"/>
      <c r="E59" s="2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4"/>
      <c r="AI59" s="124"/>
      <c r="AJ59" s="124"/>
      <c r="AK59" s="2"/>
      <c r="AL59" s="2"/>
      <c r="AM59" s="100"/>
      <c r="AN59" s="2"/>
      <c r="AO59" s="2"/>
      <c r="AP59" s="2"/>
      <c r="AQ59" s="2"/>
      <c r="AR59" s="2"/>
      <c r="AS59" s="2"/>
      <c r="AT59" s="14"/>
    </row>
    <row r="60" spans="1:90" ht="15" customHeight="1">
      <c r="C60" s="2" t="s">
        <v>47</v>
      </c>
    </row>
    <row r="61" spans="1:90" ht="15" customHeight="1">
      <c r="C61" s="2" t="s">
        <v>48</v>
      </c>
    </row>
    <row r="62" spans="1:90" ht="15" customHeight="1">
      <c r="C62" s="2" t="s">
        <v>49</v>
      </c>
    </row>
    <row r="63" spans="1:90" ht="15" customHeight="1">
      <c r="C63" s="2" t="s">
        <v>50</v>
      </c>
    </row>
    <row r="64" spans="1:90" ht="15" customHeight="1">
      <c r="C64" s="2" t="s">
        <v>51</v>
      </c>
    </row>
    <row r="65" spans="1:46" ht="15" customHeight="1">
      <c r="C65" s="2" t="s">
        <v>52</v>
      </c>
    </row>
    <row r="66" spans="1:46" ht="15" customHeight="1">
      <c r="C66" s="2" t="s">
        <v>53</v>
      </c>
    </row>
    <row r="67" spans="1:46" ht="15" customHeight="1">
      <c r="C67" s="2" t="s">
        <v>54</v>
      </c>
    </row>
    <row r="78" spans="1:46" s="149" customFormat="1" ht="20.25">
      <c r="A78" s="139"/>
      <c r="B78" s="143"/>
      <c r="C78" s="143"/>
      <c r="D78" s="144"/>
      <c r="E78" s="143"/>
      <c r="F78" s="144"/>
      <c r="G78" s="144"/>
      <c r="H78" s="144"/>
      <c r="I78" s="144"/>
      <c r="J78" s="144"/>
      <c r="K78" s="145"/>
      <c r="L78" s="145"/>
      <c r="M78" s="145"/>
      <c r="N78" s="145"/>
      <c r="O78" s="145"/>
      <c r="P78" s="145"/>
      <c r="Q78" s="145"/>
      <c r="R78" s="145"/>
      <c r="S78" s="146" t="str">
        <f>S1</f>
        <v>BẢNG CHẤM CÔNG THÁNG 07 NĂM 2016</v>
      </c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453" t="s">
        <v>112</v>
      </c>
      <c r="AN78" s="454"/>
      <c r="AO78" s="454"/>
      <c r="AP78" s="454"/>
      <c r="AQ78" s="454"/>
      <c r="AR78" s="454"/>
      <c r="AS78" s="455"/>
      <c r="AT78" s="148"/>
    </row>
    <row r="79" spans="1:46" s="149" customFormat="1" ht="20.25">
      <c r="A79" s="139" t="str">
        <f>$A$2</f>
        <v>Công ty TNHH Hải sản An Lạc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7"/>
      <c r="AL79" s="147"/>
      <c r="AM79" s="150"/>
      <c r="AN79" s="151"/>
      <c r="AO79" s="151"/>
      <c r="AP79" s="151"/>
      <c r="AQ79" s="151"/>
      <c r="AR79" s="151"/>
      <c r="AS79" s="152"/>
      <c r="AT79" s="152"/>
    </row>
    <row r="80" spans="1:46" s="149" customFormat="1" ht="21" customHeight="1">
      <c r="A80" s="139" t="str">
        <f>$A$3</f>
        <v>Địa chỉ: Lô A14, đường 4A, KCN Hải Sơn, Đức Hòa, Long An</v>
      </c>
      <c r="B80" s="153"/>
      <c r="C80" s="153"/>
      <c r="D80" s="154"/>
      <c r="E80" s="154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7"/>
      <c r="AL80" s="147"/>
      <c r="AM80" s="150"/>
      <c r="AN80" s="148"/>
      <c r="AO80" s="148"/>
      <c r="AP80" s="148"/>
      <c r="AQ80" s="148"/>
      <c r="AR80" s="148"/>
      <c r="AS80" s="155"/>
      <c r="AT80" s="155"/>
    </row>
    <row r="81" spans="1:91" s="149" customFormat="1" ht="14.25" customHeight="1">
      <c r="A81" s="156"/>
      <c r="B81" s="156"/>
      <c r="C81" s="157"/>
      <c r="D81" s="158"/>
      <c r="E81" s="159">
        <f>$E$4</f>
        <v>42552</v>
      </c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1"/>
      <c r="AI81" s="161"/>
      <c r="AJ81" s="161"/>
      <c r="AK81" s="156"/>
      <c r="AL81" s="156"/>
      <c r="AM81" s="162"/>
      <c r="AN81" s="156"/>
      <c r="AO81" s="156"/>
      <c r="AP81" s="156"/>
      <c r="AQ81" s="156"/>
      <c r="AR81" s="156"/>
      <c r="AS81" s="156"/>
      <c r="AT81" s="163"/>
    </row>
    <row r="82" spans="1:91" s="165" customFormat="1" ht="18.75" customHeight="1">
      <c r="A82" s="496" t="s">
        <v>28</v>
      </c>
      <c r="B82" s="496" t="s">
        <v>3</v>
      </c>
      <c r="C82" s="496" t="s">
        <v>1</v>
      </c>
      <c r="D82" s="434" t="s">
        <v>29</v>
      </c>
      <c r="E82" s="496" t="s">
        <v>30</v>
      </c>
      <c r="F82" s="164">
        <f>+E81</f>
        <v>42552</v>
      </c>
      <c r="G82" s="164">
        <f t="shared" ref="G82:AG82" si="3">F82+1</f>
        <v>42553</v>
      </c>
      <c r="H82" s="164">
        <f t="shared" si="3"/>
        <v>42554</v>
      </c>
      <c r="I82" s="164">
        <f t="shared" si="3"/>
        <v>42555</v>
      </c>
      <c r="J82" s="164">
        <f t="shared" si="3"/>
        <v>42556</v>
      </c>
      <c r="K82" s="164">
        <f t="shared" si="3"/>
        <v>42557</v>
      </c>
      <c r="L82" s="164">
        <f t="shared" si="3"/>
        <v>42558</v>
      </c>
      <c r="M82" s="164">
        <f t="shared" si="3"/>
        <v>42559</v>
      </c>
      <c r="N82" s="164">
        <f t="shared" si="3"/>
        <v>42560</v>
      </c>
      <c r="O82" s="164">
        <f t="shared" si="3"/>
        <v>42561</v>
      </c>
      <c r="P82" s="164">
        <f t="shared" si="3"/>
        <v>42562</v>
      </c>
      <c r="Q82" s="164">
        <f t="shared" si="3"/>
        <v>42563</v>
      </c>
      <c r="R82" s="164">
        <f t="shared" si="3"/>
        <v>42564</v>
      </c>
      <c r="S82" s="164">
        <f t="shared" si="3"/>
        <v>42565</v>
      </c>
      <c r="T82" s="164">
        <f t="shared" si="3"/>
        <v>42566</v>
      </c>
      <c r="U82" s="164">
        <f t="shared" si="3"/>
        <v>42567</v>
      </c>
      <c r="V82" s="164">
        <f t="shared" si="3"/>
        <v>42568</v>
      </c>
      <c r="W82" s="164">
        <f t="shared" si="3"/>
        <v>42569</v>
      </c>
      <c r="X82" s="164">
        <f t="shared" si="3"/>
        <v>42570</v>
      </c>
      <c r="Y82" s="164">
        <f t="shared" si="3"/>
        <v>42571</v>
      </c>
      <c r="Z82" s="164">
        <f t="shared" si="3"/>
        <v>42572</v>
      </c>
      <c r="AA82" s="164">
        <f t="shared" si="3"/>
        <v>42573</v>
      </c>
      <c r="AB82" s="164">
        <f t="shared" si="3"/>
        <v>42574</v>
      </c>
      <c r="AC82" s="164">
        <f t="shared" si="3"/>
        <v>42575</v>
      </c>
      <c r="AD82" s="164">
        <f t="shared" si="3"/>
        <v>42576</v>
      </c>
      <c r="AE82" s="164">
        <f t="shared" si="3"/>
        <v>42577</v>
      </c>
      <c r="AF82" s="164">
        <f t="shared" si="3"/>
        <v>42578</v>
      </c>
      <c r="AG82" s="164">
        <f t="shared" si="3"/>
        <v>42579</v>
      </c>
      <c r="AH82" s="164">
        <f>AG82+1</f>
        <v>42580</v>
      </c>
      <c r="AI82" s="164">
        <f>AH82+1</f>
        <v>42581</v>
      </c>
      <c r="AJ82" s="164"/>
      <c r="AK82" s="441" t="s">
        <v>15</v>
      </c>
      <c r="AL82" s="442"/>
      <c r="AM82" s="443"/>
      <c r="AN82" s="432" t="s">
        <v>45</v>
      </c>
      <c r="AO82" s="432" t="s">
        <v>41</v>
      </c>
      <c r="AP82" s="432" t="s">
        <v>42</v>
      </c>
      <c r="AQ82" s="432" t="s">
        <v>43</v>
      </c>
      <c r="AR82" s="432" t="s">
        <v>44</v>
      </c>
      <c r="AS82" s="434" t="s">
        <v>0</v>
      </c>
      <c r="AT82" s="427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43.5" customHeight="1">
      <c r="A83" s="435"/>
      <c r="B83" s="435"/>
      <c r="C83" s="435"/>
      <c r="D83" s="435"/>
      <c r="E83" s="435"/>
      <c r="F83" s="322" t="str">
        <f>CHOOSE(WEEKDAY(F82),"C.Nhật","T.Hai","T.Ba","T.Tư","T.Năm","T.Sáu","T.Bảy")</f>
        <v>T.Sáu</v>
      </c>
      <c r="G83" s="322" t="str">
        <f t="shared" ref="G83:AI83" si="4">CHOOSE(WEEKDAY(G82),"C.Nhật","T.Hai","T.Ba","T.Tư","T.Năm","T.Sáu","T.Bảy")</f>
        <v>T.Bảy</v>
      </c>
      <c r="H83" s="322" t="str">
        <f t="shared" si="4"/>
        <v>C.Nhật</v>
      </c>
      <c r="I83" s="322" t="str">
        <f t="shared" si="4"/>
        <v>T.Hai</v>
      </c>
      <c r="J83" s="322" t="str">
        <f t="shared" si="4"/>
        <v>T.Ba</v>
      </c>
      <c r="K83" s="166" t="str">
        <f t="shared" si="4"/>
        <v>T.Tư</v>
      </c>
      <c r="L83" s="166" t="str">
        <f t="shared" si="4"/>
        <v>T.Năm</v>
      </c>
      <c r="M83" s="166" t="str">
        <f t="shared" si="4"/>
        <v>T.Sáu</v>
      </c>
      <c r="N83" s="166" t="str">
        <f t="shared" si="4"/>
        <v>T.Bảy</v>
      </c>
      <c r="O83" s="166" t="str">
        <f t="shared" si="4"/>
        <v>C.Nhật</v>
      </c>
      <c r="P83" s="166" t="str">
        <f t="shared" si="4"/>
        <v>T.Hai</v>
      </c>
      <c r="Q83" s="166" t="str">
        <f t="shared" si="4"/>
        <v>T.Ba</v>
      </c>
      <c r="R83" s="166" t="str">
        <f t="shared" si="4"/>
        <v>T.Tư</v>
      </c>
      <c r="S83" s="166" t="str">
        <f t="shared" si="4"/>
        <v>T.Năm</v>
      </c>
      <c r="T83" s="166" t="str">
        <f t="shared" si="4"/>
        <v>T.Sáu</v>
      </c>
      <c r="U83" s="166" t="str">
        <f t="shared" si="4"/>
        <v>T.Bảy</v>
      </c>
      <c r="V83" s="166" t="str">
        <f t="shared" si="4"/>
        <v>C.Nhật</v>
      </c>
      <c r="W83" s="166" t="str">
        <f t="shared" si="4"/>
        <v>T.Hai</v>
      </c>
      <c r="X83" s="166" t="str">
        <f t="shared" si="4"/>
        <v>T.Ba</v>
      </c>
      <c r="Y83" s="166" t="str">
        <f t="shared" si="4"/>
        <v>T.Tư</v>
      </c>
      <c r="Z83" s="166" t="str">
        <f t="shared" si="4"/>
        <v>T.Năm</v>
      </c>
      <c r="AA83" s="166" t="str">
        <f t="shared" si="4"/>
        <v>T.Sáu</v>
      </c>
      <c r="AB83" s="166" t="str">
        <f t="shared" si="4"/>
        <v>T.Bảy</v>
      </c>
      <c r="AC83" s="166" t="str">
        <f t="shared" si="4"/>
        <v>C.Nhật</v>
      </c>
      <c r="AD83" s="166" t="str">
        <f t="shared" si="4"/>
        <v>T.Hai</v>
      </c>
      <c r="AE83" s="166" t="str">
        <f t="shared" si="4"/>
        <v>T.Ba</v>
      </c>
      <c r="AF83" s="166" t="str">
        <f t="shared" si="4"/>
        <v>T.Tư</v>
      </c>
      <c r="AG83" s="166" t="str">
        <f t="shared" si="4"/>
        <v>T.Năm</v>
      </c>
      <c r="AH83" s="166" t="str">
        <f t="shared" si="4"/>
        <v>T.Sáu</v>
      </c>
      <c r="AI83" s="166" t="str">
        <f t="shared" si="4"/>
        <v>T.Bảy</v>
      </c>
      <c r="AJ83" s="166"/>
      <c r="AK83" s="167" t="s">
        <v>16</v>
      </c>
      <c r="AL83" s="167" t="s">
        <v>31</v>
      </c>
      <c r="AM83" s="168" t="s">
        <v>17</v>
      </c>
      <c r="AN83" s="433"/>
      <c r="AO83" s="433"/>
      <c r="AP83" s="433"/>
      <c r="AQ83" s="433"/>
      <c r="AR83" s="433"/>
      <c r="AS83" s="435"/>
      <c r="AT83" s="427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2.75" customHeight="1">
      <c r="A84" s="323">
        <v>1</v>
      </c>
      <c r="B84" s="323">
        <v>2</v>
      </c>
      <c r="C84" s="323">
        <v>3</v>
      </c>
      <c r="D84" s="323">
        <v>4</v>
      </c>
      <c r="E84" s="323">
        <v>5</v>
      </c>
      <c r="F84" s="323">
        <v>6</v>
      </c>
      <c r="G84" s="323">
        <v>7</v>
      </c>
      <c r="H84" s="323">
        <v>8</v>
      </c>
      <c r="I84" s="323">
        <v>9</v>
      </c>
      <c r="J84" s="323">
        <v>10</v>
      </c>
      <c r="K84" s="169">
        <v>11</v>
      </c>
      <c r="L84" s="169">
        <v>12</v>
      </c>
      <c r="M84" s="169">
        <v>13</v>
      </c>
      <c r="N84" s="169">
        <v>14</v>
      </c>
      <c r="O84" s="169">
        <v>15</v>
      </c>
      <c r="P84" s="169">
        <v>16</v>
      </c>
      <c r="Q84" s="169">
        <v>17</v>
      </c>
      <c r="R84" s="169">
        <v>18</v>
      </c>
      <c r="S84" s="169">
        <v>19</v>
      </c>
      <c r="T84" s="169">
        <v>20</v>
      </c>
      <c r="U84" s="169">
        <v>21</v>
      </c>
      <c r="V84" s="169">
        <v>22</v>
      </c>
      <c r="W84" s="169">
        <v>23</v>
      </c>
      <c r="X84" s="169">
        <v>24</v>
      </c>
      <c r="Y84" s="169">
        <v>25</v>
      </c>
      <c r="Z84" s="169">
        <v>26</v>
      </c>
      <c r="AA84" s="169">
        <v>27</v>
      </c>
      <c r="AB84" s="169">
        <v>28</v>
      </c>
      <c r="AC84" s="169">
        <v>29</v>
      </c>
      <c r="AD84" s="169">
        <v>30</v>
      </c>
      <c r="AE84" s="169">
        <v>31</v>
      </c>
      <c r="AF84" s="169">
        <v>32</v>
      </c>
      <c r="AG84" s="169">
        <v>33</v>
      </c>
      <c r="AH84" s="169">
        <v>34</v>
      </c>
      <c r="AI84" s="169">
        <v>35</v>
      </c>
      <c r="AJ84" s="169"/>
      <c r="AK84" s="169">
        <v>37</v>
      </c>
      <c r="AL84" s="169">
        <v>38</v>
      </c>
      <c r="AM84" s="169">
        <v>39</v>
      </c>
      <c r="AN84" s="169">
        <v>40</v>
      </c>
      <c r="AO84" s="169">
        <v>41</v>
      </c>
      <c r="AP84" s="169">
        <v>42</v>
      </c>
      <c r="AQ84" s="169">
        <v>43</v>
      </c>
      <c r="AR84" s="169">
        <v>44</v>
      </c>
      <c r="AS84" s="169">
        <v>45</v>
      </c>
      <c r="AT84" s="328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v>1</v>
      </c>
      <c r="B85" s="425" t="s">
        <v>68</v>
      </c>
      <c r="C85" s="413" t="str">
        <f>VLOOKUP(B85,DS,2,0)</f>
        <v>Nguyễn Thiện Duy</v>
      </c>
      <c r="D85" s="415" t="str">
        <f>VLOOKUP(B85,DS,3,0)</f>
        <v>Giám đốc</v>
      </c>
      <c r="E85" s="68" t="s">
        <v>32</v>
      </c>
      <c r="F85" s="171">
        <v>8</v>
      </c>
      <c r="G85" s="171">
        <v>8</v>
      </c>
      <c r="H85" s="171"/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/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/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/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/>
      <c r="AK85" s="417">
        <f>((SUM(F85:AJ85))/8)-(SUMIF($F$6:$AJ$6,"C.Nhật",F85:AJ85)/8)</f>
        <v>22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22</v>
      </c>
      <c r="AO85" s="423">
        <v>0</v>
      </c>
      <c r="AP85" s="428"/>
      <c r="AQ85" s="428"/>
      <c r="AR85" s="428"/>
      <c r="AS85" s="430"/>
      <c r="AT85" s="328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320"/>
      <c r="AJ86" s="320"/>
      <c r="AK86" s="418"/>
      <c r="AL86" s="418"/>
      <c r="AM86" s="420"/>
      <c r="AN86" s="408"/>
      <c r="AO86" s="424"/>
      <c r="AP86" s="429"/>
      <c r="AQ86" s="429"/>
      <c r="AR86" s="429"/>
      <c r="AS86" s="431"/>
      <c r="AT86" s="328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2</v>
      </c>
      <c r="B87" s="425" t="s">
        <v>70</v>
      </c>
      <c r="C87" s="413" t="str">
        <f>VLOOKUP(B87,DS,2,0)</f>
        <v>Nguyễn Văn Sẽ</v>
      </c>
      <c r="D87" s="415" t="str">
        <f>VLOOKUP(B87,DS,3,0)</f>
        <v>Kỹ Thuật</v>
      </c>
      <c r="E87" s="68" t="s">
        <v>32</v>
      </c>
      <c r="F87" s="171">
        <v>8</v>
      </c>
      <c r="G87" s="171">
        <v>8</v>
      </c>
      <c r="H87" s="171"/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/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/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/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17">
        <f>((SUM(F87:AJ87))/8)-(SUMIF($F$6:$AJ$6,"C.Nhật",F87:AJ87)/8)</f>
        <v>26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26</v>
      </c>
      <c r="AO87" s="423">
        <v>0</v>
      </c>
      <c r="AP87" s="428"/>
      <c r="AQ87" s="428"/>
      <c r="AR87" s="428"/>
      <c r="AS87" s="430"/>
      <c r="AT87" s="328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320"/>
      <c r="AJ88" s="320"/>
      <c r="AK88" s="418"/>
      <c r="AL88" s="418"/>
      <c r="AM88" s="420"/>
      <c r="AN88" s="408"/>
      <c r="AO88" s="424"/>
      <c r="AP88" s="429"/>
      <c r="AQ88" s="429"/>
      <c r="AR88" s="429"/>
      <c r="AS88" s="431"/>
      <c r="AT88" s="328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3</v>
      </c>
      <c r="B89" s="425" t="s">
        <v>72</v>
      </c>
      <c r="C89" s="413" t="str">
        <f>VLOOKUP(B89,DS,2,0)</f>
        <v>Võ Uyên Phương</v>
      </c>
      <c r="D89" s="415" t="str">
        <f>VLOOKUP(B89,DS,3,0)</f>
        <v>Kế toán</v>
      </c>
      <c r="E89" s="68" t="s">
        <v>32</v>
      </c>
      <c r="F89" s="171">
        <v>8</v>
      </c>
      <c r="G89" s="171">
        <v>8</v>
      </c>
      <c r="H89" s="171"/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/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/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/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17">
        <f>((SUM(F89:AJ89))/8)-(SUMIF($F$6:$AJ$6,"C.Nhật",F89:AJ89)/8)</f>
        <v>26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26</v>
      </c>
      <c r="AO89" s="423">
        <v>0</v>
      </c>
      <c r="AP89" s="428"/>
      <c r="AQ89" s="428"/>
      <c r="AR89" s="428"/>
      <c r="AS89" s="430"/>
      <c r="AT89" s="328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320"/>
      <c r="AJ90" s="320"/>
      <c r="AK90" s="418"/>
      <c r="AL90" s="418"/>
      <c r="AM90" s="420"/>
      <c r="AN90" s="408"/>
      <c r="AO90" s="424"/>
      <c r="AP90" s="429"/>
      <c r="AQ90" s="429"/>
      <c r="AR90" s="429"/>
      <c r="AS90" s="431"/>
      <c r="AT90" s="32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4</v>
      </c>
      <c r="B91" s="425" t="s">
        <v>75</v>
      </c>
      <c r="C91" s="413" t="str">
        <f>VLOOKUP(B91,DS,2,0)</f>
        <v>Lê Nguyễn Huy Cường</v>
      </c>
      <c r="D91" s="415" t="str">
        <f>VLOOKUP(B91,DS,3,0)</f>
        <v>XNK</v>
      </c>
      <c r="E91" s="68" t="s">
        <v>32</v>
      </c>
      <c r="F91" s="171">
        <v>8</v>
      </c>
      <c r="G91" s="171">
        <v>8</v>
      </c>
      <c r="H91" s="171"/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/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/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/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17">
        <f>((SUM(F91:AJ91))/8)-(SUMIF($F$6:$AJ$6,"C.Nhật",F91:AJ91)/8)</f>
        <v>26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26</v>
      </c>
      <c r="AO91" s="423">
        <v>0</v>
      </c>
      <c r="AP91" s="428"/>
      <c r="AQ91" s="428"/>
      <c r="AR91" s="428"/>
      <c r="AS91" s="430"/>
      <c r="AT91" s="32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0"/>
      <c r="AJ92" s="320"/>
      <c r="AK92" s="418"/>
      <c r="AL92" s="418"/>
      <c r="AM92" s="420"/>
      <c r="AN92" s="408"/>
      <c r="AO92" s="424"/>
      <c r="AP92" s="429"/>
      <c r="AQ92" s="429"/>
      <c r="AR92" s="429"/>
      <c r="AS92" s="431"/>
      <c r="AT92" s="32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5</v>
      </c>
      <c r="B93" s="425" t="s">
        <v>77</v>
      </c>
      <c r="C93" s="413" t="str">
        <f>VLOOKUP(B93,DS,2,0)</f>
        <v>Nguyễn Văn Bé Tư</v>
      </c>
      <c r="D93" s="415" t="str">
        <f>VLOOKUP(B93,DS,3,0)</f>
        <v>Tài xế</v>
      </c>
      <c r="E93" s="68" t="s">
        <v>32</v>
      </c>
      <c r="F93" s="171">
        <v>8</v>
      </c>
      <c r="G93" s="171">
        <v>8</v>
      </c>
      <c r="H93" s="171"/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/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/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/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17">
        <f>((SUM(F93:AJ93))/8)-(SUMIF($F$6:$AJ$6,"C.Nhật",F93:AJ93)/8)</f>
        <v>26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26</v>
      </c>
      <c r="AO93" s="423">
        <v>0</v>
      </c>
      <c r="AP93" s="428"/>
      <c r="AQ93" s="428"/>
      <c r="AR93" s="428"/>
      <c r="AS93" s="430"/>
      <c r="AT93" s="32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0"/>
      <c r="AJ94" s="320"/>
      <c r="AK94" s="418"/>
      <c r="AL94" s="418"/>
      <c r="AM94" s="420"/>
      <c r="AN94" s="408"/>
      <c r="AO94" s="424"/>
      <c r="AP94" s="429"/>
      <c r="AQ94" s="429"/>
      <c r="AR94" s="429"/>
      <c r="AS94" s="431"/>
      <c r="AT94" s="32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6</v>
      </c>
      <c r="B95" s="425" t="s">
        <v>78</v>
      </c>
      <c r="C95" s="413" t="str">
        <f>VLOOKUP(B95,DS,2,0)</f>
        <v>Dương Thanh Tuấn</v>
      </c>
      <c r="D95" s="415" t="str">
        <f>VLOOKUP(B95,DS,3,0)</f>
        <v>Nhân sự</v>
      </c>
      <c r="E95" s="68" t="s">
        <v>32</v>
      </c>
      <c r="F95" s="171">
        <v>8</v>
      </c>
      <c r="G95" s="171">
        <v>8</v>
      </c>
      <c r="H95" s="171"/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/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/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/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17">
        <f>((SUM(F95:AJ95))/8)-(SUMIF($F$6:$AJ$6,"C.Nhật",F95:AJ95)/8)</f>
        <v>26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26</v>
      </c>
      <c r="AO95" s="423">
        <v>0</v>
      </c>
      <c r="AP95" s="428"/>
      <c r="AQ95" s="428"/>
      <c r="AR95" s="428"/>
      <c r="AS95" s="430"/>
      <c r="AT95" s="32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0"/>
      <c r="AJ96" s="320"/>
      <c r="AK96" s="418"/>
      <c r="AL96" s="418"/>
      <c r="AM96" s="420"/>
      <c r="AN96" s="408"/>
      <c r="AO96" s="424"/>
      <c r="AP96" s="429"/>
      <c r="AQ96" s="429"/>
      <c r="AR96" s="429"/>
      <c r="AS96" s="431"/>
      <c r="AT96" s="32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7</v>
      </c>
      <c r="B97" s="425" t="s">
        <v>81</v>
      </c>
      <c r="C97" s="413" t="str">
        <f>VLOOKUP(B97,DS,2,0)</f>
        <v>Nguyễn Thiện Duyệt</v>
      </c>
      <c r="D97" s="415" t="str">
        <f>VLOOKUP(B97,DS,3,0)</f>
        <v>XNK</v>
      </c>
      <c r="E97" s="68" t="s">
        <v>32</v>
      </c>
      <c r="F97" s="171">
        <v>8</v>
      </c>
      <c r="G97" s="171">
        <v>8</v>
      </c>
      <c r="H97" s="171"/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/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/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/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17">
        <f>((SUM(F97:AJ97))/8)-(SUMIF($F$6:$AJ$6,"C.Nhật",F97:AJ97)/8)</f>
        <v>26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26</v>
      </c>
      <c r="AO97" s="423">
        <v>0</v>
      </c>
      <c r="AP97" s="428"/>
      <c r="AQ97" s="428"/>
      <c r="AR97" s="428"/>
      <c r="AS97" s="430"/>
      <c r="AT97" s="328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0"/>
      <c r="AJ98" s="320"/>
      <c r="AK98" s="418"/>
      <c r="AL98" s="418"/>
      <c r="AM98" s="420"/>
      <c r="AN98" s="408"/>
      <c r="AO98" s="424"/>
      <c r="AP98" s="429"/>
      <c r="AQ98" s="429"/>
      <c r="AR98" s="429"/>
      <c r="AS98" s="431"/>
      <c r="AT98" s="328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25">
        <f>A97+1</f>
        <v>8</v>
      </c>
      <c r="B99" s="425" t="s">
        <v>192</v>
      </c>
      <c r="C99" s="413" t="str">
        <f>VLOOKUP(B99,DS,2,0)</f>
        <v>Trần Đình Thái</v>
      </c>
      <c r="D99" s="415" t="str">
        <f>VLOOKUP(B99,DS,3,0)</f>
        <v>Cơ Điện</v>
      </c>
      <c r="E99" s="68" t="s">
        <v>32</v>
      </c>
      <c r="F99" s="171">
        <v>8</v>
      </c>
      <c r="G99" s="171">
        <v>8</v>
      </c>
      <c r="H99" s="171"/>
      <c r="I99" s="171">
        <v>8</v>
      </c>
      <c r="J99" s="171">
        <v>8</v>
      </c>
      <c r="K99" s="171">
        <v>8</v>
      </c>
      <c r="L99" s="171">
        <v>8</v>
      </c>
      <c r="M99" s="171">
        <v>8</v>
      </c>
      <c r="N99" s="171">
        <v>8</v>
      </c>
      <c r="O99" s="171"/>
      <c r="P99" s="171">
        <v>8</v>
      </c>
      <c r="Q99" s="171">
        <v>8</v>
      </c>
      <c r="R99" s="171">
        <v>8</v>
      </c>
      <c r="S99" s="171">
        <v>8</v>
      </c>
      <c r="T99" s="171">
        <v>8</v>
      </c>
      <c r="U99" s="171">
        <v>8</v>
      </c>
      <c r="V99" s="171"/>
      <c r="W99" s="171">
        <v>8</v>
      </c>
      <c r="X99" s="171">
        <v>8</v>
      </c>
      <c r="Y99" s="171">
        <v>8</v>
      </c>
      <c r="Z99" s="171">
        <v>8</v>
      </c>
      <c r="AA99" s="171">
        <v>8</v>
      </c>
      <c r="AB99" s="171">
        <v>8</v>
      </c>
      <c r="AC99" s="171"/>
      <c r="AD99" s="171">
        <v>8</v>
      </c>
      <c r="AE99" s="171">
        <v>8</v>
      </c>
      <c r="AF99" s="171">
        <v>8</v>
      </c>
      <c r="AG99" s="171">
        <v>8</v>
      </c>
      <c r="AH99" s="171">
        <v>8</v>
      </c>
      <c r="AI99" s="171">
        <v>8</v>
      </c>
      <c r="AJ99" s="171"/>
      <c r="AK99" s="417">
        <f>((SUM(F99:AJ99))/8)-(SUMIF($F$6:$AJ$6,"C.Nhật",F99:AJ99)/8)</f>
        <v>26</v>
      </c>
      <c r="AL99" s="417">
        <f>SUM(F100:AI100)/8*1.5</f>
        <v>0</v>
      </c>
      <c r="AM99" s="419">
        <f>SUMIF($F$6:$AI$6,"C.Nhật",$F99:$AI100)/8*2</f>
        <v>0</v>
      </c>
      <c r="AN99" s="407">
        <f>SUM(AK99:AM100)</f>
        <v>26</v>
      </c>
      <c r="AO99" s="423">
        <v>0</v>
      </c>
      <c r="AP99" s="428"/>
      <c r="AQ99" s="428"/>
      <c r="AR99" s="428"/>
      <c r="AS99" s="430"/>
      <c r="AT99" s="350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26"/>
      <c r="B100" s="426"/>
      <c r="C100" s="414"/>
      <c r="D100" s="416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0"/>
      <c r="AJ100" s="320"/>
      <c r="AK100" s="418"/>
      <c r="AL100" s="418"/>
      <c r="AM100" s="420"/>
      <c r="AN100" s="408"/>
      <c r="AO100" s="424"/>
      <c r="AP100" s="429"/>
      <c r="AQ100" s="429"/>
      <c r="AR100" s="429"/>
      <c r="AS100" s="431"/>
      <c r="AT100" s="350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83" customFormat="1" ht="12.75">
      <c r="A101" s="173"/>
      <c r="B101" s="174"/>
      <c r="C101" s="175"/>
      <c r="D101" s="176"/>
      <c r="E101" s="175"/>
      <c r="F101" s="177"/>
      <c r="G101" s="177"/>
      <c r="H101" s="178"/>
      <c r="I101" s="178"/>
      <c r="J101" s="179"/>
      <c r="K101" s="177"/>
      <c r="L101" s="178"/>
      <c r="M101" s="177"/>
      <c r="N101" s="177"/>
      <c r="O101" s="177"/>
      <c r="P101" s="177"/>
      <c r="Q101" s="178"/>
      <c r="R101" s="177"/>
      <c r="S101" s="177"/>
      <c r="T101" s="179"/>
      <c r="U101" s="177"/>
      <c r="V101" s="177"/>
      <c r="W101" s="177"/>
      <c r="X101" s="174"/>
      <c r="Y101" s="177"/>
      <c r="Z101" s="177"/>
      <c r="AA101" s="177"/>
      <c r="AB101" s="177"/>
      <c r="AC101" s="177"/>
      <c r="AD101" s="178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1"/>
      <c r="AO101" s="181"/>
      <c r="AP101" s="181"/>
      <c r="AQ101" s="181"/>
      <c r="AR101" s="181"/>
      <c r="AS101" s="175"/>
      <c r="AT101" s="182"/>
    </row>
    <row r="102" spans="1:91" s="183" customFormat="1" ht="12.75">
      <c r="A102" s="173"/>
      <c r="B102" s="174"/>
      <c r="C102" s="184" t="s">
        <v>14</v>
      </c>
      <c r="D102" s="176"/>
      <c r="E102" s="175"/>
      <c r="F102" s="177"/>
      <c r="G102" s="177"/>
      <c r="H102" s="178"/>
      <c r="I102" s="178"/>
      <c r="J102" s="179"/>
      <c r="K102" s="177"/>
      <c r="L102" s="178"/>
      <c r="M102" s="177"/>
      <c r="N102" s="177"/>
      <c r="O102" s="177"/>
      <c r="P102" s="177"/>
      <c r="Q102" s="178"/>
      <c r="R102" s="177"/>
      <c r="S102" s="177"/>
      <c r="T102" s="179"/>
      <c r="U102" s="177"/>
      <c r="V102" s="177"/>
      <c r="W102" s="177"/>
      <c r="X102" s="174"/>
      <c r="Y102" s="177"/>
      <c r="Z102" s="177"/>
      <c r="AA102" s="177"/>
      <c r="AB102" s="177"/>
      <c r="AC102" s="177"/>
      <c r="AD102" s="178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1"/>
      <c r="AO102" s="181"/>
      <c r="AP102" s="181"/>
      <c r="AQ102" s="181"/>
      <c r="AR102" s="181"/>
      <c r="AS102" s="175"/>
      <c r="AT102" s="182"/>
    </row>
    <row r="103" spans="1:91" s="183" customFormat="1" ht="12.7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82"/>
    </row>
    <row r="104" spans="1:91" s="188" customFormat="1" ht="15" customHeight="1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5"/>
      <c r="B105" s="185"/>
      <c r="C105" s="175"/>
      <c r="D105" s="176"/>
      <c r="E105" s="175"/>
      <c r="F105" s="177"/>
      <c r="G105" s="177"/>
      <c r="H105" s="186"/>
      <c r="I105" s="186"/>
      <c r="J105" s="186"/>
      <c r="K105" s="177"/>
      <c r="L105" s="186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86"/>
      <c r="AE105" s="177"/>
      <c r="AF105" s="177"/>
      <c r="AG105" s="177"/>
      <c r="AH105" s="177"/>
      <c r="AI105" s="177"/>
      <c r="AJ105" s="177"/>
      <c r="AK105" s="175"/>
      <c r="AL105" s="175"/>
      <c r="AM105" s="180"/>
      <c r="AN105" s="187"/>
      <c r="AO105" s="187"/>
      <c r="AP105" s="187"/>
      <c r="AQ105" s="187"/>
      <c r="AR105" s="187"/>
      <c r="AS105" s="175"/>
      <c r="AT105" s="175"/>
    </row>
    <row r="106" spans="1:91" s="188" customFormat="1" ht="11.25">
      <c r="A106" s="185"/>
      <c r="B106" s="185"/>
      <c r="C106" s="175"/>
      <c r="D106" s="176"/>
      <c r="E106" s="175"/>
      <c r="F106" s="177"/>
      <c r="G106" s="177"/>
      <c r="H106" s="186"/>
      <c r="I106" s="186"/>
      <c r="J106" s="186"/>
      <c r="K106" s="177"/>
      <c r="L106" s="186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86"/>
      <c r="AE106" s="177"/>
      <c r="AF106" s="177"/>
      <c r="AG106" s="177"/>
      <c r="AH106" s="177"/>
      <c r="AI106" s="177"/>
      <c r="AJ106" s="177"/>
      <c r="AK106" s="175"/>
      <c r="AL106" s="175"/>
      <c r="AM106" s="180"/>
      <c r="AN106" s="187"/>
      <c r="AO106" s="187"/>
      <c r="AP106" s="187"/>
      <c r="AQ106" s="187"/>
      <c r="AR106" s="187"/>
      <c r="AS106" s="175"/>
      <c r="AT106" s="175"/>
    </row>
    <row r="107" spans="1:91" s="188" customFormat="1" ht="11.25">
      <c r="A107" s="184"/>
      <c r="B107" s="184"/>
      <c r="C107" s="173"/>
      <c r="D107" s="189"/>
      <c r="E107" s="190"/>
      <c r="F107" s="179"/>
      <c r="G107" s="191"/>
      <c r="H107" s="178"/>
      <c r="I107" s="178"/>
      <c r="J107" s="178"/>
      <c r="K107" s="191"/>
      <c r="L107" s="178"/>
      <c r="M107" s="191"/>
      <c r="N107" s="191"/>
      <c r="O107" s="191"/>
      <c r="P107" s="191"/>
      <c r="Q107" s="178"/>
      <c r="R107" s="179"/>
      <c r="S107" s="191"/>
      <c r="T107" s="191"/>
      <c r="U107" s="178"/>
      <c r="V107" s="191"/>
      <c r="W107" s="191"/>
      <c r="X107" s="178"/>
      <c r="Y107" s="191"/>
      <c r="Z107" s="191"/>
      <c r="AA107" s="191"/>
      <c r="AB107" s="191"/>
      <c r="AC107" s="191"/>
      <c r="AD107" s="178"/>
      <c r="AE107" s="191"/>
      <c r="AF107" s="191"/>
      <c r="AG107" s="191"/>
      <c r="AH107" s="191"/>
      <c r="AI107" s="191"/>
      <c r="AJ107" s="191"/>
      <c r="AK107" s="190"/>
      <c r="AM107" s="192"/>
      <c r="AN107" s="184"/>
      <c r="AO107" s="184"/>
      <c r="AP107" s="184"/>
      <c r="AQ107" s="184"/>
      <c r="AR107" s="184"/>
      <c r="AS107" s="173"/>
      <c r="AT107" s="175"/>
    </row>
    <row r="108" spans="1:91" s="188" customFormat="1" ht="12.75">
      <c r="A108" s="149"/>
      <c r="B108" s="149" t="s">
        <v>0</v>
      </c>
      <c r="C108" s="149"/>
      <c r="D108" s="193"/>
      <c r="E108" s="149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K108" s="149"/>
      <c r="AL108" s="149"/>
      <c r="AM108" s="196"/>
      <c r="AN108" s="149"/>
      <c r="AO108" s="149"/>
      <c r="AP108" s="149"/>
      <c r="AQ108" s="149"/>
      <c r="AR108" s="149"/>
      <c r="AS108" s="149"/>
      <c r="AT108" s="175"/>
    </row>
    <row r="109" spans="1:91" s="188" customFormat="1" ht="12.75">
      <c r="A109" s="149"/>
      <c r="B109" s="149"/>
      <c r="C109" s="149" t="s">
        <v>46</v>
      </c>
      <c r="D109" s="193"/>
      <c r="E109" s="149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K109" s="149"/>
      <c r="AL109" s="149"/>
      <c r="AM109" s="196"/>
      <c r="AN109" s="149"/>
      <c r="AO109" s="149"/>
      <c r="AP109" s="149"/>
      <c r="AQ109" s="149"/>
      <c r="AR109" s="149"/>
      <c r="AS109" s="149"/>
      <c r="AT109" s="173"/>
    </row>
    <row r="110" spans="1:91" s="149" customFormat="1" ht="15" customHeight="1">
      <c r="C110" s="149" t="s">
        <v>47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48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49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50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51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52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  <row r="116" spans="3:39" s="149" customFormat="1" ht="15" customHeight="1">
      <c r="C116" s="149" t="s">
        <v>53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3:39" s="149" customFormat="1" ht="15" customHeight="1">
      <c r="C117" s="149" t="s">
        <v>54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3:J56 Q51:Q52" name="Range1_1_1_1"/>
    <protectedRange password="CC78" sqref="J57" name="Range1_3_1_1"/>
    <protectedRange password="CC78" sqref="A78:A80" name="Range1_2_1_1"/>
    <protectedRange password="CC78" sqref="A85:A100" name="Range1_1_1"/>
    <protectedRange password="CC78" sqref="C85:E100 A85:A100" name="Range1_6_1"/>
    <protectedRange password="CC78" sqref="B85:B100" name="Range1_4_1"/>
    <protectedRange password="CC78" sqref="J103:J106 Q101:Q102" name="Range1_1_1_1_1"/>
    <protectedRange password="CC78" sqref="J107" name="Range1_3_1_1_1"/>
    <protectedRange password="CC78" sqref="A39:A50 A14:A37" name="Range1_1_2"/>
    <protectedRange password="CC78" sqref="A39:A50 C39:E50 C14:E37 A14:A37" name="Range1_6_2"/>
    <protectedRange password="CC78" sqref="B39:B50 B14:B37" name="Range1_4_2"/>
  </protectedRanges>
  <mergeCells count="392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M24:AM25"/>
    <mergeCell ref="AN24:AN25"/>
    <mergeCell ref="AO24:AO25"/>
    <mergeCell ref="AP24:AP25"/>
    <mergeCell ref="AQ24:AQ25"/>
    <mergeCell ref="AR24:AR25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22:A23"/>
    <mergeCell ref="B22:B23"/>
    <mergeCell ref="C22:C23"/>
    <mergeCell ref="D22:D23"/>
    <mergeCell ref="AK22:AK23"/>
    <mergeCell ref="AN28:AN29"/>
    <mergeCell ref="AO28:AO29"/>
    <mergeCell ref="AP26:AP27"/>
    <mergeCell ref="AQ26:AQ27"/>
    <mergeCell ref="AR26:AR27"/>
    <mergeCell ref="AL22:AL23"/>
    <mergeCell ref="AM22:AM23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O32:AO33"/>
    <mergeCell ref="AS43:AS44"/>
    <mergeCell ref="A43:A44"/>
    <mergeCell ref="B43:B44"/>
    <mergeCell ref="C43:C44"/>
    <mergeCell ref="D43:D44"/>
    <mergeCell ref="AK43:AK44"/>
    <mergeCell ref="AP36:AP37"/>
    <mergeCell ref="AQ36:AQ37"/>
    <mergeCell ref="AR36:AR37"/>
    <mergeCell ref="AS36:AS37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6:A37"/>
    <mergeCell ref="AS41:AS42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O45:AO46"/>
    <mergeCell ref="AP45:AP46"/>
    <mergeCell ref="AQ45:AQ46"/>
    <mergeCell ref="AR45:AR46"/>
    <mergeCell ref="AN43:AN44"/>
    <mergeCell ref="AO43:AO44"/>
    <mergeCell ref="AP41:AP42"/>
    <mergeCell ref="AQ41:AQ42"/>
    <mergeCell ref="AR41:AR42"/>
    <mergeCell ref="AP43:AP44"/>
    <mergeCell ref="AQ43:AQ44"/>
    <mergeCell ref="AR43:AR44"/>
    <mergeCell ref="AL43:AL44"/>
    <mergeCell ref="AM43:AM44"/>
    <mergeCell ref="AP47:AP48"/>
    <mergeCell ref="AQ47:AQ48"/>
    <mergeCell ref="AR47:AR48"/>
    <mergeCell ref="AS47:AS48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P49:AP50"/>
    <mergeCell ref="AQ49:AQ50"/>
    <mergeCell ref="AR49:AR50"/>
    <mergeCell ref="AS49:AS50"/>
    <mergeCell ref="AM78:AS78"/>
    <mergeCell ref="A82:A83"/>
    <mergeCell ref="B82:B83"/>
    <mergeCell ref="C82:C83"/>
    <mergeCell ref="D82:D83"/>
    <mergeCell ref="E82:E83"/>
    <mergeCell ref="AS82:AS83"/>
    <mergeCell ref="A49:A50"/>
    <mergeCell ref="B49:B50"/>
    <mergeCell ref="C49:C50"/>
    <mergeCell ref="D49:D50"/>
    <mergeCell ref="AK49:AK50"/>
    <mergeCell ref="AL49:AL50"/>
    <mergeCell ref="AM49:AM50"/>
    <mergeCell ref="AN49:AN50"/>
    <mergeCell ref="AO49:AO50"/>
    <mergeCell ref="AT82:AT83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K82:AM82"/>
    <mergeCell ref="AN82:AN83"/>
    <mergeCell ref="AO82:AO83"/>
    <mergeCell ref="AP82:AP83"/>
    <mergeCell ref="AQ82:AQ83"/>
    <mergeCell ref="AR82:AR83"/>
    <mergeCell ref="AO85:AO86"/>
    <mergeCell ref="AP85:AP86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L91:AL92"/>
    <mergeCell ref="AM91:AM92"/>
    <mergeCell ref="AN91:AN92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P99:AP100"/>
    <mergeCell ref="AQ99:AQ100"/>
    <mergeCell ref="AR99:AR100"/>
    <mergeCell ref="AS99:AS100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</mergeCells>
  <conditionalFormatting sqref="F82:AJ83 F9:AJ12 F85:AJ100 F5:AJ6 F39:AJ50 F14:AJ37">
    <cfRule type="expression" dxfId="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zoomScaleNormal="70" workbookViewId="0">
      <pane xSplit="3" ySplit="8" topLeftCell="D1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K26" sqref="K26:K3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4"/>
      <c r="C1" s="334"/>
      <c r="D1" s="487" t="str">
        <f>"BẢNG THANH TOÁN LƯƠNG THÁNG"&amp;" "&amp;TEXT($E$4,"mm")&amp;" / "&amp;TEXT($E$4,"yyyy")</f>
        <v>BẢNG THANH TOÁN LƯƠNG THÁNG 07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4"/>
      <c r="C2" s="334"/>
      <c r="D2" s="334"/>
      <c r="E2" s="81"/>
      <c r="F2" s="334"/>
      <c r="G2" s="334"/>
      <c r="H2" s="334"/>
      <c r="I2" s="334"/>
      <c r="J2" s="82"/>
      <c r="K2" s="334"/>
      <c r="L2" s="334"/>
      <c r="M2" s="334"/>
      <c r="N2" s="334"/>
      <c r="O2" s="334"/>
      <c r="P2" s="334"/>
      <c r="Q2" s="334"/>
      <c r="R2" s="334"/>
      <c r="S2" s="334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4"/>
      <c r="C3" s="334"/>
      <c r="D3" s="334"/>
      <c r="E3" s="81"/>
      <c r="F3" s="334"/>
      <c r="G3" s="334"/>
      <c r="H3" s="334"/>
      <c r="I3" s="334"/>
      <c r="J3" s="82"/>
      <c r="K3" s="334"/>
      <c r="L3" s="334"/>
      <c r="M3" s="334"/>
      <c r="N3" s="334"/>
      <c r="O3" s="334"/>
      <c r="P3" s="334"/>
      <c r="Q3" s="334"/>
      <c r="R3" s="334"/>
      <c r="S3" s="33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30" t="s">
        <v>40</v>
      </c>
      <c r="G7" s="327" t="s">
        <v>18</v>
      </c>
      <c r="H7" s="330" t="s">
        <v>40</v>
      </c>
      <c r="I7" s="333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- 07'!$B$8:$AS$50,36,0)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- 07'!$B$8:$AS$50,36,0)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1" si="0">VLOOKUP(B13,DS,2,0)</f>
        <v>Huỳnh Thị Hường</v>
      </c>
      <c r="D13" s="116" t="str">
        <f t="shared" ref="D13:D31" si="1">VLOOKUP(B13,DS,3,0)</f>
        <v>Công nhân</v>
      </c>
      <c r="E13" s="90">
        <f t="shared" ref="E13:E31" si="2">VLOOKUP(B13,DS,4,0)</f>
        <v>3317000</v>
      </c>
      <c r="F13" s="92">
        <f>VLOOKUP(B13,'CC - 07'!$B$8:$AS$50,36,0)</f>
        <v>26</v>
      </c>
      <c r="G13" s="220">
        <f t="shared" ref="G13:G31" si="3">ROUND(E13/$U$2*F13,0)</f>
        <v>3317000</v>
      </c>
      <c r="H13" s="92">
        <f>(VLOOKUP(B13,'CC - 07'!$B$8:$AS$50,37,0)+VLOOKUP(B13,'CC - 07'!$B$8:$AS$50,38,0))</f>
        <v>0</v>
      </c>
      <c r="I13" s="220">
        <f t="shared" ref="I13:I31" si="4">ROUND(E13/$U$2*H13,0)</f>
        <v>0</v>
      </c>
      <c r="J13" s="221">
        <f t="shared" ref="J13:K20" si="5">F13+H13</f>
        <v>26</v>
      </c>
      <c r="K13" s="39">
        <f t="shared" si="5"/>
        <v>3317000</v>
      </c>
      <c r="L13" s="90">
        <f t="shared" ref="L13:L31" si="6">+F13*15000</f>
        <v>390000</v>
      </c>
      <c r="M13" s="40">
        <f t="shared" ref="M13:M31" si="7">K13+L13</f>
        <v>3707000</v>
      </c>
      <c r="N13" s="40">
        <f t="shared" ref="N13:N24" si="8">IF(VLOOKUP(B13,DS,14,0)="x",E13*$N$4,0)</f>
        <v>265360</v>
      </c>
      <c r="O13" s="40">
        <f t="shared" ref="O13:O24" si="9">IF(VLOOKUP(B13,DS,14,0)="x",E13*$O$4,0)</f>
        <v>49755</v>
      </c>
      <c r="P13" s="40">
        <f t="shared" ref="P13:P24" si="10">IF(VLOOKUP(B13,DS,14,0)="x",E13*$P$4,0)</f>
        <v>33170</v>
      </c>
      <c r="Q13" s="39">
        <f t="shared" ref="Q13:Q27" si="11">M13-SUM(N13:P13)</f>
        <v>3358715</v>
      </c>
      <c r="R13" s="39">
        <f t="shared" ref="R13:R31" si="12">VLOOKUP(B13,DS,23,0)</f>
        <v>0</v>
      </c>
      <c r="S13" s="45">
        <f t="shared" ref="S13:S31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- 07'!$B$8:$AS$50,36,0)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- 07'!$B$8:$AS$50,36,0)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- 07'!$B$8:$AS$50,36,0)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- 07'!$B$8:$AS$50,36,0)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93</v>
      </c>
      <c r="C18" s="89" t="str">
        <f t="shared" si="0"/>
        <v>Lý La Quan</v>
      </c>
      <c r="D18" s="116" t="str">
        <f t="shared" si="1"/>
        <v>Công nhân</v>
      </c>
      <c r="E18" s="90">
        <f t="shared" si="2"/>
        <v>3317000</v>
      </c>
      <c r="F18" s="92">
        <f>VLOOKUP(B18,'CC - 07'!$B$8:$AS$50,36,0)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94</v>
      </c>
      <c r="C19" s="89" t="str">
        <f t="shared" si="0"/>
        <v>Trà Thị Soi</v>
      </c>
      <c r="D19" s="116" t="str">
        <f t="shared" si="1"/>
        <v>Công nhân</v>
      </c>
      <c r="E19" s="90">
        <f t="shared" si="2"/>
        <v>3317000</v>
      </c>
      <c r="F19" s="92">
        <f>VLOOKUP(B19,'CC - 07'!$B$8:$AS$50,36,0)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100</v>
      </c>
      <c r="C20" s="89" t="str">
        <f t="shared" si="0"/>
        <v>Sơn Thị Chành Đa</v>
      </c>
      <c r="D20" s="116" t="str">
        <f t="shared" si="1"/>
        <v>Công nhân</v>
      </c>
      <c r="E20" s="90">
        <f t="shared" si="2"/>
        <v>3317000</v>
      </c>
      <c r="F20" s="92">
        <f>VLOOKUP(B20,'CC - 07'!$B$8:$AS$50,36,0)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101</v>
      </c>
      <c r="C21" s="89" t="str">
        <f t="shared" si="0"/>
        <v>Trần Thị Bích Phượng</v>
      </c>
      <c r="D21" s="116" t="str">
        <f t="shared" si="1"/>
        <v>Công nhân</v>
      </c>
      <c r="E21" s="90">
        <f t="shared" si="2"/>
        <v>3317000</v>
      </c>
      <c r="F21" s="92">
        <f>VLOOKUP(B21,'CC - 07'!$B$8:$AS$50,36,0)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ref="J21:K31" si="14">F21+H21</f>
        <v>26</v>
      </c>
      <c r="K21" s="39">
        <f t="shared" si="14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102</v>
      </c>
      <c r="C22" s="89" t="str">
        <f t="shared" si="0"/>
        <v>Sơn Thị Trường Sa</v>
      </c>
      <c r="D22" s="116" t="str">
        <f t="shared" si="1"/>
        <v>Công nhân</v>
      </c>
      <c r="E22" s="90">
        <f t="shared" si="2"/>
        <v>3317000</v>
      </c>
      <c r="F22" s="92">
        <f>VLOOKUP(B22,'CC - 07'!$B$8:$AS$50,36,0)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103</v>
      </c>
      <c r="C23" s="89" t="str">
        <f t="shared" si="0"/>
        <v>Lý Thị Sà Kha</v>
      </c>
      <c r="D23" s="116" t="str">
        <f t="shared" si="1"/>
        <v>Công nhân</v>
      </c>
      <c r="E23" s="90">
        <f t="shared" si="2"/>
        <v>3317000</v>
      </c>
      <c r="F23" s="92">
        <f>VLOOKUP(B23,'CC - 07'!$B$8:$AS$50,36,0)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104</v>
      </c>
      <c r="C24" s="89" t="str">
        <f t="shared" si="0"/>
        <v xml:space="preserve"> Lâm Thị Mộng Thường</v>
      </c>
      <c r="D24" s="116" t="str">
        <f t="shared" si="1"/>
        <v>Công nhân</v>
      </c>
      <c r="E24" s="90">
        <f t="shared" si="2"/>
        <v>3317000</v>
      </c>
      <c r="F24" s="92">
        <f>VLOOKUP(B24,'CC - 07'!$B$8:$AS$50,36,0)</f>
        <v>26</v>
      </c>
      <c r="G24" s="220">
        <f t="shared" si="3"/>
        <v>3317000</v>
      </c>
      <c r="H24" s="92">
        <f>(VLOOKUP(B24,'CC - 07'!$B$8:$AS$50,37,0)+VLOOKUP(B24,'CC - 07'!$B$8:$AS$50,38,0))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3358715</v>
      </c>
      <c r="R24" s="39">
        <f t="shared" si="12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85" customFormat="1" ht="24" customHeight="1">
      <c r="A25" s="38"/>
      <c r="B25" s="316" t="s">
        <v>188</v>
      </c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40"/>
      <c r="O25" s="40"/>
      <c r="P25" s="40"/>
      <c r="Q25" s="315"/>
      <c r="R25" s="315"/>
      <c r="S25" s="315"/>
      <c r="T25" s="315"/>
      <c r="U25" s="104"/>
      <c r="V25" s="86"/>
      <c r="W25" s="86"/>
      <c r="X25" s="87"/>
      <c r="Y25" s="87"/>
      <c r="Z25" s="87"/>
      <c r="AA25" s="88"/>
      <c r="AB25" s="88"/>
      <c r="AC25" s="88"/>
      <c r="AD25" s="88"/>
      <c r="AE25" s="88"/>
    </row>
    <row r="26" spans="1:31" s="36" customFormat="1" ht="23.25" customHeight="1">
      <c r="A26" s="38">
        <v>15</v>
      </c>
      <c r="B26" s="261" t="s">
        <v>113</v>
      </c>
      <c r="C26" s="89" t="str">
        <f t="shared" si="0"/>
        <v>Nguyễn Văn Bé Hai</v>
      </c>
      <c r="D26" s="116" t="str">
        <f t="shared" si="1"/>
        <v>Công nhân</v>
      </c>
      <c r="E26" s="90">
        <f t="shared" si="2"/>
        <v>3549000</v>
      </c>
      <c r="F26" s="92">
        <f>VLOOKUP(B26,'CC - 07'!$B$8:$AS$50,36,0)</f>
        <v>26</v>
      </c>
      <c r="G26" s="220">
        <f t="shared" si="3"/>
        <v>3549000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3549000</v>
      </c>
      <c r="L26" s="90">
        <f t="shared" si="6"/>
        <v>390000</v>
      </c>
      <c r="M26" s="40">
        <f t="shared" si="7"/>
        <v>3939000</v>
      </c>
      <c r="N26" s="40">
        <f t="shared" ref="N26:N31" si="15">IF(VLOOKUP(B26,DS,14,0)="x",E26*$N$4,0)</f>
        <v>283920</v>
      </c>
      <c r="O26" s="40">
        <f t="shared" ref="O26:O31" si="16">IF(VLOOKUP(B26,DS,14,0)="x",E26*$O$4,0)</f>
        <v>53235</v>
      </c>
      <c r="P26" s="40">
        <f t="shared" ref="P26:P31" si="17">IF(VLOOKUP(B26,DS,14,0)="x",E26*$P$4,0)</f>
        <v>35490</v>
      </c>
      <c r="Q26" s="39">
        <f t="shared" si="11"/>
        <v>3566355</v>
      </c>
      <c r="R26" s="39">
        <f t="shared" si="12"/>
        <v>0</v>
      </c>
      <c r="S26" s="45">
        <f t="shared" si="13"/>
        <v>3566355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114</v>
      </c>
      <c r="C27" s="89" t="str">
        <f t="shared" si="0"/>
        <v>Thạch Tiền</v>
      </c>
      <c r="D27" s="116" t="str">
        <f t="shared" si="1"/>
        <v>Công nhân</v>
      </c>
      <c r="E27" s="90">
        <f t="shared" si="2"/>
        <v>3317000</v>
      </c>
      <c r="F27" s="92">
        <f>VLOOKUP(B27,'CC - 07'!$B$8:$AS$50,36,0)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3317000</v>
      </c>
      <c r="L27" s="90">
        <f t="shared" si="6"/>
        <v>390000</v>
      </c>
      <c r="M27" s="40">
        <f t="shared" si="7"/>
        <v>3707000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si="11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118</v>
      </c>
      <c r="C28" s="89" t="str">
        <f t="shared" si="0"/>
        <v>Trần Nhiên</v>
      </c>
      <c r="D28" s="116" t="str">
        <f t="shared" si="1"/>
        <v>Công nhân</v>
      </c>
      <c r="E28" s="90">
        <f t="shared" si="2"/>
        <v>3317000</v>
      </c>
      <c r="F28" s="92">
        <f>VLOOKUP(B28,'CC - 07'!$B$8:$AS$50,36,0)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3317000</v>
      </c>
      <c r="L28" s="90">
        <f t="shared" si="6"/>
        <v>390000</v>
      </c>
      <c r="M28" s="40">
        <f t="shared" si="7"/>
        <v>3707000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ref="Q28:Q31" si="18">M28-SUM(N28:P28)</f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119</v>
      </c>
      <c r="C29" s="89" t="str">
        <f t="shared" si="0"/>
        <v>Thạch Giang</v>
      </c>
      <c r="D29" s="116" t="str">
        <f t="shared" si="1"/>
        <v>Công nhân</v>
      </c>
      <c r="E29" s="90">
        <f t="shared" si="2"/>
        <v>3317000</v>
      </c>
      <c r="F29" s="92">
        <f>VLOOKUP(B29,'CC - 07'!$B$8:$AS$50,36,0)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120</v>
      </c>
      <c r="C30" s="89" t="str">
        <f t="shared" si="0"/>
        <v>Thạch Quyền</v>
      </c>
      <c r="D30" s="116" t="str">
        <f t="shared" si="1"/>
        <v>Công nhân</v>
      </c>
      <c r="E30" s="90">
        <f t="shared" si="2"/>
        <v>3317000</v>
      </c>
      <c r="F30" s="92">
        <f>VLOOKUP(B30,'CC - 07'!$B$8:$AS$50,36,0)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20</v>
      </c>
      <c r="B31" s="261" t="s">
        <v>122</v>
      </c>
      <c r="C31" s="89" t="str">
        <f t="shared" si="0"/>
        <v>Lâm Chanh Đa Ra</v>
      </c>
      <c r="D31" s="116" t="str">
        <f t="shared" si="1"/>
        <v>Công nhân</v>
      </c>
      <c r="E31" s="90">
        <f t="shared" si="2"/>
        <v>3317000</v>
      </c>
      <c r="F31" s="92">
        <f>VLOOKUP(B31,'CC - 07'!$B$8:$AS$50,36,0)</f>
        <v>26</v>
      </c>
      <c r="G31" s="220">
        <f t="shared" si="3"/>
        <v>3317000</v>
      </c>
      <c r="H31" s="92">
        <f>(VLOOKUP(B31,'CC - 07'!$B$8:$AS$50,37,0)+VLOOKUP(B31,'CC - 07'!$B$8:$AS$50,38,0))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 t="shared" si="18"/>
        <v>3358715</v>
      </c>
      <c r="R31" s="39">
        <f t="shared" si="12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2.5" customHeight="1">
      <c r="A32" s="41"/>
      <c r="B32" s="314"/>
      <c r="C32" s="42"/>
      <c r="D32" s="3"/>
      <c r="E32" s="43"/>
      <c r="F32" s="43"/>
      <c r="G32" s="43"/>
      <c r="H32" s="43"/>
      <c r="I32" s="43"/>
      <c r="J32" s="44"/>
      <c r="K32" s="43"/>
      <c r="L32" s="43"/>
      <c r="M32" s="312"/>
      <c r="N32" s="43"/>
      <c r="O32" s="43"/>
      <c r="P32" s="43"/>
      <c r="Q32" s="43"/>
      <c r="R32" s="43"/>
      <c r="S32" s="43"/>
      <c r="T32" s="39"/>
      <c r="U32" s="104"/>
      <c r="V32" s="37"/>
      <c r="W32" s="37"/>
      <c r="X32" s="37"/>
      <c r="Y32" s="37"/>
      <c r="Z32" s="37"/>
    </row>
    <row r="33" spans="1:26" s="32" customFormat="1" ht="21" customHeight="1">
      <c r="A33" s="486" t="s">
        <v>25</v>
      </c>
      <c r="B33" s="486"/>
      <c r="C33" s="486"/>
      <c r="D33" s="486"/>
      <c r="E33" s="140">
        <f>SUM(E10:E32)</f>
        <v>68330000</v>
      </c>
      <c r="F33" s="140"/>
      <c r="G33" s="140">
        <f>SUM(G10:G32)</f>
        <v>68330000</v>
      </c>
      <c r="H33" s="140"/>
      <c r="I33" s="140">
        <f>SUM(I10:I32)</f>
        <v>0</v>
      </c>
      <c r="J33" s="26"/>
      <c r="K33" s="26">
        <f t="shared" ref="K33:S33" si="19">SUM(K10:K32)</f>
        <v>68330000</v>
      </c>
      <c r="L33" s="26">
        <f t="shared" si="19"/>
        <v>7800000</v>
      </c>
      <c r="M33" s="26">
        <f t="shared" si="19"/>
        <v>76130000</v>
      </c>
      <c r="N33" s="26">
        <f t="shared" si="19"/>
        <v>5466400</v>
      </c>
      <c r="O33" s="26">
        <f t="shared" si="19"/>
        <v>1024950</v>
      </c>
      <c r="P33" s="26">
        <f t="shared" si="19"/>
        <v>683300</v>
      </c>
      <c r="Q33" s="26">
        <f t="shared" si="19"/>
        <v>68955350</v>
      </c>
      <c r="R33" s="26">
        <f t="shared" si="19"/>
        <v>0</v>
      </c>
      <c r="S33" s="26">
        <f t="shared" si="19"/>
        <v>68955350</v>
      </c>
      <c r="T33" s="26"/>
      <c r="U33" s="104"/>
      <c r="V33" s="33"/>
      <c r="W33" s="33"/>
      <c r="X33" s="33"/>
      <c r="Y33" s="33"/>
      <c r="Z33" s="33"/>
    </row>
    <row r="34" spans="1:26" ht="11.25" customHeight="1">
      <c r="A34" s="8"/>
      <c r="B34" s="8"/>
      <c r="C34" s="9"/>
      <c r="D34" s="117"/>
      <c r="E34" s="94"/>
      <c r="F34" s="9"/>
      <c r="G34" s="9"/>
      <c r="H34" s="9"/>
      <c r="I34" s="9"/>
      <c r="K34" s="9"/>
      <c r="L34" s="9"/>
      <c r="M34" s="102"/>
      <c r="N34" s="9"/>
      <c r="O34" s="9"/>
      <c r="P34" s="9"/>
      <c r="Q34" s="9"/>
      <c r="R34" s="9"/>
      <c r="S34" s="9"/>
      <c r="T34" s="9"/>
      <c r="U34" s="104"/>
    </row>
    <row r="35" spans="1:26" s="36" customFormat="1" ht="11.25" customHeight="1">
      <c r="A35" s="78"/>
      <c r="B35" s="78"/>
      <c r="C35" s="78"/>
      <c r="D35" s="133"/>
      <c r="E35" s="134"/>
      <c r="F35" s="78"/>
      <c r="G35" s="78"/>
      <c r="H35" s="78"/>
      <c r="I35" s="78"/>
      <c r="J35" s="135"/>
      <c r="K35" s="134"/>
      <c r="L35" s="78"/>
      <c r="M35" s="78"/>
      <c r="N35" s="78"/>
      <c r="O35" s="78"/>
      <c r="P35" s="78"/>
      <c r="Q35" s="78"/>
      <c r="R35" s="78"/>
      <c r="S35" s="108" t="str">
        <f>"Long An, ngày  "&amp;$V$2&amp;"   tháng   "&amp;TEXT(E4,"mm")&amp;"   năm "&amp;TEXT(E4,"yyyy")</f>
        <v>Long An, ngày  31   tháng   07   năm 2016</v>
      </c>
      <c r="T35" s="78"/>
      <c r="U35" s="136"/>
      <c r="V35" s="37"/>
      <c r="W35" s="37"/>
      <c r="X35" s="37"/>
      <c r="Y35" s="37"/>
      <c r="Z35" s="37"/>
    </row>
    <row r="36" spans="1:26" s="36" customFormat="1" ht="12.75">
      <c r="A36" s="29"/>
      <c r="B36" s="29"/>
      <c r="C36" s="29" t="s">
        <v>60</v>
      </c>
      <c r="D36" s="137"/>
      <c r="E36" s="79"/>
      <c r="F36" s="136"/>
      <c r="G36" s="79"/>
      <c r="H36" s="79"/>
      <c r="I36" s="79"/>
      <c r="J36" s="138"/>
      <c r="K36" s="37"/>
      <c r="L36" s="29"/>
      <c r="M36" s="259"/>
      <c r="N36" s="20"/>
      <c r="O36" s="20"/>
      <c r="P36" s="20"/>
      <c r="Q36" s="20"/>
      <c r="S36" s="136" t="s">
        <v>22</v>
      </c>
      <c r="T36" s="136"/>
      <c r="U36" s="136"/>
      <c r="V36" s="37"/>
      <c r="W36" s="37"/>
      <c r="X36" s="37"/>
      <c r="Y36" s="37"/>
      <c r="Z36" s="37"/>
    </row>
    <row r="37" spans="1:26" ht="12">
      <c r="A37" s="8"/>
      <c r="B37" s="8"/>
      <c r="C37" s="15"/>
      <c r="E37" s="13"/>
      <c r="F37" s="12"/>
      <c r="G37" s="13"/>
      <c r="H37" s="13"/>
      <c r="I37" s="13"/>
      <c r="K37" s="7"/>
      <c r="L37" s="15"/>
      <c r="N37" s="11"/>
      <c r="O37" s="11"/>
      <c r="P37" s="11"/>
      <c r="Q37" s="11"/>
      <c r="S37" s="11"/>
      <c r="T37" s="12"/>
      <c r="U37" s="104"/>
    </row>
    <row r="38" spans="1:26" ht="12">
      <c r="C38" s="15"/>
      <c r="L38" s="15"/>
      <c r="T38" s="15"/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ht="12">
      <c r="U45" s="104"/>
    </row>
    <row r="46" spans="1:26" s="175" customFormat="1" ht="29.25" customHeight="1">
      <c r="A46" s="139"/>
      <c r="B46" s="332"/>
      <c r="C46" s="332"/>
      <c r="D46" s="467" t="str">
        <f>D1</f>
        <v>BẢNG THANH TOÁN LƯƠNG THÁNG 07 / 2016</v>
      </c>
      <c r="E46" s="467"/>
      <c r="F46" s="467"/>
      <c r="G46" s="467"/>
      <c r="H46" s="467"/>
      <c r="I46" s="467"/>
      <c r="J46" s="467"/>
      <c r="K46" s="467"/>
      <c r="L46" s="467"/>
      <c r="M46" s="467"/>
      <c r="N46" s="467"/>
      <c r="O46" s="467"/>
      <c r="P46" s="467"/>
      <c r="Q46" s="468"/>
      <c r="R46" s="469" t="s">
        <v>112</v>
      </c>
      <c r="S46" s="470"/>
      <c r="T46" s="47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TH!$A$1</f>
        <v>Công ty TNHH Hải sản An Lạc</v>
      </c>
      <c r="B47" s="332"/>
      <c r="C47" s="332"/>
      <c r="D47" s="332"/>
      <c r="E47" s="200"/>
      <c r="F47" s="332"/>
      <c r="G47" s="332"/>
      <c r="H47" s="332"/>
      <c r="I47" s="332"/>
      <c r="J47" s="201"/>
      <c r="K47" s="332"/>
      <c r="L47" s="332"/>
      <c r="M47" s="332"/>
      <c r="N47" s="332"/>
      <c r="O47" s="332"/>
      <c r="P47" s="332"/>
      <c r="Q47" s="332"/>
      <c r="R47" s="332"/>
      <c r="S47" s="332"/>
      <c r="T47" s="151"/>
      <c r="U47" s="104"/>
      <c r="V47" s="7"/>
      <c r="W47" s="198"/>
      <c r="X47" s="198"/>
      <c r="Y47" s="199"/>
      <c r="Z47" s="199"/>
    </row>
    <row r="48" spans="1:26" s="175" customFormat="1" ht="15" customHeight="1">
      <c r="A48" s="139" t="str">
        <f>TH!$A$2</f>
        <v>Địa chỉ: Lô A14, đường 4A, KCN Hải Sơn, Đức Hòa, Long An</v>
      </c>
      <c r="B48" s="332"/>
      <c r="C48" s="332"/>
      <c r="D48" s="332"/>
      <c r="E48" s="200"/>
      <c r="F48" s="332"/>
      <c r="G48" s="332"/>
      <c r="H48" s="332"/>
      <c r="I48" s="332"/>
      <c r="J48" s="201"/>
      <c r="K48" s="332"/>
      <c r="L48" s="332"/>
      <c r="M48" s="332"/>
      <c r="N48" s="332"/>
      <c r="O48" s="332"/>
      <c r="P48" s="332"/>
      <c r="Q48" s="332"/>
      <c r="R48" s="332"/>
      <c r="S48" s="332"/>
      <c r="T48" s="151"/>
      <c r="U48" s="104"/>
      <c r="V48" s="7"/>
      <c r="W48" s="198"/>
      <c r="X48" s="198"/>
      <c r="Y48" s="199"/>
      <c r="Z48" s="199"/>
    </row>
    <row r="49" spans="1:31" s="205" customFormat="1" ht="14.25" customHeight="1">
      <c r="A49" s="203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04"/>
      <c r="V49" s="7"/>
      <c r="W49" s="204"/>
      <c r="X49" s="204"/>
      <c r="Y49" s="204"/>
      <c r="Z49" s="204"/>
    </row>
    <row r="50" spans="1:31" s="208" customFormat="1" ht="24" customHeight="1">
      <c r="A50" s="472" t="s">
        <v>19</v>
      </c>
      <c r="B50" s="472" t="s">
        <v>20</v>
      </c>
      <c r="C50" s="474" t="s">
        <v>1</v>
      </c>
      <c r="D50" s="474" t="s">
        <v>2</v>
      </c>
      <c r="E50" s="475" t="s">
        <v>56</v>
      </c>
      <c r="F50" s="476" t="s">
        <v>26</v>
      </c>
      <c r="G50" s="477"/>
      <c r="H50" s="477"/>
      <c r="I50" s="477"/>
      <c r="J50" s="477"/>
      <c r="K50" s="478"/>
      <c r="L50" s="458" t="s">
        <v>57</v>
      </c>
      <c r="M50" s="458" t="s">
        <v>5</v>
      </c>
      <c r="N50" s="474" t="s">
        <v>6</v>
      </c>
      <c r="O50" s="474"/>
      <c r="P50" s="474"/>
      <c r="Q50" s="461" t="s">
        <v>7</v>
      </c>
      <c r="R50" s="461" t="s">
        <v>8</v>
      </c>
      <c r="S50" s="461" t="s">
        <v>9</v>
      </c>
      <c r="T50" s="479" t="s">
        <v>10</v>
      </c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3.75" customHeight="1">
      <c r="A51" s="473"/>
      <c r="B51" s="473"/>
      <c r="C51" s="474"/>
      <c r="D51" s="474"/>
      <c r="E51" s="475"/>
      <c r="F51" s="476" t="s">
        <v>59</v>
      </c>
      <c r="G51" s="478"/>
      <c r="H51" s="481" t="s">
        <v>189</v>
      </c>
      <c r="I51" s="482"/>
      <c r="J51" s="463" t="s">
        <v>27</v>
      </c>
      <c r="K51" s="461" t="s">
        <v>4</v>
      </c>
      <c r="L51" s="459"/>
      <c r="M51" s="459"/>
      <c r="N51" s="465" t="s">
        <v>12</v>
      </c>
      <c r="O51" s="461" t="s">
        <v>13</v>
      </c>
      <c r="P51" s="461" t="s">
        <v>34</v>
      </c>
      <c r="Q51" s="462"/>
      <c r="R51" s="462"/>
      <c r="S51" s="462"/>
      <c r="T51" s="480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08" customFormat="1" ht="35.25" customHeight="1">
      <c r="A52" s="473"/>
      <c r="B52" s="473"/>
      <c r="C52" s="461"/>
      <c r="D52" s="461"/>
      <c r="E52" s="475"/>
      <c r="F52" s="331" t="s">
        <v>40</v>
      </c>
      <c r="G52" s="333" t="s">
        <v>18</v>
      </c>
      <c r="H52" s="330" t="s">
        <v>40</v>
      </c>
      <c r="I52" s="333" t="s">
        <v>18</v>
      </c>
      <c r="J52" s="464"/>
      <c r="K52" s="462"/>
      <c r="L52" s="460"/>
      <c r="M52" s="460"/>
      <c r="N52" s="466"/>
      <c r="O52" s="462"/>
      <c r="P52" s="462"/>
      <c r="Q52" s="462"/>
      <c r="R52" s="462"/>
      <c r="S52" s="462"/>
      <c r="T52" s="480"/>
      <c r="U52" s="182"/>
      <c r="V52" s="207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14" customFormat="1" ht="12.75" customHeight="1">
      <c r="A53" s="210">
        <v>1</v>
      </c>
      <c r="B53" s="210">
        <v>2</v>
      </c>
      <c r="C53" s="210">
        <v>3</v>
      </c>
      <c r="D53" s="210">
        <v>4</v>
      </c>
      <c r="E53" s="210">
        <v>5</v>
      </c>
      <c r="F53" s="210">
        <v>7</v>
      </c>
      <c r="G53" s="210">
        <v>8</v>
      </c>
      <c r="H53" s="210">
        <v>9</v>
      </c>
      <c r="I53" s="210">
        <v>10</v>
      </c>
      <c r="J53" s="210">
        <v>13</v>
      </c>
      <c r="K53" s="210">
        <v>14</v>
      </c>
      <c r="L53" s="210">
        <v>16</v>
      </c>
      <c r="M53" s="84">
        <v>17</v>
      </c>
      <c r="N53" s="210">
        <v>24</v>
      </c>
      <c r="O53" s="210">
        <v>25</v>
      </c>
      <c r="P53" s="210">
        <v>26</v>
      </c>
      <c r="Q53" s="210">
        <v>29</v>
      </c>
      <c r="R53" s="210">
        <v>30</v>
      </c>
      <c r="S53" s="210">
        <v>31</v>
      </c>
      <c r="T53" s="210">
        <v>32</v>
      </c>
      <c r="U53" s="182"/>
      <c r="V53" s="211"/>
      <c r="W53" s="211"/>
      <c r="X53" s="212"/>
      <c r="Y53" s="212"/>
      <c r="Z53" s="212"/>
      <c r="AA53" s="213"/>
      <c r="AB53" s="213"/>
      <c r="AC53" s="213"/>
      <c r="AD53" s="213"/>
      <c r="AE53" s="213"/>
    </row>
    <row r="54" spans="1:31" s="225" customFormat="1" ht="23.25" customHeight="1">
      <c r="A54" s="215">
        <v>1</v>
      </c>
      <c r="B54" s="215" t="s">
        <v>68</v>
      </c>
      <c r="C54" s="216" t="str">
        <f t="shared" ref="C54:C60" si="20">VLOOKUP(B54,DS,2,0)</f>
        <v>Nguyễn Thiện Duy</v>
      </c>
      <c r="D54" s="217" t="str">
        <f t="shared" ref="D54:D60" si="21">VLOOKUP(B54,DS,3,0)</f>
        <v>Giám đốc</v>
      </c>
      <c r="E54" s="218">
        <f t="shared" ref="E54:E60" si="22">VLOOKUP(B54,DS,4,0)</f>
        <v>10851000</v>
      </c>
      <c r="F54" s="219">
        <f>VLOOKUP(B54,'CC - 07'!$B$85:$AN$98,36,0)</f>
        <v>22</v>
      </c>
      <c r="G54" s="220">
        <f t="shared" ref="G54:G60" si="23">ROUND(E54/$U$2*F54,0)</f>
        <v>9181615</v>
      </c>
      <c r="H54" s="92">
        <f>(VLOOKUP(B54,'CC - 07'!B$85:AS$98,37,0)+VLOOKUP(B54,'CC - 07'!B$85:AS$98,38,0))</f>
        <v>0</v>
      </c>
      <c r="I54" s="220">
        <f t="shared" ref="I54:I60" si="24">ROUND(E54/$U$2*H54,0)</f>
        <v>0</v>
      </c>
      <c r="J54" s="221">
        <f t="shared" ref="J54:K60" si="25">F54+H54</f>
        <v>22</v>
      </c>
      <c r="K54" s="39">
        <f t="shared" si="25"/>
        <v>9181615</v>
      </c>
      <c r="L54" s="90">
        <f>+F54*15000</f>
        <v>330000</v>
      </c>
      <c r="M54" s="222">
        <f t="shared" ref="M54:M60" si="26">K54+SUM(L54:L54)</f>
        <v>9511615</v>
      </c>
      <c r="N54" s="40">
        <f t="shared" ref="N54:N60" si="27">IF(VLOOKUP(B54,DS,14,0)="x",E54*$N$4,0)</f>
        <v>868080</v>
      </c>
      <c r="O54" s="40">
        <f t="shared" ref="O54:O60" si="28">IF(VLOOKUP(B54,DS,14,0)="x",E54*$O$4,0)</f>
        <v>162765</v>
      </c>
      <c r="P54" s="40">
        <f t="shared" ref="P54:P60" si="29">IF(VLOOKUP(B54,DS,14,0)="x",E54*$P$4,0)</f>
        <v>108510</v>
      </c>
      <c r="Q54" s="220">
        <f t="shared" ref="Q54:Q60" si="30">M54-SUM(N54:P54)</f>
        <v>8372260</v>
      </c>
      <c r="R54" s="220">
        <f t="shared" ref="R54:R60" si="31">VLOOKUP(B54,DS,23,0)</f>
        <v>0</v>
      </c>
      <c r="S54" s="223">
        <f>Q54-R54</f>
        <v>8372260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2</v>
      </c>
      <c r="B55" s="215" t="s">
        <v>70</v>
      </c>
      <c r="C55" s="216" t="str">
        <f t="shared" si="20"/>
        <v>Nguyễn Văn Sẽ</v>
      </c>
      <c r="D55" s="217" t="str">
        <f t="shared" si="21"/>
        <v>Kỹ Thuật</v>
      </c>
      <c r="E55" s="218">
        <f t="shared" si="22"/>
        <v>4895000</v>
      </c>
      <c r="F55" s="219">
        <f>VLOOKUP(B55,'CC - 07'!$B$85:$AN$98,36,0)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ref="L55:L60" si="32">+F55*15000</f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ref="S55:S60" si="33">Q55-R55</f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3</v>
      </c>
      <c r="B56" s="215" t="s">
        <v>72</v>
      </c>
      <c r="C56" s="216" t="str">
        <f t="shared" si="20"/>
        <v>Võ Uyên Phương</v>
      </c>
      <c r="D56" s="217" t="str">
        <f t="shared" si="21"/>
        <v>Kế toán</v>
      </c>
      <c r="E56" s="218">
        <f t="shared" si="22"/>
        <v>4895000</v>
      </c>
      <c r="F56" s="219">
        <f>VLOOKUP(B56,'CC - 07'!$B$85:$AN$98,36,0)</f>
        <v>26</v>
      </c>
      <c r="G56" s="220">
        <f t="shared" si="23"/>
        <v>4895000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4895000</v>
      </c>
      <c r="L56" s="90">
        <f t="shared" si="32"/>
        <v>390000</v>
      </c>
      <c r="M56" s="222">
        <f t="shared" si="26"/>
        <v>5285000</v>
      </c>
      <c r="N56" s="40">
        <f t="shared" si="27"/>
        <v>391600</v>
      </c>
      <c r="O56" s="40">
        <f t="shared" si="28"/>
        <v>73425</v>
      </c>
      <c r="P56" s="40">
        <f t="shared" si="29"/>
        <v>48950</v>
      </c>
      <c r="Q56" s="220">
        <f t="shared" si="30"/>
        <v>4771025</v>
      </c>
      <c r="R56" s="220">
        <f t="shared" si="31"/>
        <v>0</v>
      </c>
      <c r="S56" s="223">
        <f t="shared" si="33"/>
        <v>4771025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4</v>
      </c>
      <c r="B57" s="215" t="s">
        <v>75</v>
      </c>
      <c r="C57" s="216" t="str">
        <f t="shared" si="20"/>
        <v>Lê Nguyễn Huy Cường</v>
      </c>
      <c r="D57" s="217" t="str">
        <f t="shared" si="21"/>
        <v>XNK</v>
      </c>
      <c r="E57" s="218">
        <f t="shared" si="22"/>
        <v>4336000</v>
      </c>
      <c r="F57" s="219">
        <f>VLOOKUP(B57,'CC - 07'!$B$85:$AN$98,36,0)</f>
        <v>26</v>
      </c>
      <c r="G57" s="220">
        <f t="shared" si="23"/>
        <v>4336000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4336000</v>
      </c>
      <c r="L57" s="90">
        <f t="shared" si="32"/>
        <v>390000</v>
      </c>
      <c r="M57" s="222">
        <f t="shared" si="26"/>
        <v>4726000</v>
      </c>
      <c r="N57" s="40">
        <f t="shared" si="27"/>
        <v>346880</v>
      </c>
      <c r="O57" s="40">
        <f t="shared" si="28"/>
        <v>65040</v>
      </c>
      <c r="P57" s="40">
        <f t="shared" si="29"/>
        <v>43360</v>
      </c>
      <c r="Q57" s="220">
        <f t="shared" si="30"/>
        <v>4270720</v>
      </c>
      <c r="R57" s="220">
        <f t="shared" si="31"/>
        <v>0</v>
      </c>
      <c r="S57" s="223">
        <f t="shared" si="33"/>
        <v>4270720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5</v>
      </c>
      <c r="B58" s="215" t="s">
        <v>77</v>
      </c>
      <c r="C58" s="216" t="str">
        <f t="shared" si="20"/>
        <v>Nguyễn Văn Bé Tư</v>
      </c>
      <c r="D58" s="217" t="str">
        <f t="shared" si="21"/>
        <v>Tài xế</v>
      </c>
      <c r="E58" s="218">
        <f t="shared" si="22"/>
        <v>3496000</v>
      </c>
      <c r="F58" s="219">
        <f>VLOOKUP(B58,'CC - 07'!$B$85:$AN$98,36,0)</f>
        <v>26</v>
      </c>
      <c r="G58" s="220">
        <f t="shared" si="23"/>
        <v>3496000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3496000</v>
      </c>
      <c r="L58" s="90">
        <f t="shared" si="32"/>
        <v>390000</v>
      </c>
      <c r="M58" s="222">
        <f t="shared" si="26"/>
        <v>3886000</v>
      </c>
      <c r="N58" s="40">
        <f t="shared" si="27"/>
        <v>279680</v>
      </c>
      <c r="O58" s="40">
        <f t="shared" si="28"/>
        <v>52440</v>
      </c>
      <c r="P58" s="40">
        <f t="shared" si="29"/>
        <v>34960</v>
      </c>
      <c r="Q58" s="220">
        <f t="shared" si="30"/>
        <v>3518920</v>
      </c>
      <c r="R58" s="220">
        <f t="shared" si="31"/>
        <v>0</v>
      </c>
      <c r="S58" s="223">
        <f t="shared" si="33"/>
        <v>3518920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6</v>
      </c>
      <c r="B59" s="215" t="s">
        <v>78</v>
      </c>
      <c r="C59" s="216" t="str">
        <f t="shared" si="20"/>
        <v>Dương Thanh Tuấn</v>
      </c>
      <c r="D59" s="217" t="str">
        <f t="shared" si="21"/>
        <v>Nhân sự</v>
      </c>
      <c r="E59" s="218">
        <f t="shared" si="22"/>
        <v>4056000</v>
      </c>
      <c r="F59" s="219">
        <f>VLOOKUP(B59,'CC - 07'!$B$85:$AN$98,36,0)</f>
        <v>26</v>
      </c>
      <c r="G59" s="220">
        <f t="shared" si="23"/>
        <v>4056000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4056000</v>
      </c>
      <c r="L59" s="90">
        <f t="shared" si="32"/>
        <v>390000</v>
      </c>
      <c r="M59" s="222">
        <f t="shared" si="26"/>
        <v>4446000</v>
      </c>
      <c r="N59" s="40">
        <f t="shared" si="27"/>
        <v>324480</v>
      </c>
      <c r="O59" s="40">
        <f t="shared" si="28"/>
        <v>60840</v>
      </c>
      <c r="P59" s="40">
        <f t="shared" si="29"/>
        <v>40560</v>
      </c>
      <c r="Q59" s="220">
        <f t="shared" si="30"/>
        <v>4020120</v>
      </c>
      <c r="R59" s="220">
        <f t="shared" si="31"/>
        <v>0</v>
      </c>
      <c r="S59" s="223">
        <f t="shared" si="33"/>
        <v>4020120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7</v>
      </c>
      <c r="B60" s="215" t="s">
        <v>81</v>
      </c>
      <c r="C60" s="216" t="str">
        <f t="shared" si="20"/>
        <v>Nguyễn Thiện Duyệt</v>
      </c>
      <c r="D60" s="217" t="str">
        <f t="shared" si="21"/>
        <v>XNK</v>
      </c>
      <c r="E60" s="218">
        <f t="shared" si="22"/>
        <v>4840000</v>
      </c>
      <c r="F60" s="219">
        <f>VLOOKUP(B60,'CC - 07'!$B$85:$AN$98,36,0)</f>
        <v>26</v>
      </c>
      <c r="G60" s="220">
        <f t="shared" si="23"/>
        <v>4840000</v>
      </c>
      <c r="H60" s="92">
        <f>(VLOOKUP(B60,'CC - 07'!B$85:AS$98,37,0)+VLOOKUP(B60,'CC - 07'!B$85:AS$98,38,0))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4840000</v>
      </c>
      <c r="L60" s="90">
        <f t="shared" si="32"/>
        <v>390000</v>
      </c>
      <c r="M60" s="222">
        <f t="shared" si="26"/>
        <v>5230000</v>
      </c>
      <c r="N60" s="40">
        <f t="shared" si="27"/>
        <v>387200</v>
      </c>
      <c r="O60" s="40">
        <f t="shared" si="28"/>
        <v>72600</v>
      </c>
      <c r="P60" s="40">
        <f t="shared" si="29"/>
        <v>48400</v>
      </c>
      <c r="Q60" s="220">
        <f t="shared" si="30"/>
        <v>4721800</v>
      </c>
      <c r="R60" s="220">
        <f t="shared" si="31"/>
        <v>0</v>
      </c>
      <c r="S60" s="223">
        <f t="shared" si="33"/>
        <v>4721800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8</v>
      </c>
      <c r="B61" s="215" t="s">
        <v>192</v>
      </c>
      <c r="C61" s="216" t="str">
        <f t="shared" ref="C61" si="34">VLOOKUP(B61,DS,2,0)</f>
        <v>Trần Đình Thái</v>
      </c>
      <c r="D61" s="217" t="str">
        <f t="shared" ref="D61" si="35">VLOOKUP(B61,DS,3,0)</f>
        <v>Cơ Điện</v>
      </c>
      <c r="E61" s="218">
        <f t="shared" ref="E61" si="36">VLOOKUP(B61,DS,4,0)</f>
        <v>3568000</v>
      </c>
      <c r="F61" s="219">
        <f>VLOOKUP(B61,'CC - 07'!$B$85:$AN$100,36,0)</f>
        <v>26</v>
      </c>
      <c r="G61" s="220">
        <f t="shared" ref="G61" si="37">ROUND(E61/$U$2*F61,0)</f>
        <v>3568000</v>
      </c>
      <c r="H61" s="92">
        <f>(VLOOKUP(B61,'CC - 07'!B$85:AS$100,37,0)+VLOOKUP(B61,'CC - 07'!B$85:AS$100,38,0))</f>
        <v>0</v>
      </c>
      <c r="I61" s="220">
        <f t="shared" ref="I61" si="38">ROUND(E61/$U$2*H61,0)</f>
        <v>0</v>
      </c>
      <c r="J61" s="221">
        <f t="shared" ref="J61" si="39">F61+H61</f>
        <v>26</v>
      </c>
      <c r="K61" s="39">
        <f t="shared" ref="K61" si="40">G61+I61</f>
        <v>3568000</v>
      </c>
      <c r="L61" s="90">
        <f t="shared" ref="L61" si="41">+F61*15000</f>
        <v>390000</v>
      </c>
      <c r="M61" s="222">
        <f t="shared" ref="M61" si="42">K61+SUM(L61:L61)</f>
        <v>3958000</v>
      </c>
      <c r="N61" s="40">
        <f t="shared" ref="N61" si="43">IF(VLOOKUP(B61,DS,14,0)="x",E61*$N$4,0)</f>
        <v>285440</v>
      </c>
      <c r="O61" s="40">
        <f t="shared" ref="O61" si="44">IF(VLOOKUP(B61,DS,14,0)="x",E61*$O$4,0)</f>
        <v>53520</v>
      </c>
      <c r="P61" s="40">
        <f t="shared" ref="P61" si="45">IF(VLOOKUP(B61,DS,14,0)="x",E61*$P$4,0)</f>
        <v>35680</v>
      </c>
      <c r="Q61" s="220">
        <f t="shared" ref="Q61" si="46">M61-SUM(N61:P61)</f>
        <v>3583360</v>
      </c>
      <c r="R61" s="220">
        <f t="shared" ref="R61" si="47">VLOOKUP(B61,DS,23,0)</f>
        <v>0</v>
      </c>
      <c r="S61" s="223">
        <f t="shared" ref="S61" si="48">Q61-R61</f>
        <v>3583360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2.5" customHeight="1">
      <c r="A62" s="226"/>
      <c r="B62" s="226"/>
      <c r="C62" s="227"/>
      <c r="D62" s="228"/>
      <c r="E62" s="229"/>
      <c r="F62" s="229"/>
      <c r="G62" s="229"/>
      <c r="H62" s="229"/>
      <c r="I62" s="229"/>
      <c r="J62" s="230"/>
      <c r="K62" s="229"/>
      <c r="L62" s="229"/>
      <c r="M62" s="313"/>
      <c r="N62" s="229"/>
      <c r="O62" s="229"/>
      <c r="P62" s="229"/>
      <c r="Q62" s="229"/>
      <c r="R62" s="229"/>
      <c r="S62" s="229"/>
      <c r="T62" s="220"/>
      <c r="U62" s="182"/>
      <c r="V62" s="224"/>
      <c r="W62" s="224"/>
      <c r="X62" s="224"/>
      <c r="Y62" s="224"/>
      <c r="Z62" s="224"/>
    </row>
    <row r="63" spans="1:31" s="234" customFormat="1" ht="21" customHeight="1">
      <c r="A63" s="456" t="s">
        <v>25</v>
      </c>
      <c r="B63" s="457"/>
      <c r="C63" s="457"/>
      <c r="D63" s="457"/>
      <c r="E63" s="231">
        <f>SUM(E54:E62)</f>
        <v>40937000</v>
      </c>
      <c r="F63" s="231"/>
      <c r="G63" s="231">
        <f t="shared" ref="G63:S63" si="49">SUM(G54:G62)</f>
        <v>39267615</v>
      </c>
      <c r="H63" s="231">
        <f t="shared" si="49"/>
        <v>0</v>
      </c>
      <c r="I63" s="231">
        <f t="shared" si="49"/>
        <v>0</v>
      </c>
      <c r="J63" s="231">
        <f t="shared" si="49"/>
        <v>204</v>
      </c>
      <c r="K63" s="232">
        <f t="shared" si="49"/>
        <v>39267615</v>
      </c>
      <c r="L63" s="232">
        <f t="shared" si="49"/>
        <v>3060000</v>
      </c>
      <c r="M63" s="232">
        <f t="shared" si="49"/>
        <v>42327615</v>
      </c>
      <c r="N63" s="232">
        <f>SUM(N54:N62)</f>
        <v>3274960</v>
      </c>
      <c r="O63" s="232">
        <f t="shared" si="49"/>
        <v>614055</v>
      </c>
      <c r="P63" s="232">
        <f t="shared" si="49"/>
        <v>409370</v>
      </c>
      <c r="Q63" s="232">
        <f t="shared" si="49"/>
        <v>38029230</v>
      </c>
      <c r="R63" s="232">
        <f t="shared" si="49"/>
        <v>0</v>
      </c>
      <c r="S63" s="232">
        <f t="shared" si="49"/>
        <v>38029230</v>
      </c>
      <c r="T63" s="232"/>
      <c r="U63" s="182"/>
      <c r="V63" s="233">
        <f>S63+S33</f>
        <v>106984580</v>
      </c>
      <c r="W63" s="233"/>
      <c r="X63" s="233"/>
      <c r="Y63" s="233"/>
      <c r="Z63" s="233"/>
    </row>
    <row r="64" spans="1:31" s="242" customFormat="1" ht="13.5" customHeight="1">
      <c r="A64" s="235"/>
      <c r="B64" s="235"/>
      <c r="C64" s="236"/>
      <c r="D64" s="237"/>
      <c r="E64" s="238"/>
      <c r="F64" s="236"/>
      <c r="G64" s="236"/>
      <c r="H64" s="236"/>
      <c r="I64" s="236"/>
      <c r="J64" s="239"/>
      <c r="K64" s="236"/>
      <c r="L64" s="236"/>
      <c r="M64" s="240"/>
      <c r="N64" s="236"/>
      <c r="O64" s="236"/>
      <c r="P64" s="236"/>
      <c r="Q64" s="236"/>
      <c r="R64" s="236"/>
      <c r="S64" s="236"/>
      <c r="T64" s="236"/>
      <c r="U64" s="182"/>
      <c r="V64" s="241"/>
      <c r="W64" s="241"/>
      <c r="X64" s="241"/>
      <c r="Y64" s="241"/>
      <c r="Z64" s="241"/>
    </row>
    <row r="65" spans="1:26" s="225" customFormat="1" ht="17.25" customHeight="1">
      <c r="A65" s="243"/>
      <c r="B65" s="243"/>
      <c r="C65" s="243"/>
      <c r="D65" s="244"/>
      <c r="E65" s="245"/>
      <c r="F65" s="243"/>
      <c r="G65" s="243"/>
      <c r="H65" s="243"/>
      <c r="I65" s="243"/>
      <c r="J65" s="246"/>
      <c r="K65" s="245"/>
      <c r="L65" s="243"/>
      <c r="M65" s="243"/>
      <c r="N65" s="243"/>
      <c r="O65" s="243"/>
      <c r="P65" s="243"/>
      <c r="Q65" s="243"/>
      <c r="R65" s="243"/>
      <c r="S65" s="247" t="str">
        <f>$S$35</f>
        <v>Long An, ngày  31   tháng   07   năm 2016</v>
      </c>
      <c r="T65" s="243"/>
      <c r="U65" s="248"/>
      <c r="V65" s="224"/>
      <c r="W65" s="224"/>
      <c r="X65" s="224"/>
      <c r="Y65" s="224"/>
      <c r="Z65" s="224"/>
    </row>
    <row r="66" spans="1:26" s="225" customFormat="1" ht="12.75">
      <c r="A66" s="249"/>
      <c r="B66" s="249"/>
      <c r="C66" s="248" t="s">
        <v>60</v>
      </c>
      <c r="D66" s="250"/>
      <c r="E66" s="202"/>
      <c r="F66" s="248"/>
      <c r="G66" s="202"/>
      <c r="H66" s="202"/>
      <c r="I66" s="202"/>
      <c r="J66" s="251"/>
      <c r="K66" s="224"/>
      <c r="L66" s="252"/>
      <c r="M66" s="260"/>
      <c r="N66" s="253"/>
      <c r="O66" s="253"/>
      <c r="P66" s="253"/>
      <c r="Q66" s="253"/>
      <c r="S66" s="253" t="s">
        <v>22</v>
      </c>
      <c r="T66" s="248"/>
      <c r="U66" s="248"/>
      <c r="V66" s="224"/>
      <c r="W66" s="224"/>
      <c r="X66" s="224"/>
      <c r="Y66" s="224"/>
      <c r="Z66" s="224"/>
    </row>
    <row r="67" spans="1:26" s="242" customFormat="1" ht="12">
      <c r="A67" s="235"/>
      <c r="B67" s="235"/>
      <c r="C67" s="254"/>
      <c r="D67" s="254"/>
      <c r="E67" s="255"/>
      <c r="F67" s="185"/>
      <c r="G67" s="255"/>
      <c r="H67" s="255"/>
      <c r="I67" s="255"/>
      <c r="J67" s="239"/>
      <c r="K67" s="241"/>
      <c r="L67" s="256"/>
      <c r="N67" s="257"/>
      <c r="O67" s="257"/>
      <c r="P67" s="257"/>
      <c r="Q67" s="257"/>
      <c r="S67" s="257"/>
      <c r="T67" s="185"/>
      <c r="U67" s="182"/>
      <c r="V67" s="241"/>
      <c r="W67" s="241"/>
      <c r="X67" s="241"/>
      <c r="Y67" s="241"/>
      <c r="Z67" s="241"/>
    </row>
  </sheetData>
  <protectedRanges>
    <protectedRange password="CC78" sqref="V32:IK33 A10:B11 L32 C5:D7 B36:C36 V5:W9 A32:A37 B32:B35 B37 A68:A98 V12:W12 Q5:T7 AF5:IK12 L33:T33 V25:W25 E5:I6 D33:I33 N5:P6 L5 Q10:S11 L52 L36 J6:K7 L7 L50 AF25:IK25 A39:A45 N32:S32 W39:IK45 W10:W11 C68:IK98 J32:K33 A99:IK65366 C39:T45 V39:V49 H51:I51 B39:B98" name="Range1"/>
    <protectedRange password="CC78" sqref="F7:H7 H52" name="Range1_4"/>
    <protectedRange password="CC78" sqref="V36:IK37 S36:T37 N36:Q37 E36:I37" name="Range1_1_1"/>
    <protectedRange password="CC78" sqref="U1 W1:IK3 V4:IK4 B4:T4 U4:U12 X5:AE12 U25 X25:AE25 B1:Q3 R2:S3 U32:U49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2:IK63 L62 C50:D52 B66:C66 V50:W53 A62:A67 B62:B65 B67 N50:P51 Q50:T52 K62:K63 L63:T63 E50:I50 D63:J63 J62 J51:K52 L66 N62:S62 E51:G51 AF50:IK61 W54:W61 Q54:S61 A54:B61" name="Range1_3"/>
    <protectedRange password="CC78" sqref="F52:G52" name="Range1_4_2"/>
    <protectedRange password="CC78" sqref="V66:IK67 N66:Q67 S66:T67 E66:I67" name="Range1_1_1_1"/>
    <protectedRange password="CC78" sqref="W46:IK49 B49:T49 B46:Q48 R47:S48 U50:U67 X50:AE61" name="Range1_2_2"/>
    <protectedRange password="CC78" sqref="V54:V61" name="Range1_1_2"/>
    <protectedRange password="CC78" sqref="A46" name="Range1_2_1_1_1"/>
    <protectedRange password="CC78" sqref="I52" name="Range1_4_1_1"/>
    <protectedRange password="CC78" sqref="AF26:IK31 B26:B31 W26:W31 Q26:S31 A13:B15 B16:B24 Q13:S24 AF13:IK24 W13:W24 A16:A31" name="Range1_5"/>
    <protectedRange password="CC78" sqref="X26:AE31 U26:U31 X13:AE24 U13:U24" name="Range1_2_3"/>
    <protectedRange password="CC78" sqref="V26:V31 V13:V24" name="Range1_1_3"/>
    <protectedRange password="CC78" sqref="K10:K11 K26:K31 K54:K61 K13:K24" name="Range1_6"/>
    <protectedRange password="CC78" sqref="A2:A3 A47:A48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0:A52"/>
    <mergeCell ref="B50:B52"/>
    <mergeCell ref="C50:C52"/>
    <mergeCell ref="D50:D52"/>
    <mergeCell ref="E50:E52"/>
    <mergeCell ref="O6:O7"/>
    <mergeCell ref="P6:P7"/>
    <mergeCell ref="A33:D33"/>
    <mergeCell ref="D46:Q46"/>
    <mergeCell ref="R46:T46"/>
    <mergeCell ref="F6:G6"/>
    <mergeCell ref="H6:I6"/>
    <mergeCell ref="J6:J7"/>
    <mergeCell ref="K6:K7"/>
    <mergeCell ref="A63:D63"/>
    <mergeCell ref="S50:S52"/>
    <mergeCell ref="T50:T52"/>
    <mergeCell ref="F51:G51"/>
    <mergeCell ref="H51:I51"/>
    <mergeCell ref="J51:J52"/>
    <mergeCell ref="K51:K52"/>
    <mergeCell ref="N51:N52"/>
    <mergeCell ref="O51:O52"/>
    <mergeCell ref="P51:P52"/>
    <mergeCell ref="F50:K50"/>
    <mergeCell ref="L50:L52"/>
    <mergeCell ref="M50:M52"/>
    <mergeCell ref="N50:P50"/>
    <mergeCell ref="Q50:Q52"/>
    <mergeCell ref="R50:R52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8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I102" sqref="AI10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6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T.Hai</v>
      </c>
      <c r="G6" s="302" t="str">
        <f t="shared" ref="G6:AI6" si="1">CHOOSE(WEEKDAY(G5),"C.Nhật","T.Hai","T.Ba","T.Tư","T.Năm","T.Sáu","T.Bảy")</f>
        <v>T.Ba</v>
      </c>
      <c r="H6" s="302" t="str">
        <f t="shared" si="1"/>
        <v>T.Tư</v>
      </c>
      <c r="I6" s="302" t="str">
        <f t="shared" si="1"/>
        <v>T.Năm</v>
      </c>
      <c r="J6" s="302" t="str">
        <f t="shared" si="1"/>
        <v>T.Sáu</v>
      </c>
      <c r="K6" s="302" t="str">
        <f t="shared" si="1"/>
        <v>T.Bảy</v>
      </c>
      <c r="L6" s="302" t="str">
        <f t="shared" si="1"/>
        <v>C.Nhật</v>
      </c>
      <c r="M6" s="302" t="str">
        <f t="shared" si="1"/>
        <v>T.Hai</v>
      </c>
      <c r="N6" s="302" t="str">
        <f t="shared" si="1"/>
        <v>T.Ba</v>
      </c>
      <c r="O6" s="302" t="str">
        <f t="shared" si="1"/>
        <v>T.Tư</v>
      </c>
      <c r="P6" s="302" t="str">
        <f t="shared" si="1"/>
        <v>T.Năm</v>
      </c>
      <c r="Q6" s="302" t="str">
        <f t="shared" si="1"/>
        <v>T.Sáu</v>
      </c>
      <c r="R6" s="302" t="str">
        <f t="shared" si="1"/>
        <v>T.Bảy</v>
      </c>
      <c r="S6" s="302" t="str">
        <f t="shared" si="1"/>
        <v>C.Nhật</v>
      </c>
      <c r="T6" s="302" t="str">
        <f t="shared" si="1"/>
        <v>T.Hai</v>
      </c>
      <c r="U6" s="302" t="str">
        <f t="shared" si="1"/>
        <v>T.Ba</v>
      </c>
      <c r="V6" s="302" t="str">
        <f t="shared" si="1"/>
        <v>T.Tư</v>
      </c>
      <c r="W6" s="302" t="str">
        <f t="shared" si="1"/>
        <v>T.Năm</v>
      </c>
      <c r="X6" s="302" t="str">
        <f t="shared" si="1"/>
        <v>T.Sáu</v>
      </c>
      <c r="Y6" s="302" t="str">
        <f t="shared" si="1"/>
        <v>T.Bảy</v>
      </c>
      <c r="Z6" s="302" t="str">
        <f t="shared" si="1"/>
        <v>C.Nhật</v>
      </c>
      <c r="AA6" s="302" t="str">
        <f t="shared" si="1"/>
        <v>T.Hai</v>
      </c>
      <c r="AB6" s="302" t="str">
        <f t="shared" si="1"/>
        <v>T.Ba</v>
      </c>
      <c r="AC6" s="302" t="str">
        <f t="shared" si="1"/>
        <v>T.Tư</v>
      </c>
      <c r="AD6" s="302" t="str">
        <f t="shared" si="1"/>
        <v>T.Năm</v>
      </c>
      <c r="AE6" s="302" t="str">
        <f t="shared" si="1"/>
        <v>T.Sáu</v>
      </c>
      <c r="AF6" s="302" t="str">
        <f t="shared" si="1"/>
        <v>T.Bảy</v>
      </c>
      <c r="AG6" s="302" t="str">
        <f t="shared" si="1"/>
        <v>C.Nhật</v>
      </c>
      <c r="AH6" s="302" t="str">
        <f t="shared" si="1"/>
        <v>T.Hai</v>
      </c>
      <c r="AI6" s="302" t="str">
        <f t="shared" si="1"/>
        <v>T.Ba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3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417">
        <f>((SUM(F9:AJ9))/8)-(SUMIF($F$6:$AJ$6,"C.Nhật",F9:AJ9)/8)</f>
        <v>27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27</v>
      </c>
      <c r="AO9" s="421">
        <v>0</v>
      </c>
      <c r="AP9" s="407"/>
      <c r="AQ9" s="407"/>
      <c r="AR9" s="407"/>
      <c r="AS9" s="409"/>
      <c r="AT9" s="33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33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417">
        <f>((SUM(F11:AJ11))/8)-(SUMIF($F$6:$AJ$6,"C.Nhật",F11:AJ11)/8)</f>
        <v>27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27</v>
      </c>
      <c r="AO11" s="421">
        <v>0</v>
      </c>
      <c r="AP11" s="407"/>
      <c r="AQ11" s="407"/>
      <c r="AR11" s="407"/>
      <c r="AS11" s="409"/>
      <c r="AT11" s="33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33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417">
        <f>((SUM(F14:AJ14))/8)-(SUMIF($F$6:$AJ$6,"C.Nhật",F14:AJ14)/8)</f>
        <v>27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27</v>
      </c>
      <c r="AO14" s="421">
        <v>0</v>
      </c>
      <c r="AP14" s="407"/>
      <c r="AQ14" s="407"/>
      <c r="AR14" s="407"/>
      <c r="AS14" s="409"/>
      <c r="AT14" s="33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33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417">
        <f>((SUM(F16:AJ16))/8)-(SUMIF($F$6:$AJ$6,"C.Nhật",F16:AJ16)/8)</f>
        <v>27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27</v>
      </c>
      <c r="AO16" s="421">
        <v>0</v>
      </c>
      <c r="AP16" s="407"/>
      <c r="AQ16" s="407"/>
      <c r="AR16" s="407"/>
      <c r="AS16" s="409"/>
      <c r="AT16" s="33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33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2" si="2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417">
        <f>((SUM(F18:AJ18))/8)-(SUMIF($F$6:$AJ$6,"C.Nhật",F18:AJ18)/8)</f>
        <v>27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27</v>
      </c>
      <c r="AO18" s="421">
        <v>0</v>
      </c>
      <c r="AP18" s="407"/>
      <c r="AQ18" s="407"/>
      <c r="AR18" s="407"/>
      <c r="AS18" s="409"/>
      <c r="AT18" s="33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33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417">
        <f>((SUM(F20:AJ20))/8)-(SUMIF($F$6:$AJ$6,"C.Nhật",F20:AJ20)/8)</f>
        <v>27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27</v>
      </c>
      <c r="AO20" s="421">
        <v>0</v>
      </c>
      <c r="AP20" s="407"/>
      <c r="AQ20" s="407"/>
      <c r="AR20" s="407"/>
      <c r="AS20" s="409"/>
      <c r="AT20" s="33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33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417">
        <f>((SUM(F22:AJ22))/8)-(SUMIF($F$6:$AJ$6,"C.Nhật",F22:AJ22)/8)</f>
        <v>27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27</v>
      </c>
      <c r="AO22" s="421">
        <v>0</v>
      </c>
      <c r="AP22" s="407"/>
      <c r="AQ22" s="407"/>
      <c r="AR22" s="407"/>
      <c r="AS22" s="409"/>
      <c r="AT22" s="33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33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94</v>
      </c>
      <c r="C24" s="413" t="str">
        <f>VLOOKUP(B24,DS,2,0)</f>
        <v>Trà Thị Soi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417">
        <f>((SUM(F24:AJ24))/8)-(SUMIF($F$6:$AJ$6,"C.Nhật",F24:AJ24)/8)</f>
        <v>27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27</v>
      </c>
      <c r="AO24" s="421">
        <v>0</v>
      </c>
      <c r="AP24" s="407"/>
      <c r="AQ24" s="407"/>
      <c r="AR24" s="407"/>
      <c r="AS24" s="409"/>
      <c r="AT24" s="33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33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100</v>
      </c>
      <c r="C26" s="413" t="str">
        <f>VLOOKUP(B26,DS,2,0)</f>
        <v>Sơn Thị Chành Đa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417">
        <f>((SUM(F26:AJ26))/8)-(SUMIF($F$6:$AJ$6,"C.Nhật",F26:AJ26)/8)</f>
        <v>27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27</v>
      </c>
      <c r="AO26" s="421">
        <v>0</v>
      </c>
      <c r="AP26" s="407"/>
      <c r="AQ26" s="407"/>
      <c r="AR26" s="407"/>
      <c r="AS26" s="409"/>
      <c r="AT26" s="33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33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101</v>
      </c>
      <c r="C28" s="413" t="str">
        <f>VLOOKUP(B28,DS,2,0)</f>
        <v>Trần Thị Bích Phượng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417">
        <f>((SUM(F28:AJ28))/8)-(SUMIF($F$6:$AJ$6,"C.Nhật",F28:AJ28)/8)</f>
        <v>27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27</v>
      </c>
      <c r="AO28" s="421">
        <v>0</v>
      </c>
      <c r="AP28" s="407"/>
      <c r="AQ28" s="407"/>
      <c r="AR28" s="407"/>
      <c r="AS28" s="409"/>
      <c r="AT28" s="33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33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102</v>
      </c>
      <c r="C30" s="413" t="str">
        <f>VLOOKUP(B30,DS,2,0)</f>
        <v>Sơn Thị Trường Sa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417">
        <f>((SUM(F30:AJ30))/8)-(SUMIF($F$6:$AJ$6,"C.Nhật",F30:AJ30)/8)</f>
        <v>27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27</v>
      </c>
      <c r="AO30" s="421">
        <v>0</v>
      </c>
      <c r="AP30" s="407"/>
      <c r="AQ30" s="407"/>
      <c r="AR30" s="407"/>
      <c r="AS30" s="409"/>
      <c r="AT30" s="33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33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103</v>
      </c>
      <c r="C32" s="413" t="str">
        <f>VLOOKUP(B32,DS,2,0)</f>
        <v>Lý Thị Sà Kha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417">
        <f>((SUM(F32:AJ32))/8)-(SUMIF($F$6:$AJ$6,"C.Nhật",F32:AJ32)/8)</f>
        <v>27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27</v>
      </c>
      <c r="AO32" s="421">
        <v>0</v>
      </c>
      <c r="AP32" s="407"/>
      <c r="AQ32" s="407"/>
      <c r="AR32" s="407"/>
      <c r="AS32" s="409"/>
      <c r="AT32" s="33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33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104</v>
      </c>
      <c r="C34" s="413" t="str">
        <f>VLOOKUP(B34,DS,2,0)</f>
        <v xml:space="preserve"> Lâm Thị Mộng Thường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417">
        <f>((SUM(F34:AJ34))/8)-(SUMIF($F$6:$AJ$6,"C.Nhật",F34:AJ34)/8)</f>
        <v>27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27</v>
      </c>
      <c r="AO34" s="421">
        <v>0</v>
      </c>
      <c r="AP34" s="407"/>
      <c r="AQ34" s="407"/>
      <c r="AR34" s="407"/>
      <c r="AS34" s="409"/>
      <c r="AT34" s="33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33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411">
        <f>A34+1</f>
        <v>14</v>
      </c>
      <c r="B37" s="411" t="s">
        <v>113</v>
      </c>
      <c r="C37" s="413" t="str">
        <f>VLOOKUP(B37,DS,2,0)</f>
        <v>Nguyễn Văn Bé Hai</v>
      </c>
      <c r="D37" s="415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>
        <v>8</v>
      </c>
      <c r="L37" s="171"/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>
        <v>8</v>
      </c>
      <c r="S37" s="171"/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>
        <v>8</v>
      </c>
      <c r="Z37" s="171"/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>
        <v>8</v>
      </c>
      <c r="AG37" s="171"/>
      <c r="AH37" s="171">
        <v>8</v>
      </c>
      <c r="AI37" s="171">
        <v>8</v>
      </c>
      <c r="AJ37" s="171">
        <v>8</v>
      </c>
      <c r="AK37" s="417">
        <f>((SUM(F37:AJ37))/8)-(SUMIF($F$6:$AJ$6,"C.Nhật",F37:AJ37)/8)</f>
        <v>27</v>
      </c>
      <c r="AL37" s="417">
        <f>SUM(F38:AI38)/8*1.5</f>
        <v>0</v>
      </c>
      <c r="AM37" s="419">
        <f>SUMIF($F$6:$AI$6,"C.Nhật",$F37:$AI38)/8*2</f>
        <v>0</v>
      </c>
      <c r="AN37" s="407">
        <f>SUM(AK37:AM38)</f>
        <v>27</v>
      </c>
      <c r="AO37" s="421">
        <v>0</v>
      </c>
      <c r="AP37" s="407"/>
      <c r="AQ37" s="407"/>
      <c r="AR37" s="407"/>
      <c r="AS37" s="409"/>
      <c r="AT37" s="33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2"/>
      <c r="B38" s="412"/>
      <c r="C38" s="414"/>
      <c r="D38" s="416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0"/>
      <c r="AJ38" s="320"/>
      <c r="AK38" s="418"/>
      <c r="AL38" s="418"/>
      <c r="AM38" s="420"/>
      <c r="AN38" s="408"/>
      <c r="AO38" s="422"/>
      <c r="AP38" s="408"/>
      <c r="AQ38" s="408"/>
      <c r="AR38" s="408"/>
      <c r="AS38" s="410"/>
      <c r="AT38" s="339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1">
        <f>A37+1</f>
        <v>15</v>
      </c>
      <c r="B39" s="411" t="s">
        <v>114</v>
      </c>
      <c r="C39" s="413" t="str">
        <f>VLOOKUP(B39,DS,2,0)</f>
        <v>Thạch Tiền</v>
      </c>
      <c r="D39" s="415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>
        <v>8</v>
      </c>
      <c r="L39" s="171"/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>
        <v>8</v>
      </c>
      <c r="S39" s="171"/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>
        <v>8</v>
      </c>
      <c r="Z39" s="171"/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>
        <v>8</v>
      </c>
      <c r="AG39" s="171"/>
      <c r="AH39" s="171">
        <v>8</v>
      </c>
      <c r="AI39" s="171">
        <v>8</v>
      </c>
      <c r="AJ39" s="171">
        <v>8</v>
      </c>
      <c r="AK39" s="417">
        <f>((SUM(F39:AJ39))/8)-(SUMIF($F$6:$AJ$6,"C.Nhật",F39:AJ39)/8)</f>
        <v>27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27</v>
      </c>
      <c r="AO39" s="421">
        <v>0</v>
      </c>
      <c r="AP39" s="407"/>
      <c r="AQ39" s="407"/>
      <c r="AR39" s="407"/>
      <c r="AS39" s="409"/>
      <c r="AT39" s="33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18"/>
      <c r="AL40" s="418"/>
      <c r="AM40" s="420"/>
      <c r="AN40" s="408"/>
      <c r="AO40" s="422"/>
      <c r="AP40" s="408"/>
      <c r="AQ40" s="408"/>
      <c r="AR40" s="408"/>
      <c r="AS40" s="410"/>
      <c r="AT40" s="33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118</v>
      </c>
      <c r="C41" s="413" t="str">
        <f>VLOOKUP(B41,DS,2,0)</f>
        <v>Trần Nhiên</v>
      </c>
      <c r="D41" s="415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>
        <v>8</v>
      </c>
      <c r="L41" s="171"/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>
        <v>8</v>
      </c>
      <c r="S41" s="171"/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>
        <v>8</v>
      </c>
      <c r="Z41" s="171"/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>
        <v>8</v>
      </c>
      <c r="AG41" s="171"/>
      <c r="AH41" s="171">
        <v>8</v>
      </c>
      <c r="AI41" s="171">
        <v>8</v>
      </c>
      <c r="AJ41" s="171">
        <v>8</v>
      </c>
      <c r="AK41" s="417">
        <f>((SUM(F41:AJ41))/8)-(SUMIF($F$6:$AJ$6,"C.Nhật",F41:AJ41)/8)</f>
        <v>27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27</v>
      </c>
      <c r="AO41" s="421">
        <v>0</v>
      </c>
      <c r="AP41" s="407"/>
      <c r="AQ41" s="407"/>
      <c r="AR41" s="407"/>
      <c r="AS41" s="409"/>
      <c r="AT41" s="339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18"/>
      <c r="AL42" s="418"/>
      <c r="AM42" s="420"/>
      <c r="AN42" s="408"/>
      <c r="AO42" s="422"/>
      <c r="AP42" s="408"/>
      <c r="AQ42" s="408"/>
      <c r="AR42" s="408"/>
      <c r="AS42" s="410"/>
      <c r="AT42" s="339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119</v>
      </c>
      <c r="C43" s="413" t="str">
        <f>VLOOKUP(B43,DS,2,0)</f>
        <v>Thạch Giang</v>
      </c>
      <c r="D43" s="415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>
        <v>8</v>
      </c>
      <c r="L43" s="171"/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>
        <v>8</v>
      </c>
      <c r="S43" s="171"/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>
        <v>8</v>
      </c>
      <c r="Z43" s="171"/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>
        <v>8</v>
      </c>
      <c r="AG43" s="171"/>
      <c r="AH43" s="171">
        <v>8</v>
      </c>
      <c r="AI43" s="171">
        <v>8</v>
      </c>
      <c r="AJ43" s="171">
        <v>8</v>
      </c>
      <c r="AK43" s="417">
        <f>((SUM(F43:AJ43))/8)-(SUMIF($F$6:$AJ$6,"C.Nhật",F43:AJ43)/8)</f>
        <v>27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27</v>
      </c>
      <c r="AO43" s="421">
        <v>0</v>
      </c>
      <c r="AP43" s="407"/>
      <c r="AQ43" s="407"/>
      <c r="AR43" s="407"/>
      <c r="AS43" s="409"/>
      <c r="AT43" s="33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18"/>
      <c r="AL44" s="418"/>
      <c r="AM44" s="420"/>
      <c r="AN44" s="408"/>
      <c r="AO44" s="422"/>
      <c r="AP44" s="408"/>
      <c r="AQ44" s="408"/>
      <c r="AR44" s="408"/>
      <c r="AS44" s="410"/>
      <c r="AT44" s="33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120</v>
      </c>
      <c r="C45" s="413" t="str">
        <f>VLOOKUP(B45,DS,2,0)</f>
        <v>Thạch Quyền</v>
      </c>
      <c r="D45" s="415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>
        <v>8</v>
      </c>
      <c r="L45" s="171"/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>
        <v>8</v>
      </c>
      <c r="S45" s="171"/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>
        <v>8</v>
      </c>
      <c r="Z45" s="171"/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>
        <v>8</v>
      </c>
      <c r="AG45" s="171"/>
      <c r="AH45" s="171">
        <v>8</v>
      </c>
      <c r="AI45" s="171">
        <v>8</v>
      </c>
      <c r="AJ45" s="171">
        <v>8</v>
      </c>
      <c r="AK45" s="417">
        <f>((SUM(F45:AJ45))/8)-(SUMIF($F$6:$AJ$6,"C.Nhật",F45:AJ45)/8)</f>
        <v>27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27</v>
      </c>
      <c r="AO45" s="421">
        <v>0</v>
      </c>
      <c r="AP45" s="407"/>
      <c r="AQ45" s="407"/>
      <c r="AR45" s="407"/>
      <c r="AS45" s="409"/>
      <c r="AT45" s="33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18"/>
      <c r="AL46" s="418"/>
      <c r="AM46" s="420"/>
      <c r="AN46" s="408"/>
      <c r="AO46" s="422"/>
      <c r="AP46" s="408"/>
      <c r="AQ46" s="408"/>
      <c r="AR46" s="408"/>
      <c r="AS46" s="410"/>
      <c r="AT46" s="33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122</v>
      </c>
      <c r="C47" s="413" t="str">
        <f>VLOOKUP(B47,DS,2,0)</f>
        <v>Lâm Chanh Đa Ra</v>
      </c>
      <c r="D47" s="415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>
        <v>8</v>
      </c>
      <c r="L47" s="171"/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>
        <v>8</v>
      </c>
      <c r="S47" s="171"/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>
        <v>8</v>
      </c>
      <c r="Z47" s="171"/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>
        <v>8</v>
      </c>
      <c r="AG47" s="171"/>
      <c r="AH47" s="171">
        <v>8</v>
      </c>
      <c r="AI47" s="171">
        <v>8</v>
      </c>
      <c r="AJ47" s="171">
        <v>8</v>
      </c>
      <c r="AK47" s="417">
        <f>((SUM(F47:AJ47))/8)-(SUMIF($F$6:$AJ$6,"C.Nhật",F47:AJ47)/8)</f>
        <v>27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27</v>
      </c>
      <c r="AO47" s="421">
        <v>0</v>
      </c>
      <c r="AP47" s="407"/>
      <c r="AQ47" s="407"/>
      <c r="AR47" s="407"/>
      <c r="AS47" s="409"/>
      <c r="AT47" s="33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18"/>
      <c r="AL48" s="418"/>
      <c r="AM48" s="420"/>
      <c r="AN48" s="408"/>
      <c r="AO48" s="422"/>
      <c r="AP48" s="408"/>
      <c r="AQ48" s="408"/>
      <c r="AR48" s="408"/>
      <c r="AS48" s="410"/>
      <c r="AT48" s="33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36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36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08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53" t="s">
        <v>112</v>
      </c>
      <c r="AN76" s="454"/>
      <c r="AO76" s="454"/>
      <c r="AP76" s="454"/>
      <c r="AQ76" s="454"/>
      <c r="AR76" s="454"/>
      <c r="AS76" s="455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42583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96" t="s">
        <v>28</v>
      </c>
      <c r="B80" s="496" t="s">
        <v>3</v>
      </c>
      <c r="C80" s="496" t="s">
        <v>1</v>
      </c>
      <c r="D80" s="434" t="s">
        <v>29</v>
      </c>
      <c r="E80" s="496" t="s">
        <v>30</v>
      </c>
      <c r="F80" s="164">
        <f>+E79</f>
        <v>42583</v>
      </c>
      <c r="G80" s="164">
        <f t="shared" ref="G80:AG80" si="3">F80+1</f>
        <v>42584</v>
      </c>
      <c r="H80" s="164">
        <f t="shared" si="3"/>
        <v>42585</v>
      </c>
      <c r="I80" s="164">
        <f t="shared" si="3"/>
        <v>42586</v>
      </c>
      <c r="J80" s="164">
        <f t="shared" si="3"/>
        <v>42587</v>
      </c>
      <c r="K80" s="164">
        <f t="shared" si="3"/>
        <v>42588</v>
      </c>
      <c r="L80" s="164">
        <f t="shared" si="3"/>
        <v>42589</v>
      </c>
      <c r="M80" s="164">
        <f t="shared" si="3"/>
        <v>42590</v>
      </c>
      <c r="N80" s="164">
        <f t="shared" si="3"/>
        <v>42591</v>
      </c>
      <c r="O80" s="164">
        <f t="shared" si="3"/>
        <v>42592</v>
      </c>
      <c r="P80" s="164">
        <f t="shared" si="3"/>
        <v>42593</v>
      </c>
      <c r="Q80" s="164">
        <f t="shared" si="3"/>
        <v>42594</v>
      </c>
      <c r="R80" s="164">
        <f t="shared" si="3"/>
        <v>42595</v>
      </c>
      <c r="S80" s="164">
        <f t="shared" si="3"/>
        <v>42596</v>
      </c>
      <c r="T80" s="164">
        <f t="shared" si="3"/>
        <v>42597</v>
      </c>
      <c r="U80" s="164">
        <f t="shared" si="3"/>
        <v>42598</v>
      </c>
      <c r="V80" s="164">
        <f t="shared" si="3"/>
        <v>42599</v>
      </c>
      <c r="W80" s="164">
        <f t="shared" si="3"/>
        <v>42600</v>
      </c>
      <c r="X80" s="164">
        <f t="shared" si="3"/>
        <v>42601</v>
      </c>
      <c r="Y80" s="164">
        <f t="shared" si="3"/>
        <v>42602</v>
      </c>
      <c r="Z80" s="164">
        <f t="shared" si="3"/>
        <v>42603</v>
      </c>
      <c r="AA80" s="164">
        <f t="shared" si="3"/>
        <v>42604</v>
      </c>
      <c r="AB80" s="164">
        <f t="shared" si="3"/>
        <v>42605</v>
      </c>
      <c r="AC80" s="164">
        <f t="shared" si="3"/>
        <v>42606</v>
      </c>
      <c r="AD80" s="164">
        <f t="shared" si="3"/>
        <v>42607</v>
      </c>
      <c r="AE80" s="164">
        <f t="shared" si="3"/>
        <v>42608</v>
      </c>
      <c r="AF80" s="164">
        <f t="shared" si="3"/>
        <v>42609</v>
      </c>
      <c r="AG80" s="164">
        <f t="shared" si="3"/>
        <v>42610</v>
      </c>
      <c r="AH80" s="164">
        <f>AG80+1</f>
        <v>42611</v>
      </c>
      <c r="AI80" s="164">
        <f>AH80+1</f>
        <v>42612</v>
      </c>
      <c r="AJ80" s="164">
        <f>AI80+1</f>
        <v>42613</v>
      </c>
      <c r="AK80" s="441" t="s">
        <v>15</v>
      </c>
      <c r="AL80" s="442"/>
      <c r="AM80" s="443"/>
      <c r="AN80" s="432" t="s">
        <v>45</v>
      </c>
      <c r="AO80" s="432" t="s">
        <v>41</v>
      </c>
      <c r="AP80" s="432" t="s">
        <v>42</v>
      </c>
      <c r="AQ80" s="432" t="s">
        <v>43</v>
      </c>
      <c r="AR80" s="432" t="s">
        <v>44</v>
      </c>
      <c r="AS80" s="434" t="s">
        <v>0</v>
      </c>
      <c r="AT80" s="427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35"/>
      <c r="B81" s="435"/>
      <c r="C81" s="435"/>
      <c r="D81" s="435"/>
      <c r="E81" s="435"/>
      <c r="F81" s="322" t="str">
        <f>CHOOSE(WEEKDAY(F80),"C.Nhật","T.Hai","T.Ba","T.Tư","T.Năm","T.Sáu","T.Bảy")</f>
        <v>T.Hai</v>
      </c>
      <c r="G81" s="322" t="str">
        <f t="shared" ref="G81:AJ81" si="4">CHOOSE(WEEKDAY(G80),"C.Nhật","T.Hai","T.Ba","T.Tư","T.Năm","T.Sáu","T.Bảy")</f>
        <v>T.Ba</v>
      </c>
      <c r="H81" s="322" t="str">
        <f t="shared" si="4"/>
        <v>T.Tư</v>
      </c>
      <c r="I81" s="322" t="str">
        <f t="shared" si="4"/>
        <v>T.Năm</v>
      </c>
      <c r="J81" s="322" t="str">
        <f t="shared" si="4"/>
        <v>T.Sáu</v>
      </c>
      <c r="K81" s="166" t="str">
        <f t="shared" si="4"/>
        <v>T.Bảy</v>
      </c>
      <c r="L81" s="166" t="str">
        <f t="shared" si="4"/>
        <v>C.Nhật</v>
      </c>
      <c r="M81" s="166" t="str">
        <f t="shared" si="4"/>
        <v>T.Hai</v>
      </c>
      <c r="N81" s="166" t="str">
        <f t="shared" si="4"/>
        <v>T.Ba</v>
      </c>
      <c r="O81" s="166" t="str">
        <f t="shared" si="4"/>
        <v>T.Tư</v>
      </c>
      <c r="P81" s="166" t="str">
        <f t="shared" si="4"/>
        <v>T.Năm</v>
      </c>
      <c r="Q81" s="166" t="str">
        <f t="shared" si="4"/>
        <v>T.Sáu</v>
      </c>
      <c r="R81" s="166" t="str">
        <f t="shared" si="4"/>
        <v>T.Bảy</v>
      </c>
      <c r="S81" s="166" t="str">
        <f t="shared" si="4"/>
        <v>C.Nhật</v>
      </c>
      <c r="T81" s="166" t="str">
        <f t="shared" si="4"/>
        <v>T.Hai</v>
      </c>
      <c r="U81" s="166" t="str">
        <f t="shared" si="4"/>
        <v>T.Ba</v>
      </c>
      <c r="V81" s="166" t="str">
        <f t="shared" si="4"/>
        <v>T.Tư</v>
      </c>
      <c r="W81" s="166" t="str">
        <f t="shared" si="4"/>
        <v>T.Năm</v>
      </c>
      <c r="X81" s="166" t="str">
        <f t="shared" si="4"/>
        <v>T.Sáu</v>
      </c>
      <c r="Y81" s="166" t="str">
        <f t="shared" si="4"/>
        <v>T.Bảy</v>
      </c>
      <c r="Z81" s="166" t="str">
        <f t="shared" si="4"/>
        <v>C.Nhật</v>
      </c>
      <c r="AA81" s="166" t="str">
        <f t="shared" si="4"/>
        <v>T.Hai</v>
      </c>
      <c r="AB81" s="166" t="str">
        <f t="shared" si="4"/>
        <v>T.Ba</v>
      </c>
      <c r="AC81" s="166" t="str">
        <f t="shared" si="4"/>
        <v>T.Tư</v>
      </c>
      <c r="AD81" s="166" t="str">
        <f t="shared" si="4"/>
        <v>T.Năm</v>
      </c>
      <c r="AE81" s="166" t="str">
        <f t="shared" si="4"/>
        <v>T.Sáu</v>
      </c>
      <c r="AF81" s="166" t="str">
        <f t="shared" si="4"/>
        <v>T.Bảy</v>
      </c>
      <c r="AG81" s="166" t="str">
        <f t="shared" si="4"/>
        <v>C.Nhật</v>
      </c>
      <c r="AH81" s="166" t="str">
        <f t="shared" si="4"/>
        <v>T.Hai</v>
      </c>
      <c r="AI81" s="166" t="str">
        <f t="shared" si="4"/>
        <v>T.Ba</v>
      </c>
      <c r="AJ81" s="166" t="str">
        <f t="shared" si="4"/>
        <v>T.Tư</v>
      </c>
      <c r="AK81" s="167" t="s">
        <v>16</v>
      </c>
      <c r="AL81" s="167" t="s">
        <v>31</v>
      </c>
      <c r="AM81" s="168" t="s">
        <v>17</v>
      </c>
      <c r="AN81" s="433"/>
      <c r="AO81" s="433"/>
      <c r="AP81" s="433"/>
      <c r="AQ81" s="433"/>
      <c r="AR81" s="433"/>
      <c r="AS81" s="435"/>
      <c r="AT81" s="427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38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25">
        <v>1</v>
      </c>
      <c r="B83" s="425" t="s">
        <v>68</v>
      </c>
      <c r="C83" s="413" t="str">
        <f>VLOOKUP(B83,DS,2,0)</f>
        <v>Nguyễn Thiện Duy</v>
      </c>
      <c r="D83" s="415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>
        <v>8</v>
      </c>
      <c r="L83" s="171"/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/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/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/>
      <c r="AH83" s="171">
        <v>8</v>
      </c>
      <c r="AI83" s="171">
        <v>8</v>
      </c>
      <c r="AJ83" s="171"/>
      <c r="AK83" s="417">
        <f>((SUM(F83:AJ83))/8)-(SUMIF($F$6:$AJ$6,"C.Nhật",F83:AJ83)/8)</f>
        <v>23</v>
      </c>
      <c r="AL83" s="417">
        <f>SUM(F84:AI84)/8*1.5</f>
        <v>0</v>
      </c>
      <c r="AM83" s="419">
        <f>SUMIF($F$6:$AI$6,"C.Nhật",$F83:$AI84)/8*2</f>
        <v>0</v>
      </c>
      <c r="AN83" s="407">
        <f>SUM(AK83:AM84)</f>
        <v>23</v>
      </c>
      <c r="AO83" s="423">
        <v>0</v>
      </c>
      <c r="AP83" s="428"/>
      <c r="AQ83" s="428"/>
      <c r="AR83" s="428"/>
      <c r="AS83" s="430"/>
      <c r="AT83" s="338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26"/>
      <c r="B84" s="426"/>
      <c r="C84" s="414"/>
      <c r="D84" s="416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0"/>
      <c r="AK84" s="418"/>
      <c r="AL84" s="418"/>
      <c r="AM84" s="420"/>
      <c r="AN84" s="408"/>
      <c r="AO84" s="424"/>
      <c r="AP84" s="429"/>
      <c r="AQ84" s="429"/>
      <c r="AR84" s="429"/>
      <c r="AS84" s="431"/>
      <c r="AT84" s="338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f>A83+1</f>
        <v>2</v>
      </c>
      <c r="B85" s="425" t="s">
        <v>70</v>
      </c>
      <c r="C85" s="413" t="str">
        <f>VLOOKUP(B85,DS,2,0)</f>
        <v>Nguyễn Văn Sẽ</v>
      </c>
      <c r="D85" s="415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>
        <v>8</v>
      </c>
      <c r="L85" s="171"/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>
        <v>8</v>
      </c>
      <c r="S85" s="171"/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>
        <v>8</v>
      </c>
      <c r="Z85" s="171"/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>
        <v>8</v>
      </c>
      <c r="AG85" s="171"/>
      <c r="AH85" s="171">
        <v>8</v>
      </c>
      <c r="AI85" s="171">
        <v>8</v>
      </c>
      <c r="AJ85" s="171">
        <v>8</v>
      </c>
      <c r="AK85" s="417">
        <f>((SUM(F85:AJ85))/8)-(SUMIF($F$6:$AJ$6,"C.Nhật",F85:AJ85)/8)</f>
        <v>27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27</v>
      </c>
      <c r="AO85" s="423">
        <v>0</v>
      </c>
      <c r="AP85" s="428"/>
      <c r="AQ85" s="428"/>
      <c r="AR85" s="428"/>
      <c r="AS85" s="430"/>
      <c r="AT85" s="338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0"/>
      <c r="AK86" s="418"/>
      <c r="AL86" s="418"/>
      <c r="AM86" s="420"/>
      <c r="AN86" s="408"/>
      <c r="AO86" s="424"/>
      <c r="AP86" s="429"/>
      <c r="AQ86" s="429"/>
      <c r="AR86" s="429"/>
      <c r="AS86" s="431"/>
      <c r="AT86" s="338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3</v>
      </c>
      <c r="B87" s="425" t="s">
        <v>72</v>
      </c>
      <c r="C87" s="413" t="str">
        <f>VLOOKUP(B87,DS,2,0)</f>
        <v>Võ Uyên Phương</v>
      </c>
      <c r="D87" s="415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>
        <v>8</v>
      </c>
      <c r="L87" s="171"/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>
        <v>8</v>
      </c>
      <c r="S87" s="171"/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>
        <v>8</v>
      </c>
      <c r="Z87" s="171"/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>
        <v>8</v>
      </c>
      <c r="AG87" s="171"/>
      <c r="AH87" s="171">
        <v>8</v>
      </c>
      <c r="AI87" s="171">
        <v>8</v>
      </c>
      <c r="AJ87" s="171">
        <v>8</v>
      </c>
      <c r="AK87" s="417">
        <f>((SUM(F87:AJ87))/8)-(SUMIF($F$6:$AJ$6,"C.Nhật",F87:AJ87)/8)</f>
        <v>27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27</v>
      </c>
      <c r="AO87" s="423">
        <v>0</v>
      </c>
      <c r="AP87" s="428"/>
      <c r="AQ87" s="428"/>
      <c r="AR87" s="428"/>
      <c r="AS87" s="430"/>
      <c r="AT87" s="338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0"/>
      <c r="AK88" s="418"/>
      <c r="AL88" s="418"/>
      <c r="AM88" s="420"/>
      <c r="AN88" s="408"/>
      <c r="AO88" s="424"/>
      <c r="AP88" s="429"/>
      <c r="AQ88" s="429"/>
      <c r="AR88" s="429"/>
      <c r="AS88" s="431"/>
      <c r="AT88" s="338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4</v>
      </c>
      <c r="B89" s="425" t="s">
        <v>75</v>
      </c>
      <c r="C89" s="413" t="str">
        <f>VLOOKUP(B89,DS,2,0)</f>
        <v>Lê Nguyễn Huy Cường</v>
      </c>
      <c r="D89" s="415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>
        <v>8</v>
      </c>
      <c r="L89" s="171"/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>
        <v>8</v>
      </c>
      <c r="S89" s="171"/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>
        <v>8</v>
      </c>
      <c r="Z89" s="171"/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>
        <v>8</v>
      </c>
      <c r="AG89" s="171"/>
      <c r="AH89" s="171">
        <v>8</v>
      </c>
      <c r="AI89" s="171">
        <v>8</v>
      </c>
      <c r="AJ89" s="171">
        <v>8</v>
      </c>
      <c r="AK89" s="417">
        <f>((SUM(F89:AJ89))/8)-(SUMIF($F$6:$AJ$6,"C.Nhật",F89:AJ89)/8)</f>
        <v>27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27</v>
      </c>
      <c r="AO89" s="423">
        <v>0</v>
      </c>
      <c r="AP89" s="428"/>
      <c r="AQ89" s="428"/>
      <c r="AR89" s="428"/>
      <c r="AS89" s="430"/>
      <c r="AT89" s="338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0"/>
      <c r="AK90" s="418"/>
      <c r="AL90" s="418"/>
      <c r="AM90" s="420"/>
      <c r="AN90" s="408"/>
      <c r="AO90" s="424"/>
      <c r="AP90" s="429"/>
      <c r="AQ90" s="429"/>
      <c r="AR90" s="429"/>
      <c r="AS90" s="431"/>
      <c r="AT90" s="33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5</v>
      </c>
      <c r="B91" s="425" t="s">
        <v>77</v>
      </c>
      <c r="C91" s="413" t="str">
        <f>VLOOKUP(B91,DS,2,0)</f>
        <v>Nguyễn Văn Bé Tư</v>
      </c>
      <c r="D91" s="415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>
        <v>8</v>
      </c>
      <c r="L91" s="171"/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>
        <v>8</v>
      </c>
      <c r="S91" s="171"/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>
        <v>8</v>
      </c>
      <c r="Z91" s="171"/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>
        <v>8</v>
      </c>
      <c r="AG91" s="171"/>
      <c r="AH91" s="171">
        <v>8</v>
      </c>
      <c r="AI91" s="171">
        <v>8</v>
      </c>
      <c r="AJ91" s="171">
        <v>8</v>
      </c>
      <c r="AK91" s="417">
        <f>((SUM(F91:AJ91))/8)-(SUMIF($F$6:$AJ$6,"C.Nhật",F91:AJ91)/8)</f>
        <v>27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27</v>
      </c>
      <c r="AO91" s="423">
        <v>0</v>
      </c>
      <c r="AP91" s="428"/>
      <c r="AQ91" s="428"/>
      <c r="AR91" s="428"/>
      <c r="AS91" s="430"/>
      <c r="AT91" s="33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0"/>
      <c r="AK92" s="418"/>
      <c r="AL92" s="418"/>
      <c r="AM92" s="420"/>
      <c r="AN92" s="408"/>
      <c r="AO92" s="424"/>
      <c r="AP92" s="429"/>
      <c r="AQ92" s="429"/>
      <c r="AR92" s="429"/>
      <c r="AS92" s="431"/>
      <c r="AT92" s="33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6</v>
      </c>
      <c r="B93" s="425" t="s">
        <v>78</v>
      </c>
      <c r="C93" s="413" t="str">
        <f>VLOOKUP(B93,DS,2,0)</f>
        <v>Dương Thanh Tuấn</v>
      </c>
      <c r="D93" s="415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>
        <v>8</v>
      </c>
      <c r="L93" s="171"/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>
        <v>8</v>
      </c>
      <c r="S93" s="171"/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>
        <v>8</v>
      </c>
      <c r="Z93" s="171"/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>
        <v>8</v>
      </c>
      <c r="AG93" s="171"/>
      <c r="AH93" s="171">
        <v>8</v>
      </c>
      <c r="AI93" s="171">
        <v>8</v>
      </c>
      <c r="AJ93" s="171">
        <v>8</v>
      </c>
      <c r="AK93" s="417">
        <f>((SUM(F93:AJ93))/8)-(SUMIF($F$6:$AJ$6,"C.Nhật",F93:AJ93)/8)</f>
        <v>27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27</v>
      </c>
      <c r="AO93" s="423">
        <v>0</v>
      </c>
      <c r="AP93" s="428"/>
      <c r="AQ93" s="428"/>
      <c r="AR93" s="428"/>
      <c r="AS93" s="430"/>
      <c r="AT93" s="33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0"/>
      <c r="AK94" s="418"/>
      <c r="AL94" s="418"/>
      <c r="AM94" s="420"/>
      <c r="AN94" s="408"/>
      <c r="AO94" s="424"/>
      <c r="AP94" s="429"/>
      <c r="AQ94" s="429"/>
      <c r="AR94" s="429"/>
      <c r="AS94" s="431"/>
      <c r="AT94" s="33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7</v>
      </c>
      <c r="B95" s="425" t="s">
        <v>81</v>
      </c>
      <c r="C95" s="413" t="str">
        <f>VLOOKUP(B95,DS,2,0)</f>
        <v>Nguyễn Thiện Duyệt</v>
      </c>
      <c r="D95" s="415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>
        <v>8</v>
      </c>
      <c r="L95" s="171"/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>
        <v>8</v>
      </c>
      <c r="S95" s="171"/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>
        <v>8</v>
      </c>
      <c r="Z95" s="171"/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>
        <v>8</v>
      </c>
      <c r="AG95" s="171"/>
      <c r="AH95" s="171">
        <v>8</v>
      </c>
      <c r="AI95" s="171">
        <v>8</v>
      </c>
      <c r="AJ95" s="171">
        <v>8</v>
      </c>
      <c r="AK95" s="417">
        <f>((SUM(F95:AJ95))/8)-(SUMIF($F$6:$AJ$6,"C.Nhật",F95:AJ95)/8)</f>
        <v>27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27</v>
      </c>
      <c r="AO95" s="423">
        <v>0</v>
      </c>
      <c r="AP95" s="428"/>
      <c r="AQ95" s="428"/>
      <c r="AR95" s="428"/>
      <c r="AS95" s="430"/>
      <c r="AT95" s="33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0"/>
      <c r="AK96" s="418"/>
      <c r="AL96" s="418"/>
      <c r="AM96" s="420"/>
      <c r="AN96" s="408"/>
      <c r="AO96" s="424"/>
      <c r="AP96" s="429"/>
      <c r="AQ96" s="429"/>
      <c r="AR96" s="429"/>
      <c r="AS96" s="431"/>
      <c r="AT96" s="33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8</v>
      </c>
      <c r="B97" s="425" t="s">
        <v>192</v>
      </c>
      <c r="C97" s="413" t="str">
        <f>VLOOKUP(B97,DS,2,0)</f>
        <v>Trần Đình Thái</v>
      </c>
      <c r="D97" s="415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>
        <v>8</v>
      </c>
      <c r="L97" s="171"/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>
        <v>8</v>
      </c>
      <c r="S97" s="171"/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>
        <v>8</v>
      </c>
      <c r="Z97" s="171"/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>
        <v>8</v>
      </c>
      <c r="AG97" s="171"/>
      <c r="AH97" s="171">
        <v>8</v>
      </c>
      <c r="AI97" s="171">
        <v>8</v>
      </c>
      <c r="AJ97" s="171">
        <v>8</v>
      </c>
      <c r="AK97" s="417">
        <f>((SUM(F97:AJ97))/8)-(SUMIF($F$6:$AJ$6,"C.Nhật",F97:AJ97)/8)</f>
        <v>27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27</v>
      </c>
      <c r="AO97" s="423">
        <v>0</v>
      </c>
      <c r="AP97" s="428"/>
      <c r="AQ97" s="428"/>
      <c r="AR97" s="428"/>
      <c r="AS97" s="430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0"/>
      <c r="AK98" s="418"/>
      <c r="AL98" s="418"/>
      <c r="AM98" s="420"/>
      <c r="AN98" s="408"/>
      <c r="AO98" s="424"/>
      <c r="AP98" s="429"/>
      <c r="AQ98" s="429"/>
      <c r="AR98" s="429"/>
      <c r="AS98" s="431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26:A27"/>
    <mergeCell ref="B26:B27"/>
    <mergeCell ref="C26:C27"/>
    <mergeCell ref="D26:D27"/>
    <mergeCell ref="AK26:AK27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S28:AS29"/>
    <mergeCell ref="AM28:AM29"/>
    <mergeCell ref="AN28:AN29"/>
    <mergeCell ref="AO28:AO29"/>
    <mergeCell ref="AP28:AP29"/>
    <mergeCell ref="AQ28:AQ29"/>
    <mergeCell ref="AR28:AR29"/>
    <mergeCell ref="AO26:AO27"/>
    <mergeCell ref="AP24:AP25"/>
    <mergeCell ref="AQ24:AQ25"/>
    <mergeCell ref="AR24:AR25"/>
    <mergeCell ref="AS24:AS25"/>
    <mergeCell ref="AP26:AP27"/>
    <mergeCell ref="AQ26:AQ27"/>
    <mergeCell ref="AR26:AR27"/>
    <mergeCell ref="AS26:AS27"/>
    <mergeCell ref="AL30:AL31"/>
    <mergeCell ref="AN30:AN31"/>
    <mergeCell ref="AP30:AP31"/>
    <mergeCell ref="A28:A29"/>
    <mergeCell ref="B28:B29"/>
    <mergeCell ref="C28:C29"/>
    <mergeCell ref="D28:D29"/>
    <mergeCell ref="AK28:AK29"/>
    <mergeCell ref="AL28:AL29"/>
    <mergeCell ref="AO30:AO31"/>
    <mergeCell ref="AM30:AM31"/>
    <mergeCell ref="AL26:AL27"/>
    <mergeCell ref="AM26:AM27"/>
    <mergeCell ref="AN26:AN27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S41:AS42"/>
    <mergeCell ref="A41:A42"/>
    <mergeCell ref="B41:B42"/>
    <mergeCell ref="C41:C42"/>
    <mergeCell ref="D41:D42"/>
    <mergeCell ref="AK41:AK42"/>
    <mergeCell ref="AP34:AP35"/>
    <mergeCell ref="AQ34:AQ35"/>
    <mergeCell ref="AR34:AR35"/>
    <mergeCell ref="AS34:AS35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34:A35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B34:B35"/>
    <mergeCell ref="C34:C35"/>
    <mergeCell ref="D34:D35"/>
    <mergeCell ref="AK34:AK35"/>
    <mergeCell ref="AL34:AL35"/>
    <mergeCell ref="AM34:AM35"/>
    <mergeCell ref="AN34:AN35"/>
    <mergeCell ref="AO43:AO44"/>
    <mergeCell ref="AL41:AL42"/>
    <mergeCell ref="AM41:AM42"/>
    <mergeCell ref="AN41:AN42"/>
    <mergeCell ref="AO41:AO42"/>
    <mergeCell ref="AM43:AM44"/>
    <mergeCell ref="AN43:AN44"/>
    <mergeCell ref="AP41:AP42"/>
    <mergeCell ref="AQ41:AQ42"/>
    <mergeCell ref="AR41:AR42"/>
    <mergeCell ref="AO34:AO35"/>
    <mergeCell ref="AP45:AP46"/>
    <mergeCell ref="AQ45:AQ46"/>
    <mergeCell ref="AR45:AR46"/>
    <mergeCell ref="AS45:AS46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43:A44"/>
    <mergeCell ref="B43:B44"/>
    <mergeCell ref="C43:C44"/>
    <mergeCell ref="D43:D44"/>
    <mergeCell ref="AK43:AK44"/>
    <mergeCell ref="AL43:AL44"/>
    <mergeCell ref="AS43:AS44"/>
    <mergeCell ref="AP43:AP44"/>
    <mergeCell ref="AQ43:AQ44"/>
    <mergeCell ref="AR43:AR44"/>
    <mergeCell ref="AP47:AP48"/>
    <mergeCell ref="AQ47:AQ48"/>
    <mergeCell ref="AR47:AR48"/>
    <mergeCell ref="AS47:AS48"/>
    <mergeCell ref="AM76:AS76"/>
    <mergeCell ref="A80:A81"/>
    <mergeCell ref="B80:B81"/>
    <mergeCell ref="C80:C81"/>
    <mergeCell ref="D80:D81"/>
    <mergeCell ref="E80:E81"/>
    <mergeCell ref="AS80:AS81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T80:AT81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K80:AM80"/>
    <mergeCell ref="AN80:AN81"/>
    <mergeCell ref="AO80:AO81"/>
    <mergeCell ref="AP80:AP81"/>
    <mergeCell ref="AQ80:AQ81"/>
    <mergeCell ref="AR80:AR81"/>
    <mergeCell ref="AO83:AO84"/>
    <mergeCell ref="AP83:AP84"/>
    <mergeCell ref="AQ83:AQ84"/>
    <mergeCell ref="AR83:AR84"/>
    <mergeCell ref="AS83:AS84"/>
    <mergeCell ref="A85:A86"/>
    <mergeCell ref="B85:B86"/>
    <mergeCell ref="C85:C86"/>
    <mergeCell ref="D85:D86"/>
    <mergeCell ref="AK85:AK86"/>
    <mergeCell ref="AR85:AR86"/>
    <mergeCell ref="AS85:AS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L85:AL86"/>
    <mergeCell ref="AM85:AM86"/>
    <mergeCell ref="AN85:AN86"/>
    <mergeCell ref="AO85:AO86"/>
    <mergeCell ref="AP85:AP86"/>
    <mergeCell ref="AQ85:AQ86"/>
    <mergeCell ref="AO87:AO88"/>
    <mergeCell ref="AP87:AP88"/>
    <mergeCell ref="AQ87:AQ88"/>
    <mergeCell ref="AL89:AL90"/>
    <mergeCell ref="AM89:AM90"/>
    <mergeCell ref="AN89:AN90"/>
    <mergeCell ref="AR87:AR88"/>
    <mergeCell ref="AS87:AS88"/>
    <mergeCell ref="A89:A90"/>
    <mergeCell ref="B89:B90"/>
    <mergeCell ref="C89:C90"/>
    <mergeCell ref="D89:D90"/>
    <mergeCell ref="AK89:AK90"/>
    <mergeCell ref="AR89:AR90"/>
    <mergeCell ref="AS89:AS90"/>
    <mergeCell ref="AO89:AO90"/>
    <mergeCell ref="AP89:AP90"/>
    <mergeCell ref="AQ89:AQ90"/>
    <mergeCell ref="AO91:AO92"/>
    <mergeCell ref="AP91:AP92"/>
    <mergeCell ref="AQ91:AQ92"/>
    <mergeCell ref="AR91:AR92"/>
    <mergeCell ref="AS91:AS92"/>
    <mergeCell ref="A93:A94"/>
    <mergeCell ref="B93:B94"/>
    <mergeCell ref="C93:C94"/>
    <mergeCell ref="D93:D94"/>
    <mergeCell ref="AK93:AK94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5:AO96"/>
    <mergeCell ref="AP95:AP96"/>
    <mergeCell ref="AQ95:AQ96"/>
    <mergeCell ref="AR95:AR96"/>
    <mergeCell ref="AS95:AS96"/>
    <mergeCell ref="AR93:AR94"/>
    <mergeCell ref="AS93:AS94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L93:AL94"/>
    <mergeCell ref="AM93:AM94"/>
    <mergeCell ref="AN93:AN94"/>
    <mergeCell ref="AO93:AO94"/>
    <mergeCell ref="AP93:AP94"/>
    <mergeCell ref="AQ93:AQ94"/>
    <mergeCell ref="AP97:AP98"/>
    <mergeCell ref="AQ97:AQ98"/>
    <mergeCell ref="AR97:AR98"/>
    <mergeCell ref="AS97:AS98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</mergeCells>
  <conditionalFormatting sqref="F5:AJ6 F9:AJ12 F83:AJ98 F37:AJ48 F14:AJ35 F80:AJ81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13" sqref="M13:M2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4"/>
      <c r="C1" s="344"/>
      <c r="D1" s="487" t="str">
        <f>"BẢNG THANH TOÁN LƯƠNG THÁNG"&amp;" "&amp;TEXT($E$4,"mm")&amp;" / "&amp;TEXT($E$4,"yyyy")</f>
        <v>BẢNG THANH TOÁN LƯƠNG THÁNG 08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4"/>
      <c r="C2" s="344"/>
      <c r="D2" s="344"/>
      <c r="E2" s="81"/>
      <c r="F2" s="344"/>
      <c r="G2" s="344"/>
      <c r="H2" s="344"/>
      <c r="I2" s="344"/>
      <c r="J2" s="82"/>
      <c r="K2" s="344"/>
      <c r="L2" s="344"/>
      <c r="M2" s="344"/>
      <c r="N2" s="344"/>
      <c r="O2" s="344"/>
      <c r="P2" s="344"/>
      <c r="Q2" s="344"/>
      <c r="R2" s="344"/>
      <c r="S2" s="344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4"/>
      <c r="C3" s="344"/>
      <c r="D3" s="344"/>
      <c r="E3" s="81"/>
      <c r="F3" s="344"/>
      <c r="G3" s="344"/>
      <c r="H3" s="344"/>
      <c r="I3" s="344"/>
      <c r="J3" s="82"/>
      <c r="K3" s="344"/>
      <c r="L3" s="344"/>
      <c r="M3" s="344"/>
      <c r="N3" s="344"/>
      <c r="O3" s="344"/>
      <c r="P3" s="344"/>
      <c r="Q3" s="344"/>
      <c r="R3" s="344"/>
      <c r="S3" s="34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40" t="s">
        <v>40</v>
      </c>
      <c r="G7" s="337" t="s">
        <v>18</v>
      </c>
      <c r="H7" s="340" t="s">
        <v>40</v>
      </c>
      <c r="I7" s="343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19" si="5">F13+H13</f>
        <v>27</v>
      </c>
      <c r="K13" s="39">
        <f t="shared" si="5"/>
        <v>3317000</v>
      </c>
      <c r="L13" s="90">
        <f t="shared" ref="L13:L30" si="6">+F13*15000</f>
        <v>405000</v>
      </c>
      <c r="M13" s="40">
        <f t="shared" ref="M13:M30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3373715</v>
      </c>
      <c r="R13" s="39">
        <f t="shared" ref="R13:R30" si="12">VLOOKUP(B13,DS,23,0)</f>
        <v>0</v>
      </c>
      <c r="S13" s="45">
        <f t="shared" ref="S13:S30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ref="J20:K30" si="14">F20+H20</f>
        <v>27</v>
      </c>
      <c r="K20" s="39">
        <f t="shared" si="14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14"/>
        <v>27</v>
      </c>
      <c r="K21" s="39">
        <f t="shared" si="14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27</v>
      </c>
      <c r="K22" s="39">
        <f t="shared" si="14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27</v>
      </c>
      <c r="K23" s="39">
        <f t="shared" si="14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14"/>
        <v>27</v>
      </c>
      <c r="K25" s="39">
        <f t="shared" si="14"/>
        <v>3549000</v>
      </c>
      <c r="L25" s="90">
        <f t="shared" si="6"/>
        <v>405000</v>
      </c>
      <c r="M25" s="40">
        <f t="shared" si="7"/>
        <v>3954000</v>
      </c>
      <c r="N25" s="40">
        <f t="shared" ref="N25:N30" si="15">IF(VLOOKUP(B25,DS,14,0)="x",E25*$N$4,0)</f>
        <v>283920</v>
      </c>
      <c r="O25" s="40">
        <f t="shared" ref="O25:O30" si="16">IF(VLOOKUP(B25,DS,14,0)="x",E25*$O$4,0)</f>
        <v>53235</v>
      </c>
      <c r="P25" s="40">
        <f t="shared" ref="P25:P30" si="17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27</v>
      </c>
      <c r="K26" s="39">
        <f t="shared" si="14"/>
        <v>3317000</v>
      </c>
      <c r="L26" s="90">
        <f t="shared" si="6"/>
        <v>405000</v>
      </c>
      <c r="M26" s="40">
        <f t="shared" si="7"/>
        <v>3722000</v>
      </c>
      <c r="N26" s="40">
        <f t="shared" si="15"/>
        <v>265360</v>
      </c>
      <c r="O26" s="40">
        <f t="shared" si="16"/>
        <v>49755</v>
      </c>
      <c r="P26" s="40">
        <f t="shared" si="17"/>
        <v>33170</v>
      </c>
      <c r="Q26" s="39">
        <f t="shared" si="11"/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27</v>
      </c>
      <c r="K27" s="39">
        <f t="shared" si="14"/>
        <v>3317000</v>
      </c>
      <c r="L27" s="90">
        <f t="shared" si="6"/>
        <v>405000</v>
      </c>
      <c r="M27" s="40">
        <f t="shared" si="7"/>
        <v>3722000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ref="Q27:Q30" si="18">M27-SUM(N27:P27)</f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27</v>
      </c>
      <c r="K28" s="39">
        <f t="shared" si="14"/>
        <v>3317000</v>
      </c>
      <c r="L28" s="90">
        <f t="shared" si="6"/>
        <v>405000</v>
      </c>
      <c r="M28" s="40">
        <f t="shared" si="7"/>
        <v>3722000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si="18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3373715</v>
      </c>
      <c r="R29" s="39">
        <f t="shared" si="12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3373715</v>
      </c>
      <c r="R30" s="39">
        <f t="shared" si="12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86" t="s">
        <v>25</v>
      </c>
      <c r="B32" s="486"/>
      <c r="C32" s="486"/>
      <c r="D32" s="486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7695000</v>
      </c>
      <c r="M32" s="26">
        <f t="shared" si="19"/>
        <v>72708000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65881635</v>
      </c>
      <c r="R32" s="26">
        <f t="shared" si="19"/>
        <v>0</v>
      </c>
      <c r="S32" s="26">
        <f t="shared" si="19"/>
        <v>65881635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08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42"/>
      <c r="C45" s="342"/>
      <c r="D45" s="467" t="str">
        <f>D1</f>
        <v>BẢNG THANH TOÁN LƯƠNG THÁNG 08 / 2016</v>
      </c>
      <c r="E45" s="467"/>
      <c r="F45" s="467"/>
      <c r="G45" s="467"/>
      <c r="H45" s="467"/>
      <c r="I45" s="467"/>
      <c r="J45" s="467"/>
      <c r="K45" s="467"/>
      <c r="L45" s="467"/>
      <c r="M45" s="467"/>
      <c r="N45" s="467"/>
      <c r="O45" s="467"/>
      <c r="P45" s="467"/>
      <c r="Q45" s="468"/>
      <c r="R45" s="469" t="s">
        <v>112</v>
      </c>
      <c r="S45" s="470"/>
      <c r="T45" s="471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42"/>
      <c r="C46" s="342"/>
      <c r="D46" s="342"/>
      <c r="E46" s="200"/>
      <c r="F46" s="342"/>
      <c r="G46" s="342"/>
      <c r="H46" s="342"/>
      <c r="I46" s="342"/>
      <c r="J46" s="201"/>
      <c r="K46" s="342"/>
      <c r="L46" s="342"/>
      <c r="M46" s="342"/>
      <c r="N46" s="342"/>
      <c r="O46" s="342"/>
      <c r="P46" s="342"/>
      <c r="Q46" s="342"/>
      <c r="R46" s="342"/>
      <c r="S46" s="342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42"/>
      <c r="C47" s="342"/>
      <c r="D47" s="342"/>
      <c r="E47" s="200"/>
      <c r="F47" s="342"/>
      <c r="G47" s="342"/>
      <c r="H47" s="342"/>
      <c r="I47" s="342"/>
      <c r="J47" s="201"/>
      <c r="K47" s="342"/>
      <c r="L47" s="342"/>
      <c r="M47" s="342"/>
      <c r="N47" s="342"/>
      <c r="O47" s="342"/>
      <c r="P47" s="342"/>
      <c r="Q47" s="342"/>
      <c r="R47" s="342"/>
      <c r="S47" s="342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72" t="s">
        <v>19</v>
      </c>
      <c r="B49" s="472" t="s">
        <v>20</v>
      </c>
      <c r="C49" s="474" t="s">
        <v>1</v>
      </c>
      <c r="D49" s="474" t="s">
        <v>2</v>
      </c>
      <c r="E49" s="475" t="s">
        <v>56</v>
      </c>
      <c r="F49" s="476" t="s">
        <v>26</v>
      </c>
      <c r="G49" s="477"/>
      <c r="H49" s="477"/>
      <c r="I49" s="477"/>
      <c r="J49" s="477"/>
      <c r="K49" s="478"/>
      <c r="L49" s="458" t="s">
        <v>57</v>
      </c>
      <c r="M49" s="458" t="s">
        <v>5</v>
      </c>
      <c r="N49" s="474" t="s">
        <v>6</v>
      </c>
      <c r="O49" s="474"/>
      <c r="P49" s="474"/>
      <c r="Q49" s="461" t="s">
        <v>7</v>
      </c>
      <c r="R49" s="461" t="s">
        <v>8</v>
      </c>
      <c r="S49" s="461" t="s">
        <v>9</v>
      </c>
      <c r="T49" s="479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73"/>
      <c r="B50" s="473"/>
      <c r="C50" s="474"/>
      <c r="D50" s="474"/>
      <c r="E50" s="475"/>
      <c r="F50" s="476" t="s">
        <v>59</v>
      </c>
      <c r="G50" s="478"/>
      <c r="H50" s="481" t="s">
        <v>189</v>
      </c>
      <c r="I50" s="482"/>
      <c r="J50" s="463" t="s">
        <v>27</v>
      </c>
      <c r="K50" s="461" t="s">
        <v>4</v>
      </c>
      <c r="L50" s="459"/>
      <c r="M50" s="459"/>
      <c r="N50" s="465" t="s">
        <v>12</v>
      </c>
      <c r="O50" s="461" t="s">
        <v>13</v>
      </c>
      <c r="P50" s="461" t="s">
        <v>34</v>
      </c>
      <c r="Q50" s="462"/>
      <c r="R50" s="462"/>
      <c r="S50" s="462"/>
      <c r="T50" s="480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73"/>
      <c r="B51" s="473"/>
      <c r="C51" s="461"/>
      <c r="D51" s="461"/>
      <c r="E51" s="475"/>
      <c r="F51" s="341" t="s">
        <v>40</v>
      </c>
      <c r="G51" s="343" t="s">
        <v>18</v>
      </c>
      <c r="H51" s="340" t="s">
        <v>40</v>
      </c>
      <c r="I51" s="343" t="s">
        <v>18</v>
      </c>
      <c r="J51" s="464"/>
      <c r="K51" s="462"/>
      <c r="L51" s="460"/>
      <c r="M51" s="460"/>
      <c r="N51" s="466"/>
      <c r="O51" s="462"/>
      <c r="P51" s="462"/>
      <c r="Q51" s="462"/>
      <c r="R51" s="462"/>
      <c r="S51" s="462"/>
      <c r="T51" s="480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59" si="20">VLOOKUP(B53,DS,2,0)</f>
        <v>Nguyễn Thiện Duy</v>
      </c>
      <c r="D53" s="217" t="str">
        <f t="shared" ref="D53:D59" si="21">VLOOKUP(B53,DS,3,0)</f>
        <v>Giám đốc</v>
      </c>
      <c r="E53" s="218">
        <f t="shared" ref="E53:E59" si="22">VLOOKUP(B53,DS,4,0)</f>
        <v>10851000</v>
      </c>
      <c r="F53" s="219">
        <f>VLOOKUP(B53,'CC - 08'!$B$83:$AN$96,36,0)</f>
        <v>23</v>
      </c>
      <c r="G53" s="220">
        <f t="shared" ref="G53:G59" si="23">ROUND(E53/$U$2*F53,0)</f>
        <v>9243444</v>
      </c>
      <c r="H53" s="92">
        <f>(VLOOKUP(B53,'CC - 07'!B$85:AS$98,37,0)+VLOOKUP(B53,'CC - 07'!B$85:AS$98,38,0))</f>
        <v>0</v>
      </c>
      <c r="I53" s="220">
        <f t="shared" ref="I53:I59" si="24">ROUND(E53/$U$2*H53,0)</f>
        <v>0</v>
      </c>
      <c r="J53" s="221">
        <f t="shared" ref="J53:K59" si="25">F53+H53</f>
        <v>23</v>
      </c>
      <c r="K53" s="39">
        <f t="shared" si="25"/>
        <v>9243444</v>
      </c>
      <c r="L53" s="90">
        <f>+F53*15000</f>
        <v>345000</v>
      </c>
      <c r="M53" s="222">
        <f t="shared" ref="M53:M59" si="26">K53+SUM(L53:L53)</f>
        <v>9588444</v>
      </c>
      <c r="N53" s="40">
        <f t="shared" ref="N53:N59" si="27">IF(VLOOKUP(B53,DS,14,0)="x",E53*$N$4,0)</f>
        <v>868080</v>
      </c>
      <c r="O53" s="40">
        <f t="shared" ref="O53:O59" si="28">IF(VLOOKUP(B53,DS,14,0)="x",E53*$O$4,0)</f>
        <v>162765</v>
      </c>
      <c r="P53" s="40">
        <f t="shared" ref="P53:P59" si="29">IF(VLOOKUP(B53,DS,14,0)="x",E53*$P$4,0)</f>
        <v>108510</v>
      </c>
      <c r="Q53" s="220">
        <f t="shared" ref="Q53:Q59" si="30">M53-SUM(N53:P53)</f>
        <v>8449089</v>
      </c>
      <c r="R53" s="220">
        <f t="shared" ref="R53:R59" si="31">VLOOKUP(B53,DS,23,0)</f>
        <v>0</v>
      </c>
      <c r="S53" s="223">
        <f>Q53-R53</f>
        <v>8449089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27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4895000</v>
      </c>
      <c r="L54" s="90">
        <f t="shared" ref="L54:L59" si="32">+F54*15000</f>
        <v>405000</v>
      </c>
      <c r="M54" s="222">
        <f t="shared" si="26"/>
        <v>5300000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4786025</v>
      </c>
      <c r="R54" s="220">
        <f t="shared" si="31"/>
        <v>0</v>
      </c>
      <c r="S54" s="223">
        <f t="shared" ref="S54:S59" si="33">Q54-R54</f>
        <v>4786025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27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4895000</v>
      </c>
      <c r="L55" s="90">
        <f t="shared" si="32"/>
        <v>405000</v>
      </c>
      <c r="M55" s="222">
        <f t="shared" si="26"/>
        <v>5300000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4786025</v>
      </c>
      <c r="R55" s="220">
        <f t="shared" si="31"/>
        <v>0</v>
      </c>
      <c r="S55" s="223">
        <f t="shared" si="33"/>
        <v>4786025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27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4336000</v>
      </c>
      <c r="L56" s="90">
        <f t="shared" si="32"/>
        <v>405000</v>
      </c>
      <c r="M56" s="222">
        <f t="shared" si="26"/>
        <v>4741000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4285720</v>
      </c>
      <c r="R56" s="220">
        <f t="shared" si="31"/>
        <v>0</v>
      </c>
      <c r="S56" s="223">
        <f t="shared" si="33"/>
        <v>4285720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27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3496000</v>
      </c>
      <c r="L57" s="90">
        <f t="shared" si="32"/>
        <v>405000</v>
      </c>
      <c r="M57" s="222">
        <f t="shared" si="26"/>
        <v>3901000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3533920</v>
      </c>
      <c r="R57" s="220">
        <f t="shared" si="31"/>
        <v>0</v>
      </c>
      <c r="S57" s="223">
        <f t="shared" si="33"/>
        <v>3533920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27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4056000</v>
      </c>
      <c r="L58" s="90">
        <f t="shared" si="32"/>
        <v>405000</v>
      </c>
      <c r="M58" s="222">
        <f t="shared" si="26"/>
        <v>4461000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4035120</v>
      </c>
      <c r="R58" s="220">
        <f t="shared" si="31"/>
        <v>0</v>
      </c>
      <c r="S58" s="223">
        <f t="shared" si="33"/>
        <v>4035120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27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27</v>
      </c>
      <c r="K59" s="39">
        <f t="shared" si="25"/>
        <v>4840000</v>
      </c>
      <c r="L59" s="90">
        <f t="shared" si="32"/>
        <v>405000</v>
      </c>
      <c r="M59" s="222">
        <f t="shared" si="26"/>
        <v>5245000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4736800</v>
      </c>
      <c r="R59" s="220">
        <f t="shared" si="31"/>
        <v>0</v>
      </c>
      <c r="S59" s="223">
        <f t="shared" si="33"/>
        <v>4736800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ref="C60" si="34">VLOOKUP(B60,DS,2,0)</f>
        <v>Trần Đình Thái</v>
      </c>
      <c r="D60" s="217" t="str">
        <f t="shared" ref="D60" si="35">VLOOKUP(B60,DS,3,0)</f>
        <v>Cơ Điện</v>
      </c>
      <c r="E60" s="218">
        <f t="shared" ref="E60" si="36">VLOOKUP(B60,DS,4,0)</f>
        <v>3568000</v>
      </c>
      <c r="F60" s="219">
        <f>VLOOKUP(B60,'CC - 08'!$B$83:$AN$98,36,0)</f>
        <v>27</v>
      </c>
      <c r="G60" s="220">
        <f t="shared" ref="G60" si="37">ROUND(E60/$U$2*F60,0)</f>
        <v>3568000</v>
      </c>
      <c r="H60" s="92">
        <f>(VLOOKUP(B60,'CC - 07'!B$85:AS$100,37,0)+VLOOKUP(B60,'CC - 07'!B$85:AS$100,38,0))</f>
        <v>0</v>
      </c>
      <c r="I60" s="220">
        <f t="shared" ref="I60" si="38">ROUND(E60/$U$2*H60,0)</f>
        <v>0</v>
      </c>
      <c r="J60" s="221">
        <f t="shared" ref="J60" si="39">F60+H60</f>
        <v>27</v>
      </c>
      <c r="K60" s="39">
        <f t="shared" ref="K60" si="40">G60+I60</f>
        <v>3568000</v>
      </c>
      <c r="L60" s="90">
        <f t="shared" ref="L60" si="41">+F60*15000</f>
        <v>405000</v>
      </c>
      <c r="M60" s="222">
        <f t="shared" ref="M60" si="42">K60+SUM(L60:L60)</f>
        <v>3973000</v>
      </c>
      <c r="N60" s="40">
        <f t="shared" ref="N60" si="43">IF(VLOOKUP(B60,DS,14,0)="x",E60*$N$4,0)</f>
        <v>285440</v>
      </c>
      <c r="O60" s="40">
        <f t="shared" ref="O60" si="44">IF(VLOOKUP(B60,DS,14,0)="x",E60*$O$4,0)</f>
        <v>53520</v>
      </c>
      <c r="P60" s="40">
        <f t="shared" ref="P60" si="45">IF(VLOOKUP(B60,DS,14,0)="x",E60*$P$4,0)</f>
        <v>35680</v>
      </c>
      <c r="Q60" s="220">
        <f t="shared" ref="Q60" si="46">M60-SUM(N60:P60)</f>
        <v>3598360</v>
      </c>
      <c r="R60" s="220">
        <f t="shared" ref="R60" si="47">VLOOKUP(B60,DS,23,0)</f>
        <v>0</v>
      </c>
      <c r="S60" s="223">
        <f t="shared" ref="S60" si="48">Q60-R60</f>
        <v>3598360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56" t="s">
        <v>25</v>
      </c>
      <c r="B62" s="457"/>
      <c r="C62" s="457"/>
      <c r="D62" s="457"/>
      <c r="E62" s="231">
        <f>SUM(E53:E61)</f>
        <v>40937000</v>
      </c>
      <c r="F62" s="231"/>
      <c r="G62" s="231">
        <f t="shared" ref="G62:S62" si="49">SUM(G53:G61)</f>
        <v>39329444</v>
      </c>
      <c r="H62" s="231">
        <f t="shared" si="49"/>
        <v>0</v>
      </c>
      <c r="I62" s="231">
        <f t="shared" si="49"/>
        <v>0</v>
      </c>
      <c r="J62" s="231">
        <f t="shared" si="49"/>
        <v>212</v>
      </c>
      <c r="K62" s="232">
        <f t="shared" si="49"/>
        <v>39329444</v>
      </c>
      <c r="L62" s="232">
        <f t="shared" si="49"/>
        <v>3180000</v>
      </c>
      <c r="M62" s="232">
        <f t="shared" si="49"/>
        <v>42509444</v>
      </c>
      <c r="N62" s="232">
        <f t="shared" si="49"/>
        <v>3274960</v>
      </c>
      <c r="O62" s="232">
        <f t="shared" si="49"/>
        <v>614055</v>
      </c>
      <c r="P62" s="232">
        <f t="shared" si="49"/>
        <v>409370</v>
      </c>
      <c r="Q62" s="232">
        <f t="shared" si="49"/>
        <v>38211059</v>
      </c>
      <c r="R62" s="232">
        <f t="shared" si="49"/>
        <v>0</v>
      </c>
      <c r="S62" s="232">
        <f t="shared" si="49"/>
        <v>38211059</v>
      </c>
      <c r="T62" s="232"/>
      <c r="U62" s="182"/>
      <c r="V62" s="233">
        <f>S62+S32</f>
        <v>104092694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08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4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4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42614</v>
      </c>
      <c r="G5" s="118">
        <f t="shared" ref="G5:AG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>AH5+1</f>
        <v>42643</v>
      </c>
      <c r="AJ5" s="118">
        <f>AI5+1</f>
        <v>42644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T.Năm</v>
      </c>
      <c r="G6" s="302" t="str">
        <f t="shared" ref="G6:AJ6" si="1">CHOOSE(WEEKDAY(G5),"C.Nhật","T.Hai","T.Ba","T.Tư","T.Năm","T.Sáu","T.Bảy")</f>
        <v>T.Sáu</v>
      </c>
      <c r="H6" s="302" t="str">
        <f t="shared" si="1"/>
        <v>T.Bảy</v>
      </c>
      <c r="I6" s="302" t="str">
        <f t="shared" si="1"/>
        <v>C.Nhật</v>
      </c>
      <c r="J6" s="302" t="str">
        <f t="shared" si="1"/>
        <v>T.Hai</v>
      </c>
      <c r="K6" s="302" t="str">
        <f t="shared" si="1"/>
        <v>T.Ba</v>
      </c>
      <c r="L6" s="302" t="str">
        <f t="shared" si="1"/>
        <v>T.Tư</v>
      </c>
      <c r="M6" s="302" t="str">
        <f t="shared" si="1"/>
        <v>T.Năm</v>
      </c>
      <c r="N6" s="302" t="str">
        <f t="shared" si="1"/>
        <v>T.Sáu</v>
      </c>
      <c r="O6" s="302" t="str">
        <f t="shared" si="1"/>
        <v>T.Bảy</v>
      </c>
      <c r="P6" s="302" t="str">
        <f t="shared" si="1"/>
        <v>C.Nhật</v>
      </c>
      <c r="Q6" s="302" t="str">
        <f t="shared" si="1"/>
        <v>T.Hai</v>
      </c>
      <c r="R6" s="302" t="str">
        <f t="shared" si="1"/>
        <v>T.Ba</v>
      </c>
      <c r="S6" s="302" t="str">
        <f t="shared" si="1"/>
        <v>T.Tư</v>
      </c>
      <c r="T6" s="302" t="str">
        <f t="shared" si="1"/>
        <v>T.Năm</v>
      </c>
      <c r="U6" s="302" t="str">
        <f t="shared" si="1"/>
        <v>T.Sáu</v>
      </c>
      <c r="V6" s="302" t="str">
        <f t="shared" si="1"/>
        <v>T.Bảy</v>
      </c>
      <c r="W6" s="302" t="str">
        <f t="shared" si="1"/>
        <v>C.Nhật</v>
      </c>
      <c r="X6" s="302" t="str">
        <f t="shared" si="1"/>
        <v>T.Hai</v>
      </c>
      <c r="Y6" s="302" t="str">
        <f t="shared" si="1"/>
        <v>T.Ba</v>
      </c>
      <c r="Z6" s="302" t="str">
        <f t="shared" si="1"/>
        <v>T.Tư</v>
      </c>
      <c r="AA6" s="302" t="str">
        <f t="shared" si="1"/>
        <v>T.Năm</v>
      </c>
      <c r="AB6" s="302" t="str">
        <f t="shared" si="1"/>
        <v>T.Sáu</v>
      </c>
      <c r="AC6" s="302" t="str">
        <f t="shared" si="1"/>
        <v>T.Bảy</v>
      </c>
      <c r="AD6" s="302" t="str">
        <f t="shared" si="1"/>
        <v>C.Nhật</v>
      </c>
      <c r="AE6" s="302" t="str">
        <f t="shared" si="1"/>
        <v>T.Hai</v>
      </c>
      <c r="AF6" s="302" t="str">
        <f t="shared" si="1"/>
        <v>T.Ba</v>
      </c>
      <c r="AG6" s="302" t="str">
        <f t="shared" si="1"/>
        <v>T.Tư</v>
      </c>
      <c r="AH6" s="302" t="str">
        <f t="shared" si="1"/>
        <v>T.Năm</v>
      </c>
      <c r="AI6" s="302" t="str">
        <f t="shared" si="1"/>
        <v>T.Sáu</v>
      </c>
      <c r="AJ6" s="302" t="str">
        <f t="shared" si="1"/>
        <v>T.Bảy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5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/>
      <c r="H9" s="171"/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17">
        <f>((SUM(F9:AJ9))/8)-(SUMIF($F$6:$AJ$6,"C.Nhật",F9:AJ9)/8)</f>
        <v>24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24</v>
      </c>
      <c r="AO9" s="421">
        <v>0</v>
      </c>
      <c r="AP9" s="407"/>
      <c r="AQ9" s="407"/>
      <c r="AR9" s="407"/>
      <c r="AS9" s="409"/>
      <c r="AT9" s="35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35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/>
      <c r="H11" s="171"/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17">
        <f>((SUM(F11:AJ11))/8)-(SUMIF($F$6:$AJ$6,"C.Nhật",F11:AJ11)/8)</f>
        <v>24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24</v>
      </c>
      <c r="AO11" s="421">
        <v>0</v>
      </c>
      <c r="AP11" s="407"/>
      <c r="AQ11" s="407"/>
      <c r="AR11" s="407"/>
      <c r="AS11" s="409"/>
      <c r="AT11" s="35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35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/>
      <c r="H14" s="171"/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17">
        <f>((SUM(F14:AJ14))/8)-(SUMIF($F$6:$AJ$6,"C.Nhật",F14:AJ14)/8)</f>
        <v>24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24</v>
      </c>
      <c r="AO14" s="421">
        <v>0</v>
      </c>
      <c r="AP14" s="407"/>
      <c r="AQ14" s="407"/>
      <c r="AR14" s="407"/>
      <c r="AS14" s="409"/>
      <c r="AT14" s="35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35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/>
      <c r="H16" s="171"/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17">
        <f>((SUM(F16:AJ16))/8)-(SUMIF($F$6:$AJ$6,"C.Nhật",F16:AJ16)/8)</f>
        <v>24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24</v>
      </c>
      <c r="AO16" s="421">
        <v>0</v>
      </c>
      <c r="AP16" s="407"/>
      <c r="AQ16" s="407"/>
      <c r="AR16" s="407"/>
      <c r="AS16" s="409"/>
      <c r="AT16" s="35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35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2" si="2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/>
      <c r="H18" s="171"/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17">
        <f>((SUM(F18:AJ18))/8)-(SUMIF($F$6:$AJ$6,"C.Nhật",F18:AJ18)/8)</f>
        <v>24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24</v>
      </c>
      <c r="AO18" s="421">
        <v>0</v>
      </c>
      <c r="AP18" s="407"/>
      <c r="AQ18" s="407"/>
      <c r="AR18" s="407"/>
      <c r="AS18" s="409"/>
      <c r="AT18" s="35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35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/>
      <c r="H20" s="171"/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17">
        <f>((SUM(F20:AJ20))/8)-(SUMIF($F$6:$AJ$6,"C.Nhật",F20:AJ20)/8)</f>
        <v>24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24</v>
      </c>
      <c r="AO20" s="421">
        <v>0</v>
      </c>
      <c r="AP20" s="407"/>
      <c r="AQ20" s="407"/>
      <c r="AR20" s="407"/>
      <c r="AS20" s="409"/>
      <c r="AT20" s="35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35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/>
      <c r="H22" s="171"/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17">
        <f>((SUM(F22:AJ22))/8)-(SUMIF($F$6:$AJ$6,"C.Nhật",F22:AJ22)/8)</f>
        <v>24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24</v>
      </c>
      <c r="AO22" s="421">
        <v>0</v>
      </c>
      <c r="AP22" s="407"/>
      <c r="AQ22" s="407"/>
      <c r="AR22" s="407"/>
      <c r="AS22" s="409"/>
      <c r="AT22" s="35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35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94</v>
      </c>
      <c r="C24" s="413" t="str">
        <f>VLOOKUP(B24,DS,2,0)</f>
        <v>Trà Thị Soi</v>
      </c>
      <c r="D24" s="415" t="str">
        <f>VLOOKUP(B24,DS,3,0)</f>
        <v>Công nhân</v>
      </c>
      <c r="E24" s="68" t="s">
        <v>32</v>
      </c>
      <c r="F24" s="171">
        <v>8</v>
      </c>
      <c r="G24" s="171"/>
      <c r="H24" s="171"/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17">
        <f>((SUM(F24:AJ24))/8)-(SUMIF($F$6:$AJ$6,"C.Nhật",F24:AJ24)/8)</f>
        <v>24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24</v>
      </c>
      <c r="AO24" s="421">
        <v>0</v>
      </c>
      <c r="AP24" s="407"/>
      <c r="AQ24" s="407"/>
      <c r="AR24" s="407"/>
      <c r="AS24" s="409"/>
      <c r="AT24" s="35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35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100</v>
      </c>
      <c r="C26" s="413" t="str">
        <f>VLOOKUP(B26,DS,2,0)</f>
        <v>Sơn Thị Chành Đa</v>
      </c>
      <c r="D26" s="415" t="str">
        <f>VLOOKUP(B26,DS,3,0)</f>
        <v>Công nhân</v>
      </c>
      <c r="E26" s="68" t="s">
        <v>32</v>
      </c>
      <c r="F26" s="171">
        <v>8</v>
      </c>
      <c r="G26" s="171"/>
      <c r="H26" s="171"/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17">
        <f>((SUM(F26:AJ26))/8)-(SUMIF($F$6:$AJ$6,"C.Nhật",F26:AJ26)/8)</f>
        <v>24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24</v>
      </c>
      <c r="AO26" s="421">
        <v>0</v>
      </c>
      <c r="AP26" s="407"/>
      <c r="AQ26" s="407"/>
      <c r="AR26" s="407"/>
      <c r="AS26" s="409"/>
      <c r="AT26" s="35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35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101</v>
      </c>
      <c r="C28" s="413" t="str">
        <f>VLOOKUP(B28,DS,2,0)</f>
        <v>Trần Thị Bích Phượng</v>
      </c>
      <c r="D28" s="415" t="str">
        <f>VLOOKUP(B28,DS,3,0)</f>
        <v>Công nhân</v>
      </c>
      <c r="E28" s="68" t="s">
        <v>32</v>
      </c>
      <c r="F28" s="171">
        <v>8</v>
      </c>
      <c r="G28" s="171"/>
      <c r="H28" s="171"/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17">
        <f>((SUM(F28:AJ28))/8)-(SUMIF($F$6:$AJ$6,"C.Nhật",F28:AJ28)/8)</f>
        <v>24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24</v>
      </c>
      <c r="AO28" s="421">
        <v>0</v>
      </c>
      <c r="AP28" s="407"/>
      <c r="AQ28" s="407"/>
      <c r="AR28" s="407"/>
      <c r="AS28" s="409"/>
      <c r="AT28" s="35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35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102</v>
      </c>
      <c r="C30" s="413" t="str">
        <f>VLOOKUP(B30,DS,2,0)</f>
        <v>Sơn Thị Trường Sa</v>
      </c>
      <c r="D30" s="415" t="str">
        <f>VLOOKUP(B30,DS,3,0)</f>
        <v>Công nhân</v>
      </c>
      <c r="E30" s="68" t="s">
        <v>32</v>
      </c>
      <c r="F30" s="171">
        <v>8</v>
      </c>
      <c r="G30" s="171"/>
      <c r="H30" s="171"/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17">
        <f>((SUM(F30:AJ30))/8)-(SUMIF($F$6:$AJ$6,"C.Nhật",F30:AJ30)/8)</f>
        <v>24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24</v>
      </c>
      <c r="AO30" s="421">
        <v>0</v>
      </c>
      <c r="AP30" s="407"/>
      <c r="AQ30" s="407"/>
      <c r="AR30" s="407"/>
      <c r="AS30" s="409"/>
      <c r="AT30" s="35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35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103</v>
      </c>
      <c r="C32" s="413" t="str">
        <f>VLOOKUP(B32,DS,2,0)</f>
        <v>Lý Thị Sà Kha</v>
      </c>
      <c r="D32" s="415" t="str">
        <f>VLOOKUP(B32,DS,3,0)</f>
        <v>Công nhân</v>
      </c>
      <c r="E32" s="68" t="s">
        <v>32</v>
      </c>
      <c r="F32" s="171">
        <v>8</v>
      </c>
      <c r="G32" s="171"/>
      <c r="H32" s="171"/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17">
        <f>((SUM(F32:AJ32))/8)-(SUMIF($F$6:$AJ$6,"C.Nhật",F32:AJ32)/8)</f>
        <v>24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24</v>
      </c>
      <c r="AO32" s="421">
        <v>0</v>
      </c>
      <c r="AP32" s="407"/>
      <c r="AQ32" s="407"/>
      <c r="AR32" s="407"/>
      <c r="AS32" s="409"/>
      <c r="AT32" s="35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35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104</v>
      </c>
      <c r="C34" s="413" t="str">
        <f>VLOOKUP(B34,DS,2,0)</f>
        <v xml:space="preserve"> Lâm Thị Mộng Thường</v>
      </c>
      <c r="D34" s="415" t="str">
        <f>VLOOKUP(B34,DS,3,0)</f>
        <v>Công nhân</v>
      </c>
      <c r="E34" s="68" t="s">
        <v>32</v>
      </c>
      <c r="F34" s="171">
        <v>8</v>
      </c>
      <c r="G34" s="171"/>
      <c r="H34" s="171"/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17">
        <f>((SUM(F34:AJ34))/8)-(SUMIF($F$6:$AJ$6,"C.Nhật",F34:AJ34)/8)</f>
        <v>24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24</v>
      </c>
      <c r="AO34" s="421">
        <v>0</v>
      </c>
      <c r="AP34" s="407"/>
      <c r="AQ34" s="407"/>
      <c r="AR34" s="407"/>
      <c r="AS34" s="409"/>
      <c r="AT34" s="35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35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411">
        <f>A34+1</f>
        <v>14</v>
      </c>
      <c r="B37" s="411" t="s">
        <v>113</v>
      </c>
      <c r="C37" s="413" t="str">
        <f>VLOOKUP(B37,DS,2,0)</f>
        <v>Nguyễn Văn Bé Hai</v>
      </c>
      <c r="D37" s="415" t="str">
        <f>VLOOKUP(B37,DS,3,0)</f>
        <v>Công nhân</v>
      </c>
      <c r="E37" s="68" t="s">
        <v>32</v>
      </c>
      <c r="F37" s="171">
        <v>8</v>
      </c>
      <c r="G37" s="171"/>
      <c r="H37" s="171"/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/>
      <c r="AK37" s="417">
        <f>((SUM(F37:AJ37))/8)-(SUMIF($F$6:$AJ$6,"C.Nhật",F37:AJ37)/8)</f>
        <v>24</v>
      </c>
      <c r="AL37" s="417">
        <f>SUM(F38:AI38)/8*1.5</f>
        <v>0</v>
      </c>
      <c r="AM37" s="419">
        <f>SUMIF($F$6:$AI$6,"C.Nhật",$F37:$AI38)/8*2</f>
        <v>0</v>
      </c>
      <c r="AN37" s="407">
        <f>SUM(AK37:AM38)</f>
        <v>24</v>
      </c>
      <c r="AO37" s="421">
        <v>0</v>
      </c>
      <c r="AP37" s="407"/>
      <c r="AQ37" s="407"/>
      <c r="AR37" s="407"/>
      <c r="AS37" s="409"/>
      <c r="AT37" s="35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2"/>
      <c r="B38" s="412"/>
      <c r="C38" s="414"/>
      <c r="D38" s="416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0"/>
      <c r="AK38" s="418"/>
      <c r="AL38" s="418"/>
      <c r="AM38" s="420"/>
      <c r="AN38" s="408"/>
      <c r="AO38" s="422"/>
      <c r="AP38" s="408"/>
      <c r="AQ38" s="408"/>
      <c r="AR38" s="408"/>
      <c r="AS38" s="410"/>
      <c r="AT38" s="35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1">
        <f>A37+1</f>
        <v>15</v>
      </c>
      <c r="B39" s="411" t="s">
        <v>114</v>
      </c>
      <c r="C39" s="413" t="str">
        <f>VLOOKUP(B39,DS,2,0)</f>
        <v>Thạch Tiền</v>
      </c>
      <c r="D39" s="415" t="str">
        <f>VLOOKUP(B39,DS,3,0)</f>
        <v>Công nhân</v>
      </c>
      <c r="E39" s="68" t="s">
        <v>32</v>
      </c>
      <c r="F39" s="171">
        <v>8</v>
      </c>
      <c r="G39" s="171"/>
      <c r="H39" s="171"/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17">
        <f>((SUM(F39:AJ39))/8)-(SUMIF($F$6:$AJ$6,"C.Nhật",F39:AJ39)/8)</f>
        <v>24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24</v>
      </c>
      <c r="AO39" s="421">
        <v>0</v>
      </c>
      <c r="AP39" s="407"/>
      <c r="AQ39" s="407"/>
      <c r="AR39" s="407"/>
      <c r="AS39" s="409"/>
      <c r="AT39" s="35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0"/>
      <c r="AK40" s="418"/>
      <c r="AL40" s="418"/>
      <c r="AM40" s="420"/>
      <c r="AN40" s="408"/>
      <c r="AO40" s="422"/>
      <c r="AP40" s="408"/>
      <c r="AQ40" s="408"/>
      <c r="AR40" s="408"/>
      <c r="AS40" s="410"/>
      <c r="AT40" s="35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118</v>
      </c>
      <c r="C41" s="413" t="str">
        <f>VLOOKUP(B41,DS,2,0)</f>
        <v>Trần Nhiên</v>
      </c>
      <c r="D41" s="415" t="str">
        <f>VLOOKUP(B41,DS,3,0)</f>
        <v>Công nhân</v>
      </c>
      <c r="E41" s="68" t="s">
        <v>32</v>
      </c>
      <c r="F41" s="171">
        <v>8</v>
      </c>
      <c r="G41" s="171"/>
      <c r="H41" s="171"/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17">
        <f>((SUM(F41:AJ41))/8)-(SUMIF($F$6:$AJ$6,"C.Nhật",F41:AJ41)/8)</f>
        <v>24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24</v>
      </c>
      <c r="AO41" s="421">
        <v>0</v>
      </c>
      <c r="AP41" s="407"/>
      <c r="AQ41" s="407"/>
      <c r="AR41" s="407"/>
      <c r="AS41" s="409"/>
      <c r="AT41" s="35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0"/>
      <c r="AK42" s="418"/>
      <c r="AL42" s="418"/>
      <c r="AM42" s="420"/>
      <c r="AN42" s="408"/>
      <c r="AO42" s="422"/>
      <c r="AP42" s="408"/>
      <c r="AQ42" s="408"/>
      <c r="AR42" s="408"/>
      <c r="AS42" s="410"/>
      <c r="AT42" s="35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119</v>
      </c>
      <c r="C43" s="413" t="str">
        <f>VLOOKUP(B43,DS,2,0)</f>
        <v>Thạch Giang</v>
      </c>
      <c r="D43" s="415" t="str">
        <f>VLOOKUP(B43,DS,3,0)</f>
        <v>Công nhân</v>
      </c>
      <c r="E43" s="68" t="s">
        <v>32</v>
      </c>
      <c r="F43" s="171">
        <v>8</v>
      </c>
      <c r="G43" s="171"/>
      <c r="H43" s="171"/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17">
        <f>((SUM(F43:AJ43))/8)-(SUMIF($F$6:$AJ$6,"C.Nhật",F43:AJ43)/8)</f>
        <v>24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24</v>
      </c>
      <c r="AO43" s="421">
        <v>0</v>
      </c>
      <c r="AP43" s="407"/>
      <c r="AQ43" s="407"/>
      <c r="AR43" s="407"/>
      <c r="AS43" s="409"/>
      <c r="AT43" s="35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0"/>
      <c r="AK44" s="418"/>
      <c r="AL44" s="418"/>
      <c r="AM44" s="420"/>
      <c r="AN44" s="408"/>
      <c r="AO44" s="422"/>
      <c r="AP44" s="408"/>
      <c r="AQ44" s="408"/>
      <c r="AR44" s="408"/>
      <c r="AS44" s="410"/>
      <c r="AT44" s="35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120</v>
      </c>
      <c r="C45" s="413" t="str">
        <f>VLOOKUP(B45,DS,2,0)</f>
        <v>Thạch Quyền</v>
      </c>
      <c r="D45" s="415" t="str">
        <f>VLOOKUP(B45,DS,3,0)</f>
        <v>Công nhân</v>
      </c>
      <c r="E45" s="68" t="s">
        <v>32</v>
      </c>
      <c r="F45" s="171">
        <v>8</v>
      </c>
      <c r="G45" s="171"/>
      <c r="H45" s="171"/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17">
        <f>((SUM(F45:AJ45))/8)-(SUMIF($F$6:$AJ$6,"C.Nhật",F45:AJ45)/8)</f>
        <v>24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24</v>
      </c>
      <c r="AO45" s="421">
        <v>0</v>
      </c>
      <c r="AP45" s="407"/>
      <c r="AQ45" s="407"/>
      <c r="AR45" s="407"/>
      <c r="AS45" s="409"/>
      <c r="AT45" s="35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0"/>
      <c r="AK46" s="418"/>
      <c r="AL46" s="418"/>
      <c r="AM46" s="420"/>
      <c r="AN46" s="408"/>
      <c r="AO46" s="422"/>
      <c r="AP46" s="408"/>
      <c r="AQ46" s="408"/>
      <c r="AR46" s="408"/>
      <c r="AS46" s="410"/>
      <c r="AT46" s="35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122</v>
      </c>
      <c r="C47" s="413" t="str">
        <f>VLOOKUP(B47,DS,2,0)</f>
        <v>Lâm Chanh Đa Ra</v>
      </c>
      <c r="D47" s="415" t="str">
        <f>VLOOKUP(B47,DS,3,0)</f>
        <v>Công nhân</v>
      </c>
      <c r="E47" s="68" t="s">
        <v>32</v>
      </c>
      <c r="F47" s="171">
        <v>8</v>
      </c>
      <c r="G47" s="171"/>
      <c r="H47" s="171"/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17">
        <f>((SUM(F47:AJ47))/8)-(SUMIF($F$6:$AJ$6,"C.Nhật",F47:AJ47)/8)</f>
        <v>24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24</v>
      </c>
      <c r="AO47" s="421">
        <v>0</v>
      </c>
      <c r="AP47" s="407"/>
      <c r="AQ47" s="407"/>
      <c r="AR47" s="407"/>
      <c r="AS47" s="409"/>
      <c r="AT47" s="35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0"/>
      <c r="AK48" s="418"/>
      <c r="AL48" s="418"/>
      <c r="AM48" s="420"/>
      <c r="AN48" s="408"/>
      <c r="AO48" s="422"/>
      <c r="AP48" s="408"/>
      <c r="AQ48" s="408"/>
      <c r="AR48" s="408"/>
      <c r="AS48" s="410"/>
      <c r="AT48" s="35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4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4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09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53" t="s">
        <v>112</v>
      </c>
      <c r="AN76" s="454"/>
      <c r="AO76" s="454"/>
      <c r="AP76" s="454"/>
      <c r="AQ76" s="454"/>
      <c r="AR76" s="454"/>
      <c r="AS76" s="455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42614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96" t="s">
        <v>28</v>
      </c>
      <c r="B80" s="496" t="s">
        <v>3</v>
      </c>
      <c r="C80" s="496" t="s">
        <v>1</v>
      </c>
      <c r="D80" s="434" t="s">
        <v>29</v>
      </c>
      <c r="E80" s="496" t="s">
        <v>30</v>
      </c>
      <c r="F80" s="164">
        <f>+E79</f>
        <v>42614</v>
      </c>
      <c r="G80" s="164">
        <f t="shared" ref="G80:AG80" si="3">F80+1</f>
        <v>42615</v>
      </c>
      <c r="H80" s="164">
        <f t="shared" si="3"/>
        <v>42616</v>
      </c>
      <c r="I80" s="164">
        <f t="shared" si="3"/>
        <v>42617</v>
      </c>
      <c r="J80" s="164">
        <f t="shared" si="3"/>
        <v>42618</v>
      </c>
      <c r="K80" s="164">
        <f t="shared" si="3"/>
        <v>42619</v>
      </c>
      <c r="L80" s="164">
        <f t="shared" si="3"/>
        <v>42620</v>
      </c>
      <c r="M80" s="164">
        <f t="shared" si="3"/>
        <v>42621</v>
      </c>
      <c r="N80" s="164">
        <f t="shared" si="3"/>
        <v>42622</v>
      </c>
      <c r="O80" s="164">
        <f t="shared" si="3"/>
        <v>42623</v>
      </c>
      <c r="P80" s="164">
        <f t="shared" si="3"/>
        <v>42624</v>
      </c>
      <c r="Q80" s="164">
        <f t="shared" si="3"/>
        <v>42625</v>
      </c>
      <c r="R80" s="164">
        <f t="shared" si="3"/>
        <v>42626</v>
      </c>
      <c r="S80" s="164">
        <f t="shared" si="3"/>
        <v>42627</v>
      </c>
      <c r="T80" s="164">
        <f t="shared" si="3"/>
        <v>42628</v>
      </c>
      <c r="U80" s="164">
        <f t="shared" si="3"/>
        <v>42629</v>
      </c>
      <c r="V80" s="164">
        <f t="shared" si="3"/>
        <v>42630</v>
      </c>
      <c r="W80" s="164">
        <f t="shared" si="3"/>
        <v>42631</v>
      </c>
      <c r="X80" s="164">
        <f t="shared" si="3"/>
        <v>42632</v>
      </c>
      <c r="Y80" s="164">
        <f t="shared" si="3"/>
        <v>42633</v>
      </c>
      <c r="Z80" s="164">
        <f t="shared" si="3"/>
        <v>42634</v>
      </c>
      <c r="AA80" s="164">
        <f t="shared" si="3"/>
        <v>42635</v>
      </c>
      <c r="AB80" s="164">
        <f t="shared" si="3"/>
        <v>42636</v>
      </c>
      <c r="AC80" s="164">
        <f t="shared" si="3"/>
        <v>42637</v>
      </c>
      <c r="AD80" s="164">
        <f t="shared" si="3"/>
        <v>42638</v>
      </c>
      <c r="AE80" s="164">
        <f t="shared" si="3"/>
        <v>42639</v>
      </c>
      <c r="AF80" s="164">
        <f t="shared" si="3"/>
        <v>42640</v>
      </c>
      <c r="AG80" s="164">
        <f t="shared" si="3"/>
        <v>42641</v>
      </c>
      <c r="AH80" s="164">
        <f>AG80+1</f>
        <v>42642</v>
      </c>
      <c r="AI80" s="164">
        <f>AH80+1</f>
        <v>42643</v>
      </c>
      <c r="AJ80" s="164"/>
      <c r="AK80" s="441" t="s">
        <v>15</v>
      </c>
      <c r="AL80" s="442"/>
      <c r="AM80" s="443"/>
      <c r="AN80" s="432" t="s">
        <v>45</v>
      </c>
      <c r="AO80" s="432" t="s">
        <v>41</v>
      </c>
      <c r="AP80" s="432" t="s">
        <v>42</v>
      </c>
      <c r="AQ80" s="432" t="s">
        <v>43</v>
      </c>
      <c r="AR80" s="432" t="s">
        <v>44</v>
      </c>
      <c r="AS80" s="434" t="s">
        <v>0</v>
      </c>
      <c r="AT80" s="427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35"/>
      <c r="B81" s="435"/>
      <c r="C81" s="435"/>
      <c r="D81" s="435"/>
      <c r="E81" s="435"/>
      <c r="F81" s="322" t="str">
        <f>CHOOSE(WEEKDAY(F80),"C.Nhật","T.Hai","T.Ba","T.Tư","T.Năm","T.Sáu","T.Bảy")</f>
        <v>T.Năm</v>
      </c>
      <c r="G81" s="322" t="str">
        <f t="shared" ref="G81:AI81" si="4">CHOOSE(WEEKDAY(G80),"C.Nhật","T.Hai","T.Ba","T.Tư","T.Năm","T.Sáu","T.Bảy")</f>
        <v>T.Sáu</v>
      </c>
      <c r="H81" s="322" t="str">
        <f t="shared" si="4"/>
        <v>T.Bảy</v>
      </c>
      <c r="I81" s="322" t="str">
        <f t="shared" si="4"/>
        <v>C.Nhật</v>
      </c>
      <c r="J81" s="322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33"/>
      <c r="AO81" s="433"/>
      <c r="AP81" s="433"/>
      <c r="AQ81" s="433"/>
      <c r="AR81" s="433"/>
      <c r="AS81" s="435"/>
      <c r="AT81" s="427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25">
        <v>1</v>
      </c>
      <c r="B83" s="425" t="s">
        <v>68</v>
      </c>
      <c r="C83" s="413" t="str">
        <f>VLOOKUP(B83,DS,2,0)</f>
        <v>Nguyễn Thiện Duy</v>
      </c>
      <c r="D83" s="415" t="str">
        <f>VLOOKUP(B83,DS,3,0)</f>
        <v>Giám đốc</v>
      </c>
      <c r="E83" s="68" t="s">
        <v>32</v>
      </c>
      <c r="F83" s="171">
        <v>8</v>
      </c>
      <c r="G83" s="171"/>
      <c r="H83" s="171"/>
      <c r="I83" s="171"/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/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/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/>
      <c r="AE83" s="171">
        <v>8</v>
      </c>
      <c r="AF83" s="171">
        <v>8</v>
      </c>
      <c r="AG83" s="171">
        <v>8</v>
      </c>
      <c r="AH83" s="171">
        <v>8</v>
      </c>
      <c r="AI83" s="171">
        <v>8</v>
      </c>
      <c r="AJ83" s="171"/>
      <c r="AK83" s="417">
        <f>((SUM(F83:AJ83))/8)-(SUMIF($F$6:$AJ$6,"C.Nhật",F83:AJ83)/8)</f>
        <v>21</v>
      </c>
      <c r="AL83" s="417">
        <f>SUM(F84:AI84)/8*1.5</f>
        <v>0</v>
      </c>
      <c r="AM83" s="419">
        <f>SUMIF($F$6:$AI$6,"C.Nhật",$F83:$AI84)/8*2</f>
        <v>0</v>
      </c>
      <c r="AN83" s="407">
        <f>SUM(AK83:AM84)</f>
        <v>21</v>
      </c>
      <c r="AO83" s="423">
        <v>0</v>
      </c>
      <c r="AP83" s="428"/>
      <c r="AQ83" s="428"/>
      <c r="AR83" s="428"/>
      <c r="AS83" s="430"/>
      <c r="AT83" s="35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26"/>
      <c r="B84" s="426"/>
      <c r="C84" s="414"/>
      <c r="D84" s="416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0"/>
      <c r="AK84" s="418"/>
      <c r="AL84" s="418"/>
      <c r="AM84" s="420"/>
      <c r="AN84" s="408"/>
      <c r="AO84" s="424"/>
      <c r="AP84" s="429"/>
      <c r="AQ84" s="429"/>
      <c r="AR84" s="429"/>
      <c r="AS84" s="431"/>
      <c r="AT84" s="35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f>A83+1</f>
        <v>2</v>
      </c>
      <c r="B85" s="425" t="s">
        <v>70</v>
      </c>
      <c r="C85" s="413" t="str">
        <f>VLOOKUP(B85,DS,2,0)</f>
        <v>Nguyễn Văn Sẽ</v>
      </c>
      <c r="D85" s="415" t="str">
        <f>VLOOKUP(B85,DS,3,0)</f>
        <v>Kỹ Thuật</v>
      </c>
      <c r="E85" s="68" t="s">
        <v>32</v>
      </c>
      <c r="F85" s="171">
        <v>8</v>
      </c>
      <c r="G85" s="171"/>
      <c r="H85" s="171"/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/>
      <c r="AK85" s="417">
        <f>((SUM(F85:AJ85))/8)-(SUMIF($F$6:$AJ$6,"C.Nhật",F85:AJ85)/8)</f>
        <v>24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24</v>
      </c>
      <c r="AO85" s="423">
        <v>0</v>
      </c>
      <c r="AP85" s="428"/>
      <c r="AQ85" s="428"/>
      <c r="AR85" s="428"/>
      <c r="AS85" s="430"/>
      <c r="AT85" s="35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0"/>
      <c r="AK86" s="418"/>
      <c r="AL86" s="418"/>
      <c r="AM86" s="420"/>
      <c r="AN86" s="408"/>
      <c r="AO86" s="424"/>
      <c r="AP86" s="429"/>
      <c r="AQ86" s="429"/>
      <c r="AR86" s="429"/>
      <c r="AS86" s="431"/>
      <c r="AT86" s="35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3</v>
      </c>
      <c r="B87" s="425" t="s">
        <v>72</v>
      </c>
      <c r="C87" s="413" t="str">
        <f>VLOOKUP(B87,DS,2,0)</f>
        <v>Võ Uyên Phương</v>
      </c>
      <c r="D87" s="415" t="str">
        <f>VLOOKUP(B87,DS,3,0)</f>
        <v>Kế toán</v>
      </c>
      <c r="E87" s="68" t="s">
        <v>32</v>
      </c>
      <c r="F87" s="171">
        <v>8</v>
      </c>
      <c r="G87" s="171"/>
      <c r="H87" s="171"/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17">
        <f>((SUM(F87:AJ87))/8)-(SUMIF($F$6:$AJ$6,"C.Nhật",F87:AJ87)/8)</f>
        <v>24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24</v>
      </c>
      <c r="AO87" s="423">
        <v>0</v>
      </c>
      <c r="AP87" s="428"/>
      <c r="AQ87" s="428"/>
      <c r="AR87" s="428"/>
      <c r="AS87" s="430"/>
      <c r="AT87" s="35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0"/>
      <c r="AK88" s="418"/>
      <c r="AL88" s="418"/>
      <c r="AM88" s="420"/>
      <c r="AN88" s="408"/>
      <c r="AO88" s="424"/>
      <c r="AP88" s="429"/>
      <c r="AQ88" s="429"/>
      <c r="AR88" s="429"/>
      <c r="AS88" s="431"/>
      <c r="AT88" s="35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4</v>
      </c>
      <c r="B89" s="425" t="s">
        <v>75</v>
      </c>
      <c r="C89" s="413" t="str">
        <f>VLOOKUP(B89,DS,2,0)</f>
        <v>Lê Nguyễn Huy Cường</v>
      </c>
      <c r="D89" s="415" t="str">
        <f>VLOOKUP(B89,DS,3,0)</f>
        <v>XNK</v>
      </c>
      <c r="E89" s="68" t="s">
        <v>32</v>
      </c>
      <c r="F89" s="171">
        <v>8</v>
      </c>
      <c r="G89" s="171"/>
      <c r="H89" s="171"/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17">
        <f>((SUM(F89:AJ89))/8)-(SUMIF($F$6:$AJ$6,"C.Nhật",F89:AJ89)/8)</f>
        <v>24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24</v>
      </c>
      <c r="AO89" s="423">
        <v>0</v>
      </c>
      <c r="AP89" s="428"/>
      <c r="AQ89" s="428"/>
      <c r="AR89" s="428"/>
      <c r="AS89" s="430"/>
      <c r="AT89" s="35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0"/>
      <c r="AK90" s="418"/>
      <c r="AL90" s="418"/>
      <c r="AM90" s="420"/>
      <c r="AN90" s="408"/>
      <c r="AO90" s="424"/>
      <c r="AP90" s="429"/>
      <c r="AQ90" s="429"/>
      <c r="AR90" s="429"/>
      <c r="AS90" s="431"/>
      <c r="AT90" s="35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5</v>
      </c>
      <c r="B91" s="425" t="s">
        <v>77</v>
      </c>
      <c r="C91" s="413" t="str">
        <f>VLOOKUP(B91,DS,2,0)</f>
        <v>Nguyễn Văn Bé Tư</v>
      </c>
      <c r="D91" s="415" t="str">
        <f>VLOOKUP(B91,DS,3,0)</f>
        <v>Tài xế</v>
      </c>
      <c r="E91" s="68" t="s">
        <v>32</v>
      </c>
      <c r="F91" s="171">
        <v>8</v>
      </c>
      <c r="G91" s="171"/>
      <c r="H91" s="171"/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17">
        <f>((SUM(F91:AJ91))/8)-(SUMIF($F$6:$AJ$6,"C.Nhật",F91:AJ91)/8)</f>
        <v>24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24</v>
      </c>
      <c r="AO91" s="423">
        <v>0</v>
      </c>
      <c r="AP91" s="428"/>
      <c r="AQ91" s="428"/>
      <c r="AR91" s="428"/>
      <c r="AS91" s="430"/>
      <c r="AT91" s="35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0"/>
      <c r="AK92" s="418"/>
      <c r="AL92" s="418"/>
      <c r="AM92" s="420"/>
      <c r="AN92" s="408"/>
      <c r="AO92" s="424"/>
      <c r="AP92" s="429"/>
      <c r="AQ92" s="429"/>
      <c r="AR92" s="429"/>
      <c r="AS92" s="431"/>
      <c r="AT92" s="35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6</v>
      </c>
      <c r="B93" s="425" t="s">
        <v>78</v>
      </c>
      <c r="C93" s="413" t="str">
        <f>VLOOKUP(B93,DS,2,0)</f>
        <v>Dương Thanh Tuấn</v>
      </c>
      <c r="D93" s="415" t="str">
        <f>VLOOKUP(B93,DS,3,0)</f>
        <v>Nhân sự</v>
      </c>
      <c r="E93" s="68" t="s">
        <v>32</v>
      </c>
      <c r="F93" s="171">
        <v>8</v>
      </c>
      <c r="G93" s="171"/>
      <c r="H93" s="171"/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17">
        <f>((SUM(F93:AJ93))/8)-(SUMIF($F$6:$AJ$6,"C.Nhật",F93:AJ93)/8)</f>
        <v>24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24</v>
      </c>
      <c r="AO93" s="423">
        <v>0</v>
      </c>
      <c r="AP93" s="428"/>
      <c r="AQ93" s="428"/>
      <c r="AR93" s="428"/>
      <c r="AS93" s="430"/>
      <c r="AT93" s="35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0"/>
      <c r="AK94" s="418"/>
      <c r="AL94" s="418"/>
      <c r="AM94" s="420"/>
      <c r="AN94" s="408"/>
      <c r="AO94" s="424"/>
      <c r="AP94" s="429"/>
      <c r="AQ94" s="429"/>
      <c r="AR94" s="429"/>
      <c r="AS94" s="431"/>
      <c r="AT94" s="35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7</v>
      </c>
      <c r="B95" s="425" t="s">
        <v>81</v>
      </c>
      <c r="C95" s="413" t="str">
        <f>VLOOKUP(B95,DS,2,0)</f>
        <v>Nguyễn Thiện Duyệt</v>
      </c>
      <c r="D95" s="415" t="str">
        <f>VLOOKUP(B95,DS,3,0)</f>
        <v>XNK</v>
      </c>
      <c r="E95" s="68" t="s">
        <v>32</v>
      </c>
      <c r="F95" s="171">
        <v>8</v>
      </c>
      <c r="G95" s="171"/>
      <c r="H95" s="171"/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17">
        <f>((SUM(F95:AJ95))/8)-(SUMIF($F$6:$AJ$6,"C.Nhật",F95:AJ95)/8)</f>
        <v>24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24</v>
      </c>
      <c r="AO95" s="423">
        <v>0</v>
      </c>
      <c r="AP95" s="428"/>
      <c r="AQ95" s="428"/>
      <c r="AR95" s="428"/>
      <c r="AS95" s="430"/>
      <c r="AT95" s="35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0"/>
      <c r="AK96" s="418"/>
      <c r="AL96" s="418"/>
      <c r="AM96" s="420"/>
      <c r="AN96" s="408"/>
      <c r="AO96" s="424"/>
      <c r="AP96" s="429"/>
      <c r="AQ96" s="429"/>
      <c r="AR96" s="429"/>
      <c r="AS96" s="431"/>
      <c r="AT96" s="35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8</v>
      </c>
      <c r="B97" s="425" t="s">
        <v>192</v>
      </c>
      <c r="C97" s="413" t="str">
        <f>VLOOKUP(B97,DS,2,0)</f>
        <v>Trần Đình Thái</v>
      </c>
      <c r="D97" s="415" t="str">
        <f>VLOOKUP(B97,DS,3,0)</f>
        <v>Cơ Điện</v>
      </c>
      <c r="E97" s="68" t="s">
        <v>32</v>
      </c>
      <c r="F97" s="171">
        <v>8</v>
      </c>
      <c r="G97" s="171"/>
      <c r="H97" s="171"/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17">
        <f>((SUM(F97:AJ97))/8)-(SUMIF($F$6:$AJ$6,"C.Nhật",F97:AJ97)/8)</f>
        <v>24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24</v>
      </c>
      <c r="AO97" s="423">
        <v>0</v>
      </c>
      <c r="AP97" s="428"/>
      <c r="AQ97" s="428"/>
      <c r="AR97" s="428"/>
      <c r="AS97" s="430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0"/>
      <c r="AK98" s="418"/>
      <c r="AL98" s="418"/>
      <c r="AM98" s="420"/>
      <c r="AN98" s="408"/>
      <c r="AO98" s="424"/>
      <c r="AP98" s="429"/>
      <c r="AQ98" s="429"/>
      <c r="AR98" s="429"/>
      <c r="AS98" s="431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5:AJ6 F9:AJ12 F37:AJ48 F14:AJ35 F83:AJ98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1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25" sqref="M25:M3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6"/>
      <c r="C1" s="356"/>
      <c r="D1" s="487" t="str">
        <f>"BẢNG THANH TOÁN LƯƠNG THÁNG"&amp;" "&amp;TEXT($E$4,"mm")&amp;" / "&amp;TEXT($E$4,"yyyy")</f>
        <v>BẢNG THANH TOÁN LƯƠNG THÁNG 09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6"/>
      <c r="C2" s="356"/>
      <c r="D2" s="356"/>
      <c r="E2" s="81"/>
      <c r="F2" s="356"/>
      <c r="G2" s="356"/>
      <c r="H2" s="356"/>
      <c r="I2" s="356"/>
      <c r="J2" s="82"/>
      <c r="K2" s="356"/>
      <c r="L2" s="356"/>
      <c r="M2" s="356"/>
      <c r="N2" s="356"/>
      <c r="O2" s="356"/>
      <c r="P2" s="356"/>
      <c r="Q2" s="356"/>
      <c r="R2" s="356"/>
      <c r="S2" s="356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6"/>
      <c r="C3" s="356"/>
      <c r="D3" s="356"/>
      <c r="E3" s="81"/>
      <c r="F3" s="356"/>
      <c r="G3" s="356"/>
      <c r="H3" s="356"/>
      <c r="I3" s="356"/>
      <c r="J3" s="82"/>
      <c r="K3" s="356"/>
      <c r="L3" s="356"/>
      <c r="M3" s="356"/>
      <c r="N3" s="356"/>
      <c r="O3" s="356"/>
      <c r="P3" s="356"/>
      <c r="Q3" s="356"/>
      <c r="R3" s="356"/>
      <c r="S3" s="35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- 09'!$E$4</f>
        <v>42614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52" t="s">
        <v>40</v>
      </c>
      <c r="G7" s="349" t="s">
        <v>18</v>
      </c>
      <c r="H7" s="352" t="s">
        <v>40</v>
      </c>
      <c r="I7" s="355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- 09'!$B$8:$AS$48,36,0)</f>
        <v>24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24</v>
      </c>
      <c r="K10" s="39">
        <f>G10+I10</f>
        <v>4336000</v>
      </c>
      <c r="L10" s="90">
        <f>+F10*15000</f>
        <v>360000</v>
      </c>
      <c r="M10" s="40">
        <f>K10+L10</f>
        <v>4696000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4240720</v>
      </c>
      <c r="R10" s="39">
        <f>VLOOKUP(B10,DS,23,0)</f>
        <v>0</v>
      </c>
      <c r="S10" s="45">
        <f>Q10-R10</f>
        <v>4240720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- 09'!$B$8:$AS$48,36,0)</f>
        <v>24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24</v>
      </c>
      <c r="K11" s="39">
        <f>G11+I11</f>
        <v>4056000</v>
      </c>
      <c r="L11" s="90">
        <f>+F11*15000</f>
        <v>360000</v>
      </c>
      <c r="M11" s="40">
        <f>K11+L11</f>
        <v>4416000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3990120</v>
      </c>
      <c r="R11" s="39">
        <f>VLOOKUP(B11,DS,23,0)</f>
        <v>0</v>
      </c>
      <c r="S11" s="45">
        <f>Q11-R11</f>
        <v>3990120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- 09'!$B$8:$AS$48,36,0)</f>
        <v>24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24</v>
      </c>
      <c r="K13" s="39">
        <f t="shared" si="5"/>
        <v>3317000</v>
      </c>
      <c r="L13" s="90">
        <f t="shared" ref="L13:L30" si="6">+F13*15000</f>
        <v>360000</v>
      </c>
      <c r="M13" s="40">
        <f t="shared" ref="M13:M30" si="7">K13+L13</f>
        <v>3677000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3328715</v>
      </c>
      <c r="R13" s="39">
        <f t="shared" ref="R13:R30" si="12">VLOOKUP(B13,DS,23,0)</f>
        <v>0</v>
      </c>
      <c r="S13" s="45">
        <f t="shared" ref="S13:S30" si="13">Q13-R13</f>
        <v>3328715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- 09'!$B$8:$AS$48,36,0)</f>
        <v>24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24</v>
      </c>
      <c r="K14" s="39">
        <f t="shared" si="5"/>
        <v>3317000</v>
      </c>
      <c r="L14" s="90">
        <f t="shared" si="6"/>
        <v>360000</v>
      </c>
      <c r="M14" s="40">
        <f t="shared" si="7"/>
        <v>3677000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3328715</v>
      </c>
      <c r="R14" s="39">
        <f t="shared" si="12"/>
        <v>0</v>
      </c>
      <c r="S14" s="45">
        <f t="shared" si="13"/>
        <v>3328715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- 09'!$B$8:$AS$48,36,0)</f>
        <v>24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24</v>
      </c>
      <c r="K15" s="39">
        <f t="shared" si="5"/>
        <v>3317000</v>
      </c>
      <c r="L15" s="90">
        <f t="shared" si="6"/>
        <v>360000</v>
      </c>
      <c r="M15" s="40">
        <f t="shared" si="7"/>
        <v>3677000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3328715</v>
      </c>
      <c r="R15" s="39">
        <f t="shared" si="12"/>
        <v>0</v>
      </c>
      <c r="S15" s="45">
        <f t="shared" si="13"/>
        <v>3328715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- 09'!$B$8:$AS$48,36,0)</f>
        <v>24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24</v>
      </c>
      <c r="K16" s="39">
        <f t="shared" si="5"/>
        <v>3317000</v>
      </c>
      <c r="L16" s="90">
        <f t="shared" si="6"/>
        <v>360000</v>
      </c>
      <c r="M16" s="40">
        <f t="shared" si="7"/>
        <v>3677000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3328715</v>
      </c>
      <c r="R16" s="39">
        <f t="shared" si="12"/>
        <v>0</v>
      </c>
      <c r="S16" s="45">
        <f t="shared" si="13"/>
        <v>3328715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- 09'!$B$8:$AS$48,36,0)</f>
        <v>24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24</v>
      </c>
      <c r="K17" s="39">
        <f t="shared" si="5"/>
        <v>3317000</v>
      </c>
      <c r="L17" s="90">
        <f t="shared" si="6"/>
        <v>360000</v>
      </c>
      <c r="M17" s="40">
        <f t="shared" si="7"/>
        <v>3677000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3328715</v>
      </c>
      <c r="R17" s="39">
        <f t="shared" si="12"/>
        <v>0</v>
      </c>
      <c r="S17" s="45">
        <f t="shared" si="13"/>
        <v>3328715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- 09'!$B$8:$AS$48,36,0)</f>
        <v>24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24</v>
      </c>
      <c r="K18" s="39">
        <f t="shared" si="5"/>
        <v>3317000</v>
      </c>
      <c r="L18" s="90">
        <f t="shared" si="6"/>
        <v>360000</v>
      </c>
      <c r="M18" s="40">
        <f t="shared" si="7"/>
        <v>3677000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3328715</v>
      </c>
      <c r="R18" s="39">
        <f t="shared" si="12"/>
        <v>0</v>
      </c>
      <c r="S18" s="45">
        <f t="shared" si="13"/>
        <v>3328715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- 09'!$B$8:$AS$48,36,0)</f>
        <v>24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24</v>
      </c>
      <c r="K19" s="39">
        <f t="shared" si="5"/>
        <v>3317000</v>
      </c>
      <c r="L19" s="90">
        <f t="shared" si="6"/>
        <v>360000</v>
      </c>
      <c r="M19" s="40">
        <f t="shared" si="7"/>
        <v>3677000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3328715</v>
      </c>
      <c r="R19" s="39">
        <f t="shared" si="12"/>
        <v>0</v>
      </c>
      <c r="S19" s="45">
        <f t="shared" si="13"/>
        <v>3328715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- 09'!$B$8:$AS$48,36,0)</f>
        <v>24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24</v>
      </c>
      <c r="K20" s="39">
        <f t="shared" si="5"/>
        <v>3317000</v>
      </c>
      <c r="L20" s="90">
        <f t="shared" si="6"/>
        <v>360000</v>
      </c>
      <c r="M20" s="40">
        <f t="shared" si="7"/>
        <v>3677000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3328715</v>
      </c>
      <c r="R20" s="39">
        <f t="shared" si="12"/>
        <v>0</v>
      </c>
      <c r="S20" s="45">
        <f t="shared" si="13"/>
        <v>3328715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- 09'!$B$8:$AS$48,36,0)</f>
        <v>24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24</v>
      </c>
      <c r="K21" s="39">
        <f t="shared" si="5"/>
        <v>3317000</v>
      </c>
      <c r="L21" s="90">
        <f t="shared" si="6"/>
        <v>360000</v>
      </c>
      <c r="M21" s="40">
        <f t="shared" si="7"/>
        <v>3677000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3328715</v>
      </c>
      <c r="R21" s="39">
        <f t="shared" si="12"/>
        <v>0</v>
      </c>
      <c r="S21" s="45">
        <f t="shared" si="13"/>
        <v>3328715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- 09'!$B$8:$AS$48,36,0)</f>
        <v>24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24</v>
      </c>
      <c r="K22" s="39">
        <f t="shared" si="5"/>
        <v>3317000</v>
      </c>
      <c r="L22" s="90">
        <f t="shared" si="6"/>
        <v>360000</v>
      </c>
      <c r="M22" s="40">
        <f t="shared" si="7"/>
        <v>3677000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3328715</v>
      </c>
      <c r="R22" s="39">
        <f t="shared" si="12"/>
        <v>0</v>
      </c>
      <c r="S22" s="45">
        <f t="shared" si="13"/>
        <v>3328715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- 09'!$B$8:$AS$48,36,0)</f>
        <v>24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24</v>
      </c>
      <c r="K23" s="39">
        <f t="shared" si="5"/>
        <v>3317000</v>
      </c>
      <c r="L23" s="90">
        <f t="shared" si="6"/>
        <v>360000</v>
      </c>
      <c r="M23" s="40">
        <f t="shared" si="7"/>
        <v>3677000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3328715</v>
      </c>
      <c r="R23" s="39">
        <f t="shared" si="12"/>
        <v>0</v>
      </c>
      <c r="S23" s="45">
        <f t="shared" si="13"/>
        <v>3328715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- 09'!$B$8:$AS$48,36,0)</f>
        <v>24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24</v>
      </c>
      <c r="K25" s="39">
        <f t="shared" si="5"/>
        <v>3549000</v>
      </c>
      <c r="L25" s="90">
        <f t="shared" si="6"/>
        <v>360000</v>
      </c>
      <c r="M25" s="40">
        <f t="shared" si="7"/>
        <v>3909000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3536355</v>
      </c>
      <c r="R25" s="39">
        <f t="shared" si="12"/>
        <v>0</v>
      </c>
      <c r="S25" s="45">
        <f t="shared" si="13"/>
        <v>3536355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- 09'!$B$8:$AS$48,36,0)</f>
        <v>24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24</v>
      </c>
      <c r="K26" s="39">
        <f t="shared" si="5"/>
        <v>3317000</v>
      </c>
      <c r="L26" s="90">
        <f t="shared" si="6"/>
        <v>360000</v>
      </c>
      <c r="M26" s="40">
        <f t="shared" si="7"/>
        <v>3677000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3328715</v>
      </c>
      <c r="R26" s="39">
        <f t="shared" si="12"/>
        <v>0</v>
      </c>
      <c r="S26" s="45">
        <f t="shared" si="13"/>
        <v>3328715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- 09'!$B$8:$AS$48,36,0)</f>
        <v>24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24</v>
      </c>
      <c r="K27" s="39">
        <f t="shared" si="5"/>
        <v>3317000</v>
      </c>
      <c r="L27" s="90">
        <f t="shared" si="6"/>
        <v>360000</v>
      </c>
      <c r="M27" s="40">
        <f t="shared" si="7"/>
        <v>3677000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3328715</v>
      </c>
      <c r="R27" s="39">
        <f t="shared" si="12"/>
        <v>0</v>
      </c>
      <c r="S27" s="45">
        <f t="shared" si="13"/>
        <v>3328715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- 09'!$B$8:$AS$48,36,0)</f>
        <v>24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24</v>
      </c>
      <c r="K28" s="39">
        <f t="shared" si="5"/>
        <v>3317000</v>
      </c>
      <c r="L28" s="90">
        <f t="shared" si="6"/>
        <v>360000</v>
      </c>
      <c r="M28" s="40">
        <f t="shared" si="7"/>
        <v>3677000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3328715</v>
      </c>
      <c r="R28" s="39">
        <f t="shared" si="12"/>
        <v>0</v>
      </c>
      <c r="S28" s="45">
        <f t="shared" si="13"/>
        <v>3328715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- 09'!$B$8:$AS$48,36,0)</f>
        <v>24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24</v>
      </c>
      <c r="K29" s="39">
        <f t="shared" si="18"/>
        <v>3317000</v>
      </c>
      <c r="L29" s="90">
        <f t="shared" si="6"/>
        <v>360000</v>
      </c>
      <c r="M29" s="40">
        <f t="shared" si="7"/>
        <v>3677000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3328715</v>
      </c>
      <c r="R29" s="39">
        <f t="shared" si="12"/>
        <v>0</v>
      </c>
      <c r="S29" s="45">
        <f t="shared" si="13"/>
        <v>3328715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- 09'!$B$8:$AS$48,36,0)</f>
        <v>24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24</v>
      </c>
      <c r="K30" s="39">
        <f t="shared" si="18"/>
        <v>3317000</v>
      </c>
      <c r="L30" s="90">
        <f t="shared" si="6"/>
        <v>360000</v>
      </c>
      <c r="M30" s="40">
        <f t="shared" si="7"/>
        <v>3677000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3328715</v>
      </c>
      <c r="R30" s="39">
        <f t="shared" si="12"/>
        <v>0</v>
      </c>
      <c r="S30" s="45">
        <f t="shared" si="13"/>
        <v>3328715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86" t="s">
        <v>25</v>
      </c>
      <c r="B32" s="486"/>
      <c r="C32" s="486"/>
      <c r="D32" s="486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6840000</v>
      </c>
      <c r="M32" s="26">
        <f t="shared" si="19"/>
        <v>71853000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65026635</v>
      </c>
      <c r="R32" s="26">
        <f t="shared" si="19"/>
        <v>0</v>
      </c>
      <c r="S32" s="26">
        <f t="shared" si="19"/>
        <v>65026635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09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4"/>
      <c r="C45" s="354"/>
      <c r="D45" s="467" t="str">
        <f>D1</f>
        <v>BẢNG THANH TOÁN LƯƠNG THÁNG 09 / 2016</v>
      </c>
      <c r="E45" s="467"/>
      <c r="F45" s="467"/>
      <c r="G45" s="467"/>
      <c r="H45" s="467"/>
      <c r="I45" s="467"/>
      <c r="J45" s="467"/>
      <c r="K45" s="467"/>
      <c r="L45" s="467"/>
      <c r="M45" s="467"/>
      <c r="N45" s="467"/>
      <c r="O45" s="467"/>
      <c r="P45" s="467"/>
      <c r="Q45" s="468"/>
      <c r="R45" s="469" t="s">
        <v>112</v>
      </c>
      <c r="S45" s="470"/>
      <c r="T45" s="471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4"/>
      <c r="C46" s="354"/>
      <c r="D46" s="354"/>
      <c r="E46" s="200"/>
      <c r="F46" s="354"/>
      <c r="G46" s="354"/>
      <c r="H46" s="354"/>
      <c r="I46" s="354"/>
      <c r="J46" s="201"/>
      <c r="K46" s="354"/>
      <c r="L46" s="354"/>
      <c r="M46" s="354"/>
      <c r="N46" s="354"/>
      <c r="O46" s="354"/>
      <c r="P46" s="354"/>
      <c r="Q46" s="354"/>
      <c r="R46" s="354"/>
      <c r="S46" s="35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4"/>
      <c r="C47" s="354"/>
      <c r="D47" s="354"/>
      <c r="E47" s="200"/>
      <c r="F47" s="354"/>
      <c r="G47" s="354"/>
      <c r="H47" s="354"/>
      <c r="I47" s="354"/>
      <c r="J47" s="201"/>
      <c r="K47" s="354"/>
      <c r="L47" s="354"/>
      <c r="M47" s="354"/>
      <c r="N47" s="354"/>
      <c r="O47" s="354"/>
      <c r="P47" s="354"/>
      <c r="Q47" s="354"/>
      <c r="R47" s="354"/>
      <c r="S47" s="35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72" t="s">
        <v>19</v>
      </c>
      <c r="B49" s="472" t="s">
        <v>20</v>
      </c>
      <c r="C49" s="474" t="s">
        <v>1</v>
      </c>
      <c r="D49" s="474" t="s">
        <v>2</v>
      </c>
      <c r="E49" s="475" t="s">
        <v>56</v>
      </c>
      <c r="F49" s="476" t="s">
        <v>26</v>
      </c>
      <c r="G49" s="477"/>
      <c r="H49" s="477"/>
      <c r="I49" s="477"/>
      <c r="J49" s="477"/>
      <c r="K49" s="478"/>
      <c r="L49" s="458" t="s">
        <v>57</v>
      </c>
      <c r="M49" s="458" t="s">
        <v>5</v>
      </c>
      <c r="N49" s="474" t="s">
        <v>6</v>
      </c>
      <c r="O49" s="474"/>
      <c r="P49" s="474"/>
      <c r="Q49" s="461" t="s">
        <v>7</v>
      </c>
      <c r="R49" s="461" t="s">
        <v>8</v>
      </c>
      <c r="S49" s="461" t="s">
        <v>9</v>
      </c>
      <c r="T49" s="479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73"/>
      <c r="B50" s="473"/>
      <c r="C50" s="474"/>
      <c r="D50" s="474"/>
      <c r="E50" s="475"/>
      <c r="F50" s="476" t="s">
        <v>59</v>
      </c>
      <c r="G50" s="478"/>
      <c r="H50" s="481" t="s">
        <v>189</v>
      </c>
      <c r="I50" s="482"/>
      <c r="J50" s="463" t="s">
        <v>27</v>
      </c>
      <c r="K50" s="461" t="s">
        <v>4</v>
      </c>
      <c r="L50" s="459"/>
      <c r="M50" s="459"/>
      <c r="N50" s="465" t="s">
        <v>12</v>
      </c>
      <c r="O50" s="461" t="s">
        <v>13</v>
      </c>
      <c r="P50" s="461" t="s">
        <v>34</v>
      </c>
      <c r="Q50" s="462"/>
      <c r="R50" s="462"/>
      <c r="S50" s="462"/>
      <c r="T50" s="480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73"/>
      <c r="B51" s="473"/>
      <c r="C51" s="461"/>
      <c r="D51" s="461"/>
      <c r="E51" s="475"/>
      <c r="F51" s="353" t="s">
        <v>40</v>
      </c>
      <c r="G51" s="355" t="s">
        <v>18</v>
      </c>
      <c r="H51" s="352" t="s">
        <v>40</v>
      </c>
      <c r="I51" s="355" t="s">
        <v>18</v>
      </c>
      <c r="J51" s="464"/>
      <c r="K51" s="462"/>
      <c r="L51" s="460"/>
      <c r="M51" s="460"/>
      <c r="N51" s="466"/>
      <c r="O51" s="462"/>
      <c r="P51" s="462"/>
      <c r="Q51" s="462"/>
      <c r="R51" s="462"/>
      <c r="S51" s="462"/>
      <c r="T51" s="480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- 09'!$B$83:$AN$96,36,0)</f>
        <v>21</v>
      </c>
      <c r="G53" s="220">
        <f t="shared" ref="G53:G60" si="23">ROUND(E53/$U$2*F53,0)</f>
        <v>9494625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21</v>
      </c>
      <c r="K53" s="39">
        <f t="shared" si="25"/>
        <v>9494625</v>
      </c>
      <c r="L53" s="90">
        <f>+F53*15000</f>
        <v>315000</v>
      </c>
      <c r="M53" s="222">
        <f t="shared" ref="M53:M60" si="26">K53+SUM(L53:L53)</f>
        <v>9809625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8670270</v>
      </c>
      <c r="R53" s="220">
        <f t="shared" ref="R53:R60" si="31">VLOOKUP(B53,DS,23,0)</f>
        <v>0</v>
      </c>
      <c r="S53" s="223">
        <f>Q53-R53</f>
        <v>8670270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- 09'!$B$83:$AN$96,36,0)</f>
        <v>24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24</v>
      </c>
      <c r="K54" s="39">
        <f t="shared" si="25"/>
        <v>4895000</v>
      </c>
      <c r="L54" s="90">
        <f t="shared" ref="L54:L60" si="32">+F54*15000</f>
        <v>360000</v>
      </c>
      <c r="M54" s="222">
        <f t="shared" si="26"/>
        <v>5255000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4741025</v>
      </c>
      <c r="R54" s="220">
        <f t="shared" si="31"/>
        <v>0</v>
      </c>
      <c r="S54" s="223">
        <f t="shared" ref="S54:S60" si="33">Q54-R54</f>
        <v>4741025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- 09'!$B$83:$AN$96,36,0)</f>
        <v>24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24</v>
      </c>
      <c r="K55" s="39">
        <f t="shared" si="25"/>
        <v>4895000</v>
      </c>
      <c r="L55" s="90">
        <f t="shared" si="32"/>
        <v>360000</v>
      </c>
      <c r="M55" s="222">
        <f t="shared" si="26"/>
        <v>5255000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4741025</v>
      </c>
      <c r="R55" s="220">
        <f t="shared" si="31"/>
        <v>0</v>
      </c>
      <c r="S55" s="223">
        <f t="shared" si="33"/>
        <v>4741025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- 09'!$B$83:$AN$96,36,0)</f>
        <v>24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24</v>
      </c>
      <c r="K56" s="39">
        <f t="shared" si="25"/>
        <v>4336000</v>
      </c>
      <c r="L56" s="90">
        <f t="shared" si="32"/>
        <v>360000</v>
      </c>
      <c r="M56" s="222">
        <f t="shared" si="26"/>
        <v>4696000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4240720</v>
      </c>
      <c r="R56" s="220">
        <f t="shared" si="31"/>
        <v>0</v>
      </c>
      <c r="S56" s="223">
        <f t="shared" si="33"/>
        <v>4240720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- 09'!$B$83:$AN$96,36,0)</f>
        <v>24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24</v>
      </c>
      <c r="K57" s="39">
        <f t="shared" si="25"/>
        <v>3496000</v>
      </c>
      <c r="L57" s="90">
        <f t="shared" si="32"/>
        <v>360000</v>
      </c>
      <c r="M57" s="222">
        <f t="shared" si="26"/>
        <v>3856000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3488920</v>
      </c>
      <c r="R57" s="220">
        <f t="shared" si="31"/>
        <v>0</v>
      </c>
      <c r="S57" s="223">
        <f t="shared" si="33"/>
        <v>3488920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- 09'!$B$83:$AN$96,36,0)</f>
        <v>24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24</v>
      </c>
      <c r="K58" s="39">
        <f t="shared" si="25"/>
        <v>4056000</v>
      </c>
      <c r="L58" s="90">
        <f t="shared" si="32"/>
        <v>360000</v>
      </c>
      <c r="M58" s="222">
        <f t="shared" si="26"/>
        <v>4416000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3990120</v>
      </c>
      <c r="R58" s="220">
        <f t="shared" si="31"/>
        <v>0</v>
      </c>
      <c r="S58" s="223">
        <f t="shared" si="33"/>
        <v>3990120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- 09'!$B$83:$AN$96,36,0)</f>
        <v>24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24</v>
      </c>
      <c r="K59" s="39">
        <f t="shared" si="25"/>
        <v>4840000</v>
      </c>
      <c r="L59" s="90">
        <f t="shared" si="32"/>
        <v>360000</v>
      </c>
      <c r="M59" s="222">
        <f t="shared" si="26"/>
        <v>5200000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4691800</v>
      </c>
      <c r="R59" s="220">
        <f t="shared" si="31"/>
        <v>0</v>
      </c>
      <c r="S59" s="223">
        <f t="shared" si="33"/>
        <v>4691800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- 09'!$B$83:$AN$98,36,0)</f>
        <v>24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24</v>
      </c>
      <c r="K60" s="39">
        <f t="shared" si="25"/>
        <v>3568000</v>
      </c>
      <c r="L60" s="90">
        <f t="shared" si="32"/>
        <v>360000</v>
      </c>
      <c r="M60" s="222">
        <f t="shared" si="26"/>
        <v>3928000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3553360</v>
      </c>
      <c r="R60" s="220">
        <f t="shared" si="31"/>
        <v>0</v>
      </c>
      <c r="S60" s="223">
        <f t="shared" si="33"/>
        <v>3553360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56" t="s">
        <v>25</v>
      </c>
      <c r="B62" s="457"/>
      <c r="C62" s="457"/>
      <c r="D62" s="457"/>
      <c r="E62" s="231">
        <f>SUM(E53:E61)</f>
        <v>40937000</v>
      </c>
      <c r="F62" s="231"/>
      <c r="G62" s="231">
        <f t="shared" ref="G62:S62" si="34">SUM(G53:G61)</f>
        <v>39580625</v>
      </c>
      <c r="H62" s="231">
        <f t="shared" si="34"/>
        <v>0</v>
      </c>
      <c r="I62" s="231">
        <f t="shared" si="34"/>
        <v>0</v>
      </c>
      <c r="J62" s="231">
        <f t="shared" si="34"/>
        <v>189</v>
      </c>
      <c r="K62" s="232">
        <f t="shared" si="34"/>
        <v>39580625</v>
      </c>
      <c r="L62" s="232">
        <f t="shared" si="34"/>
        <v>2835000</v>
      </c>
      <c r="M62" s="232">
        <f t="shared" si="34"/>
        <v>42415625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38117240</v>
      </c>
      <c r="R62" s="232">
        <f t="shared" si="34"/>
        <v>0</v>
      </c>
      <c r="S62" s="232">
        <f t="shared" si="34"/>
        <v>38117240</v>
      </c>
      <c r="T62" s="232"/>
      <c r="U62" s="182"/>
      <c r="V62" s="233">
        <f>S62+S32</f>
        <v>103143875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09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E83" sqref="AE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4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42644</v>
      </c>
      <c r="G5" s="118">
        <f t="shared" ref="G5:AG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>AH5+1</f>
        <v>42673</v>
      </c>
      <c r="AJ5" s="118">
        <v>31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T.Bảy</v>
      </c>
      <c r="G6" s="302" t="str">
        <f t="shared" ref="G6:AI6" si="1">CHOOSE(WEEKDAY(G5),"C.Nhật","T.Hai","T.Ba","T.Tư","T.Năm","T.Sáu","T.Bảy")</f>
        <v>C.Nhật</v>
      </c>
      <c r="H6" s="302" t="str">
        <f t="shared" si="1"/>
        <v>T.Hai</v>
      </c>
      <c r="I6" s="302" t="str">
        <f t="shared" si="1"/>
        <v>T.Ba</v>
      </c>
      <c r="J6" s="302" t="str">
        <f t="shared" si="1"/>
        <v>T.Tư</v>
      </c>
      <c r="K6" s="302" t="str">
        <f t="shared" si="1"/>
        <v>T.Năm</v>
      </c>
      <c r="L6" s="302" t="str">
        <f t="shared" si="1"/>
        <v>T.Sáu</v>
      </c>
      <c r="M6" s="302" t="str">
        <f t="shared" si="1"/>
        <v>T.Bảy</v>
      </c>
      <c r="N6" s="302" t="str">
        <f t="shared" si="1"/>
        <v>C.Nhật</v>
      </c>
      <c r="O6" s="302" t="str">
        <f t="shared" si="1"/>
        <v>T.Hai</v>
      </c>
      <c r="P6" s="302" t="str">
        <f t="shared" si="1"/>
        <v>T.Ba</v>
      </c>
      <c r="Q6" s="302" t="str">
        <f t="shared" si="1"/>
        <v>T.Tư</v>
      </c>
      <c r="R6" s="302" t="str">
        <f t="shared" si="1"/>
        <v>T.Năm</v>
      </c>
      <c r="S6" s="302" t="str">
        <f t="shared" si="1"/>
        <v>T.Sáu</v>
      </c>
      <c r="T6" s="302" t="str">
        <f t="shared" si="1"/>
        <v>T.Bảy</v>
      </c>
      <c r="U6" s="302" t="str">
        <f t="shared" si="1"/>
        <v>C.Nhật</v>
      </c>
      <c r="V6" s="302" t="str">
        <f t="shared" si="1"/>
        <v>T.Hai</v>
      </c>
      <c r="W6" s="302" t="str">
        <f t="shared" si="1"/>
        <v>T.Ba</v>
      </c>
      <c r="X6" s="302" t="str">
        <f t="shared" si="1"/>
        <v>T.Tư</v>
      </c>
      <c r="Y6" s="302" t="str">
        <f t="shared" si="1"/>
        <v>T.Năm</v>
      </c>
      <c r="Z6" s="302" t="str">
        <f t="shared" si="1"/>
        <v>T.Sáu</v>
      </c>
      <c r="AA6" s="302" t="str">
        <f t="shared" si="1"/>
        <v>T.Bảy</v>
      </c>
      <c r="AB6" s="302" t="str">
        <f t="shared" si="1"/>
        <v>C.Nhật</v>
      </c>
      <c r="AC6" s="302" t="str">
        <f t="shared" si="1"/>
        <v>T.Hai</v>
      </c>
      <c r="AD6" s="302" t="str">
        <f t="shared" si="1"/>
        <v>T.Ba</v>
      </c>
      <c r="AE6" s="302" t="str">
        <f t="shared" si="1"/>
        <v>T.Tư</v>
      </c>
      <c r="AF6" s="302" t="str">
        <f t="shared" si="1"/>
        <v>T.Năm</v>
      </c>
      <c r="AG6" s="302" t="str">
        <f t="shared" si="1"/>
        <v>T.Sáu</v>
      </c>
      <c r="AH6" s="302" t="str">
        <f t="shared" si="1"/>
        <v>T.Bảy</v>
      </c>
      <c r="AI6" s="302" t="str">
        <f t="shared" si="1"/>
        <v>C.Nhật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5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/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/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>
        <v>8</v>
      </c>
      <c r="AK9" s="417">
        <f>((SUM(F9:AJ9))/8)-(SUMIF($F$6:$AJ$6,"C.Nhật",F9:AJ9)/8)</f>
        <v>26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26</v>
      </c>
      <c r="AO9" s="421">
        <v>0</v>
      </c>
      <c r="AP9" s="407"/>
      <c r="AQ9" s="407"/>
      <c r="AR9" s="407"/>
      <c r="AS9" s="409"/>
      <c r="AT9" s="35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18"/>
      <c r="AL10" s="418"/>
      <c r="AM10" s="420"/>
      <c r="AN10" s="408"/>
      <c r="AO10" s="422"/>
      <c r="AP10" s="408"/>
      <c r="AQ10" s="408"/>
      <c r="AR10" s="408"/>
      <c r="AS10" s="410"/>
      <c r="AT10" s="35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/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/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>
        <v>8</v>
      </c>
      <c r="AK11" s="417">
        <f>((SUM(F11:AJ11))/8)-(SUMIF($F$6:$AJ$6,"C.Nhật",F11:AJ11)/8)</f>
        <v>26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26</v>
      </c>
      <c r="AO11" s="421">
        <v>0</v>
      </c>
      <c r="AP11" s="407"/>
      <c r="AQ11" s="407"/>
      <c r="AR11" s="407"/>
      <c r="AS11" s="409"/>
      <c r="AT11" s="35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18"/>
      <c r="AL12" s="418"/>
      <c r="AM12" s="420"/>
      <c r="AN12" s="408"/>
      <c r="AO12" s="422"/>
      <c r="AP12" s="408"/>
      <c r="AQ12" s="408"/>
      <c r="AR12" s="408"/>
      <c r="AS12" s="410"/>
      <c r="AT12" s="35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/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/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>
        <v>8</v>
      </c>
      <c r="AK14" s="417">
        <f>((SUM(F14:AJ14))/8)-(SUMIF($F$6:$AJ$6,"C.Nhật",F14:AJ14)/8)</f>
        <v>26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26</v>
      </c>
      <c r="AO14" s="421">
        <v>0</v>
      </c>
      <c r="AP14" s="407"/>
      <c r="AQ14" s="407"/>
      <c r="AR14" s="407"/>
      <c r="AS14" s="409"/>
      <c r="AT14" s="35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18"/>
      <c r="AL15" s="418"/>
      <c r="AM15" s="420"/>
      <c r="AN15" s="408"/>
      <c r="AO15" s="422"/>
      <c r="AP15" s="408"/>
      <c r="AQ15" s="408"/>
      <c r="AR15" s="408"/>
      <c r="AS15" s="410"/>
      <c r="AT15" s="35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/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/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>
        <v>8</v>
      </c>
      <c r="AK16" s="417">
        <f>((SUM(F16:AJ16))/8)-(SUMIF($F$6:$AJ$6,"C.Nhật",F16:AJ16)/8)</f>
        <v>26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26</v>
      </c>
      <c r="AO16" s="421">
        <v>0</v>
      </c>
      <c r="AP16" s="407"/>
      <c r="AQ16" s="407"/>
      <c r="AR16" s="407"/>
      <c r="AS16" s="409"/>
      <c r="AT16" s="35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18"/>
      <c r="AL17" s="418"/>
      <c r="AM17" s="420"/>
      <c r="AN17" s="408"/>
      <c r="AO17" s="422"/>
      <c r="AP17" s="408"/>
      <c r="AQ17" s="408"/>
      <c r="AR17" s="408"/>
      <c r="AS17" s="410"/>
      <c r="AT17" s="35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2" si="2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/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/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>
        <v>8</v>
      </c>
      <c r="AK18" s="417">
        <f>((SUM(F18:AJ18))/8)-(SUMIF($F$6:$AJ$6,"C.Nhật",F18:AJ18)/8)</f>
        <v>26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26</v>
      </c>
      <c r="AO18" s="421">
        <v>0</v>
      </c>
      <c r="AP18" s="407"/>
      <c r="AQ18" s="407"/>
      <c r="AR18" s="407"/>
      <c r="AS18" s="409"/>
      <c r="AT18" s="35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18"/>
      <c r="AL19" s="418"/>
      <c r="AM19" s="420"/>
      <c r="AN19" s="408"/>
      <c r="AO19" s="422"/>
      <c r="AP19" s="408"/>
      <c r="AQ19" s="408"/>
      <c r="AR19" s="408"/>
      <c r="AS19" s="410"/>
      <c r="AT19" s="35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/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/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>
        <v>8</v>
      </c>
      <c r="AK20" s="417">
        <f>((SUM(F20:AJ20))/8)-(SUMIF($F$6:$AJ$6,"C.Nhật",F20:AJ20)/8)</f>
        <v>26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26</v>
      </c>
      <c r="AO20" s="421">
        <v>0</v>
      </c>
      <c r="AP20" s="407"/>
      <c r="AQ20" s="407"/>
      <c r="AR20" s="407"/>
      <c r="AS20" s="409"/>
      <c r="AT20" s="35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18"/>
      <c r="AL21" s="418"/>
      <c r="AM21" s="420"/>
      <c r="AN21" s="408"/>
      <c r="AO21" s="422"/>
      <c r="AP21" s="408"/>
      <c r="AQ21" s="408"/>
      <c r="AR21" s="408"/>
      <c r="AS21" s="410"/>
      <c r="AT21" s="35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/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/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>
        <v>8</v>
      </c>
      <c r="AK22" s="417">
        <f>((SUM(F22:AJ22))/8)-(SUMIF($F$6:$AJ$6,"C.Nhật",F22:AJ22)/8)</f>
        <v>26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26</v>
      </c>
      <c r="AO22" s="421">
        <v>0</v>
      </c>
      <c r="AP22" s="407"/>
      <c r="AQ22" s="407"/>
      <c r="AR22" s="407"/>
      <c r="AS22" s="409"/>
      <c r="AT22" s="35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18"/>
      <c r="AL23" s="418"/>
      <c r="AM23" s="420"/>
      <c r="AN23" s="408"/>
      <c r="AO23" s="422"/>
      <c r="AP23" s="408"/>
      <c r="AQ23" s="408"/>
      <c r="AR23" s="408"/>
      <c r="AS23" s="410"/>
      <c r="AT23" s="35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94</v>
      </c>
      <c r="C24" s="413" t="str">
        <f>VLOOKUP(B24,DS,2,0)</f>
        <v>Trà Thị Soi</v>
      </c>
      <c r="D24" s="415" t="str">
        <f>VLOOKUP(B24,DS,3,0)</f>
        <v>Công nhân</v>
      </c>
      <c r="E24" s="68" t="s">
        <v>32</v>
      </c>
      <c r="F24" s="171">
        <v>8</v>
      </c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/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/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>
        <v>8</v>
      </c>
      <c r="AK24" s="417">
        <f>((SUM(F24:AJ24))/8)-(SUMIF($F$6:$AJ$6,"C.Nhật",F24:AJ24)/8)</f>
        <v>26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26</v>
      </c>
      <c r="AO24" s="421">
        <v>0</v>
      </c>
      <c r="AP24" s="407"/>
      <c r="AQ24" s="407"/>
      <c r="AR24" s="407"/>
      <c r="AS24" s="409"/>
      <c r="AT24" s="35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18"/>
      <c r="AL25" s="418"/>
      <c r="AM25" s="420"/>
      <c r="AN25" s="408"/>
      <c r="AO25" s="422"/>
      <c r="AP25" s="408"/>
      <c r="AQ25" s="408"/>
      <c r="AR25" s="408"/>
      <c r="AS25" s="410"/>
      <c r="AT25" s="35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100</v>
      </c>
      <c r="C26" s="413" t="str">
        <f>VLOOKUP(B26,DS,2,0)</f>
        <v>Sơn Thị Chành Đa</v>
      </c>
      <c r="D26" s="415" t="str">
        <f>VLOOKUP(B26,DS,3,0)</f>
        <v>Công nhân</v>
      </c>
      <c r="E26" s="68" t="s">
        <v>32</v>
      </c>
      <c r="F26" s="171">
        <v>8</v>
      </c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/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/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>
        <v>8</v>
      </c>
      <c r="AK26" s="417">
        <f>((SUM(F26:AJ26))/8)-(SUMIF($F$6:$AJ$6,"C.Nhật",F26:AJ26)/8)</f>
        <v>26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26</v>
      </c>
      <c r="AO26" s="421">
        <v>0</v>
      </c>
      <c r="AP26" s="407"/>
      <c r="AQ26" s="407"/>
      <c r="AR26" s="407"/>
      <c r="AS26" s="409"/>
      <c r="AT26" s="35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18"/>
      <c r="AL27" s="418"/>
      <c r="AM27" s="420"/>
      <c r="AN27" s="408"/>
      <c r="AO27" s="422"/>
      <c r="AP27" s="408"/>
      <c r="AQ27" s="408"/>
      <c r="AR27" s="408"/>
      <c r="AS27" s="410"/>
      <c r="AT27" s="35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101</v>
      </c>
      <c r="C28" s="413" t="str">
        <f>VLOOKUP(B28,DS,2,0)</f>
        <v>Trần Thị Bích Phượng</v>
      </c>
      <c r="D28" s="415" t="str">
        <f>VLOOKUP(B28,DS,3,0)</f>
        <v>Công nhân</v>
      </c>
      <c r="E28" s="68" t="s">
        <v>32</v>
      </c>
      <c r="F28" s="171">
        <v>8</v>
      </c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/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/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>
        <v>8</v>
      </c>
      <c r="AK28" s="417">
        <f>((SUM(F28:AJ28))/8)-(SUMIF($F$6:$AJ$6,"C.Nhật",F28:AJ28)/8)</f>
        <v>26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26</v>
      </c>
      <c r="AO28" s="421">
        <v>0</v>
      </c>
      <c r="AP28" s="407"/>
      <c r="AQ28" s="407"/>
      <c r="AR28" s="407"/>
      <c r="AS28" s="409"/>
      <c r="AT28" s="35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18"/>
      <c r="AL29" s="418"/>
      <c r="AM29" s="420"/>
      <c r="AN29" s="408"/>
      <c r="AO29" s="422"/>
      <c r="AP29" s="408"/>
      <c r="AQ29" s="408"/>
      <c r="AR29" s="408"/>
      <c r="AS29" s="410"/>
      <c r="AT29" s="35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102</v>
      </c>
      <c r="C30" s="413" t="str">
        <f>VLOOKUP(B30,DS,2,0)</f>
        <v>Sơn Thị Trường Sa</v>
      </c>
      <c r="D30" s="415" t="str">
        <f>VLOOKUP(B30,DS,3,0)</f>
        <v>Công nhân</v>
      </c>
      <c r="E30" s="68" t="s">
        <v>32</v>
      </c>
      <c r="F30" s="171">
        <v>8</v>
      </c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/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/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>
        <v>8</v>
      </c>
      <c r="AK30" s="417">
        <f>((SUM(F30:AJ30))/8)-(SUMIF($F$6:$AJ$6,"C.Nhật",F30:AJ30)/8)</f>
        <v>26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26</v>
      </c>
      <c r="AO30" s="421">
        <v>0</v>
      </c>
      <c r="AP30" s="407"/>
      <c r="AQ30" s="407"/>
      <c r="AR30" s="407"/>
      <c r="AS30" s="409"/>
      <c r="AT30" s="35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18"/>
      <c r="AL31" s="418"/>
      <c r="AM31" s="420"/>
      <c r="AN31" s="408"/>
      <c r="AO31" s="422"/>
      <c r="AP31" s="408"/>
      <c r="AQ31" s="408"/>
      <c r="AR31" s="408"/>
      <c r="AS31" s="410"/>
      <c r="AT31" s="35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103</v>
      </c>
      <c r="C32" s="413" t="str">
        <f>VLOOKUP(B32,DS,2,0)</f>
        <v>Lý Thị Sà Kha</v>
      </c>
      <c r="D32" s="415" t="str">
        <f>VLOOKUP(B32,DS,3,0)</f>
        <v>Công nhân</v>
      </c>
      <c r="E32" s="68" t="s">
        <v>32</v>
      </c>
      <c r="F32" s="171">
        <v>8</v>
      </c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/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>
        <v>8</v>
      </c>
      <c r="AK32" s="417">
        <f>((SUM(F32:AJ32))/8)-(SUMIF($F$6:$AJ$6,"C.Nhật",F32:AJ32)/8)</f>
        <v>26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26</v>
      </c>
      <c r="AO32" s="421">
        <v>0</v>
      </c>
      <c r="AP32" s="407"/>
      <c r="AQ32" s="407"/>
      <c r="AR32" s="407"/>
      <c r="AS32" s="409"/>
      <c r="AT32" s="35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18"/>
      <c r="AL33" s="418"/>
      <c r="AM33" s="420"/>
      <c r="AN33" s="408"/>
      <c r="AO33" s="422"/>
      <c r="AP33" s="408"/>
      <c r="AQ33" s="408"/>
      <c r="AR33" s="408"/>
      <c r="AS33" s="410"/>
      <c r="AT33" s="35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104</v>
      </c>
      <c r="C34" s="413" t="str">
        <f>VLOOKUP(B34,DS,2,0)</f>
        <v xml:space="preserve"> Lâm Thị Mộng Thường</v>
      </c>
      <c r="D34" s="415" t="str">
        <f>VLOOKUP(B34,DS,3,0)</f>
        <v>Công nhân</v>
      </c>
      <c r="E34" s="68" t="s">
        <v>32</v>
      </c>
      <c r="F34" s="171">
        <v>8</v>
      </c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/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/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>
        <v>8</v>
      </c>
      <c r="AK34" s="417">
        <f>((SUM(F34:AJ34))/8)-(SUMIF($F$6:$AJ$6,"C.Nhật",F34:AJ34)/8)</f>
        <v>26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26</v>
      </c>
      <c r="AO34" s="421">
        <v>0</v>
      </c>
      <c r="AP34" s="407"/>
      <c r="AQ34" s="407"/>
      <c r="AR34" s="407"/>
      <c r="AS34" s="409"/>
      <c r="AT34" s="35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18"/>
      <c r="AL35" s="418"/>
      <c r="AM35" s="420"/>
      <c r="AN35" s="408"/>
      <c r="AO35" s="422"/>
      <c r="AP35" s="408"/>
      <c r="AQ35" s="408"/>
      <c r="AR35" s="408"/>
      <c r="AS35" s="410"/>
      <c r="AT35" s="35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411">
        <f>A34+1</f>
        <v>14</v>
      </c>
      <c r="B37" s="411" t="s">
        <v>113</v>
      </c>
      <c r="C37" s="413" t="str">
        <f>VLOOKUP(B37,DS,2,0)</f>
        <v>Nguyễn Văn Bé Hai</v>
      </c>
      <c r="D37" s="415" t="str">
        <f>VLOOKUP(B37,DS,3,0)</f>
        <v>Công nhân</v>
      </c>
      <c r="E37" s="68" t="s">
        <v>32</v>
      </c>
      <c r="F37" s="171">
        <v>8</v>
      </c>
      <c r="G37" s="171"/>
      <c r="H37" s="171">
        <v>8</v>
      </c>
      <c r="I37" s="171">
        <v>8</v>
      </c>
      <c r="J37" s="171">
        <v>8</v>
      </c>
      <c r="K37" s="171">
        <v>8</v>
      </c>
      <c r="L37" s="171">
        <v>8</v>
      </c>
      <c r="M37" s="171">
        <v>8</v>
      </c>
      <c r="N37" s="171"/>
      <c r="O37" s="171">
        <v>8</v>
      </c>
      <c r="P37" s="171">
        <v>8</v>
      </c>
      <c r="Q37" s="171">
        <v>8</v>
      </c>
      <c r="R37" s="171">
        <v>8</v>
      </c>
      <c r="S37" s="171">
        <v>8</v>
      </c>
      <c r="T37" s="171">
        <v>8</v>
      </c>
      <c r="U37" s="171"/>
      <c r="V37" s="171">
        <v>8</v>
      </c>
      <c r="W37" s="171">
        <v>8</v>
      </c>
      <c r="X37" s="171">
        <v>8</v>
      </c>
      <c r="Y37" s="171">
        <v>8</v>
      </c>
      <c r="Z37" s="171">
        <v>8</v>
      </c>
      <c r="AA37" s="171">
        <v>8</v>
      </c>
      <c r="AB37" s="171"/>
      <c r="AC37" s="171">
        <v>8</v>
      </c>
      <c r="AD37" s="171">
        <v>8</v>
      </c>
      <c r="AE37" s="171">
        <v>8</v>
      </c>
      <c r="AF37" s="171">
        <v>8</v>
      </c>
      <c r="AG37" s="171">
        <v>8</v>
      </c>
      <c r="AH37" s="171">
        <v>8</v>
      </c>
      <c r="AI37" s="171"/>
      <c r="AJ37" s="171">
        <v>8</v>
      </c>
      <c r="AK37" s="417">
        <f>((SUM(F37:AJ37))/8)-(SUMIF($F$6:$AJ$6,"C.Nhật",F37:AJ37)/8)</f>
        <v>26</v>
      </c>
      <c r="AL37" s="417">
        <f>SUM(F38:AI38)/8*1.5</f>
        <v>0</v>
      </c>
      <c r="AM37" s="419">
        <f>SUMIF($F$6:$AI$6,"C.Nhật",$F37:$AI38)/8*2</f>
        <v>0</v>
      </c>
      <c r="AN37" s="407">
        <f>SUM(AK37:AM38)</f>
        <v>26</v>
      </c>
      <c r="AO37" s="421">
        <v>0</v>
      </c>
      <c r="AP37" s="407"/>
      <c r="AQ37" s="407"/>
      <c r="AR37" s="407"/>
      <c r="AS37" s="409"/>
      <c r="AT37" s="35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2"/>
      <c r="B38" s="412"/>
      <c r="C38" s="414"/>
      <c r="D38" s="416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0"/>
      <c r="AJ38" s="320"/>
      <c r="AK38" s="418"/>
      <c r="AL38" s="418"/>
      <c r="AM38" s="420"/>
      <c r="AN38" s="408"/>
      <c r="AO38" s="422"/>
      <c r="AP38" s="408"/>
      <c r="AQ38" s="408"/>
      <c r="AR38" s="408"/>
      <c r="AS38" s="410"/>
      <c r="AT38" s="35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1">
        <f>A37+1</f>
        <v>15</v>
      </c>
      <c r="B39" s="411" t="s">
        <v>114</v>
      </c>
      <c r="C39" s="413" t="str">
        <f>VLOOKUP(B39,DS,2,0)</f>
        <v>Thạch Tiền</v>
      </c>
      <c r="D39" s="415" t="str">
        <f>VLOOKUP(B39,DS,3,0)</f>
        <v>Công nhân</v>
      </c>
      <c r="E39" s="68" t="s">
        <v>32</v>
      </c>
      <c r="F39" s="171">
        <v>8</v>
      </c>
      <c r="G39" s="171"/>
      <c r="H39" s="171">
        <v>8</v>
      </c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/>
      <c r="O39" s="171">
        <v>8</v>
      </c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/>
      <c r="V39" s="171">
        <v>8</v>
      </c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/>
      <c r="AC39" s="171">
        <v>8</v>
      </c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/>
      <c r="AJ39" s="171">
        <v>8</v>
      </c>
      <c r="AK39" s="417">
        <f>((SUM(F39:AJ39))/8)-(SUMIF($F$6:$AJ$6,"C.Nhật",F39:AJ39)/8)</f>
        <v>26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26</v>
      </c>
      <c r="AO39" s="421">
        <v>0</v>
      </c>
      <c r="AP39" s="407"/>
      <c r="AQ39" s="407"/>
      <c r="AR39" s="407"/>
      <c r="AS39" s="409"/>
      <c r="AT39" s="35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18"/>
      <c r="AL40" s="418"/>
      <c r="AM40" s="420"/>
      <c r="AN40" s="408"/>
      <c r="AO40" s="422"/>
      <c r="AP40" s="408"/>
      <c r="AQ40" s="408"/>
      <c r="AR40" s="408"/>
      <c r="AS40" s="410"/>
      <c r="AT40" s="35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118</v>
      </c>
      <c r="C41" s="413" t="str">
        <f>VLOOKUP(B41,DS,2,0)</f>
        <v>Trần Nhiên</v>
      </c>
      <c r="D41" s="415" t="str">
        <f>VLOOKUP(B41,DS,3,0)</f>
        <v>Công nhân</v>
      </c>
      <c r="E41" s="68" t="s">
        <v>32</v>
      </c>
      <c r="F41" s="171">
        <v>8</v>
      </c>
      <c r="G41" s="171"/>
      <c r="H41" s="171">
        <v>8</v>
      </c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/>
      <c r="O41" s="171">
        <v>8</v>
      </c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/>
      <c r="V41" s="171">
        <v>8</v>
      </c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/>
      <c r="AC41" s="171">
        <v>8</v>
      </c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/>
      <c r="AJ41" s="171">
        <v>8</v>
      </c>
      <c r="AK41" s="417">
        <f>((SUM(F41:AJ41))/8)-(SUMIF($F$6:$AJ$6,"C.Nhật",F41:AJ41)/8)</f>
        <v>26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26</v>
      </c>
      <c r="AO41" s="421">
        <v>0</v>
      </c>
      <c r="AP41" s="407"/>
      <c r="AQ41" s="407"/>
      <c r="AR41" s="407"/>
      <c r="AS41" s="409"/>
      <c r="AT41" s="35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18"/>
      <c r="AL42" s="418"/>
      <c r="AM42" s="420"/>
      <c r="AN42" s="408"/>
      <c r="AO42" s="422"/>
      <c r="AP42" s="408"/>
      <c r="AQ42" s="408"/>
      <c r="AR42" s="408"/>
      <c r="AS42" s="410"/>
      <c r="AT42" s="35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119</v>
      </c>
      <c r="C43" s="413" t="str">
        <f>VLOOKUP(B43,DS,2,0)</f>
        <v>Thạch Giang</v>
      </c>
      <c r="D43" s="415" t="str">
        <f>VLOOKUP(B43,DS,3,0)</f>
        <v>Công nhân</v>
      </c>
      <c r="E43" s="68" t="s">
        <v>32</v>
      </c>
      <c r="F43" s="171">
        <v>8</v>
      </c>
      <c r="G43" s="171"/>
      <c r="H43" s="171">
        <v>8</v>
      </c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/>
      <c r="O43" s="171">
        <v>8</v>
      </c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/>
      <c r="V43" s="171">
        <v>8</v>
      </c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/>
      <c r="AC43" s="171">
        <v>8</v>
      </c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/>
      <c r="AJ43" s="171">
        <v>8</v>
      </c>
      <c r="AK43" s="417">
        <f>((SUM(F43:AJ43))/8)-(SUMIF($F$6:$AJ$6,"C.Nhật",F43:AJ43)/8)</f>
        <v>26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26</v>
      </c>
      <c r="AO43" s="421">
        <v>0</v>
      </c>
      <c r="AP43" s="407"/>
      <c r="AQ43" s="407"/>
      <c r="AR43" s="407"/>
      <c r="AS43" s="409"/>
      <c r="AT43" s="35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18"/>
      <c r="AL44" s="418"/>
      <c r="AM44" s="420"/>
      <c r="AN44" s="408"/>
      <c r="AO44" s="422"/>
      <c r="AP44" s="408"/>
      <c r="AQ44" s="408"/>
      <c r="AR44" s="408"/>
      <c r="AS44" s="410"/>
      <c r="AT44" s="35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120</v>
      </c>
      <c r="C45" s="413" t="str">
        <f>VLOOKUP(B45,DS,2,0)</f>
        <v>Thạch Quyền</v>
      </c>
      <c r="D45" s="415" t="str">
        <f>VLOOKUP(B45,DS,3,0)</f>
        <v>Công nhân</v>
      </c>
      <c r="E45" s="68" t="s">
        <v>32</v>
      </c>
      <c r="F45" s="171">
        <v>8</v>
      </c>
      <c r="G45" s="171"/>
      <c r="H45" s="171">
        <v>8</v>
      </c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/>
      <c r="O45" s="171">
        <v>8</v>
      </c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/>
      <c r="V45" s="171">
        <v>8</v>
      </c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/>
      <c r="AC45" s="171">
        <v>8</v>
      </c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/>
      <c r="AJ45" s="171">
        <v>8</v>
      </c>
      <c r="AK45" s="417">
        <f>((SUM(F45:AJ45))/8)-(SUMIF($F$6:$AJ$6,"C.Nhật",F45:AJ45)/8)</f>
        <v>26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26</v>
      </c>
      <c r="AO45" s="421">
        <v>0</v>
      </c>
      <c r="AP45" s="407"/>
      <c r="AQ45" s="407"/>
      <c r="AR45" s="407"/>
      <c r="AS45" s="409"/>
      <c r="AT45" s="35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18"/>
      <c r="AL46" s="418"/>
      <c r="AM46" s="420"/>
      <c r="AN46" s="408"/>
      <c r="AO46" s="422"/>
      <c r="AP46" s="408"/>
      <c r="AQ46" s="408"/>
      <c r="AR46" s="408"/>
      <c r="AS46" s="410"/>
      <c r="AT46" s="35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122</v>
      </c>
      <c r="C47" s="413" t="str">
        <f>VLOOKUP(B47,DS,2,0)</f>
        <v>Lâm Chanh Đa Ra</v>
      </c>
      <c r="D47" s="415" t="str">
        <f>VLOOKUP(B47,DS,3,0)</f>
        <v>Công nhân</v>
      </c>
      <c r="E47" s="68" t="s">
        <v>32</v>
      </c>
      <c r="F47" s="171">
        <v>8</v>
      </c>
      <c r="G47" s="171"/>
      <c r="H47" s="171">
        <v>8</v>
      </c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/>
      <c r="O47" s="171">
        <v>8</v>
      </c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/>
      <c r="V47" s="171">
        <v>8</v>
      </c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/>
      <c r="AC47" s="171">
        <v>8</v>
      </c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/>
      <c r="AJ47" s="171">
        <v>8</v>
      </c>
      <c r="AK47" s="417">
        <f>((SUM(F47:AJ47))/8)-(SUMIF($F$6:$AJ$6,"C.Nhật",F47:AJ47)/8)</f>
        <v>26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26</v>
      </c>
      <c r="AO47" s="421">
        <v>0</v>
      </c>
      <c r="AP47" s="407"/>
      <c r="AQ47" s="407"/>
      <c r="AR47" s="407"/>
      <c r="AS47" s="409"/>
      <c r="AT47" s="35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18"/>
      <c r="AL48" s="418"/>
      <c r="AM48" s="420"/>
      <c r="AN48" s="408"/>
      <c r="AO48" s="422"/>
      <c r="AP48" s="408"/>
      <c r="AQ48" s="408"/>
      <c r="AR48" s="408"/>
      <c r="AS48" s="410"/>
      <c r="AT48" s="35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4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4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10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53" t="s">
        <v>112</v>
      </c>
      <c r="AN76" s="454"/>
      <c r="AO76" s="454"/>
      <c r="AP76" s="454"/>
      <c r="AQ76" s="454"/>
      <c r="AR76" s="454"/>
      <c r="AS76" s="455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42644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96" t="s">
        <v>28</v>
      </c>
      <c r="B80" s="496" t="s">
        <v>3</v>
      </c>
      <c r="C80" s="496" t="s">
        <v>1</v>
      </c>
      <c r="D80" s="434" t="s">
        <v>29</v>
      </c>
      <c r="E80" s="496" t="s">
        <v>30</v>
      </c>
      <c r="F80" s="164">
        <f>+E79</f>
        <v>42644</v>
      </c>
      <c r="G80" s="164">
        <f t="shared" ref="G80:AG80" si="3">F80+1</f>
        <v>42645</v>
      </c>
      <c r="H80" s="164">
        <f t="shared" si="3"/>
        <v>42646</v>
      </c>
      <c r="I80" s="164">
        <f t="shared" si="3"/>
        <v>42647</v>
      </c>
      <c r="J80" s="164">
        <f t="shared" si="3"/>
        <v>42648</v>
      </c>
      <c r="K80" s="164">
        <f t="shared" si="3"/>
        <v>42649</v>
      </c>
      <c r="L80" s="164">
        <f t="shared" si="3"/>
        <v>42650</v>
      </c>
      <c r="M80" s="164">
        <f t="shared" si="3"/>
        <v>42651</v>
      </c>
      <c r="N80" s="164">
        <f t="shared" si="3"/>
        <v>42652</v>
      </c>
      <c r="O80" s="164">
        <f t="shared" si="3"/>
        <v>42653</v>
      </c>
      <c r="P80" s="164">
        <f t="shared" si="3"/>
        <v>42654</v>
      </c>
      <c r="Q80" s="164">
        <f t="shared" si="3"/>
        <v>42655</v>
      </c>
      <c r="R80" s="164">
        <f t="shared" si="3"/>
        <v>42656</v>
      </c>
      <c r="S80" s="164">
        <f t="shared" si="3"/>
        <v>42657</v>
      </c>
      <c r="T80" s="164">
        <f t="shared" si="3"/>
        <v>42658</v>
      </c>
      <c r="U80" s="164">
        <f t="shared" si="3"/>
        <v>42659</v>
      </c>
      <c r="V80" s="164">
        <f t="shared" si="3"/>
        <v>42660</v>
      </c>
      <c r="W80" s="164">
        <f t="shared" si="3"/>
        <v>42661</v>
      </c>
      <c r="X80" s="164">
        <f t="shared" si="3"/>
        <v>42662</v>
      </c>
      <c r="Y80" s="164">
        <f t="shared" si="3"/>
        <v>42663</v>
      </c>
      <c r="Z80" s="164">
        <f t="shared" si="3"/>
        <v>42664</v>
      </c>
      <c r="AA80" s="164">
        <f t="shared" si="3"/>
        <v>42665</v>
      </c>
      <c r="AB80" s="164">
        <f t="shared" si="3"/>
        <v>42666</v>
      </c>
      <c r="AC80" s="164">
        <f t="shared" si="3"/>
        <v>42667</v>
      </c>
      <c r="AD80" s="164">
        <f t="shared" si="3"/>
        <v>42668</v>
      </c>
      <c r="AE80" s="164">
        <f t="shared" si="3"/>
        <v>42669</v>
      </c>
      <c r="AF80" s="164">
        <f t="shared" si="3"/>
        <v>42670</v>
      </c>
      <c r="AG80" s="164">
        <f t="shared" si="3"/>
        <v>42671</v>
      </c>
      <c r="AH80" s="164">
        <f>AG80+1</f>
        <v>42672</v>
      </c>
      <c r="AI80" s="164">
        <f>AH80+1</f>
        <v>42673</v>
      </c>
      <c r="AJ80" s="164"/>
      <c r="AK80" s="441" t="s">
        <v>15</v>
      </c>
      <c r="AL80" s="442"/>
      <c r="AM80" s="443"/>
      <c r="AN80" s="432" t="s">
        <v>45</v>
      </c>
      <c r="AO80" s="432" t="s">
        <v>41</v>
      </c>
      <c r="AP80" s="432" t="s">
        <v>42</v>
      </c>
      <c r="AQ80" s="432" t="s">
        <v>43</v>
      </c>
      <c r="AR80" s="432" t="s">
        <v>44</v>
      </c>
      <c r="AS80" s="434" t="s">
        <v>0</v>
      </c>
      <c r="AT80" s="427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35"/>
      <c r="B81" s="435"/>
      <c r="C81" s="435"/>
      <c r="D81" s="435"/>
      <c r="E81" s="435"/>
      <c r="F81" s="322" t="str">
        <f>CHOOSE(WEEKDAY(F80),"C.Nhật","T.Hai","T.Ba","T.Tư","T.Năm","T.Sáu","T.Bảy")</f>
        <v>T.Bảy</v>
      </c>
      <c r="G81" s="322" t="str">
        <f t="shared" ref="G81:AI81" si="4">CHOOSE(WEEKDAY(G80),"C.Nhật","T.Hai","T.Ba","T.Tư","T.Năm","T.Sáu","T.Bảy")</f>
        <v>C.Nhật</v>
      </c>
      <c r="H81" s="322" t="str">
        <f t="shared" si="4"/>
        <v>T.Hai</v>
      </c>
      <c r="I81" s="322" t="str">
        <f t="shared" si="4"/>
        <v>T.Ba</v>
      </c>
      <c r="J81" s="322" t="str">
        <f t="shared" si="4"/>
        <v>T.Tư</v>
      </c>
      <c r="K81" s="166" t="str">
        <f t="shared" si="4"/>
        <v>T.Năm</v>
      </c>
      <c r="L81" s="166" t="str">
        <f t="shared" si="4"/>
        <v>T.Sáu</v>
      </c>
      <c r="M81" s="166" t="str">
        <f t="shared" si="4"/>
        <v>T.Bảy</v>
      </c>
      <c r="N81" s="166" t="str">
        <f t="shared" si="4"/>
        <v>C.Nhật</v>
      </c>
      <c r="O81" s="166" t="str">
        <f t="shared" si="4"/>
        <v>T.Hai</v>
      </c>
      <c r="P81" s="166" t="str">
        <f t="shared" si="4"/>
        <v>T.Ba</v>
      </c>
      <c r="Q81" s="166" t="str">
        <f t="shared" si="4"/>
        <v>T.Tư</v>
      </c>
      <c r="R81" s="166" t="str">
        <f t="shared" si="4"/>
        <v>T.Năm</v>
      </c>
      <c r="S81" s="166" t="str">
        <f t="shared" si="4"/>
        <v>T.Sáu</v>
      </c>
      <c r="T81" s="166" t="str">
        <f t="shared" si="4"/>
        <v>T.Bảy</v>
      </c>
      <c r="U81" s="166" t="str">
        <f t="shared" si="4"/>
        <v>C.Nhật</v>
      </c>
      <c r="V81" s="166" t="str">
        <f t="shared" si="4"/>
        <v>T.Hai</v>
      </c>
      <c r="W81" s="166" t="str">
        <f t="shared" si="4"/>
        <v>T.Ba</v>
      </c>
      <c r="X81" s="166" t="str">
        <f t="shared" si="4"/>
        <v>T.Tư</v>
      </c>
      <c r="Y81" s="166" t="str">
        <f t="shared" si="4"/>
        <v>T.Năm</v>
      </c>
      <c r="Z81" s="166" t="str">
        <f t="shared" si="4"/>
        <v>T.Sáu</v>
      </c>
      <c r="AA81" s="166" t="str">
        <f t="shared" si="4"/>
        <v>T.Bảy</v>
      </c>
      <c r="AB81" s="166" t="str">
        <f t="shared" si="4"/>
        <v>C.Nhật</v>
      </c>
      <c r="AC81" s="166" t="str">
        <f t="shared" si="4"/>
        <v>T.Hai</v>
      </c>
      <c r="AD81" s="166" t="str">
        <f t="shared" si="4"/>
        <v>T.Ba</v>
      </c>
      <c r="AE81" s="166" t="str">
        <f t="shared" si="4"/>
        <v>T.Tư</v>
      </c>
      <c r="AF81" s="166" t="str">
        <f t="shared" si="4"/>
        <v>T.Năm</v>
      </c>
      <c r="AG81" s="166" t="str">
        <f t="shared" si="4"/>
        <v>T.Sáu</v>
      </c>
      <c r="AH81" s="166" t="str">
        <f t="shared" si="4"/>
        <v>T.Bảy</v>
      </c>
      <c r="AI81" s="166" t="str">
        <f t="shared" si="4"/>
        <v>C.Nhật</v>
      </c>
      <c r="AJ81" s="166"/>
      <c r="AK81" s="167" t="s">
        <v>16</v>
      </c>
      <c r="AL81" s="167" t="s">
        <v>31</v>
      </c>
      <c r="AM81" s="168" t="s">
        <v>17</v>
      </c>
      <c r="AN81" s="433"/>
      <c r="AO81" s="433"/>
      <c r="AP81" s="433"/>
      <c r="AQ81" s="433"/>
      <c r="AR81" s="433"/>
      <c r="AS81" s="435"/>
      <c r="AT81" s="427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25">
        <v>1</v>
      </c>
      <c r="B83" s="425" t="s">
        <v>68</v>
      </c>
      <c r="C83" s="413" t="str">
        <f>VLOOKUP(B83,DS,2,0)</f>
        <v>Nguyễn Thiện Duy</v>
      </c>
      <c r="D83" s="415" t="str">
        <f>VLOOKUP(B83,DS,3,0)</f>
        <v>Giám đốc</v>
      </c>
      <c r="E83" s="68" t="s">
        <v>32</v>
      </c>
      <c r="F83" s="171">
        <v>8</v>
      </c>
      <c r="G83" s="171"/>
      <c r="H83" s="171">
        <v>8</v>
      </c>
      <c r="I83" s="171">
        <v>8</v>
      </c>
      <c r="J83" s="171">
        <v>8</v>
      </c>
      <c r="K83" s="171">
        <v>8</v>
      </c>
      <c r="L83" s="171">
        <v>8</v>
      </c>
      <c r="M83" s="171"/>
      <c r="N83" s="171"/>
      <c r="O83" s="171">
        <v>8</v>
      </c>
      <c r="P83" s="171">
        <v>8</v>
      </c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/>
      <c r="AC83" s="171">
        <v>8</v>
      </c>
      <c r="AD83" s="171">
        <v>8</v>
      </c>
      <c r="AE83" s="171"/>
      <c r="AF83" s="171">
        <v>8</v>
      </c>
      <c r="AG83" s="171">
        <v>8</v>
      </c>
      <c r="AH83" s="171">
        <v>8</v>
      </c>
      <c r="AI83" s="171"/>
      <c r="AJ83" s="171">
        <v>8</v>
      </c>
      <c r="AK83" s="417">
        <f>((SUM(F83:AJ83))/8)-(SUMIF($F$6:$AJ$6,"C.Nhật",F83:AJ83)/8)</f>
        <v>23</v>
      </c>
      <c r="AL83" s="417">
        <f>SUM(F84:AI84)/8*1.5</f>
        <v>0</v>
      </c>
      <c r="AM83" s="419">
        <f>SUMIF($F$6:$AI$6,"C.Nhật",$F83:$AI84)/8*2</f>
        <v>0</v>
      </c>
      <c r="AN83" s="407">
        <f>SUM(AK83:AM84)</f>
        <v>23</v>
      </c>
      <c r="AO83" s="423">
        <v>0</v>
      </c>
      <c r="AP83" s="428"/>
      <c r="AQ83" s="428"/>
      <c r="AR83" s="428"/>
      <c r="AS83" s="430"/>
      <c r="AT83" s="35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26"/>
      <c r="B84" s="426"/>
      <c r="C84" s="414"/>
      <c r="D84" s="416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18"/>
      <c r="AL84" s="418"/>
      <c r="AM84" s="420"/>
      <c r="AN84" s="408"/>
      <c r="AO84" s="424"/>
      <c r="AP84" s="429"/>
      <c r="AQ84" s="429"/>
      <c r="AR84" s="429"/>
      <c r="AS84" s="431"/>
      <c r="AT84" s="35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f>A83+1</f>
        <v>2</v>
      </c>
      <c r="B85" s="425" t="s">
        <v>70</v>
      </c>
      <c r="C85" s="413" t="str">
        <f>VLOOKUP(B85,DS,2,0)</f>
        <v>Nguyễn Văn Sẽ</v>
      </c>
      <c r="D85" s="415" t="str">
        <f>VLOOKUP(B85,DS,3,0)</f>
        <v>Kỹ Thuật</v>
      </c>
      <c r="E85" s="68" t="s">
        <v>32</v>
      </c>
      <c r="F85" s="171">
        <v>8</v>
      </c>
      <c r="G85" s="171"/>
      <c r="H85" s="171">
        <v>8</v>
      </c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>
        <v>8</v>
      </c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>
        <v>8</v>
      </c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>
        <v>8</v>
      </c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>
        <v>8</v>
      </c>
      <c r="AK85" s="417">
        <f>((SUM(F85:AJ85))/8)-(SUMIF($F$6:$AJ$6,"C.Nhật",F85:AJ85)/8)</f>
        <v>26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26</v>
      </c>
      <c r="AO85" s="423">
        <v>0</v>
      </c>
      <c r="AP85" s="428"/>
      <c r="AQ85" s="428"/>
      <c r="AR85" s="428"/>
      <c r="AS85" s="430"/>
      <c r="AT85" s="35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18"/>
      <c r="AL86" s="418"/>
      <c r="AM86" s="420"/>
      <c r="AN86" s="408"/>
      <c r="AO86" s="424"/>
      <c r="AP86" s="429"/>
      <c r="AQ86" s="429"/>
      <c r="AR86" s="429"/>
      <c r="AS86" s="431"/>
      <c r="AT86" s="35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3</v>
      </c>
      <c r="B87" s="425" t="s">
        <v>72</v>
      </c>
      <c r="C87" s="413" t="str">
        <f>VLOOKUP(B87,DS,2,0)</f>
        <v>Võ Uyên Phương</v>
      </c>
      <c r="D87" s="415" t="str">
        <f>VLOOKUP(B87,DS,3,0)</f>
        <v>Kế toán</v>
      </c>
      <c r="E87" s="68" t="s">
        <v>32</v>
      </c>
      <c r="F87" s="171">
        <v>8</v>
      </c>
      <c r="G87" s="171"/>
      <c r="H87" s="171">
        <v>8</v>
      </c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/>
      <c r="O87" s="171">
        <v>8</v>
      </c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/>
      <c r="V87" s="171">
        <v>8</v>
      </c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/>
      <c r="AC87" s="171">
        <v>8</v>
      </c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/>
      <c r="AJ87" s="171">
        <v>8</v>
      </c>
      <c r="AK87" s="417">
        <f>((SUM(F87:AJ87))/8)-(SUMIF($F$6:$AJ$6,"C.Nhật",F87:AJ87)/8)</f>
        <v>26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26</v>
      </c>
      <c r="AO87" s="423">
        <v>0</v>
      </c>
      <c r="AP87" s="428"/>
      <c r="AQ87" s="428"/>
      <c r="AR87" s="428"/>
      <c r="AS87" s="430"/>
      <c r="AT87" s="35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18"/>
      <c r="AL88" s="418"/>
      <c r="AM88" s="420"/>
      <c r="AN88" s="408"/>
      <c r="AO88" s="424"/>
      <c r="AP88" s="429"/>
      <c r="AQ88" s="429"/>
      <c r="AR88" s="429"/>
      <c r="AS88" s="431"/>
      <c r="AT88" s="35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4</v>
      </c>
      <c r="B89" s="425" t="s">
        <v>75</v>
      </c>
      <c r="C89" s="413" t="str">
        <f>VLOOKUP(B89,DS,2,0)</f>
        <v>Lê Nguyễn Huy Cường</v>
      </c>
      <c r="D89" s="415" t="str">
        <f>VLOOKUP(B89,DS,3,0)</f>
        <v>XNK</v>
      </c>
      <c r="E89" s="68" t="s">
        <v>32</v>
      </c>
      <c r="F89" s="171">
        <v>8</v>
      </c>
      <c r="G89" s="171"/>
      <c r="H89" s="171">
        <v>8</v>
      </c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/>
      <c r="O89" s="171">
        <v>8</v>
      </c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/>
      <c r="V89" s="171">
        <v>8</v>
      </c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/>
      <c r="AC89" s="171">
        <v>8</v>
      </c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/>
      <c r="AJ89" s="171">
        <v>8</v>
      </c>
      <c r="AK89" s="417">
        <f>((SUM(F89:AJ89))/8)-(SUMIF($F$6:$AJ$6,"C.Nhật",F89:AJ89)/8)</f>
        <v>26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26</v>
      </c>
      <c r="AO89" s="423">
        <v>0</v>
      </c>
      <c r="AP89" s="428"/>
      <c r="AQ89" s="428"/>
      <c r="AR89" s="428"/>
      <c r="AS89" s="430"/>
      <c r="AT89" s="35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18"/>
      <c r="AL90" s="418"/>
      <c r="AM90" s="420"/>
      <c r="AN90" s="408"/>
      <c r="AO90" s="424"/>
      <c r="AP90" s="429"/>
      <c r="AQ90" s="429"/>
      <c r="AR90" s="429"/>
      <c r="AS90" s="431"/>
      <c r="AT90" s="35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5</v>
      </c>
      <c r="B91" s="425" t="s">
        <v>77</v>
      </c>
      <c r="C91" s="413" t="str">
        <f>VLOOKUP(B91,DS,2,0)</f>
        <v>Nguyễn Văn Bé Tư</v>
      </c>
      <c r="D91" s="415" t="str">
        <f>VLOOKUP(B91,DS,3,0)</f>
        <v>Tài xế</v>
      </c>
      <c r="E91" s="68" t="s">
        <v>32</v>
      </c>
      <c r="F91" s="171">
        <v>8</v>
      </c>
      <c r="G91" s="171"/>
      <c r="H91" s="171">
        <v>8</v>
      </c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/>
      <c r="O91" s="171">
        <v>8</v>
      </c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/>
      <c r="V91" s="171">
        <v>8</v>
      </c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/>
      <c r="AC91" s="171">
        <v>8</v>
      </c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/>
      <c r="AJ91" s="171">
        <v>8</v>
      </c>
      <c r="AK91" s="417">
        <f>((SUM(F91:AJ91))/8)-(SUMIF($F$6:$AJ$6,"C.Nhật",F91:AJ91)/8)</f>
        <v>26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26</v>
      </c>
      <c r="AO91" s="423">
        <v>0</v>
      </c>
      <c r="AP91" s="428"/>
      <c r="AQ91" s="428"/>
      <c r="AR91" s="428"/>
      <c r="AS91" s="430"/>
      <c r="AT91" s="35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18"/>
      <c r="AL92" s="418"/>
      <c r="AM92" s="420"/>
      <c r="AN92" s="408"/>
      <c r="AO92" s="424"/>
      <c r="AP92" s="429"/>
      <c r="AQ92" s="429"/>
      <c r="AR92" s="429"/>
      <c r="AS92" s="431"/>
      <c r="AT92" s="35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6</v>
      </c>
      <c r="B93" s="425" t="s">
        <v>78</v>
      </c>
      <c r="C93" s="413" t="str">
        <f>VLOOKUP(B93,DS,2,0)</f>
        <v>Dương Thanh Tuấn</v>
      </c>
      <c r="D93" s="415" t="str">
        <f>VLOOKUP(B93,DS,3,0)</f>
        <v>Nhân sự</v>
      </c>
      <c r="E93" s="68" t="s">
        <v>32</v>
      </c>
      <c r="F93" s="171">
        <v>8</v>
      </c>
      <c r="G93" s="171"/>
      <c r="H93" s="171">
        <v>8</v>
      </c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/>
      <c r="O93" s="171">
        <v>8</v>
      </c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/>
      <c r="V93" s="171">
        <v>8</v>
      </c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/>
      <c r="AC93" s="171">
        <v>8</v>
      </c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/>
      <c r="AJ93" s="171">
        <v>8</v>
      </c>
      <c r="AK93" s="417">
        <f>((SUM(F93:AJ93))/8)-(SUMIF($F$6:$AJ$6,"C.Nhật",F93:AJ93)/8)</f>
        <v>26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26</v>
      </c>
      <c r="AO93" s="423">
        <v>0</v>
      </c>
      <c r="AP93" s="428"/>
      <c r="AQ93" s="428"/>
      <c r="AR93" s="428"/>
      <c r="AS93" s="430"/>
      <c r="AT93" s="35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18"/>
      <c r="AL94" s="418"/>
      <c r="AM94" s="420"/>
      <c r="AN94" s="408"/>
      <c r="AO94" s="424"/>
      <c r="AP94" s="429"/>
      <c r="AQ94" s="429"/>
      <c r="AR94" s="429"/>
      <c r="AS94" s="431"/>
      <c r="AT94" s="35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7</v>
      </c>
      <c r="B95" s="425" t="s">
        <v>81</v>
      </c>
      <c r="C95" s="413" t="str">
        <f>VLOOKUP(B95,DS,2,0)</f>
        <v>Nguyễn Thiện Duyệt</v>
      </c>
      <c r="D95" s="415" t="str">
        <f>VLOOKUP(B95,DS,3,0)</f>
        <v>XNK</v>
      </c>
      <c r="E95" s="68" t="s">
        <v>32</v>
      </c>
      <c r="F95" s="171">
        <v>8</v>
      </c>
      <c r="G95" s="171"/>
      <c r="H95" s="171">
        <v>8</v>
      </c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/>
      <c r="O95" s="171">
        <v>8</v>
      </c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/>
      <c r="V95" s="171">
        <v>8</v>
      </c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/>
      <c r="AC95" s="171">
        <v>8</v>
      </c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/>
      <c r="AJ95" s="171">
        <v>8</v>
      </c>
      <c r="AK95" s="417">
        <f>((SUM(F95:AJ95))/8)-(SUMIF($F$6:$AJ$6,"C.Nhật",F95:AJ95)/8)</f>
        <v>26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26</v>
      </c>
      <c r="AO95" s="423">
        <v>0</v>
      </c>
      <c r="AP95" s="428"/>
      <c r="AQ95" s="428"/>
      <c r="AR95" s="428"/>
      <c r="AS95" s="430"/>
      <c r="AT95" s="35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18"/>
      <c r="AL96" s="418"/>
      <c r="AM96" s="420"/>
      <c r="AN96" s="408"/>
      <c r="AO96" s="424"/>
      <c r="AP96" s="429"/>
      <c r="AQ96" s="429"/>
      <c r="AR96" s="429"/>
      <c r="AS96" s="431"/>
      <c r="AT96" s="35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8</v>
      </c>
      <c r="B97" s="425" t="s">
        <v>192</v>
      </c>
      <c r="C97" s="413" t="str">
        <f>VLOOKUP(B97,DS,2,0)</f>
        <v>Trần Đình Thái</v>
      </c>
      <c r="D97" s="415" t="str">
        <f>VLOOKUP(B97,DS,3,0)</f>
        <v>Cơ Điện</v>
      </c>
      <c r="E97" s="68" t="s">
        <v>32</v>
      </c>
      <c r="F97" s="171">
        <v>8</v>
      </c>
      <c r="G97" s="171"/>
      <c r="H97" s="171">
        <v>8</v>
      </c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/>
      <c r="O97" s="171">
        <v>8</v>
      </c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/>
      <c r="V97" s="171">
        <v>8</v>
      </c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/>
      <c r="AC97" s="171">
        <v>8</v>
      </c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/>
      <c r="AJ97" s="171">
        <v>8</v>
      </c>
      <c r="AK97" s="417">
        <f>((SUM(F97:AJ97))/8)-(SUMIF($F$6:$AJ$6,"C.Nhật",F97:AJ97)/8)</f>
        <v>26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26</v>
      </c>
      <c r="AO97" s="423">
        <v>0</v>
      </c>
      <c r="AP97" s="428"/>
      <c r="AQ97" s="428"/>
      <c r="AR97" s="428"/>
      <c r="AS97" s="430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18"/>
      <c r="AL98" s="418"/>
      <c r="AM98" s="420"/>
      <c r="AN98" s="408"/>
      <c r="AO98" s="424"/>
      <c r="AP98" s="429"/>
      <c r="AQ98" s="429"/>
      <c r="AR98" s="429"/>
      <c r="AS98" s="431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9:AJ12 F37:AJ48 F14:AJ35 F83:AJ98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2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25" sqref="M25:M3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6"/>
      <c r="C1" s="356"/>
      <c r="D1" s="487" t="str">
        <f>"BẢNG THANH TOÁN LƯƠNG THÁNG"&amp;" "&amp;TEXT($E$4,"mm")&amp;" / "&amp;TEXT($E$4,"yyyy")</f>
        <v>BẢNG THANH TOÁN LƯƠNG THÁNG 10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6"/>
      <c r="C2" s="356"/>
      <c r="D2" s="356"/>
      <c r="E2" s="81"/>
      <c r="F2" s="356"/>
      <c r="G2" s="356"/>
      <c r="H2" s="356"/>
      <c r="I2" s="356"/>
      <c r="J2" s="82"/>
      <c r="K2" s="356"/>
      <c r="L2" s="356"/>
      <c r="M2" s="356"/>
      <c r="N2" s="356"/>
      <c r="O2" s="356"/>
      <c r="P2" s="356"/>
      <c r="Q2" s="356"/>
      <c r="R2" s="356"/>
      <c r="S2" s="35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6"/>
      <c r="C3" s="356"/>
      <c r="D3" s="356"/>
      <c r="E3" s="81"/>
      <c r="F3" s="356"/>
      <c r="G3" s="356"/>
      <c r="H3" s="356"/>
      <c r="I3" s="356"/>
      <c r="J3" s="82"/>
      <c r="K3" s="356"/>
      <c r="L3" s="356"/>
      <c r="M3" s="356"/>
      <c r="N3" s="356"/>
      <c r="O3" s="356"/>
      <c r="P3" s="356"/>
      <c r="Q3" s="356"/>
      <c r="R3" s="356"/>
      <c r="S3" s="35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52" t="s">
        <v>40</v>
      </c>
      <c r="G7" s="349" t="s">
        <v>18</v>
      </c>
      <c r="H7" s="352" t="s">
        <v>40</v>
      </c>
      <c r="I7" s="355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- 10'!$B$8:$AS$48,36,0)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- 10'!$B$8:$AS$48,36,0)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- 10'!$B$8:$AS$48,36,0)</f>
        <v>26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26</v>
      </c>
      <c r="K13" s="39">
        <f t="shared" si="5"/>
        <v>3317000</v>
      </c>
      <c r="L13" s="90">
        <f t="shared" ref="L13:L30" si="6">+F13*15000</f>
        <v>390000</v>
      </c>
      <c r="M13" s="40">
        <f t="shared" ref="M13:M30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3358715</v>
      </c>
      <c r="R13" s="39">
        <f t="shared" ref="R13:R30" si="12">VLOOKUP(B13,DS,23,0)</f>
        <v>0</v>
      </c>
      <c r="S13" s="45">
        <f t="shared" ref="S13:S30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- 10'!$B$8:$AS$48,36,0)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- 10'!$B$8:$AS$48,36,0)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- 10'!$B$8:$AS$48,36,0)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- 10'!$B$8:$AS$48,36,0)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- 10'!$B$8:$AS$48,36,0)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- 10'!$B$8:$AS$48,36,0)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- 10'!$B$8:$AS$48,36,0)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- 10'!$B$8:$AS$48,36,0)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- 10'!$B$8:$AS$48,36,0)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- 10'!$B$8:$AS$48,36,0)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- 10'!$B$8:$AS$48,36,0)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- 10'!$B$8:$AS$48,36,0)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- 10'!$B$8:$AS$48,36,0)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- 10'!$B$8:$AS$48,36,0)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- 10'!$B$8:$AS$48,36,0)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26</v>
      </c>
      <c r="K29" s="39">
        <f t="shared" si="18"/>
        <v>3317000</v>
      </c>
      <c r="L29" s="90">
        <f t="shared" si="6"/>
        <v>390000</v>
      </c>
      <c r="M29" s="40">
        <f t="shared" si="7"/>
        <v>3707000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- 10'!$B$8:$AS$48,36,0)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26</v>
      </c>
      <c r="K30" s="39">
        <f t="shared" si="18"/>
        <v>3317000</v>
      </c>
      <c r="L30" s="90">
        <f t="shared" si="6"/>
        <v>390000</v>
      </c>
      <c r="M30" s="40">
        <f t="shared" si="7"/>
        <v>3707000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86" t="s">
        <v>25</v>
      </c>
      <c r="B32" s="486"/>
      <c r="C32" s="486"/>
      <c r="D32" s="486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7410000</v>
      </c>
      <c r="M32" s="26">
        <f t="shared" si="19"/>
        <v>72423000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65596635</v>
      </c>
      <c r="R32" s="26">
        <f t="shared" si="19"/>
        <v>0</v>
      </c>
      <c r="S32" s="26">
        <f t="shared" si="19"/>
        <v>65596635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4"/>
      <c r="C45" s="354"/>
      <c r="D45" s="467" t="str">
        <f>D1</f>
        <v>BẢNG THANH TOÁN LƯƠNG THÁNG 10 / 2016</v>
      </c>
      <c r="E45" s="467"/>
      <c r="F45" s="467"/>
      <c r="G45" s="467"/>
      <c r="H45" s="467"/>
      <c r="I45" s="467"/>
      <c r="J45" s="467"/>
      <c r="K45" s="467"/>
      <c r="L45" s="467"/>
      <c r="M45" s="467"/>
      <c r="N45" s="467"/>
      <c r="O45" s="467"/>
      <c r="P45" s="467"/>
      <c r="Q45" s="468"/>
      <c r="R45" s="469" t="s">
        <v>112</v>
      </c>
      <c r="S45" s="470"/>
      <c r="T45" s="471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4"/>
      <c r="C46" s="354"/>
      <c r="D46" s="354"/>
      <c r="E46" s="200"/>
      <c r="F46" s="354"/>
      <c r="G46" s="354"/>
      <c r="H46" s="354"/>
      <c r="I46" s="354"/>
      <c r="J46" s="201"/>
      <c r="K46" s="354"/>
      <c r="L46" s="354"/>
      <c r="M46" s="354"/>
      <c r="N46" s="354"/>
      <c r="O46" s="354"/>
      <c r="P46" s="354"/>
      <c r="Q46" s="354"/>
      <c r="R46" s="354"/>
      <c r="S46" s="35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4"/>
      <c r="C47" s="354"/>
      <c r="D47" s="354"/>
      <c r="E47" s="200"/>
      <c r="F47" s="354"/>
      <c r="G47" s="354"/>
      <c r="H47" s="354"/>
      <c r="I47" s="354"/>
      <c r="J47" s="201"/>
      <c r="K47" s="354"/>
      <c r="L47" s="354"/>
      <c r="M47" s="354"/>
      <c r="N47" s="354"/>
      <c r="O47" s="354"/>
      <c r="P47" s="354"/>
      <c r="Q47" s="354"/>
      <c r="R47" s="354"/>
      <c r="S47" s="35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72" t="s">
        <v>19</v>
      </c>
      <c r="B49" s="472" t="s">
        <v>20</v>
      </c>
      <c r="C49" s="474" t="s">
        <v>1</v>
      </c>
      <c r="D49" s="474" t="s">
        <v>2</v>
      </c>
      <c r="E49" s="475" t="s">
        <v>56</v>
      </c>
      <c r="F49" s="476" t="s">
        <v>26</v>
      </c>
      <c r="G49" s="477"/>
      <c r="H49" s="477"/>
      <c r="I49" s="477"/>
      <c r="J49" s="477"/>
      <c r="K49" s="478"/>
      <c r="L49" s="458" t="s">
        <v>57</v>
      </c>
      <c r="M49" s="458" t="s">
        <v>5</v>
      </c>
      <c r="N49" s="474" t="s">
        <v>6</v>
      </c>
      <c r="O49" s="474"/>
      <c r="P49" s="474"/>
      <c r="Q49" s="461" t="s">
        <v>7</v>
      </c>
      <c r="R49" s="461" t="s">
        <v>8</v>
      </c>
      <c r="S49" s="461" t="s">
        <v>9</v>
      </c>
      <c r="T49" s="479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73"/>
      <c r="B50" s="473"/>
      <c r="C50" s="474"/>
      <c r="D50" s="474"/>
      <c r="E50" s="475"/>
      <c r="F50" s="476" t="s">
        <v>59</v>
      </c>
      <c r="G50" s="478"/>
      <c r="H50" s="481" t="s">
        <v>189</v>
      </c>
      <c r="I50" s="482"/>
      <c r="J50" s="463" t="s">
        <v>27</v>
      </c>
      <c r="K50" s="461" t="s">
        <v>4</v>
      </c>
      <c r="L50" s="459"/>
      <c r="M50" s="459"/>
      <c r="N50" s="465" t="s">
        <v>12</v>
      </c>
      <c r="O50" s="461" t="s">
        <v>13</v>
      </c>
      <c r="P50" s="461" t="s">
        <v>34</v>
      </c>
      <c r="Q50" s="462"/>
      <c r="R50" s="462"/>
      <c r="S50" s="462"/>
      <c r="T50" s="480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73"/>
      <c r="B51" s="473"/>
      <c r="C51" s="461"/>
      <c r="D51" s="461"/>
      <c r="E51" s="475"/>
      <c r="F51" s="353" t="s">
        <v>40</v>
      </c>
      <c r="G51" s="355" t="s">
        <v>18</v>
      </c>
      <c r="H51" s="352" t="s">
        <v>40</v>
      </c>
      <c r="I51" s="355" t="s">
        <v>18</v>
      </c>
      <c r="J51" s="464"/>
      <c r="K51" s="462"/>
      <c r="L51" s="460"/>
      <c r="M51" s="460"/>
      <c r="N51" s="466"/>
      <c r="O51" s="462"/>
      <c r="P51" s="462"/>
      <c r="Q51" s="462"/>
      <c r="R51" s="462"/>
      <c r="S51" s="462"/>
      <c r="T51" s="480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- 10'!$B$83:$AN$96,36,0)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- 10'!$B$83:$AN$96,36,0)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- 10'!$B$83:$AN$96,36,0)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- 10'!$B$83:$AN$96,36,0)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- 10'!$B$83:$AN$96,36,0)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- 10'!$B$83:$AN$96,36,0)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- 10'!$B$83:$AN$96,36,0)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- 10'!$B$83:$AN$100,36,0)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56" t="s">
        <v>25</v>
      </c>
      <c r="B62" s="457"/>
      <c r="C62" s="457"/>
      <c r="D62" s="457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104058212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57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A85" sqref="AA8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42675</v>
      </c>
      <c r="G5" s="118">
        <f t="shared" ref="G5:AG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>AH5+1</f>
        <v>42704</v>
      </c>
      <c r="AJ5" s="118">
        <f t="shared" ref="AJ5" si="1">AI5+1</f>
        <v>42705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T.Ba</v>
      </c>
      <c r="G6" s="302" t="str">
        <f t="shared" ref="G6:AJ6" si="2">CHOOSE(WEEKDAY(G5),"C.Nhật","T.Hai","T.Ba","T.Tư","T.Năm","T.Sáu","T.Bảy")</f>
        <v>T.Tư</v>
      </c>
      <c r="H6" s="302" t="str">
        <f t="shared" si="2"/>
        <v>T.Năm</v>
      </c>
      <c r="I6" s="302" t="str">
        <f t="shared" si="2"/>
        <v>T.Sáu</v>
      </c>
      <c r="J6" s="302" t="str">
        <f t="shared" si="2"/>
        <v>T.Bảy</v>
      </c>
      <c r="K6" s="302" t="str">
        <f t="shared" si="2"/>
        <v>C.Nhật</v>
      </c>
      <c r="L6" s="302" t="str">
        <f t="shared" si="2"/>
        <v>T.Hai</v>
      </c>
      <c r="M6" s="302" t="str">
        <f t="shared" si="2"/>
        <v>T.Ba</v>
      </c>
      <c r="N6" s="302" t="str">
        <f t="shared" si="2"/>
        <v>T.Tư</v>
      </c>
      <c r="O6" s="302" t="str">
        <f t="shared" si="2"/>
        <v>T.Năm</v>
      </c>
      <c r="P6" s="302" t="str">
        <f t="shared" si="2"/>
        <v>T.Sáu</v>
      </c>
      <c r="Q6" s="302" t="str">
        <f t="shared" si="2"/>
        <v>T.Bảy</v>
      </c>
      <c r="R6" s="302" t="str">
        <f t="shared" si="2"/>
        <v>C.Nhật</v>
      </c>
      <c r="S6" s="302" t="str">
        <f t="shared" si="2"/>
        <v>T.Hai</v>
      </c>
      <c r="T6" s="302" t="str">
        <f t="shared" si="2"/>
        <v>T.Ba</v>
      </c>
      <c r="U6" s="302" t="str">
        <f t="shared" si="2"/>
        <v>T.Tư</v>
      </c>
      <c r="V6" s="302" t="str">
        <f t="shared" si="2"/>
        <v>T.Năm</v>
      </c>
      <c r="W6" s="302" t="str">
        <f t="shared" si="2"/>
        <v>T.Sáu</v>
      </c>
      <c r="X6" s="302" t="str">
        <f t="shared" si="2"/>
        <v>T.Bảy</v>
      </c>
      <c r="Y6" s="302" t="str">
        <f t="shared" si="2"/>
        <v>C.Nhật</v>
      </c>
      <c r="Z6" s="302" t="str">
        <f t="shared" si="2"/>
        <v>T.Hai</v>
      </c>
      <c r="AA6" s="302" t="str">
        <f t="shared" si="2"/>
        <v>T.Ba</v>
      </c>
      <c r="AB6" s="302" t="str">
        <f t="shared" si="2"/>
        <v>T.Tư</v>
      </c>
      <c r="AC6" s="302" t="str">
        <f t="shared" si="2"/>
        <v>T.Năm</v>
      </c>
      <c r="AD6" s="302" t="str">
        <f t="shared" si="2"/>
        <v>T.Sáu</v>
      </c>
      <c r="AE6" s="302" t="str">
        <f t="shared" si="2"/>
        <v>T.Bảy</v>
      </c>
      <c r="AF6" s="302" t="str">
        <f t="shared" si="2"/>
        <v>C.Nhật</v>
      </c>
      <c r="AG6" s="302" t="str">
        <f t="shared" si="2"/>
        <v>T.Hai</v>
      </c>
      <c r="AH6" s="302" t="str">
        <f t="shared" si="2"/>
        <v>T.Ba</v>
      </c>
      <c r="AI6" s="302" t="str">
        <f t="shared" si="2"/>
        <v>T.Tư</v>
      </c>
      <c r="AJ6" s="302" t="str">
        <f t="shared" si="2"/>
        <v>T.Năm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6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/>
      <c r="AK9" s="417">
        <f>((SUM(F9:AJ9))/8)-(SUMIF($F$6:$AJ$6,"C.Nhật",F9:AJ9)/8)</f>
        <v>26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26</v>
      </c>
      <c r="AO9" s="421">
        <v>0</v>
      </c>
      <c r="AP9" s="407"/>
      <c r="AQ9" s="407"/>
      <c r="AR9" s="407"/>
      <c r="AS9" s="409"/>
      <c r="AT9" s="36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18"/>
      <c r="AL10" s="418"/>
      <c r="AM10" s="420"/>
      <c r="AN10" s="408"/>
      <c r="AO10" s="422"/>
      <c r="AP10" s="408"/>
      <c r="AQ10" s="408"/>
      <c r="AR10" s="408"/>
      <c r="AS10" s="410"/>
      <c r="AT10" s="36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/>
      <c r="AK11" s="417">
        <f>((SUM(F11:AJ11))/8)-(SUMIF($F$6:$AJ$6,"C.Nhật",F11:AJ11)/8)</f>
        <v>26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26</v>
      </c>
      <c r="AO11" s="421">
        <v>0</v>
      </c>
      <c r="AP11" s="407"/>
      <c r="AQ11" s="407"/>
      <c r="AR11" s="407"/>
      <c r="AS11" s="409"/>
      <c r="AT11" s="36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18"/>
      <c r="AL12" s="418"/>
      <c r="AM12" s="420"/>
      <c r="AN12" s="408"/>
      <c r="AO12" s="422"/>
      <c r="AP12" s="408"/>
      <c r="AQ12" s="408"/>
      <c r="AR12" s="408"/>
      <c r="AS12" s="410"/>
      <c r="AT12" s="36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/>
      <c r="AK14" s="417">
        <f>((SUM(F14:AJ14))/8)-(SUMIF($F$6:$AJ$6,"C.Nhật",F14:AJ14)/8)</f>
        <v>26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26</v>
      </c>
      <c r="AO14" s="421">
        <v>0</v>
      </c>
      <c r="AP14" s="407"/>
      <c r="AQ14" s="407"/>
      <c r="AR14" s="407"/>
      <c r="AS14" s="409"/>
      <c r="AT14" s="36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18"/>
      <c r="AL15" s="418"/>
      <c r="AM15" s="420"/>
      <c r="AN15" s="408"/>
      <c r="AO15" s="422"/>
      <c r="AP15" s="408"/>
      <c r="AQ15" s="408"/>
      <c r="AR15" s="408"/>
      <c r="AS15" s="410"/>
      <c r="AT15" s="36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/>
      <c r="AK16" s="417">
        <f>((SUM(F16:AJ16))/8)-(SUMIF($F$6:$AJ$6,"C.Nhật",F16:AJ16)/8)</f>
        <v>26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26</v>
      </c>
      <c r="AO16" s="421">
        <v>0</v>
      </c>
      <c r="AP16" s="407"/>
      <c r="AQ16" s="407"/>
      <c r="AR16" s="407"/>
      <c r="AS16" s="409"/>
      <c r="AT16" s="36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18"/>
      <c r="AL17" s="418"/>
      <c r="AM17" s="420"/>
      <c r="AN17" s="408"/>
      <c r="AO17" s="422"/>
      <c r="AP17" s="408"/>
      <c r="AQ17" s="408"/>
      <c r="AR17" s="408"/>
      <c r="AS17" s="410"/>
      <c r="AT17" s="36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2" si="3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/>
      <c r="AK18" s="417">
        <f>((SUM(F18:AJ18))/8)-(SUMIF($F$6:$AJ$6,"C.Nhật",F18:AJ18)/8)</f>
        <v>26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26</v>
      </c>
      <c r="AO18" s="421">
        <v>0</v>
      </c>
      <c r="AP18" s="407"/>
      <c r="AQ18" s="407"/>
      <c r="AR18" s="407"/>
      <c r="AS18" s="409"/>
      <c r="AT18" s="36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18"/>
      <c r="AL19" s="418"/>
      <c r="AM19" s="420"/>
      <c r="AN19" s="408"/>
      <c r="AO19" s="422"/>
      <c r="AP19" s="408"/>
      <c r="AQ19" s="408"/>
      <c r="AR19" s="408"/>
      <c r="AS19" s="410"/>
      <c r="AT19" s="36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17">
        <f>((SUM(F20:AJ20))/8)-(SUMIF($F$6:$AJ$6,"C.Nhật",F20:AJ20)/8)</f>
        <v>26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26</v>
      </c>
      <c r="AO20" s="421">
        <v>0</v>
      </c>
      <c r="AP20" s="407"/>
      <c r="AQ20" s="407"/>
      <c r="AR20" s="407"/>
      <c r="AS20" s="409"/>
      <c r="AT20" s="36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18"/>
      <c r="AL21" s="418"/>
      <c r="AM21" s="420"/>
      <c r="AN21" s="408"/>
      <c r="AO21" s="422"/>
      <c r="AP21" s="408"/>
      <c r="AQ21" s="408"/>
      <c r="AR21" s="408"/>
      <c r="AS21" s="410"/>
      <c r="AT21" s="36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3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/>
      <c r="AK22" s="417">
        <f>((SUM(F22:AJ22))/8)-(SUMIF($F$6:$AJ$6,"C.Nhật",F22:AJ22)/8)</f>
        <v>26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26</v>
      </c>
      <c r="AO22" s="421">
        <v>0</v>
      </c>
      <c r="AP22" s="407"/>
      <c r="AQ22" s="407"/>
      <c r="AR22" s="407"/>
      <c r="AS22" s="409"/>
      <c r="AT22" s="36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18"/>
      <c r="AL23" s="418"/>
      <c r="AM23" s="420"/>
      <c r="AN23" s="408"/>
      <c r="AO23" s="422"/>
      <c r="AP23" s="408"/>
      <c r="AQ23" s="408"/>
      <c r="AR23" s="408"/>
      <c r="AS23" s="410"/>
      <c r="AT23" s="36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94</v>
      </c>
      <c r="C24" s="413" t="str">
        <f>VLOOKUP(B24,DS,2,0)</f>
        <v>Trà Thị Soi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/>
      <c r="AK24" s="417">
        <f>((SUM(F24:AJ24))/8)-(SUMIF($F$6:$AJ$6,"C.Nhật",F24:AJ24)/8)</f>
        <v>26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26</v>
      </c>
      <c r="AO24" s="421">
        <v>0</v>
      </c>
      <c r="AP24" s="407"/>
      <c r="AQ24" s="407"/>
      <c r="AR24" s="407"/>
      <c r="AS24" s="409"/>
      <c r="AT24" s="36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18"/>
      <c r="AL25" s="418"/>
      <c r="AM25" s="420"/>
      <c r="AN25" s="408"/>
      <c r="AO25" s="422"/>
      <c r="AP25" s="408"/>
      <c r="AQ25" s="408"/>
      <c r="AR25" s="408"/>
      <c r="AS25" s="410"/>
      <c r="AT25" s="36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100</v>
      </c>
      <c r="C26" s="413" t="str">
        <f>VLOOKUP(B26,DS,2,0)</f>
        <v>Sơn Thị Chành Đa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/>
      <c r="AK26" s="417">
        <f>((SUM(F26:AJ26))/8)-(SUMIF($F$6:$AJ$6,"C.Nhật",F26:AJ26)/8)</f>
        <v>26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26</v>
      </c>
      <c r="AO26" s="421">
        <v>0</v>
      </c>
      <c r="AP26" s="407"/>
      <c r="AQ26" s="407"/>
      <c r="AR26" s="407"/>
      <c r="AS26" s="409"/>
      <c r="AT26" s="36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18"/>
      <c r="AL27" s="418"/>
      <c r="AM27" s="420"/>
      <c r="AN27" s="408"/>
      <c r="AO27" s="422"/>
      <c r="AP27" s="408"/>
      <c r="AQ27" s="408"/>
      <c r="AR27" s="408"/>
      <c r="AS27" s="410"/>
      <c r="AT27" s="36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101</v>
      </c>
      <c r="C28" s="413" t="str">
        <f>VLOOKUP(B28,DS,2,0)</f>
        <v>Trần Thị Bích Phượng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>
        <v>8</v>
      </c>
      <c r="AI28" s="171">
        <v>8</v>
      </c>
      <c r="AJ28" s="171"/>
      <c r="AK28" s="417">
        <f>((SUM(F28:AJ28))/8)-(SUMIF($F$6:$AJ$6,"C.Nhật",F28:AJ28)/8)</f>
        <v>26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26</v>
      </c>
      <c r="AO28" s="421">
        <v>0</v>
      </c>
      <c r="AP28" s="407"/>
      <c r="AQ28" s="407"/>
      <c r="AR28" s="407"/>
      <c r="AS28" s="409"/>
      <c r="AT28" s="36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18"/>
      <c r="AL29" s="418"/>
      <c r="AM29" s="420"/>
      <c r="AN29" s="408"/>
      <c r="AO29" s="422"/>
      <c r="AP29" s="408"/>
      <c r="AQ29" s="408"/>
      <c r="AR29" s="408"/>
      <c r="AS29" s="410"/>
      <c r="AT29" s="36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102</v>
      </c>
      <c r="C30" s="413" t="str">
        <f>VLOOKUP(B30,DS,2,0)</f>
        <v>Sơn Thị Trường Sa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/>
      <c r="AK30" s="417">
        <f>((SUM(F30:AJ30))/8)-(SUMIF($F$6:$AJ$6,"C.Nhật",F30:AJ30)/8)</f>
        <v>26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26</v>
      </c>
      <c r="AO30" s="421">
        <v>0</v>
      </c>
      <c r="AP30" s="407"/>
      <c r="AQ30" s="407"/>
      <c r="AR30" s="407"/>
      <c r="AS30" s="409"/>
      <c r="AT30" s="36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18"/>
      <c r="AL31" s="418"/>
      <c r="AM31" s="420"/>
      <c r="AN31" s="408"/>
      <c r="AO31" s="422"/>
      <c r="AP31" s="408"/>
      <c r="AQ31" s="408"/>
      <c r="AR31" s="408"/>
      <c r="AS31" s="410"/>
      <c r="AT31" s="36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103</v>
      </c>
      <c r="C32" s="413" t="str">
        <f>VLOOKUP(B32,DS,2,0)</f>
        <v>Lý Thị Sà Kha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17">
        <f>((SUM(F32:AJ32))/8)-(SUMIF($F$6:$AJ$6,"C.Nhật",F32:AJ32)/8)</f>
        <v>26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26</v>
      </c>
      <c r="AO32" s="421">
        <v>0</v>
      </c>
      <c r="AP32" s="407"/>
      <c r="AQ32" s="407"/>
      <c r="AR32" s="407"/>
      <c r="AS32" s="409"/>
      <c r="AT32" s="36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18"/>
      <c r="AL33" s="418"/>
      <c r="AM33" s="420"/>
      <c r="AN33" s="408"/>
      <c r="AO33" s="422"/>
      <c r="AP33" s="408"/>
      <c r="AQ33" s="408"/>
      <c r="AR33" s="408"/>
      <c r="AS33" s="410"/>
      <c r="AT33" s="36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104</v>
      </c>
      <c r="C34" s="413" t="str">
        <f>VLOOKUP(B34,DS,2,0)</f>
        <v xml:space="preserve"> Lâm Thị Mộng Thường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/>
      <c r="AK34" s="417">
        <f>((SUM(F34:AJ34))/8)-(SUMIF($F$6:$AJ$6,"C.Nhật",F34:AJ34)/8)</f>
        <v>26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26</v>
      </c>
      <c r="AO34" s="421">
        <v>0</v>
      </c>
      <c r="AP34" s="407"/>
      <c r="AQ34" s="407"/>
      <c r="AR34" s="407"/>
      <c r="AS34" s="409"/>
      <c r="AT34" s="36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18"/>
      <c r="AL35" s="418"/>
      <c r="AM35" s="420"/>
      <c r="AN35" s="408"/>
      <c r="AO35" s="422"/>
      <c r="AP35" s="408"/>
      <c r="AQ35" s="408"/>
      <c r="AR35" s="408"/>
      <c r="AS35" s="410"/>
      <c r="AT35" s="36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411">
        <f>A34+1</f>
        <v>14</v>
      </c>
      <c r="B37" s="411" t="s">
        <v>113</v>
      </c>
      <c r="C37" s="413" t="str">
        <f>VLOOKUP(B37,DS,2,0)</f>
        <v>Nguyễn Văn Bé Hai</v>
      </c>
      <c r="D37" s="415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/>
      <c r="L37" s="171">
        <v>8</v>
      </c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/>
      <c r="S37" s="171">
        <v>8</v>
      </c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/>
      <c r="Z37" s="171">
        <v>8</v>
      </c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/>
      <c r="AG37" s="171">
        <v>8</v>
      </c>
      <c r="AH37" s="171">
        <v>8</v>
      </c>
      <c r="AI37" s="171">
        <v>8</v>
      </c>
      <c r="AJ37" s="171"/>
      <c r="AK37" s="417">
        <f>((SUM(F37:AJ37))/8)-(SUMIF($F$6:$AJ$6,"C.Nhật",F37:AJ37)/8)</f>
        <v>26</v>
      </c>
      <c r="AL37" s="417">
        <f>SUM(F38:AI38)/8*1.5</f>
        <v>0</v>
      </c>
      <c r="AM37" s="419">
        <f>SUMIF($F$6:$AI$6,"C.Nhật",$F37:$AI38)/8*2</f>
        <v>0</v>
      </c>
      <c r="AN37" s="407">
        <f>SUM(AK37:AM38)</f>
        <v>26</v>
      </c>
      <c r="AO37" s="421">
        <v>0</v>
      </c>
      <c r="AP37" s="407"/>
      <c r="AQ37" s="407"/>
      <c r="AR37" s="407"/>
      <c r="AS37" s="409"/>
      <c r="AT37" s="36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2"/>
      <c r="B38" s="412"/>
      <c r="C38" s="414"/>
      <c r="D38" s="416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18"/>
      <c r="AL38" s="418"/>
      <c r="AM38" s="420"/>
      <c r="AN38" s="408"/>
      <c r="AO38" s="422"/>
      <c r="AP38" s="408"/>
      <c r="AQ38" s="408"/>
      <c r="AR38" s="408"/>
      <c r="AS38" s="410"/>
      <c r="AT38" s="36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1">
        <f>A37+1</f>
        <v>15</v>
      </c>
      <c r="B39" s="411" t="s">
        <v>114</v>
      </c>
      <c r="C39" s="413" t="str">
        <f>VLOOKUP(B39,DS,2,0)</f>
        <v>Thạch Tiền</v>
      </c>
      <c r="D39" s="415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/>
      <c r="L39" s="171">
        <v>8</v>
      </c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/>
      <c r="S39" s="171">
        <v>8</v>
      </c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/>
      <c r="Z39" s="171">
        <v>8</v>
      </c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/>
      <c r="AG39" s="171">
        <v>8</v>
      </c>
      <c r="AH39" s="171">
        <v>8</v>
      </c>
      <c r="AI39" s="171">
        <v>8</v>
      </c>
      <c r="AJ39" s="171"/>
      <c r="AK39" s="417">
        <f>((SUM(F39:AJ39))/8)-(SUMIF($F$6:$AJ$6,"C.Nhật",F39:AJ39)/8)</f>
        <v>26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26</v>
      </c>
      <c r="AO39" s="421">
        <v>0</v>
      </c>
      <c r="AP39" s="407"/>
      <c r="AQ39" s="407"/>
      <c r="AR39" s="407"/>
      <c r="AS39" s="409"/>
      <c r="AT39" s="36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18"/>
      <c r="AL40" s="418"/>
      <c r="AM40" s="420"/>
      <c r="AN40" s="408"/>
      <c r="AO40" s="422"/>
      <c r="AP40" s="408"/>
      <c r="AQ40" s="408"/>
      <c r="AR40" s="408"/>
      <c r="AS40" s="410"/>
      <c r="AT40" s="36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118</v>
      </c>
      <c r="C41" s="413" t="str">
        <f>VLOOKUP(B41,DS,2,0)</f>
        <v>Trần Nhiên</v>
      </c>
      <c r="D41" s="415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/>
      <c r="L41" s="171">
        <v>8</v>
      </c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/>
      <c r="S41" s="171">
        <v>8</v>
      </c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/>
      <c r="Z41" s="171">
        <v>8</v>
      </c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/>
      <c r="AG41" s="171">
        <v>8</v>
      </c>
      <c r="AH41" s="171">
        <v>8</v>
      </c>
      <c r="AI41" s="171">
        <v>8</v>
      </c>
      <c r="AJ41" s="171"/>
      <c r="AK41" s="417">
        <f>((SUM(F41:AJ41))/8)-(SUMIF($F$6:$AJ$6,"C.Nhật",F41:AJ41)/8)</f>
        <v>26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26</v>
      </c>
      <c r="AO41" s="421">
        <v>0</v>
      </c>
      <c r="AP41" s="407"/>
      <c r="AQ41" s="407"/>
      <c r="AR41" s="407"/>
      <c r="AS41" s="409"/>
      <c r="AT41" s="36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18"/>
      <c r="AL42" s="418"/>
      <c r="AM42" s="420"/>
      <c r="AN42" s="408"/>
      <c r="AO42" s="422"/>
      <c r="AP42" s="408"/>
      <c r="AQ42" s="408"/>
      <c r="AR42" s="408"/>
      <c r="AS42" s="410"/>
      <c r="AT42" s="36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119</v>
      </c>
      <c r="C43" s="413" t="str">
        <f>VLOOKUP(B43,DS,2,0)</f>
        <v>Thạch Giang</v>
      </c>
      <c r="D43" s="415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/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/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/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/>
      <c r="AG43" s="171">
        <v>8</v>
      </c>
      <c r="AH43" s="171">
        <v>8</v>
      </c>
      <c r="AI43" s="171">
        <v>8</v>
      </c>
      <c r="AJ43" s="171"/>
      <c r="AK43" s="417">
        <f>((SUM(F43:AJ43))/8)-(SUMIF($F$6:$AJ$6,"C.Nhật",F43:AJ43)/8)</f>
        <v>26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26</v>
      </c>
      <c r="AO43" s="421">
        <v>0</v>
      </c>
      <c r="AP43" s="407"/>
      <c r="AQ43" s="407"/>
      <c r="AR43" s="407"/>
      <c r="AS43" s="409"/>
      <c r="AT43" s="36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18"/>
      <c r="AL44" s="418"/>
      <c r="AM44" s="420"/>
      <c r="AN44" s="408"/>
      <c r="AO44" s="422"/>
      <c r="AP44" s="408"/>
      <c r="AQ44" s="408"/>
      <c r="AR44" s="408"/>
      <c r="AS44" s="410"/>
      <c r="AT44" s="36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120</v>
      </c>
      <c r="C45" s="413" t="str">
        <f>VLOOKUP(B45,DS,2,0)</f>
        <v>Thạch Quyền</v>
      </c>
      <c r="D45" s="415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/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/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/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/>
      <c r="AG45" s="171">
        <v>8</v>
      </c>
      <c r="AH45" s="171">
        <v>8</v>
      </c>
      <c r="AI45" s="171">
        <v>8</v>
      </c>
      <c r="AJ45" s="171"/>
      <c r="AK45" s="417">
        <f>((SUM(F45:AJ45))/8)-(SUMIF($F$6:$AJ$6,"C.Nhật",F45:AJ45)/8)</f>
        <v>26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26</v>
      </c>
      <c r="AO45" s="421">
        <v>0</v>
      </c>
      <c r="AP45" s="407"/>
      <c r="AQ45" s="407"/>
      <c r="AR45" s="407"/>
      <c r="AS45" s="409"/>
      <c r="AT45" s="36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18"/>
      <c r="AL46" s="418"/>
      <c r="AM46" s="420"/>
      <c r="AN46" s="408"/>
      <c r="AO46" s="422"/>
      <c r="AP46" s="408"/>
      <c r="AQ46" s="408"/>
      <c r="AR46" s="408"/>
      <c r="AS46" s="410"/>
      <c r="AT46" s="36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122</v>
      </c>
      <c r="C47" s="413" t="str">
        <f>VLOOKUP(B47,DS,2,0)</f>
        <v>Lâm Chanh Đa Ra</v>
      </c>
      <c r="D47" s="415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/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/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/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/>
      <c r="AG47" s="171">
        <v>8</v>
      </c>
      <c r="AH47" s="171">
        <v>8</v>
      </c>
      <c r="AI47" s="171">
        <v>8</v>
      </c>
      <c r="AJ47" s="171"/>
      <c r="AK47" s="417">
        <f>((SUM(F47:AJ47))/8)-(SUMIF($F$6:$AJ$6,"C.Nhật",F47:AJ47)/8)</f>
        <v>26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26</v>
      </c>
      <c r="AO47" s="421">
        <v>0</v>
      </c>
      <c r="AP47" s="407"/>
      <c r="AQ47" s="407"/>
      <c r="AR47" s="407"/>
      <c r="AS47" s="409"/>
      <c r="AT47" s="36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18"/>
      <c r="AL48" s="418"/>
      <c r="AM48" s="420"/>
      <c r="AN48" s="408"/>
      <c r="AO48" s="422"/>
      <c r="AP48" s="408"/>
      <c r="AQ48" s="408"/>
      <c r="AR48" s="408"/>
      <c r="AS48" s="410"/>
      <c r="AT48" s="36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11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53" t="s">
        <v>112</v>
      </c>
      <c r="AN76" s="454"/>
      <c r="AO76" s="454"/>
      <c r="AP76" s="454"/>
      <c r="AQ76" s="454"/>
      <c r="AR76" s="454"/>
      <c r="AS76" s="455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42675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96" t="s">
        <v>28</v>
      </c>
      <c r="B80" s="496" t="s">
        <v>3</v>
      </c>
      <c r="C80" s="496" t="s">
        <v>1</v>
      </c>
      <c r="D80" s="434" t="s">
        <v>29</v>
      </c>
      <c r="E80" s="496" t="s">
        <v>30</v>
      </c>
      <c r="F80" s="164">
        <f>+E79</f>
        <v>42675</v>
      </c>
      <c r="G80" s="164">
        <f t="shared" ref="G80:AG80" si="4">F80+1</f>
        <v>42676</v>
      </c>
      <c r="H80" s="164">
        <f t="shared" si="4"/>
        <v>42677</v>
      </c>
      <c r="I80" s="164">
        <f t="shared" si="4"/>
        <v>42678</v>
      </c>
      <c r="J80" s="164">
        <f t="shared" si="4"/>
        <v>42679</v>
      </c>
      <c r="K80" s="164">
        <f t="shared" si="4"/>
        <v>42680</v>
      </c>
      <c r="L80" s="164">
        <f t="shared" si="4"/>
        <v>42681</v>
      </c>
      <c r="M80" s="164">
        <f t="shared" si="4"/>
        <v>42682</v>
      </c>
      <c r="N80" s="164">
        <f t="shared" si="4"/>
        <v>42683</v>
      </c>
      <c r="O80" s="164">
        <f t="shared" si="4"/>
        <v>42684</v>
      </c>
      <c r="P80" s="164">
        <f t="shared" si="4"/>
        <v>42685</v>
      </c>
      <c r="Q80" s="164">
        <f t="shared" si="4"/>
        <v>42686</v>
      </c>
      <c r="R80" s="164">
        <f t="shared" si="4"/>
        <v>42687</v>
      </c>
      <c r="S80" s="164">
        <f t="shared" si="4"/>
        <v>42688</v>
      </c>
      <c r="T80" s="164">
        <f t="shared" si="4"/>
        <v>42689</v>
      </c>
      <c r="U80" s="164">
        <f t="shared" si="4"/>
        <v>42690</v>
      </c>
      <c r="V80" s="164">
        <f t="shared" si="4"/>
        <v>42691</v>
      </c>
      <c r="W80" s="164">
        <f t="shared" si="4"/>
        <v>42692</v>
      </c>
      <c r="X80" s="164">
        <f t="shared" si="4"/>
        <v>42693</v>
      </c>
      <c r="Y80" s="164">
        <f t="shared" si="4"/>
        <v>42694</v>
      </c>
      <c r="Z80" s="164">
        <f t="shared" si="4"/>
        <v>42695</v>
      </c>
      <c r="AA80" s="164">
        <f t="shared" si="4"/>
        <v>42696</v>
      </c>
      <c r="AB80" s="164">
        <f t="shared" si="4"/>
        <v>42697</v>
      </c>
      <c r="AC80" s="164">
        <f t="shared" si="4"/>
        <v>42698</v>
      </c>
      <c r="AD80" s="164">
        <f t="shared" si="4"/>
        <v>42699</v>
      </c>
      <c r="AE80" s="164">
        <f t="shared" si="4"/>
        <v>42700</v>
      </c>
      <c r="AF80" s="164">
        <f t="shared" si="4"/>
        <v>42701</v>
      </c>
      <c r="AG80" s="164">
        <f t="shared" si="4"/>
        <v>42702</v>
      </c>
      <c r="AH80" s="164">
        <f>AG80+1</f>
        <v>42703</v>
      </c>
      <c r="AI80" s="164">
        <f>AH80+1</f>
        <v>42704</v>
      </c>
      <c r="AJ80" s="164"/>
      <c r="AK80" s="441" t="s">
        <v>15</v>
      </c>
      <c r="AL80" s="442"/>
      <c r="AM80" s="443"/>
      <c r="AN80" s="432" t="s">
        <v>45</v>
      </c>
      <c r="AO80" s="432" t="s">
        <v>41</v>
      </c>
      <c r="AP80" s="432" t="s">
        <v>42</v>
      </c>
      <c r="AQ80" s="432" t="s">
        <v>43</v>
      </c>
      <c r="AR80" s="432" t="s">
        <v>44</v>
      </c>
      <c r="AS80" s="434" t="s">
        <v>0</v>
      </c>
      <c r="AT80" s="427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35"/>
      <c r="B81" s="435"/>
      <c r="C81" s="435"/>
      <c r="D81" s="435"/>
      <c r="E81" s="435"/>
      <c r="F81" s="322" t="str">
        <f>CHOOSE(WEEKDAY(F80),"C.Nhật","T.Hai","T.Ba","T.Tư","T.Năm","T.Sáu","T.Bảy")</f>
        <v>T.Ba</v>
      </c>
      <c r="G81" s="322" t="str">
        <f t="shared" ref="G81:AI81" si="5">CHOOSE(WEEKDAY(G80),"C.Nhật","T.Hai","T.Ba","T.Tư","T.Năm","T.Sáu","T.Bảy")</f>
        <v>T.Tư</v>
      </c>
      <c r="H81" s="322" t="str">
        <f t="shared" si="5"/>
        <v>T.Năm</v>
      </c>
      <c r="I81" s="322" t="str">
        <f t="shared" si="5"/>
        <v>T.Sáu</v>
      </c>
      <c r="J81" s="322" t="str">
        <f t="shared" si="5"/>
        <v>T.Bảy</v>
      </c>
      <c r="K81" s="166" t="str">
        <f t="shared" si="5"/>
        <v>C.Nhật</v>
      </c>
      <c r="L81" s="166" t="str">
        <f t="shared" si="5"/>
        <v>T.Hai</v>
      </c>
      <c r="M81" s="166" t="str">
        <f t="shared" si="5"/>
        <v>T.Ba</v>
      </c>
      <c r="N81" s="166" t="str">
        <f t="shared" si="5"/>
        <v>T.Tư</v>
      </c>
      <c r="O81" s="166" t="str">
        <f t="shared" si="5"/>
        <v>T.Năm</v>
      </c>
      <c r="P81" s="166" t="str">
        <f t="shared" si="5"/>
        <v>T.Sáu</v>
      </c>
      <c r="Q81" s="166" t="str">
        <f t="shared" si="5"/>
        <v>T.Bảy</v>
      </c>
      <c r="R81" s="166" t="str">
        <f t="shared" si="5"/>
        <v>C.Nhật</v>
      </c>
      <c r="S81" s="166" t="str">
        <f t="shared" si="5"/>
        <v>T.Hai</v>
      </c>
      <c r="T81" s="166" t="str">
        <f t="shared" si="5"/>
        <v>T.Ba</v>
      </c>
      <c r="U81" s="166" t="str">
        <f t="shared" si="5"/>
        <v>T.Tư</v>
      </c>
      <c r="V81" s="166" t="str">
        <f t="shared" si="5"/>
        <v>T.Năm</v>
      </c>
      <c r="W81" s="166" t="str">
        <f t="shared" si="5"/>
        <v>T.Sáu</v>
      </c>
      <c r="X81" s="166" t="str">
        <f t="shared" si="5"/>
        <v>T.Bảy</v>
      </c>
      <c r="Y81" s="166" t="str">
        <f t="shared" si="5"/>
        <v>C.Nhật</v>
      </c>
      <c r="Z81" s="166" t="str">
        <f t="shared" si="5"/>
        <v>T.Hai</v>
      </c>
      <c r="AA81" s="166" t="str">
        <f t="shared" si="5"/>
        <v>T.Ba</v>
      </c>
      <c r="AB81" s="166" t="str">
        <f t="shared" si="5"/>
        <v>T.Tư</v>
      </c>
      <c r="AC81" s="166" t="str">
        <f t="shared" si="5"/>
        <v>T.Năm</v>
      </c>
      <c r="AD81" s="166" t="str">
        <f t="shared" si="5"/>
        <v>T.Sáu</v>
      </c>
      <c r="AE81" s="166" t="str">
        <f t="shared" si="5"/>
        <v>T.Bảy</v>
      </c>
      <c r="AF81" s="166" t="str">
        <f t="shared" si="5"/>
        <v>C.Nhật</v>
      </c>
      <c r="AG81" s="166" t="str">
        <f t="shared" si="5"/>
        <v>T.Hai</v>
      </c>
      <c r="AH81" s="166" t="str">
        <f t="shared" si="5"/>
        <v>T.Ba</v>
      </c>
      <c r="AI81" s="166" t="str">
        <f t="shared" si="5"/>
        <v>T.Tư</v>
      </c>
      <c r="AJ81" s="166"/>
      <c r="AK81" s="167" t="s">
        <v>16</v>
      </c>
      <c r="AL81" s="167" t="s">
        <v>31</v>
      </c>
      <c r="AM81" s="168" t="s">
        <v>17</v>
      </c>
      <c r="AN81" s="433"/>
      <c r="AO81" s="433"/>
      <c r="AP81" s="433"/>
      <c r="AQ81" s="433"/>
      <c r="AR81" s="433"/>
      <c r="AS81" s="435"/>
      <c r="AT81" s="427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25">
        <v>1</v>
      </c>
      <c r="B83" s="425" t="s">
        <v>68</v>
      </c>
      <c r="C83" s="413" t="str">
        <f>VLOOKUP(B83,DS,2,0)</f>
        <v>Nguyễn Thiện Duy</v>
      </c>
      <c r="D83" s="415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/>
      <c r="L83" s="171">
        <v>8</v>
      </c>
      <c r="M83" s="171">
        <v>8</v>
      </c>
      <c r="N83" s="171">
        <v>8</v>
      </c>
      <c r="O83" s="171"/>
      <c r="P83" s="171">
        <v>8</v>
      </c>
      <c r="Q83" s="171">
        <v>8</v>
      </c>
      <c r="R83" s="171"/>
      <c r="S83" s="171">
        <v>8</v>
      </c>
      <c r="T83" s="171">
        <v>8</v>
      </c>
      <c r="U83" s="171">
        <v>8</v>
      </c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>
        <v>8</v>
      </c>
      <c r="AC83" s="171"/>
      <c r="AD83" s="171">
        <v>8</v>
      </c>
      <c r="AE83" s="171">
        <v>8</v>
      </c>
      <c r="AF83" s="171"/>
      <c r="AG83" s="171">
        <v>8</v>
      </c>
      <c r="AH83" s="171">
        <v>8</v>
      </c>
      <c r="AI83" s="171"/>
      <c r="AJ83" s="171"/>
      <c r="AK83" s="417">
        <f>((SUM(F83:AJ83))/8)-(SUMIF($F$6:$AJ$6,"C.Nhật",F83:AJ83)/8)</f>
        <v>23</v>
      </c>
      <c r="AL83" s="417">
        <f>SUM(F84:AI84)/8*1.5</f>
        <v>0</v>
      </c>
      <c r="AM83" s="419">
        <f>SUMIF($F$6:$AI$6,"C.Nhật",$F83:$AI84)/8*2</f>
        <v>0</v>
      </c>
      <c r="AN83" s="407">
        <f>SUM(AK83:AM84)</f>
        <v>23</v>
      </c>
      <c r="AO83" s="423">
        <v>0</v>
      </c>
      <c r="AP83" s="428"/>
      <c r="AQ83" s="428"/>
      <c r="AR83" s="428"/>
      <c r="AS83" s="430"/>
      <c r="AT83" s="36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26"/>
      <c r="B84" s="426"/>
      <c r="C84" s="414"/>
      <c r="D84" s="416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18"/>
      <c r="AL84" s="418"/>
      <c r="AM84" s="420"/>
      <c r="AN84" s="408"/>
      <c r="AO84" s="424"/>
      <c r="AP84" s="429"/>
      <c r="AQ84" s="429"/>
      <c r="AR84" s="429"/>
      <c r="AS84" s="431"/>
      <c r="AT84" s="36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f>A83+1</f>
        <v>2</v>
      </c>
      <c r="B85" s="425" t="s">
        <v>70</v>
      </c>
      <c r="C85" s="413" t="str">
        <f>VLOOKUP(B85,DS,2,0)</f>
        <v>Nguyễn Văn Sẽ</v>
      </c>
      <c r="D85" s="415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/>
      <c r="L85" s="171">
        <v>8</v>
      </c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/>
      <c r="S85" s="171">
        <v>8</v>
      </c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/>
      <c r="Z85" s="171">
        <v>8</v>
      </c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/>
      <c r="AG85" s="171">
        <v>8</v>
      </c>
      <c r="AH85" s="171">
        <v>8</v>
      </c>
      <c r="AI85" s="171"/>
      <c r="AJ85" s="171"/>
      <c r="AK85" s="417">
        <f>((SUM(F85:AJ85))/8)-(SUMIF($F$6:$AJ$6,"C.Nhật",F85:AJ85)/8)</f>
        <v>25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25</v>
      </c>
      <c r="AO85" s="423">
        <v>0</v>
      </c>
      <c r="AP85" s="428"/>
      <c r="AQ85" s="428"/>
      <c r="AR85" s="428"/>
      <c r="AS85" s="430"/>
      <c r="AT85" s="36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18"/>
      <c r="AL86" s="418"/>
      <c r="AM86" s="420"/>
      <c r="AN86" s="408"/>
      <c r="AO86" s="424"/>
      <c r="AP86" s="429"/>
      <c r="AQ86" s="429"/>
      <c r="AR86" s="429"/>
      <c r="AS86" s="431"/>
      <c r="AT86" s="36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3</v>
      </c>
      <c r="B87" s="425" t="s">
        <v>72</v>
      </c>
      <c r="C87" s="413" t="str">
        <f>VLOOKUP(B87,DS,2,0)</f>
        <v>Võ Uyên Phương</v>
      </c>
      <c r="D87" s="415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/>
      <c r="L87" s="171">
        <v>8</v>
      </c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/>
      <c r="S87" s="171">
        <v>8</v>
      </c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/>
      <c r="Z87" s="171">
        <v>8</v>
      </c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/>
      <c r="AG87" s="171">
        <v>8</v>
      </c>
      <c r="AH87" s="171">
        <v>8</v>
      </c>
      <c r="AI87" s="171"/>
      <c r="AJ87" s="171"/>
      <c r="AK87" s="417">
        <f>((SUM(F87:AJ87))/8)-(SUMIF($F$6:$AJ$6,"C.Nhật",F87:AJ87)/8)</f>
        <v>25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25</v>
      </c>
      <c r="AO87" s="423">
        <v>0</v>
      </c>
      <c r="AP87" s="428"/>
      <c r="AQ87" s="428"/>
      <c r="AR87" s="428"/>
      <c r="AS87" s="430"/>
      <c r="AT87" s="36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18"/>
      <c r="AL88" s="418"/>
      <c r="AM88" s="420"/>
      <c r="AN88" s="408"/>
      <c r="AO88" s="424"/>
      <c r="AP88" s="429"/>
      <c r="AQ88" s="429"/>
      <c r="AR88" s="429"/>
      <c r="AS88" s="431"/>
      <c r="AT88" s="36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4</v>
      </c>
      <c r="B89" s="425" t="s">
        <v>75</v>
      </c>
      <c r="C89" s="413" t="str">
        <f>VLOOKUP(B89,DS,2,0)</f>
        <v>Lê Nguyễn Huy Cường</v>
      </c>
      <c r="D89" s="415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/>
      <c r="L89" s="171">
        <v>8</v>
      </c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/>
      <c r="S89" s="171">
        <v>8</v>
      </c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/>
      <c r="Z89" s="171">
        <v>8</v>
      </c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/>
      <c r="AG89" s="171">
        <v>8</v>
      </c>
      <c r="AH89" s="171">
        <v>8</v>
      </c>
      <c r="AI89" s="171"/>
      <c r="AJ89" s="171"/>
      <c r="AK89" s="417">
        <f>((SUM(F89:AJ89))/8)-(SUMIF($F$6:$AJ$6,"C.Nhật",F89:AJ89)/8)</f>
        <v>25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25</v>
      </c>
      <c r="AO89" s="423">
        <v>0</v>
      </c>
      <c r="AP89" s="428"/>
      <c r="AQ89" s="428"/>
      <c r="AR89" s="428"/>
      <c r="AS89" s="430"/>
      <c r="AT89" s="36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18"/>
      <c r="AL90" s="418"/>
      <c r="AM90" s="420"/>
      <c r="AN90" s="408"/>
      <c r="AO90" s="424"/>
      <c r="AP90" s="429"/>
      <c r="AQ90" s="429"/>
      <c r="AR90" s="429"/>
      <c r="AS90" s="431"/>
      <c r="AT90" s="36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5</v>
      </c>
      <c r="B91" s="425" t="s">
        <v>77</v>
      </c>
      <c r="C91" s="413" t="str">
        <f>VLOOKUP(B91,DS,2,0)</f>
        <v>Nguyễn Văn Bé Tư</v>
      </c>
      <c r="D91" s="415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/>
      <c r="L91" s="171">
        <v>8</v>
      </c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/>
      <c r="S91" s="171">
        <v>8</v>
      </c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/>
      <c r="Z91" s="171">
        <v>8</v>
      </c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/>
      <c r="AG91" s="171">
        <v>8</v>
      </c>
      <c r="AH91" s="171">
        <v>8</v>
      </c>
      <c r="AI91" s="171"/>
      <c r="AJ91" s="171"/>
      <c r="AK91" s="417">
        <f>((SUM(F91:AJ91))/8)-(SUMIF($F$6:$AJ$6,"C.Nhật",F91:AJ91)/8)</f>
        <v>25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25</v>
      </c>
      <c r="AO91" s="423">
        <v>0</v>
      </c>
      <c r="AP91" s="428"/>
      <c r="AQ91" s="428"/>
      <c r="AR91" s="428"/>
      <c r="AS91" s="430"/>
      <c r="AT91" s="36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18"/>
      <c r="AL92" s="418"/>
      <c r="AM92" s="420"/>
      <c r="AN92" s="408"/>
      <c r="AO92" s="424"/>
      <c r="AP92" s="429"/>
      <c r="AQ92" s="429"/>
      <c r="AR92" s="429"/>
      <c r="AS92" s="431"/>
      <c r="AT92" s="36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6</v>
      </c>
      <c r="B93" s="425" t="s">
        <v>78</v>
      </c>
      <c r="C93" s="413" t="str">
        <f>VLOOKUP(B93,DS,2,0)</f>
        <v>Dương Thanh Tuấn</v>
      </c>
      <c r="D93" s="415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/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/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/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/>
      <c r="AG93" s="171">
        <v>8</v>
      </c>
      <c r="AH93" s="171">
        <v>8</v>
      </c>
      <c r="AI93" s="171"/>
      <c r="AJ93" s="171"/>
      <c r="AK93" s="417">
        <f>((SUM(F93:AJ93))/8)-(SUMIF($F$6:$AJ$6,"C.Nhật",F93:AJ93)/8)</f>
        <v>25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25</v>
      </c>
      <c r="AO93" s="423">
        <v>0</v>
      </c>
      <c r="AP93" s="428"/>
      <c r="AQ93" s="428"/>
      <c r="AR93" s="428"/>
      <c r="AS93" s="430"/>
      <c r="AT93" s="36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18"/>
      <c r="AL94" s="418"/>
      <c r="AM94" s="420"/>
      <c r="AN94" s="408"/>
      <c r="AO94" s="424"/>
      <c r="AP94" s="429"/>
      <c r="AQ94" s="429"/>
      <c r="AR94" s="429"/>
      <c r="AS94" s="431"/>
      <c r="AT94" s="36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7</v>
      </c>
      <c r="B95" s="425" t="s">
        <v>81</v>
      </c>
      <c r="C95" s="413" t="str">
        <f>VLOOKUP(B95,DS,2,0)</f>
        <v>Nguyễn Thiện Duyệt</v>
      </c>
      <c r="D95" s="415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/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/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/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/>
      <c r="AG95" s="171">
        <v>8</v>
      </c>
      <c r="AH95" s="171">
        <v>8</v>
      </c>
      <c r="AI95" s="171"/>
      <c r="AJ95" s="171"/>
      <c r="AK95" s="417">
        <f>((SUM(F95:AJ95))/8)-(SUMIF($F$6:$AJ$6,"C.Nhật",F95:AJ95)/8)</f>
        <v>25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25</v>
      </c>
      <c r="AO95" s="423">
        <v>0</v>
      </c>
      <c r="AP95" s="428"/>
      <c r="AQ95" s="428"/>
      <c r="AR95" s="428"/>
      <c r="AS95" s="430"/>
      <c r="AT95" s="36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18"/>
      <c r="AL96" s="418"/>
      <c r="AM96" s="420"/>
      <c r="AN96" s="408"/>
      <c r="AO96" s="424"/>
      <c r="AP96" s="429"/>
      <c r="AQ96" s="429"/>
      <c r="AR96" s="429"/>
      <c r="AS96" s="431"/>
      <c r="AT96" s="36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8</v>
      </c>
      <c r="B97" s="425" t="s">
        <v>192</v>
      </c>
      <c r="C97" s="413" t="str">
        <f>VLOOKUP(B97,DS,2,0)</f>
        <v>Trần Đình Thái</v>
      </c>
      <c r="D97" s="415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/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/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/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/>
      <c r="AG97" s="171">
        <v>8</v>
      </c>
      <c r="AH97" s="171">
        <v>8</v>
      </c>
      <c r="AI97" s="171"/>
      <c r="AJ97" s="171"/>
      <c r="AK97" s="417">
        <f>((SUM(F97:AJ97))/8)-(SUMIF($F$6:$AJ$6,"C.Nhật",F97:AJ97)/8)</f>
        <v>25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25</v>
      </c>
      <c r="AO97" s="423">
        <v>0</v>
      </c>
      <c r="AP97" s="428"/>
      <c r="AQ97" s="428"/>
      <c r="AR97" s="428"/>
      <c r="AS97" s="430"/>
      <c r="AT97" s="36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18"/>
      <c r="AL98" s="418"/>
      <c r="AM98" s="420"/>
      <c r="AN98" s="408"/>
      <c r="AO98" s="424"/>
      <c r="AP98" s="429"/>
      <c r="AQ98" s="429"/>
      <c r="AR98" s="429"/>
      <c r="AS98" s="431"/>
      <c r="AT98" s="36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83:AJ98 F9:AJ12 F37:AJ48 F14:AJ35 F5:AJ6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33"/>
  </sheetPr>
  <dimension ref="A1:AB143"/>
  <sheetViews>
    <sheetView tabSelected="1" topLeftCell="A7" workbookViewId="0">
      <pane xSplit="5" ySplit="4" topLeftCell="P11" activePane="bottomRight" state="frozen"/>
      <selection activeCell="A7" sqref="A7"/>
      <selection pane="topRight" activeCell="F7" sqref="F7"/>
      <selection pane="bottomLeft" activeCell="A11" sqref="A11"/>
      <selection pane="bottomRight" activeCell="V11" sqref="V11:V51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customWidth="1"/>
    <col min="9" max="22" width="10.5703125" style="2" customWidth="1"/>
    <col min="23" max="23" width="10.85546875" style="48" customWidth="1"/>
    <col min="24" max="24" width="13.28515625" style="48" customWidth="1"/>
    <col min="25" max="25" width="14.28515625" style="48" customWidth="1"/>
    <col min="26" max="26" width="11.85546875" style="48" hidden="1" customWidth="1"/>
    <col min="27" max="27" width="11.140625" style="2" hidden="1" customWidth="1"/>
    <col min="28" max="28" width="12" style="389" hidden="1" customWidth="1"/>
    <col min="29" max="16384" width="9.140625" style="2"/>
  </cols>
  <sheetData>
    <row r="1" spans="1:28" ht="15">
      <c r="A1" s="1" t="s">
        <v>181</v>
      </c>
    </row>
    <row r="2" spans="1:28" ht="15">
      <c r="A2" s="1" t="s">
        <v>182</v>
      </c>
    </row>
    <row r="3" spans="1:28" ht="15">
      <c r="A3" s="1"/>
    </row>
    <row r="4" spans="1:28">
      <c r="A4" s="109"/>
      <c r="B4" s="109"/>
    </row>
    <row r="5" spans="1:28" ht="23.25" customHeight="1">
      <c r="A5" s="398" t="s">
        <v>35</v>
      </c>
      <c r="B5" s="398"/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</row>
    <row r="6" spans="1:28" ht="23.25" customHeight="1">
      <c r="A6" s="399" t="str">
        <f>"Tháng "&amp;'CC - 01'!C4&amp;" năm 2011"</f>
        <v>Tháng  năm 2011</v>
      </c>
      <c r="B6" s="399"/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</row>
    <row r="7" spans="1:28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  <c r="AB7" s="390"/>
    </row>
    <row r="8" spans="1:28" s="1" customFormat="1" ht="20.25" customHeight="1">
      <c r="A8" s="400" t="s">
        <v>19</v>
      </c>
      <c r="B8" s="400" t="s">
        <v>3</v>
      </c>
      <c r="C8" s="400" t="s">
        <v>1</v>
      </c>
      <c r="D8" s="400" t="s">
        <v>2</v>
      </c>
      <c r="E8" s="395" t="s">
        <v>56</v>
      </c>
      <c r="F8" s="395"/>
      <c r="G8" s="395" t="s">
        <v>36</v>
      </c>
      <c r="H8" s="395"/>
      <c r="I8" s="395" t="s">
        <v>24</v>
      </c>
      <c r="J8" s="395" t="s">
        <v>33</v>
      </c>
      <c r="K8" s="395"/>
      <c r="L8" s="395"/>
      <c r="M8" s="395"/>
      <c r="N8" s="395"/>
      <c r="O8" s="395"/>
      <c r="P8" s="395"/>
      <c r="Q8" s="395"/>
      <c r="R8" s="395"/>
      <c r="S8" s="395"/>
      <c r="T8" s="395"/>
      <c r="U8" s="395"/>
      <c r="V8" s="396" t="s">
        <v>39</v>
      </c>
      <c r="W8" s="396" t="s">
        <v>23</v>
      </c>
      <c r="X8" s="396" t="s">
        <v>11</v>
      </c>
      <c r="Y8" s="107"/>
      <c r="Z8" s="107"/>
      <c r="AB8" s="391"/>
    </row>
    <row r="9" spans="1:28" s="1" customFormat="1" ht="20.25" customHeight="1">
      <c r="A9" s="400"/>
      <c r="B9" s="400"/>
      <c r="C9" s="400"/>
      <c r="D9" s="400"/>
      <c r="E9" s="292" t="s">
        <v>190</v>
      </c>
      <c r="F9" s="292">
        <v>2015</v>
      </c>
      <c r="G9" s="388" t="s">
        <v>57</v>
      </c>
      <c r="H9" s="388" t="s">
        <v>38</v>
      </c>
      <c r="I9" s="395"/>
      <c r="J9" s="388" t="s">
        <v>129</v>
      </c>
      <c r="K9" s="388" t="s">
        <v>130</v>
      </c>
      <c r="L9" s="388" t="s">
        <v>131</v>
      </c>
      <c r="M9" s="388" t="s">
        <v>132</v>
      </c>
      <c r="N9" s="388" t="s">
        <v>133</v>
      </c>
      <c r="O9" s="388" t="s">
        <v>134</v>
      </c>
      <c r="P9" s="388" t="s">
        <v>135</v>
      </c>
      <c r="Q9" s="388" t="s">
        <v>136</v>
      </c>
      <c r="R9" s="388" t="s">
        <v>137</v>
      </c>
      <c r="S9" s="388" t="s">
        <v>138</v>
      </c>
      <c r="T9" s="388" t="s">
        <v>139</v>
      </c>
      <c r="U9" s="388" t="s">
        <v>140</v>
      </c>
      <c r="V9" s="397"/>
      <c r="W9" s="397"/>
      <c r="X9" s="397"/>
      <c r="Y9" s="107"/>
      <c r="Z9" s="107"/>
      <c r="AB9" s="391"/>
    </row>
    <row r="10" spans="1:28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8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4">
        <v>4336000</v>
      </c>
      <c r="F11" s="265">
        <v>4336000</v>
      </c>
      <c r="G11" s="265">
        <v>390000</v>
      </c>
      <c r="H11" s="265"/>
      <c r="I11" s="265"/>
      <c r="J11" s="39">
        <v>3989120</v>
      </c>
      <c r="K11" s="265">
        <v>3303619</v>
      </c>
      <c r="L11" s="265">
        <v>4175407</v>
      </c>
      <c r="M11" s="265">
        <v>4155333</v>
      </c>
      <c r="N11" s="265">
        <v>4336000</v>
      </c>
      <c r="O11" s="265">
        <v>4336000</v>
      </c>
      <c r="P11" s="265">
        <v>4336000</v>
      </c>
      <c r="Q11" s="265">
        <v>4741000</v>
      </c>
      <c r="R11" s="265">
        <v>4726000</v>
      </c>
      <c r="S11" s="265">
        <v>4726000</v>
      </c>
      <c r="T11" s="265">
        <v>4726000</v>
      </c>
      <c r="U11" s="265">
        <v>4741000</v>
      </c>
      <c r="V11" s="265">
        <f>SUM(J11:U11)</f>
        <v>52291479</v>
      </c>
      <c r="W11" s="265"/>
      <c r="X11" s="265"/>
      <c r="Y11" s="272">
        <f>E11*12</f>
        <v>52032000</v>
      </c>
      <c r="Z11" s="273">
        <v>12</v>
      </c>
      <c r="AA11" s="392">
        <f>E11*0.105</f>
        <v>455280</v>
      </c>
      <c r="AB11" s="273">
        <f>AA11*Z11</f>
        <v>5463360</v>
      </c>
    </row>
    <row r="12" spans="1:28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4">
        <v>4056000</v>
      </c>
      <c r="F12" s="265">
        <v>4056000</v>
      </c>
      <c r="G12" s="265">
        <v>390000</v>
      </c>
      <c r="H12" s="265"/>
      <c r="I12" s="265"/>
      <c r="J12" s="265">
        <v>3893760</v>
      </c>
      <c r="K12" s="265">
        <v>3090286</v>
      </c>
      <c r="L12" s="265">
        <v>3755556</v>
      </c>
      <c r="M12" s="265">
        <v>3887000</v>
      </c>
      <c r="N12" s="265">
        <v>4056000</v>
      </c>
      <c r="O12" s="265">
        <v>4056000</v>
      </c>
      <c r="P12" s="265">
        <v>4056000</v>
      </c>
      <c r="Q12" s="265">
        <v>4461000</v>
      </c>
      <c r="R12" s="265">
        <v>4446000</v>
      </c>
      <c r="S12" s="265">
        <v>4446000</v>
      </c>
      <c r="T12" s="265">
        <v>4446000</v>
      </c>
      <c r="U12" s="265">
        <v>4461000</v>
      </c>
      <c r="V12" s="265">
        <f t="shared" ref="V12:V51" si="1">SUM(J12:U12)</f>
        <v>49054602</v>
      </c>
      <c r="W12" s="265"/>
      <c r="X12" s="265"/>
      <c r="Y12" s="272">
        <f t="shared" ref="Y12:Y51" si="2">E12*12</f>
        <v>48672000</v>
      </c>
      <c r="Z12" s="273">
        <v>12</v>
      </c>
      <c r="AA12" s="392">
        <f t="shared" ref="AA12:AA50" si="3">E12*0.105</f>
        <v>425880</v>
      </c>
      <c r="AB12" s="273">
        <f t="shared" ref="AB12:AB51" si="4">AA12*Z12</f>
        <v>5110560</v>
      </c>
    </row>
    <row r="13" spans="1:28" s="279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5">
        <v>10851000</v>
      </c>
      <c r="F13" s="277">
        <v>10851000</v>
      </c>
      <c r="G13" s="277">
        <v>390000</v>
      </c>
      <c r="H13" s="277"/>
      <c r="I13" s="277"/>
      <c r="J13" s="277">
        <v>8680800</v>
      </c>
      <c r="K13" s="277">
        <v>8784143</v>
      </c>
      <c r="L13" s="277">
        <v>9243444</v>
      </c>
      <c r="M13" s="277">
        <v>9494625</v>
      </c>
      <c r="N13" s="277">
        <v>8680800</v>
      </c>
      <c r="O13" s="277">
        <v>9181615</v>
      </c>
      <c r="P13" s="277">
        <v>9511615</v>
      </c>
      <c r="Q13" s="277">
        <v>9588444</v>
      </c>
      <c r="R13" s="277">
        <v>9943962</v>
      </c>
      <c r="S13" s="277">
        <v>9943962</v>
      </c>
      <c r="T13" s="277">
        <v>9943962</v>
      </c>
      <c r="U13" s="277">
        <v>9943962</v>
      </c>
      <c r="V13" s="265">
        <f t="shared" si="1"/>
        <v>112941334</v>
      </c>
      <c r="W13" s="277"/>
      <c r="X13" s="277"/>
      <c r="Y13" s="272">
        <f t="shared" si="2"/>
        <v>130212000</v>
      </c>
      <c r="Z13" s="278">
        <v>12</v>
      </c>
      <c r="AA13" s="392">
        <f t="shared" si="3"/>
        <v>1139355</v>
      </c>
      <c r="AB13" s="273">
        <f t="shared" si="4"/>
        <v>13672260</v>
      </c>
    </row>
    <row r="14" spans="1:28" s="279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5">
        <v>4895000</v>
      </c>
      <c r="F14" s="277">
        <v>4895000</v>
      </c>
      <c r="G14" s="277">
        <v>390000</v>
      </c>
      <c r="H14" s="277"/>
      <c r="I14" s="277"/>
      <c r="J14" s="277">
        <v>4895000</v>
      </c>
      <c r="K14" s="277">
        <v>3962619</v>
      </c>
      <c r="L14" s="277">
        <v>4895000</v>
      </c>
      <c r="M14" s="277">
        <v>4691042</v>
      </c>
      <c r="N14" s="277">
        <v>4895000</v>
      </c>
      <c r="O14" s="277">
        <v>4895000</v>
      </c>
      <c r="P14" s="277">
        <v>5285000</v>
      </c>
      <c r="Q14" s="277">
        <v>5300000</v>
      </c>
      <c r="R14" s="277">
        <v>5285000</v>
      </c>
      <c r="S14" s="277">
        <v>5285000</v>
      </c>
      <c r="T14" s="277">
        <v>5081731</v>
      </c>
      <c r="U14" s="277">
        <v>5081731</v>
      </c>
      <c r="V14" s="265">
        <f t="shared" si="1"/>
        <v>59552123</v>
      </c>
      <c r="W14" s="277"/>
      <c r="X14" s="277"/>
      <c r="Y14" s="272">
        <f t="shared" si="2"/>
        <v>58740000</v>
      </c>
      <c r="Z14" s="278">
        <v>12</v>
      </c>
      <c r="AA14" s="392">
        <f t="shared" si="3"/>
        <v>513975</v>
      </c>
      <c r="AB14" s="273">
        <f t="shared" si="4"/>
        <v>6167700</v>
      </c>
    </row>
    <row r="15" spans="1:28" s="279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5">
        <v>4895000</v>
      </c>
      <c r="F15" s="277">
        <v>4895000</v>
      </c>
      <c r="G15" s="277">
        <v>390000</v>
      </c>
      <c r="H15" s="277"/>
      <c r="I15" s="277"/>
      <c r="J15" s="277">
        <v>4699200</v>
      </c>
      <c r="K15" s="277">
        <v>3962619</v>
      </c>
      <c r="L15" s="277">
        <v>4895000</v>
      </c>
      <c r="M15" s="277">
        <v>4691042</v>
      </c>
      <c r="N15" s="277">
        <v>4895000</v>
      </c>
      <c r="O15" s="277">
        <v>4895000</v>
      </c>
      <c r="P15" s="277">
        <v>5285000</v>
      </c>
      <c r="Q15" s="277">
        <v>5300000</v>
      </c>
      <c r="R15" s="277">
        <v>5285000</v>
      </c>
      <c r="S15" s="277">
        <v>5285000</v>
      </c>
      <c r="T15" s="277">
        <v>5081731</v>
      </c>
      <c r="U15" s="277">
        <v>5081731</v>
      </c>
      <c r="V15" s="265">
        <f t="shared" si="1"/>
        <v>59356323</v>
      </c>
      <c r="W15" s="277"/>
      <c r="X15" s="277"/>
      <c r="Y15" s="272">
        <f t="shared" si="2"/>
        <v>58740000</v>
      </c>
      <c r="Z15" s="278">
        <v>12</v>
      </c>
      <c r="AA15" s="392">
        <f t="shared" si="3"/>
        <v>513975</v>
      </c>
      <c r="AB15" s="273">
        <f t="shared" si="4"/>
        <v>6167700</v>
      </c>
    </row>
    <row r="16" spans="1:28" s="279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5">
        <v>4336000</v>
      </c>
      <c r="F16" s="277">
        <v>4336000</v>
      </c>
      <c r="G16" s="277">
        <v>390000</v>
      </c>
      <c r="H16" s="277"/>
      <c r="I16" s="277"/>
      <c r="J16" s="277">
        <v>4336000</v>
      </c>
      <c r="K16" s="277">
        <v>3716571</v>
      </c>
      <c r="L16" s="277">
        <v>4175407</v>
      </c>
      <c r="M16" s="277">
        <v>4155333</v>
      </c>
      <c r="N16" s="277">
        <v>4336000</v>
      </c>
      <c r="O16" s="277">
        <v>4336000</v>
      </c>
      <c r="P16" s="277">
        <v>4726000</v>
      </c>
      <c r="Q16" s="277">
        <v>4741000</v>
      </c>
      <c r="R16" s="277">
        <v>4726000</v>
      </c>
      <c r="S16" s="277">
        <v>4726000</v>
      </c>
      <c r="T16" s="277">
        <v>4544231</v>
      </c>
      <c r="U16" s="277">
        <v>4544231</v>
      </c>
      <c r="V16" s="265">
        <f t="shared" si="1"/>
        <v>53062773</v>
      </c>
      <c r="W16" s="277"/>
      <c r="X16" s="277"/>
      <c r="Y16" s="272">
        <f t="shared" si="2"/>
        <v>52032000</v>
      </c>
      <c r="Z16" s="278">
        <v>12</v>
      </c>
      <c r="AA16" s="392">
        <f t="shared" si="3"/>
        <v>455280</v>
      </c>
      <c r="AB16" s="273">
        <f t="shared" si="4"/>
        <v>5463360</v>
      </c>
    </row>
    <row r="17" spans="1:28" s="279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5">
        <v>3496000</v>
      </c>
      <c r="F17" s="277">
        <v>3496000</v>
      </c>
      <c r="G17" s="277">
        <v>390000</v>
      </c>
      <c r="H17" s="277"/>
      <c r="I17" s="277"/>
      <c r="J17" s="277">
        <v>3216320</v>
      </c>
      <c r="K17" s="277">
        <v>2830095</v>
      </c>
      <c r="L17" s="277">
        <v>3366519</v>
      </c>
      <c r="M17" s="277">
        <v>3350333</v>
      </c>
      <c r="N17" s="277">
        <v>3496000</v>
      </c>
      <c r="O17" s="277">
        <v>3496000</v>
      </c>
      <c r="P17" s="277">
        <v>3886000</v>
      </c>
      <c r="Q17" s="277">
        <v>3901000</v>
      </c>
      <c r="R17" s="277">
        <v>3886000</v>
      </c>
      <c r="S17" s="277">
        <v>3886000</v>
      </c>
      <c r="T17" s="277">
        <v>3736538</v>
      </c>
      <c r="U17" s="277">
        <v>3736538</v>
      </c>
      <c r="V17" s="265">
        <f t="shared" si="1"/>
        <v>42787343</v>
      </c>
      <c r="W17" s="277"/>
      <c r="X17" s="277"/>
      <c r="Y17" s="272">
        <f t="shared" si="2"/>
        <v>41952000</v>
      </c>
      <c r="Z17" s="278">
        <v>12</v>
      </c>
      <c r="AA17" s="392">
        <f t="shared" si="3"/>
        <v>367080</v>
      </c>
      <c r="AB17" s="273">
        <f t="shared" si="4"/>
        <v>4404960</v>
      </c>
    </row>
    <row r="18" spans="1:28" s="279" customFormat="1" ht="21.75" customHeight="1">
      <c r="A18" s="271">
        <f t="shared" si="0"/>
        <v>8</v>
      </c>
      <c r="B18" s="271" t="s">
        <v>78</v>
      </c>
      <c r="C18" s="276" t="s">
        <v>174</v>
      </c>
      <c r="D18" s="280" t="s">
        <v>83</v>
      </c>
      <c r="E18" s="325">
        <v>4056000</v>
      </c>
      <c r="F18" s="277">
        <v>4056000</v>
      </c>
      <c r="G18" s="277">
        <v>390000</v>
      </c>
      <c r="H18" s="277"/>
      <c r="I18" s="277"/>
      <c r="J18" s="277">
        <v>3731520</v>
      </c>
      <c r="K18" s="277">
        <v>3090286</v>
      </c>
      <c r="L18" s="277">
        <v>3755556</v>
      </c>
      <c r="M18" s="277">
        <v>3887000</v>
      </c>
      <c r="N18" s="277">
        <v>4056000</v>
      </c>
      <c r="O18" s="277">
        <v>4056000</v>
      </c>
      <c r="P18" s="277">
        <v>4446000</v>
      </c>
      <c r="Q18" s="277">
        <v>4461000</v>
      </c>
      <c r="R18" s="277">
        <v>4446000</v>
      </c>
      <c r="S18" s="277">
        <v>4446000</v>
      </c>
      <c r="T18" s="277">
        <v>4275000</v>
      </c>
      <c r="U18" s="277">
        <v>4275000</v>
      </c>
      <c r="V18" s="265">
        <f t="shared" si="1"/>
        <v>48925362</v>
      </c>
      <c r="W18" s="277"/>
      <c r="X18" s="277"/>
      <c r="Y18" s="272">
        <f t="shared" si="2"/>
        <v>48672000</v>
      </c>
      <c r="Z18" s="278">
        <v>12</v>
      </c>
      <c r="AA18" s="392">
        <f t="shared" si="3"/>
        <v>425880</v>
      </c>
      <c r="AB18" s="273">
        <f t="shared" si="4"/>
        <v>5110560</v>
      </c>
    </row>
    <row r="19" spans="1:28" s="279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5">
        <v>4840000</v>
      </c>
      <c r="F19" s="277">
        <v>4840000</v>
      </c>
      <c r="G19" s="277">
        <v>390000</v>
      </c>
      <c r="H19" s="277"/>
      <c r="I19" s="277"/>
      <c r="J19" s="277">
        <v>4452800</v>
      </c>
      <c r="K19" s="277">
        <v>3687619</v>
      </c>
      <c r="L19" s="277">
        <v>4660741</v>
      </c>
      <c r="M19" s="277">
        <v>4638333</v>
      </c>
      <c r="N19" s="277">
        <v>4840000</v>
      </c>
      <c r="O19" s="277">
        <v>4840000</v>
      </c>
      <c r="P19" s="277">
        <v>5230000</v>
      </c>
      <c r="Q19" s="277">
        <v>5245000</v>
      </c>
      <c r="R19" s="277">
        <v>5230000</v>
      </c>
      <c r="S19" s="277">
        <v>5230000</v>
      </c>
      <c r="T19" s="277">
        <v>5028846</v>
      </c>
      <c r="U19" s="277">
        <v>5028846</v>
      </c>
      <c r="V19" s="265">
        <f t="shared" si="1"/>
        <v>58112185</v>
      </c>
      <c r="W19" s="277"/>
      <c r="X19" s="277"/>
      <c r="Y19" s="272">
        <f t="shared" si="2"/>
        <v>58080000</v>
      </c>
      <c r="Z19" s="278">
        <v>12</v>
      </c>
      <c r="AA19" s="392">
        <f t="shared" si="3"/>
        <v>508200</v>
      </c>
      <c r="AB19" s="273">
        <f t="shared" si="4"/>
        <v>6098400</v>
      </c>
    </row>
    <row r="20" spans="1:28" s="279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5">
        <v>3568000</v>
      </c>
      <c r="F20" s="277"/>
      <c r="G20" s="277">
        <v>390000</v>
      </c>
      <c r="H20" s="277"/>
      <c r="I20" s="277"/>
      <c r="J20" s="277"/>
      <c r="K20" s="277"/>
      <c r="L20" s="277"/>
      <c r="M20" s="277"/>
      <c r="N20" s="277">
        <v>3568000</v>
      </c>
      <c r="O20" s="277">
        <v>3568000</v>
      </c>
      <c r="P20" s="277">
        <v>3958000</v>
      </c>
      <c r="Q20" s="277">
        <v>3973000</v>
      </c>
      <c r="R20" s="277">
        <v>3958000</v>
      </c>
      <c r="S20" s="277">
        <v>3958000</v>
      </c>
      <c r="T20" s="277">
        <v>3805769</v>
      </c>
      <c r="U20" s="277">
        <v>3805769</v>
      </c>
      <c r="V20" s="265">
        <f t="shared" si="1"/>
        <v>30594538</v>
      </c>
      <c r="W20" s="277"/>
      <c r="X20" s="277"/>
      <c r="Y20" s="272">
        <f>E20*8</f>
        <v>28544000</v>
      </c>
      <c r="Z20" s="278">
        <v>8</v>
      </c>
      <c r="AA20" s="392">
        <f t="shared" si="3"/>
        <v>374640</v>
      </c>
      <c r="AB20" s="273">
        <f t="shared" si="4"/>
        <v>2997120</v>
      </c>
    </row>
    <row r="21" spans="1:28" s="502" customFormat="1" ht="21.75" customHeight="1">
      <c r="A21" s="283">
        <f t="shared" si="0"/>
        <v>11</v>
      </c>
      <c r="B21" s="283" t="s">
        <v>84</v>
      </c>
      <c r="C21" s="284" t="s">
        <v>141</v>
      </c>
      <c r="D21" s="283" t="s">
        <v>111</v>
      </c>
      <c r="E21" s="497">
        <v>3549000</v>
      </c>
      <c r="F21" s="497">
        <v>3237000</v>
      </c>
      <c r="G21" s="497">
        <v>390000</v>
      </c>
      <c r="H21" s="497"/>
      <c r="I21" s="497"/>
      <c r="J21" s="497">
        <v>3549000</v>
      </c>
      <c r="K21" s="497">
        <v>3042000</v>
      </c>
      <c r="L21" s="497">
        <v>3549000</v>
      </c>
      <c r="M21" s="39">
        <v>3401125</v>
      </c>
      <c r="N21" s="497">
        <v>3549000</v>
      </c>
      <c r="O21" s="497">
        <v>3549000</v>
      </c>
      <c r="P21" s="497"/>
      <c r="Q21" s="497"/>
      <c r="R21" s="497"/>
      <c r="S21" s="497"/>
      <c r="T21" s="497"/>
      <c r="U21" s="497"/>
      <c r="V21" s="265">
        <f t="shared" si="1"/>
        <v>20639125</v>
      </c>
      <c r="W21" s="497"/>
      <c r="X21" s="497"/>
      <c r="Y21" s="498">
        <f>E21*6</f>
        <v>21294000</v>
      </c>
      <c r="Z21" s="499">
        <v>6</v>
      </c>
      <c r="AA21" s="500">
        <f t="shared" si="3"/>
        <v>372645</v>
      </c>
      <c r="AB21" s="501">
        <f t="shared" si="4"/>
        <v>2235870</v>
      </c>
    </row>
    <row r="22" spans="1:28" s="502" customFormat="1" ht="21.75" customHeight="1">
      <c r="A22" s="283">
        <f t="shared" si="0"/>
        <v>12</v>
      </c>
      <c r="B22" s="283" t="s">
        <v>85</v>
      </c>
      <c r="C22" s="284" t="s">
        <v>142</v>
      </c>
      <c r="D22" s="283" t="s">
        <v>111</v>
      </c>
      <c r="E22" s="497">
        <v>3317000</v>
      </c>
      <c r="F22" s="497">
        <v>2943000</v>
      </c>
      <c r="G22" s="497">
        <v>390000</v>
      </c>
      <c r="H22" s="497"/>
      <c r="I22" s="497"/>
      <c r="J22" s="497">
        <v>3317000</v>
      </c>
      <c r="K22" s="497">
        <v>2843143</v>
      </c>
      <c r="L22" s="497">
        <v>3317000</v>
      </c>
      <c r="M22" s="39">
        <v>3178792</v>
      </c>
      <c r="N22" s="497">
        <v>3317000</v>
      </c>
      <c r="O22" s="497">
        <v>3317000</v>
      </c>
      <c r="P22" s="497">
        <v>3317000</v>
      </c>
      <c r="Q22" s="497">
        <v>3722000</v>
      </c>
      <c r="R22" s="497">
        <v>3707000</v>
      </c>
      <c r="S22" s="497">
        <v>3707000</v>
      </c>
      <c r="T22" s="497">
        <v>3707000</v>
      </c>
      <c r="U22" s="497">
        <v>3722000</v>
      </c>
      <c r="V22" s="265">
        <f t="shared" si="1"/>
        <v>41171935</v>
      </c>
      <c r="W22" s="497"/>
      <c r="X22" s="497"/>
      <c r="Y22" s="498">
        <f t="shared" si="2"/>
        <v>39804000</v>
      </c>
      <c r="Z22" s="499">
        <v>12</v>
      </c>
      <c r="AA22" s="500">
        <f t="shared" si="3"/>
        <v>348285</v>
      </c>
      <c r="AB22" s="501">
        <f t="shared" si="4"/>
        <v>4179420</v>
      </c>
    </row>
    <row r="23" spans="1:28" s="502" customFormat="1" ht="21.75" customHeight="1">
      <c r="A23" s="283">
        <f t="shared" si="0"/>
        <v>13</v>
      </c>
      <c r="B23" s="283" t="s">
        <v>86</v>
      </c>
      <c r="C23" s="284" t="s">
        <v>143</v>
      </c>
      <c r="D23" s="283" t="s">
        <v>111</v>
      </c>
      <c r="E23" s="497">
        <v>3317000</v>
      </c>
      <c r="F23" s="497">
        <v>2943000</v>
      </c>
      <c r="G23" s="497">
        <v>390000</v>
      </c>
      <c r="H23" s="497"/>
      <c r="I23" s="497"/>
      <c r="J23" s="497">
        <v>3184320</v>
      </c>
      <c r="K23" s="497">
        <v>2843143</v>
      </c>
      <c r="L23" s="497">
        <v>3317000</v>
      </c>
      <c r="M23" s="39">
        <v>3178792</v>
      </c>
      <c r="N23" s="497">
        <v>3317000</v>
      </c>
      <c r="O23" s="497">
        <v>3317000</v>
      </c>
      <c r="P23" s="497">
        <v>3317000</v>
      </c>
      <c r="Q23" s="497">
        <v>3722000</v>
      </c>
      <c r="R23" s="497">
        <v>3707000</v>
      </c>
      <c r="S23" s="497">
        <v>3707000</v>
      </c>
      <c r="T23" s="497">
        <v>3707000</v>
      </c>
      <c r="U23" s="497">
        <v>3722000</v>
      </c>
      <c r="V23" s="265">
        <f t="shared" si="1"/>
        <v>41039255</v>
      </c>
      <c r="W23" s="497"/>
      <c r="X23" s="497"/>
      <c r="Y23" s="498">
        <f t="shared" si="2"/>
        <v>39804000</v>
      </c>
      <c r="Z23" s="499">
        <v>12</v>
      </c>
      <c r="AA23" s="500">
        <f t="shared" si="3"/>
        <v>348285</v>
      </c>
      <c r="AB23" s="501">
        <f t="shared" si="4"/>
        <v>4179420</v>
      </c>
    </row>
    <row r="24" spans="1:28" s="502" customFormat="1" ht="21.75" customHeight="1">
      <c r="A24" s="283">
        <f t="shared" si="0"/>
        <v>14</v>
      </c>
      <c r="B24" s="283" t="s">
        <v>87</v>
      </c>
      <c r="C24" s="284" t="s">
        <v>144</v>
      </c>
      <c r="D24" s="283" t="s">
        <v>111</v>
      </c>
      <c r="E24" s="497">
        <v>3317000</v>
      </c>
      <c r="F24" s="497">
        <v>2943000</v>
      </c>
      <c r="G24" s="497">
        <v>390000</v>
      </c>
      <c r="H24" s="497"/>
      <c r="I24" s="497"/>
      <c r="J24" s="497">
        <v>3184320</v>
      </c>
      <c r="K24" s="497">
        <v>2527238</v>
      </c>
      <c r="L24" s="497">
        <v>3194148</v>
      </c>
      <c r="M24" s="39">
        <v>3178792</v>
      </c>
      <c r="N24" s="497">
        <v>3317000</v>
      </c>
      <c r="O24" s="497">
        <v>3317000</v>
      </c>
      <c r="P24" s="497">
        <v>3317000</v>
      </c>
      <c r="Q24" s="497">
        <v>3722000</v>
      </c>
      <c r="R24" s="497">
        <v>3707000</v>
      </c>
      <c r="S24" s="497">
        <v>3707000</v>
      </c>
      <c r="T24" s="497">
        <v>3707000</v>
      </c>
      <c r="U24" s="497">
        <v>3722000</v>
      </c>
      <c r="V24" s="265">
        <f t="shared" si="1"/>
        <v>40600498</v>
      </c>
      <c r="W24" s="497"/>
      <c r="X24" s="497"/>
      <c r="Y24" s="498">
        <f t="shared" si="2"/>
        <v>39804000</v>
      </c>
      <c r="Z24" s="499">
        <v>12</v>
      </c>
      <c r="AA24" s="500">
        <f t="shared" si="3"/>
        <v>348285</v>
      </c>
      <c r="AB24" s="501">
        <f t="shared" si="4"/>
        <v>4179420</v>
      </c>
    </row>
    <row r="25" spans="1:28" s="502" customFormat="1" ht="21.75" customHeight="1">
      <c r="A25" s="283">
        <f t="shared" si="0"/>
        <v>15</v>
      </c>
      <c r="B25" s="283" t="s">
        <v>88</v>
      </c>
      <c r="C25" s="284" t="s">
        <v>145</v>
      </c>
      <c r="D25" s="283" t="s">
        <v>111</v>
      </c>
      <c r="E25" s="497">
        <v>3317000</v>
      </c>
      <c r="F25" s="497">
        <v>2943000</v>
      </c>
      <c r="G25" s="497">
        <v>390000</v>
      </c>
      <c r="H25" s="497"/>
      <c r="I25" s="497"/>
      <c r="J25" s="497">
        <v>3051640</v>
      </c>
      <c r="K25" s="497">
        <v>2685190</v>
      </c>
      <c r="L25" s="497">
        <v>3194148</v>
      </c>
      <c r="M25" s="39">
        <v>3178792</v>
      </c>
      <c r="N25" s="497">
        <v>3317000</v>
      </c>
      <c r="S25" s="497"/>
      <c r="V25" s="265">
        <f t="shared" si="1"/>
        <v>15426770</v>
      </c>
      <c r="W25" s="497"/>
      <c r="X25" s="497"/>
      <c r="Y25" s="498">
        <f>E25*5</f>
        <v>16585000</v>
      </c>
      <c r="Z25" s="499">
        <v>5</v>
      </c>
      <c r="AA25" s="500">
        <f t="shared" si="3"/>
        <v>348285</v>
      </c>
      <c r="AB25" s="501">
        <f t="shared" si="4"/>
        <v>1741425</v>
      </c>
    </row>
    <row r="26" spans="1:28" s="502" customFormat="1" ht="21.75" customHeight="1">
      <c r="A26" s="283">
        <f t="shared" si="0"/>
        <v>16</v>
      </c>
      <c r="B26" s="283" t="s">
        <v>89</v>
      </c>
      <c r="C26" s="284" t="s">
        <v>146</v>
      </c>
      <c r="D26" s="283" t="s">
        <v>111</v>
      </c>
      <c r="E26" s="497">
        <v>3317000</v>
      </c>
      <c r="F26" s="497">
        <v>2943000</v>
      </c>
      <c r="G26" s="497">
        <v>390000</v>
      </c>
      <c r="H26" s="497"/>
      <c r="I26" s="497"/>
      <c r="J26" s="497">
        <v>3184320</v>
      </c>
      <c r="K26" s="497"/>
      <c r="L26" s="497"/>
      <c r="S26" s="497"/>
      <c r="V26" s="265">
        <f t="shared" si="1"/>
        <v>3184320</v>
      </c>
      <c r="W26" s="497"/>
      <c r="X26" s="497"/>
      <c r="Y26" s="498">
        <f>E26*1</f>
        <v>3317000</v>
      </c>
      <c r="Z26" s="499">
        <v>1</v>
      </c>
      <c r="AA26" s="500">
        <f t="shared" si="3"/>
        <v>348285</v>
      </c>
      <c r="AB26" s="501">
        <f t="shared" si="4"/>
        <v>348285</v>
      </c>
    </row>
    <row r="27" spans="1:28" s="502" customFormat="1" ht="21.75" customHeight="1">
      <c r="A27" s="283">
        <f t="shared" si="0"/>
        <v>17</v>
      </c>
      <c r="B27" s="283" t="s">
        <v>90</v>
      </c>
      <c r="C27" s="284" t="s">
        <v>147</v>
      </c>
      <c r="D27" s="283" t="s">
        <v>111</v>
      </c>
      <c r="E27" s="497">
        <v>3317000</v>
      </c>
      <c r="F27" s="497">
        <v>2943000</v>
      </c>
      <c r="G27" s="497">
        <v>390000</v>
      </c>
      <c r="H27" s="497"/>
      <c r="I27" s="497"/>
      <c r="J27" s="497">
        <v>3317000</v>
      </c>
      <c r="K27" s="497">
        <v>2843143</v>
      </c>
      <c r="L27" s="497">
        <v>3317000</v>
      </c>
      <c r="M27" s="39">
        <v>3178792</v>
      </c>
      <c r="N27" s="497">
        <v>3317000</v>
      </c>
      <c r="S27" s="497"/>
      <c r="V27" s="265">
        <f t="shared" si="1"/>
        <v>15972935</v>
      </c>
      <c r="W27" s="497"/>
      <c r="X27" s="497"/>
      <c r="Y27" s="498">
        <f>E27*5</f>
        <v>16585000</v>
      </c>
      <c r="Z27" s="499">
        <v>5</v>
      </c>
      <c r="AA27" s="500">
        <f t="shared" si="3"/>
        <v>348285</v>
      </c>
      <c r="AB27" s="501">
        <f t="shared" si="4"/>
        <v>1741425</v>
      </c>
    </row>
    <row r="28" spans="1:28" s="502" customFormat="1" ht="21.75" customHeight="1">
      <c r="A28" s="283">
        <f t="shared" si="0"/>
        <v>18</v>
      </c>
      <c r="B28" s="283" t="s">
        <v>91</v>
      </c>
      <c r="C28" s="284" t="s">
        <v>148</v>
      </c>
      <c r="D28" s="283" t="s">
        <v>111</v>
      </c>
      <c r="E28" s="497">
        <v>3317000</v>
      </c>
      <c r="F28" s="497">
        <v>2943000</v>
      </c>
      <c r="G28" s="497">
        <v>390000</v>
      </c>
      <c r="H28" s="497"/>
      <c r="I28" s="497"/>
      <c r="J28" s="497">
        <v>3317000</v>
      </c>
      <c r="K28" s="497">
        <v>2527238</v>
      </c>
      <c r="L28" s="497">
        <v>3194148</v>
      </c>
      <c r="M28" s="39">
        <v>3178792</v>
      </c>
      <c r="N28" s="497">
        <v>3317000</v>
      </c>
      <c r="O28" s="497">
        <v>3317000</v>
      </c>
      <c r="P28" s="497">
        <v>3317000</v>
      </c>
      <c r="Q28" s="497">
        <v>3722000</v>
      </c>
      <c r="R28" s="497">
        <v>3707000</v>
      </c>
      <c r="S28" s="497">
        <v>3707000</v>
      </c>
      <c r="T28" s="497">
        <v>3707000</v>
      </c>
      <c r="U28" s="497">
        <v>3722000</v>
      </c>
      <c r="V28" s="265">
        <f t="shared" si="1"/>
        <v>40733178</v>
      </c>
      <c r="W28" s="497"/>
      <c r="X28" s="497"/>
      <c r="Y28" s="498">
        <f t="shared" si="2"/>
        <v>39804000</v>
      </c>
      <c r="Z28" s="499">
        <v>12</v>
      </c>
      <c r="AA28" s="500">
        <f t="shared" si="3"/>
        <v>348285</v>
      </c>
      <c r="AB28" s="501">
        <f t="shared" si="4"/>
        <v>4179420</v>
      </c>
    </row>
    <row r="29" spans="1:28" s="502" customFormat="1" ht="21.75" customHeight="1">
      <c r="A29" s="283">
        <f t="shared" si="0"/>
        <v>19</v>
      </c>
      <c r="B29" s="283" t="s">
        <v>92</v>
      </c>
      <c r="C29" s="284" t="s">
        <v>149</v>
      </c>
      <c r="D29" s="283" t="s">
        <v>111</v>
      </c>
      <c r="E29" s="497">
        <v>3317000</v>
      </c>
      <c r="F29" s="497">
        <v>2943000</v>
      </c>
      <c r="G29" s="497">
        <v>390000</v>
      </c>
      <c r="H29" s="497"/>
      <c r="I29" s="497"/>
      <c r="J29" s="497">
        <v>3317000</v>
      </c>
      <c r="K29" s="497">
        <v>2843143</v>
      </c>
      <c r="L29" s="497">
        <v>3071296</v>
      </c>
      <c r="M29" s="39">
        <v>3178792</v>
      </c>
      <c r="N29" s="497">
        <v>3317000</v>
      </c>
      <c r="O29" s="497">
        <v>3317000</v>
      </c>
      <c r="P29" s="497">
        <v>3317000</v>
      </c>
      <c r="Q29" s="497">
        <v>3722000</v>
      </c>
      <c r="R29" s="497">
        <v>3707000</v>
      </c>
      <c r="S29" s="497">
        <v>3707000</v>
      </c>
      <c r="T29" s="497">
        <v>3707000</v>
      </c>
      <c r="U29" s="497">
        <v>3722000</v>
      </c>
      <c r="V29" s="265">
        <f t="shared" si="1"/>
        <v>40926231</v>
      </c>
      <c r="W29" s="497"/>
      <c r="X29" s="497"/>
      <c r="Y29" s="498">
        <f t="shared" si="2"/>
        <v>39804000</v>
      </c>
      <c r="Z29" s="499">
        <v>12</v>
      </c>
      <c r="AA29" s="500">
        <f t="shared" si="3"/>
        <v>348285</v>
      </c>
      <c r="AB29" s="501">
        <f t="shared" si="4"/>
        <v>4179420</v>
      </c>
    </row>
    <row r="30" spans="1:28" s="502" customFormat="1" ht="21.75" customHeight="1">
      <c r="A30" s="283">
        <f t="shared" si="0"/>
        <v>20</v>
      </c>
      <c r="B30" s="283" t="s">
        <v>93</v>
      </c>
      <c r="C30" s="284" t="s">
        <v>150</v>
      </c>
      <c r="D30" s="283" t="s">
        <v>111</v>
      </c>
      <c r="E30" s="497">
        <v>3317000</v>
      </c>
      <c r="F30" s="497">
        <v>2943000</v>
      </c>
      <c r="G30" s="497">
        <v>390000</v>
      </c>
      <c r="H30" s="497"/>
      <c r="I30" s="497"/>
      <c r="J30" s="497">
        <v>3051640</v>
      </c>
      <c r="K30" s="497">
        <v>2843143</v>
      </c>
      <c r="L30" s="497">
        <v>3317000</v>
      </c>
      <c r="M30" s="39">
        <v>3178792</v>
      </c>
      <c r="N30" s="497">
        <v>3317000</v>
      </c>
      <c r="O30" s="497">
        <v>3317000</v>
      </c>
      <c r="P30" s="497">
        <v>3317000</v>
      </c>
      <c r="S30" s="497"/>
      <c r="V30" s="265">
        <f t="shared" si="1"/>
        <v>22341575</v>
      </c>
      <c r="W30" s="497"/>
      <c r="X30" s="497"/>
      <c r="Y30" s="498">
        <f>E30*7</f>
        <v>23219000</v>
      </c>
      <c r="Z30" s="499">
        <v>7</v>
      </c>
      <c r="AA30" s="500">
        <f t="shared" si="3"/>
        <v>348285</v>
      </c>
      <c r="AB30" s="501">
        <f t="shared" si="4"/>
        <v>2437995</v>
      </c>
    </row>
    <row r="31" spans="1:28" s="502" customFormat="1" ht="21.75" customHeight="1">
      <c r="A31" s="283">
        <f t="shared" si="0"/>
        <v>21</v>
      </c>
      <c r="B31" s="283" t="s">
        <v>94</v>
      </c>
      <c r="C31" s="284" t="s">
        <v>151</v>
      </c>
      <c r="D31" s="283" t="s">
        <v>111</v>
      </c>
      <c r="E31" s="497">
        <v>3317000</v>
      </c>
      <c r="F31" s="497">
        <v>2943000</v>
      </c>
      <c r="G31" s="497">
        <v>390000</v>
      </c>
      <c r="H31" s="497"/>
      <c r="I31" s="497"/>
      <c r="J31" s="497">
        <v>3184320</v>
      </c>
      <c r="K31" s="497">
        <v>2843143</v>
      </c>
      <c r="L31" s="497">
        <v>3071296</v>
      </c>
      <c r="M31" s="39">
        <v>3178792</v>
      </c>
      <c r="N31" s="497">
        <v>3317000</v>
      </c>
      <c r="O31" s="497">
        <v>3317000</v>
      </c>
      <c r="P31" s="497">
        <v>3317000</v>
      </c>
      <c r="Q31" s="497">
        <v>3722000</v>
      </c>
      <c r="R31" s="497">
        <v>3707000</v>
      </c>
      <c r="S31" s="497">
        <v>3707000</v>
      </c>
      <c r="T31" s="497">
        <v>3707000</v>
      </c>
      <c r="U31" s="497">
        <v>3722000</v>
      </c>
      <c r="V31" s="265">
        <f t="shared" si="1"/>
        <v>40793551</v>
      </c>
      <c r="W31" s="497"/>
      <c r="X31" s="497"/>
      <c r="Y31" s="498">
        <f t="shared" si="2"/>
        <v>39804000</v>
      </c>
      <c r="Z31" s="499">
        <v>12</v>
      </c>
      <c r="AA31" s="500">
        <f t="shared" si="3"/>
        <v>348285</v>
      </c>
      <c r="AB31" s="501">
        <f t="shared" si="4"/>
        <v>4179420</v>
      </c>
    </row>
    <row r="32" spans="1:28" s="502" customFormat="1" ht="21.75" customHeight="1">
      <c r="A32" s="283">
        <f t="shared" si="0"/>
        <v>22</v>
      </c>
      <c r="B32" s="283" t="s">
        <v>95</v>
      </c>
      <c r="C32" s="284" t="s">
        <v>153</v>
      </c>
      <c r="D32" s="283" t="s">
        <v>111</v>
      </c>
      <c r="E32" s="497">
        <v>3317000</v>
      </c>
      <c r="F32" s="497">
        <v>2943000</v>
      </c>
      <c r="G32" s="497">
        <v>390000</v>
      </c>
      <c r="H32" s="497"/>
      <c r="I32" s="497"/>
      <c r="J32" s="497">
        <v>3317000</v>
      </c>
      <c r="K32" s="497">
        <v>2685190</v>
      </c>
      <c r="L32" s="497">
        <v>3317000</v>
      </c>
      <c r="M32" s="39">
        <v>3178792</v>
      </c>
      <c r="N32" s="497">
        <v>3317000</v>
      </c>
      <c r="O32" s="497"/>
      <c r="P32" s="497"/>
      <c r="S32" s="497"/>
      <c r="V32" s="265">
        <f t="shared" si="1"/>
        <v>15814982</v>
      </c>
      <c r="W32" s="497"/>
      <c r="X32" s="497"/>
      <c r="Y32" s="498">
        <f>E32*5</f>
        <v>16585000</v>
      </c>
      <c r="Z32" s="499">
        <v>5</v>
      </c>
      <c r="AA32" s="500">
        <f t="shared" si="3"/>
        <v>348285</v>
      </c>
      <c r="AB32" s="501">
        <f t="shared" si="4"/>
        <v>1741425</v>
      </c>
    </row>
    <row r="33" spans="1:28" s="502" customFormat="1" ht="21.75" customHeight="1">
      <c r="A33" s="283">
        <f t="shared" si="0"/>
        <v>23</v>
      </c>
      <c r="B33" s="283" t="s">
        <v>96</v>
      </c>
      <c r="C33" s="284" t="s">
        <v>154</v>
      </c>
      <c r="D33" s="283" t="s">
        <v>111</v>
      </c>
      <c r="E33" s="497">
        <v>3317000</v>
      </c>
      <c r="F33" s="497">
        <v>2943000</v>
      </c>
      <c r="G33" s="497">
        <v>390000</v>
      </c>
      <c r="H33" s="497"/>
      <c r="I33" s="497"/>
      <c r="J33" s="497">
        <v>3317000</v>
      </c>
      <c r="K33" s="497">
        <v>2527238</v>
      </c>
      <c r="L33" s="497">
        <v>3317000</v>
      </c>
      <c r="M33" s="39">
        <v>3178792</v>
      </c>
      <c r="N33" s="497">
        <v>3317000</v>
      </c>
      <c r="O33" s="497">
        <v>3317000</v>
      </c>
      <c r="P33" s="497"/>
      <c r="S33" s="497"/>
      <c r="V33" s="265">
        <f t="shared" si="1"/>
        <v>18974030</v>
      </c>
      <c r="W33" s="497"/>
      <c r="X33" s="497"/>
      <c r="Y33" s="498">
        <f>E33*6</f>
        <v>19902000</v>
      </c>
      <c r="Z33" s="499">
        <v>6</v>
      </c>
      <c r="AA33" s="500">
        <f t="shared" si="3"/>
        <v>348285</v>
      </c>
      <c r="AB33" s="501">
        <f t="shared" si="4"/>
        <v>2089710</v>
      </c>
    </row>
    <row r="34" spans="1:28" s="502" customFormat="1" ht="21.75" customHeight="1">
      <c r="A34" s="283">
        <f t="shared" si="0"/>
        <v>24</v>
      </c>
      <c r="B34" s="283" t="s">
        <v>97</v>
      </c>
      <c r="C34" s="284" t="s">
        <v>155</v>
      </c>
      <c r="D34" s="283" t="s">
        <v>111</v>
      </c>
      <c r="E34" s="497">
        <v>3317000</v>
      </c>
      <c r="F34" s="497">
        <v>2943000</v>
      </c>
      <c r="G34" s="497">
        <v>390000</v>
      </c>
      <c r="H34" s="497"/>
      <c r="I34" s="497"/>
      <c r="J34" s="497">
        <v>3317000</v>
      </c>
      <c r="K34" s="497">
        <v>2843143</v>
      </c>
      <c r="L34" s="497">
        <v>3317000</v>
      </c>
      <c r="M34" s="39">
        <v>3178792</v>
      </c>
      <c r="S34" s="497"/>
      <c r="V34" s="265">
        <f t="shared" si="1"/>
        <v>12655935</v>
      </c>
      <c r="W34" s="497"/>
      <c r="X34" s="497"/>
      <c r="Y34" s="498">
        <f>E34*4</f>
        <v>13268000</v>
      </c>
      <c r="Z34" s="499">
        <v>4</v>
      </c>
      <c r="AA34" s="500">
        <f t="shared" si="3"/>
        <v>348285</v>
      </c>
      <c r="AB34" s="501">
        <f t="shared" si="4"/>
        <v>1393140</v>
      </c>
    </row>
    <row r="35" spans="1:28" s="502" customFormat="1" ht="21.75" customHeight="1">
      <c r="A35" s="283">
        <f t="shared" si="0"/>
        <v>25</v>
      </c>
      <c r="B35" s="283" t="s">
        <v>98</v>
      </c>
      <c r="C35" s="284" t="s">
        <v>156</v>
      </c>
      <c r="D35" s="283" t="s">
        <v>111</v>
      </c>
      <c r="E35" s="497">
        <v>3317000</v>
      </c>
      <c r="F35" s="497">
        <v>2943000</v>
      </c>
      <c r="G35" s="497">
        <v>390000</v>
      </c>
      <c r="H35" s="497"/>
      <c r="I35" s="497"/>
      <c r="J35" s="497">
        <v>3184320</v>
      </c>
      <c r="K35" s="497">
        <v>2843143</v>
      </c>
      <c r="L35" s="497">
        <v>3317000</v>
      </c>
      <c r="S35" s="497"/>
      <c r="V35" s="265">
        <f t="shared" si="1"/>
        <v>9344463</v>
      </c>
      <c r="W35" s="497"/>
      <c r="X35" s="497"/>
      <c r="Y35" s="498">
        <f>E35*3</f>
        <v>9951000</v>
      </c>
      <c r="Z35" s="499">
        <v>3</v>
      </c>
      <c r="AA35" s="500">
        <f t="shared" si="3"/>
        <v>348285</v>
      </c>
      <c r="AB35" s="501">
        <f t="shared" si="4"/>
        <v>1044855</v>
      </c>
    </row>
    <row r="36" spans="1:28" s="502" customFormat="1" ht="21.75" customHeight="1">
      <c r="A36" s="283">
        <f t="shared" si="0"/>
        <v>26</v>
      </c>
      <c r="B36" s="283" t="s">
        <v>99</v>
      </c>
      <c r="C36" s="284" t="s">
        <v>157</v>
      </c>
      <c r="D36" s="283" t="s">
        <v>111</v>
      </c>
      <c r="E36" s="497">
        <v>3317000</v>
      </c>
      <c r="F36" s="497">
        <v>2943000</v>
      </c>
      <c r="G36" s="497">
        <v>390000</v>
      </c>
      <c r="H36" s="497"/>
      <c r="I36" s="497"/>
      <c r="J36" s="497">
        <v>3317000</v>
      </c>
      <c r="K36" s="497">
        <v>2843143</v>
      </c>
      <c r="L36" s="497">
        <v>3071296</v>
      </c>
      <c r="M36" s="39">
        <v>3178792</v>
      </c>
      <c r="N36" s="497">
        <v>3317000</v>
      </c>
      <c r="S36" s="497"/>
      <c r="V36" s="265">
        <f t="shared" si="1"/>
        <v>15727231</v>
      </c>
      <c r="W36" s="497"/>
      <c r="X36" s="497"/>
      <c r="Y36" s="498">
        <f>E36*5</f>
        <v>16585000</v>
      </c>
      <c r="Z36" s="499">
        <v>5</v>
      </c>
      <c r="AA36" s="500">
        <f t="shared" si="3"/>
        <v>348285</v>
      </c>
      <c r="AB36" s="501">
        <f t="shared" si="4"/>
        <v>1741425</v>
      </c>
    </row>
    <row r="37" spans="1:28" s="502" customFormat="1" ht="21.75" customHeight="1">
      <c r="A37" s="283">
        <f t="shared" si="0"/>
        <v>27</v>
      </c>
      <c r="B37" s="283" t="s">
        <v>100</v>
      </c>
      <c r="C37" s="284" t="s">
        <v>158</v>
      </c>
      <c r="D37" s="283" t="s">
        <v>111</v>
      </c>
      <c r="E37" s="497">
        <v>3317000</v>
      </c>
      <c r="F37" s="497">
        <v>2943000</v>
      </c>
      <c r="G37" s="497">
        <v>390000</v>
      </c>
      <c r="H37" s="497"/>
      <c r="I37" s="497"/>
      <c r="J37" s="497">
        <v>3184320</v>
      </c>
      <c r="K37" s="497">
        <v>2843143</v>
      </c>
      <c r="L37" s="497">
        <v>3071296</v>
      </c>
      <c r="M37" s="39">
        <v>3178792</v>
      </c>
      <c r="N37" s="497">
        <v>3317000</v>
      </c>
      <c r="O37" s="497">
        <v>3317000</v>
      </c>
      <c r="P37" s="497">
        <v>3317000</v>
      </c>
      <c r="Q37" s="497">
        <v>3722000</v>
      </c>
      <c r="R37" s="497">
        <v>3707000</v>
      </c>
      <c r="S37" s="497">
        <v>3707000</v>
      </c>
      <c r="T37" s="497">
        <v>3707000</v>
      </c>
      <c r="U37" s="497">
        <v>3722000</v>
      </c>
      <c r="V37" s="265">
        <f t="shared" si="1"/>
        <v>40793551</v>
      </c>
      <c r="W37" s="497"/>
      <c r="X37" s="497"/>
      <c r="Y37" s="498">
        <f t="shared" si="2"/>
        <v>39804000</v>
      </c>
      <c r="Z37" s="499">
        <v>12</v>
      </c>
      <c r="AA37" s="500">
        <f t="shared" si="3"/>
        <v>348285</v>
      </c>
      <c r="AB37" s="501">
        <f t="shared" si="4"/>
        <v>4179420</v>
      </c>
    </row>
    <row r="38" spans="1:28" s="502" customFormat="1" ht="21.75" customHeight="1">
      <c r="A38" s="283">
        <f t="shared" si="0"/>
        <v>28</v>
      </c>
      <c r="B38" s="283" t="s">
        <v>101</v>
      </c>
      <c r="C38" s="284" t="s">
        <v>162</v>
      </c>
      <c r="D38" s="283" t="s">
        <v>111</v>
      </c>
      <c r="E38" s="497">
        <v>3317000</v>
      </c>
      <c r="F38" s="497">
        <v>2943000</v>
      </c>
      <c r="G38" s="497">
        <v>390000</v>
      </c>
      <c r="H38" s="497"/>
      <c r="I38" s="497"/>
      <c r="J38" s="497">
        <v>3184320</v>
      </c>
      <c r="K38" s="497">
        <v>2211333</v>
      </c>
      <c r="L38" s="497">
        <v>3317000</v>
      </c>
      <c r="M38" s="39">
        <v>3178792</v>
      </c>
      <c r="N38" s="497">
        <v>3317000</v>
      </c>
      <c r="O38" s="497">
        <v>3317000</v>
      </c>
      <c r="P38" s="497">
        <v>3317000</v>
      </c>
      <c r="Q38" s="497">
        <v>3722000</v>
      </c>
      <c r="R38" s="497">
        <v>3707000</v>
      </c>
      <c r="S38" s="497">
        <v>3707000</v>
      </c>
      <c r="T38" s="497">
        <v>3707000</v>
      </c>
      <c r="U38" s="497">
        <v>3722000</v>
      </c>
      <c r="V38" s="265">
        <f t="shared" si="1"/>
        <v>40407445</v>
      </c>
      <c r="W38" s="497"/>
      <c r="X38" s="497"/>
      <c r="Y38" s="498">
        <f t="shared" si="2"/>
        <v>39804000</v>
      </c>
      <c r="Z38" s="499">
        <v>12</v>
      </c>
      <c r="AA38" s="500">
        <f t="shared" si="3"/>
        <v>348285</v>
      </c>
      <c r="AB38" s="501">
        <f t="shared" si="4"/>
        <v>4179420</v>
      </c>
    </row>
    <row r="39" spans="1:28" s="502" customFormat="1" ht="21.75" customHeight="1">
      <c r="A39" s="283">
        <f t="shared" si="0"/>
        <v>29</v>
      </c>
      <c r="B39" s="283" t="s">
        <v>102</v>
      </c>
      <c r="C39" s="284" t="s">
        <v>164</v>
      </c>
      <c r="D39" s="283" t="s">
        <v>111</v>
      </c>
      <c r="E39" s="497">
        <v>3317000</v>
      </c>
      <c r="F39" s="497">
        <v>2943000</v>
      </c>
      <c r="G39" s="497">
        <v>390000</v>
      </c>
      <c r="H39" s="497"/>
      <c r="I39" s="497"/>
      <c r="J39" s="497">
        <v>3317000</v>
      </c>
      <c r="K39" s="497">
        <v>2843143</v>
      </c>
      <c r="L39" s="497">
        <v>3317000</v>
      </c>
      <c r="M39" s="39">
        <v>3178792</v>
      </c>
      <c r="N39" s="497">
        <v>3317000</v>
      </c>
      <c r="O39" s="497">
        <v>3317000</v>
      </c>
      <c r="P39" s="497">
        <v>3317000</v>
      </c>
      <c r="Q39" s="497">
        <v>3722000</v>
      </c>
      <c r="R39" s="497">
        <v>3707000</v>
      </c>
      <c r="S39" s="497">
        <v>3707000</v>
      </c>
      <c r="T39" s="497">
        <v>3707000</v>
      </c>
      <c r="U39" s="497">
        <v>3722000</v>
      </c>
      <c r="V39" s="265">
        <f t="shared" si="1"/>
        <v>41171935</v>
      </c>
      <c r="W39" s="497"/>
      <c r="X39" s="497"/>
      <c r="Y39" s="498">
        <f t="shared" si="2"/>
        <v>39804000</v>
      </c>
      <c r="Z39" s="499">
        <v>12</v>
      </c>
      <c r="AA39" s="500">
        <f t="shared" si="3"/>
        <v>348285</v>
      </c>
      <c r="AB39" s="501">
        <f t="shared" si="4"/>
        <v>4179420</v>
      </c>
    </row>
    <row r="40" spans="1:28" s="502" customFormat="1" ht="21.75" customHeight="1">
      <c r="A40" s="283">
        <f t="shared" si="0"/>
        <v>30</v>
      </c>
      <c r="B40" s="283" t="s">
        <v>103</v>
      </c>
      <c r="C40" s="284" t="s">
        <v>169</v>
      </c>
      <c r="D40" s="283" t="s">
        <v>111</v>
      </c>
      <c r="E40" s="497">
        <v>3317000</v>
      </c>
      <c r="F40" s="497">
        <v>2943000</v>
      </c>
      <c r="G40" s="497">
        <v>390000</v>
      </c>
      <c r="H40" s="497"/>
      <c r="I40" s="497"/>
      <c r="J40" s="497">
        <v>3184320</v>
      </c>
      <c r="K40" s="497">
        <v>2843143</v>
      </c>
      <c r="L40" s="497">
        <v>3071296</v>
      </c>
      <c r="M40" s="39">
        <v>3178792</v>
      </c>
      <c r="N40" s="497">
        <v>3317000</v>
      </c>
      <c r="O40" s="497">
        <v>3317000</v>
      </c>
      <c r="P40" s="497">
        <v>3317000</v>
      </c>
      <c r="Q40" s="497">
        <v>3722000</v>
      </c>
      <c r="R40" s="497">
        <v>3707000</v>
      </c>
      <c r="S40" s="497">
        <v>3707000</v>
      </c>
      <c r="T40" s="497">
        <v>3707000</v>
      </c>
      <c r="U40" s="497">
        <v>3722000</v>
      </c>
      <c r="V40" s="265">
        <f t="shared" si="1"/>
        <v>40793551</v>
      </c>
      <c r="W40" s="497"/>
      <c r="X40" s="497"/>
      <c r="Y40" s="498">
        <f t="shared" si="2"/>
        <v>39804000</v>
      </c>
      <c r="Z40" s="499">
        <v>12</v>
      </c>
      <c r="AA40" s="500">
        <f t="shared" si="3"/>
        <v>348285</v>
      </c>
      <c r="AB40" s="501">
        <f t="shared" si="4"/>
        <v>4179420</v>
      </c>
    </row>
    <row r="41" spans="1:28" s="502" customFormat="1" ht="21.75" customHeight="1">
      <c r="A41" s="283">
        <f t="shared" si="0"/>
        <v>31</v>
      </c>
      <c r="B41" s="283" t="s">
        <v>104</v>
      </c>
      <c r="C41" s="284" t="s">
        <v>177</v>
      </c>
      <c r="D41" s="283" t="s">
        <v>111</v>
      </c>
      <c r="E41" s="497">
        <v>3317000</v>
      </c>
      <c r="F41" s="497">
        <v>2943000</v>
      </c>
      <c r="G41" s="497">
        <v>390000</v>
      </c>
      <c r="H41" s="497"/>
      <c r="I41" s="497"/>
      <c r="J41" s="497">
        <v>3051640</v>
      </c>
      <c r="K41" s="497">
        <v>2843143</v>
      </c>
      <c r="L41" s="497">
        <v>3317000</v>
      </c>
      <c r="M41" s="39">
        <v>3178792</v>
      </c>
      <c r="N41" s="497">
        <v>3317000</v>
      </c>
      <c r="O41" s="497">
        <v>3317000</v>
      </c>
      <c r="P41" s="497">
        <v>3317000</v>
      </c>
      <c r="Q41" s="497">
        <v>3722000</v>
      </c>
      <c r="R41" s="497">
        <v>3707000</v>
      </c>
      <c r="S41" s="497">
        <v>3707000</v>
      </c>
      <c r="T41" s="497">
        <v>3707000</v>
      </c>
      <c r="U41" s="497">
        <v>3722000</v>
      </c>
      <c r="V41" s="265">
        <f t="shared" si="1"/>
        <v>40906575</v>
      </c>
      <c r="W41" s="497"/>
      <c r="X41" s="497"/>
      <c r="Y41" s="498">
        <f t="shared" si="2"/>
        <v>39804000</v>
      </c>
      <c r="Z41" s="499">
        <v>12</v>
      </c>
      <c r="AA41" s="500">
        <f t="shared" si="3"/>
        <v>348285</v>
      </c>
      <c r="AB41" s="501">
        <f t="shared" si="4"/>
        <v>4179420</v>
      </c>
    </row>
    <row r="42" spans="1:28" s="504" customFormat="1" ht="21.75" customHeight="1">
      <c r="A42" s="141">
        <f t="shared" si="0"/>
        <v>32</v>
      </c>
      <c r="B42" s="141" t="s">
        <v>113</v>
      </c>
      <c r="C42" s="89" t="s">
        <v>124</v>
      </c>
      <c r="D42" s="141" t="s">
        <v>111</v>
      </c>
      <c r="E42" s="39">
        <v>3549000</v>
      </c>
      <c r="F42" s="39">
        <v>3237000</v>
      </c>
      <c r="G42" s="39">
        <v>390000</v>
      </c>
      <c r="H42" s="39"/>
      <c r="I42" s="39"/>
      <c r="J42" s="39">
        <v>3407040</v>
      </c>
      <c r="K42" s="39">
        <v>3042000</v>
      </c>
      <c r="L42" s="39">
        <v>3549000</v>
      </c>
      <c r="M42" s="39">
        <f t="shared" ref="M42:M51" si="5">I42+K42</f>
        <v>3042000</v>
      </c>
      <c r="N42" s="39">
        <v>3549000</v>
      </c>
      <c r="O42" s="39">
        <v>3549000</v>
      </c>
      <c r="P42" s="39">
        <v>3549000</v>
      </c>
      <c r="Q42" s="39">
        <v>3909000</v>
      </c>
      <c r="R42" s="39">
        <v>3939000</v>
      </c>
      <c r="S42" s="39">
        <v>3939000</v>
      </c>
      <c r="T42" s="39">
        <v>3939000</v>
      </c>
      <c r="U42" s="39">
        <v>3954000</v>
      </c>
      <c r="V42" s="265">
        <f t="shared" si="1"/>
        <v>43367040</v>
      </c>
      <c r="W42" s="39"/>
      <c r="X42" s="39"/>
      <c r="Y42" s="498">
        <f t="shared" si="2"/>
        <v>42588000</v>
      </c>
      <c r="Z42" s="503">
        <v>12</v>
      </c>
      <c r="AA42" s="500">
        <f t="shared" si="3"/>
        <v>372645</v>
      </c>
      <c r="AB42" s="501">
        <f t="shared" si="4"/>
        <v>4471740</v>
      </c>
    </row>
    <row r="43" spans="1:28" s="504" customFormat="1" ht="21.75" customHeight="1">
      <c r="A43" s="141">
        <f t="shared" si="0"/>
        <v>33</v>
      </c>
      <c r="B43" s="141" t="s">
        <v>114</v>
      </c>
      <c r="C43" s="89" t="s">
        <v>125</v>
      </c>
      <c r="D43" s="141" t="s">
        <v>111</v>
      </c>
      <c r="E43" s="39">
        <v>3317000</v>
      </c>
      <c r="F43" s="39">
        <v>2943000</v>
      </c>
      <c r="G43" s="39">
        <v>390000</v>
      </c>
      <c r="H43" s="39"/>
      <c r="I43" s="39"/>
      <c r="J43" s="39">
        <v>3051640</v>
      </c>
      <c r="K43" s="39">
        <v>2843143</v>
      </c>
      <c r="L43" s="39">
        <v>3317000</v>
      </c>
      <c r="M43" s="39">
        <f t="shared" si="5"/>
        <v>2843143</v>
      </c>
      <c r="N43" s="39">
        <v>3317000</v>
      </c>
      <c r="O43" s="39">
        <v>3317000</v>
      </c>
      <c r="P43" s="39">
        <v>3317000</v>
      </c>
      <c r="Q43" s="39">
        <v>3677000</v>
      </c>
      <c r="R43" s="39">
        <v>3707000</v>
      </c>
      <c r="S43" s="39">
        <v>3707000</v>
      </c>
      <c r="U43" s="39"/>
      <c r="V43" s="265">
        <f t="shared" si="1"/>
        <v>33096926</v>
      </c>
      <c r="W43" s="39"/>
      <c r="X43" s="39"/>
      <c r="Y43" s="498">
        <f>E43*10</f>
        <v>33170000</v>
      </c>
      <c r="Z43" s="503">
        <v>10</v>
      </c>
      <c r="AA43" s="500">
        <f t="shared" si="3"/>
        <v>348285</v>
      </c>
      <c r="AB43" s="501">
        <f t="shared" si="4"/>
        <v>3482850</v>
      </c>
    </row>
    <row r="44" spans="1:28" s="504" customFormat="1" ht="21.75" customHeight="1">
      <c r="A44" s="141">
        <f t="shared" si="0"/>
        <v>34</v>
      </c>
      <c r="B44" s="141" t="s">
        <v>115</v>
      </c>
      <c r="C44" s="89" t="s">
        <v>126</v>
      </c>
      <c r="D44" s="141" t="s">
        <v>111</v>
      </c>
      <c r="E44" s="39">
        <v>3317000</v>
      </c>
      <c r="F44" s="39">
        <v>2943000</v>
      </c>
      <c r="G44" s="39">
        <v>390000</v>
      </c>
      <c r="H44" s="39"/>
      <c r="I44" s="39"/>
      <c r="J44" s="39">
        <v>3317000</v>
      </c>
      <c r="K44" s="39">
        <v>2685190</v>
      </c>
      <c r="L44" s="39">
        <v>3071296</v>
      </c>
      <c r="M44" s="39">
        <f t="shared" si="5"/>
        <v>2685190</v>
      </c>
      <c r="N44" s="39">
        <v>3317000</v>
      </c>
      <c r="R44" s="39"/>
      <c r="U44" s="39"/>
      <c r="V44" s="265">
        <f t="shared" si="1"/>
        <v>15075676</v>
      </c>
      <c r="W44" s="39"/>
      <c r="X44" s="39"/>
      <c r="Y44" s="498">
        <f>E44*5</f>
        <v>16585000</v>
      </c>
      <c r="Z44" s="503">
        <v>5</v>
      </c>
      <c r="AA44" s="500">
        <f t="shared" si="3"/>
        <v>348285</v>
      </c>
      <c r="AB44" s="501">
        <f t="shared" si="4"/>
        <v>1741425</v>
      </c>
    </row>
    <row r="45" spans="1:28" s="504" customFormat="1" ht="21.75" customHeight="1">
      <c r="A45" s="141">
        <f t="shared" si="0"/>
        <v>35</v>
      </c>
      <c r="B45" s="141" t="s">
        <v>116</v>
      </c>
      <c r="C45" s="89" t="s">
        <v>176</v>
      </c>
      <c r="D45" s="141" t="s">
        <v>111</v>
      </c>
      <c r="E45" s="39">
        <v>3317000</v>
      </c>
      <c r="F45" s="39">
        <v>2943000</v>
      </c>
      <c r="G45" s="39">
        <v>390000</v>
      </c>
      <c r="H45" s="39"/>
      <c r="I45" s="39"/>
      <c r="J45" s="39">
        <v>3317000</v>
      </c>
      <c r="K45" s="39">
        <v>2843143</v>
      </c>
      <c r="L45" s="39">
        <v>3317000</v>
      </c>
      <c r="M45" s="39">
        <f t="shared" si="5"/>
        <v>2843143</v>
      </c>
      <c r="R45" s="39"/>
      <c r="U45" s="39"/>
      <c r="V45" s="265">
        <f t="shared" si="1"/>
        <v>12320286</v>
      </c>
      <c r="W45" s="39"/>
      <c r="X45" s="39"/>
      <c r="Y45" s="498">
        <f>E45*4</f>
        <v>13268000</v>
      </c>
      <c r="Z45" s="503">
        <v>4</v>
      </c>
      <c r="AA45" s="500">
        <f t="shared" si="3"/>
        <v>348285</v>
      </c>
      <c r="AB45" s="501">
        <f t="shared" si="4"/>
        <v>1393140</v>
      </c>
    </row>
    <row r="46" spans="1:28" s="504" customFormat="1" ht="21.75" customHeight="1">
      <c r="A46" s="141">
        <f t="shared" si="0"/>
        <v>36</v>
      </c>
      <c r="B46" s="141" t="s">
        <v>117</v>
      </c>
      <c r="C46" s="89" t="s">
        <v>128</v>
      </c>
      <c r="D46" s="141" t="s">
        <v>111</v>
      </c>
      <c r="E46" s="39">
        <v>3317000</v>
      </c>
      <c r="F46" s="39">
        <v>2943000</v>
      </c>
      <c r="G46" s="39">
        <v>390000</v>
      </c>
      <c r="H46" s="39"/>
      <c r="I46" s="39"/>
      <c r="J46" s="39">
        <v>3184320</v>
      </c>
      <c r="K46" s="39">
        <v>2685190</v>
      </c>
      <c r="L46" s="39">
        <v>3194148</v>
      </c>
      <c r="M46" s="39">
        <f t="shared" si="5"/>
        <v>2685190</v>
      </c>
      <c r="R46" s="39"/>
      <c r="T46" s="39"/>
      <c r="U46" s="39"/>
      <c r="V46" s="265">
        <f t="shared" si="1"/>
        <v>11748848</v>
      </c>
      <c r="W46" s="39"/>
      <c r="X46" s="39"/>
      <c r="Y46" s="498">
        <f>E46*4</f>
        <v>13268000</v>
      </c>
      <c r="Z46" s="503">
        <v>4</v>
      </c>
      <c r="AA46" s="500">
        <f t="shared" si="3"/>
        <v>348285</v>
      </c>
      <c r="AB46" s="501">
        <f t="shared" si="4"/>
        <v>1393140</v>
      </c>
    </row>
    <row r="47" spans="1:28" s="504" customFormat="1" ht="21.75" customHeight="1">
      <c r="A47" s="141">
        <f t="shared" si="0"/>
        <v>37</v>
      </c>
      <c r="B47" s="141" t="s">
        <v>118</v>
      </c>
      <c r="C47" s="89" t="s">
        <v>163</v>
      </c>
      <c r="D47" s="141" t="s">
        <v>111</v>
      </c>
      <c r="E47" s="39">
        <v>3317000</v>
      </c>
      <c r="F47" s="39">
        <v>2943000</v>
      </c>
      <c r="G47" s="39">
        <v>390000</v>
      </c>
      <c r="H47" s="39"/>
      <c r="I47" s="39"/>
      <c r="J47" s="39">
        <v>3051640</v>
      </c>
      <c r="K47" s="39">
        <v>2843143</v>
      </c>
      <c r="L47" s="39">
        <v>3317000</v>
      </c>
      <c r="M47" s="39">
        <f t="shared" si="5"/>
        <v>2843143</v>
      </c>
      <c r="N47" s="39">
        <v>3317000</v>
      </c>
      <c r="O47" s="39">
        <v>3317000</v>
      </c>
      <c r="P47" s="39">
        <v>3317000</v>
      </c>
      <c r="Q47" s="39">
        <v>3677000</v>
      </c>
      <c r="R47" s="39">
        <v>3707000</v>
      </c>
      <c r="S47" s="39">
        <v>3707000</v>
      </c>
      <c r="T47" s="39">
        <v>3707000</v>
      </c>
      <c r="U47" s="39">
        <v>3722000</v>
      </c>
      <c r="V47" s="265">
        <f t="shared" si="1"/>
        <v>40525926</v>
      </c>
      <c r="W47" s="39"/>
      <c r="X47" s="39"/>
      <c r="Y47" s="498">
        <f t="shared" si="2"/>
        <v>39804000</v>
      </c>
      <c r="Z47" s="503">
        <v>12</v>
      </c>
      <c r="AA47" s="500">
        <f t="shared" si="3"/>
        <v>348285</v>
      </c>
      <c r="AB47" s="501">
        <f t="shared" si="4"/>
        <v>4179420</v>
      </c>
    </row>
    <row r="48" spans="1:28" s="504" customFormat="1" ht="21.75" customHeight="1">
      <c r="A48" s="141">
        <f t="shared" si="0"/>
        <v>38</v>
      </c>
      <c r="B48" s="141" t="s">
        <v>119</v>
      </c>
      <c r="C48" s="89" t="s">
        <v>170</v>
      </c>
      <c r="D48" s="141" t="s">
        <v>111</v>
      </c>
      <c r="E48" s="39">
        <v>3317000</v>
      </c>
      <c r="F48" s="39">
        <v>2943000</v>
      </c>
      <c r="G48" s="39">
        <v>390000</v>
      </c>
      <c r="H48" s="39"/>
      <c r="I48" s="39"/>
      <c r="J48" s="39">
        <v>3317000</v>
      </c>
      <c r="K48" s="39">
        <v>2685190</v>
      </c>
      <c r="L48" s="39">
        <v>3071296</v>
      </c>
      <c r="M48" s="39">
        <f t="shared" si="5"/>
        <v>2685190</v>
      </c>
      <c r="N48" s="39">
        <v>3317000</v>
      </c>
      <c r="O48" s="39">
        <v>3317000</v>
      </c>
      <c r="P48" s="39">
        <v>3317000</v>
      </c>
      <c r="Q48" s="39">
        <v>3677000</v>
      </c>
      <c r="R48" s="39">
        <v>3707000</v>
      </c>
      <c r="S48" s="39">
        <v>3707000</v>
      </c>
      <c r="T48" s="39">
        <v>3707000</v>
      </c>
      <c r="U48" s="39">
        <v>3722000</v>
      </c>
      <c r="V48" s="265">
        <f t="shared" si="1"/>
        <v>40229676</v>
      </c>
      <c r="W48" s="39"/>
      <c r="X48" s="39"/>
      <c r="Y48" s="498">
        <f t="shared" si="2"/>
        <v>39804000</v>
      </c>
      <c r="Z48" s="503">
        <v>12</v>
      </c>
      <c r="AA48" s="500">
        <f t="shared" si="3"/>
        <v>348285</v>
      </c>
      <c r="AB48" s="501">
        <f t="shared" si="4"/>
        <v>4179420</v>
      </c>
    </row>
    <row r="49" spans="1:28" s="504" customFormat="1" ht="21.75" customHeight="1">
      <c r="A49" s="141">
        <f t="shared" si="0"/>
        <v>39</v>
      </c>
      <c r="B49" s="141" t="s">
        <v>120</v>
      </c>
      <c r="C49" s="89" t="s">
        <v>171</v>
      </c>
      <c r="D49" s="141" t="s">
        <v>111</v>
      </c>
      <c r="E49" s="39">
        <v>3317000</v>
      </c>
      <c r="F49" s="39">
        <v>2943000</v>
      </c>
      <c r="G49" s="39">
        <v>390000</v>
      </c>
      <c r="H49" s="39"/>
      <c r="I49" s="39"/>
      <c r="J49" s="39">
        <v>3317000</v>
      </c>
      <c r="K49" s="39">
        <v>2685190</v>
      </c>
      <c r="L49" s="39">
        <v>3317000</v>
      </c>
      <c r="M49" s="39">
        <f t="shared" si="5"/>
        <v>2685190</v>
      </c>
      <c r="N49" s="39">
        <v>3317000</v>
      </c>
      <c r="O49" s="39">
        <v>3317000</v>
      </c>
      <c r="P49" s="39">
        <v>3317000</v>
      </c>
      <c r="Q49" s="39">
        <v>3677000</v>
      </c>
      <c r="R49" s="39">
        <v>3707000</v>
      </c>
      <c r="S49" s="39">
        <v>3707000</v>
      </c>
      <c r="V49" s="265">
        <f t="shared" si="1"/>
        <v>33046380</v>
      </c>
      <c r="W49" s="39"/>
      <c r="X49" s="39"/>
      <c r="Y49" s="498">
        <f>E49*10</f>
        <v>33170000</v>
      </c>
      <c r="Z49" s="503">
        <v>10</v>
      </c>
      <c r="AA49" s="500">
        <f t="shared" si="3"/>
        <v>348285</v>
      </c>
      <c r="AB49" s="501">
        <f t="shared" si="4"/>
        <v>3482850</v>
      </c>
    </row>
    <row r="50" spans="1:28" s="504" customFormat="1" ht="21.75" customHeight="1">
      <c r="A50" s="141">
        <f t="shared" si="0"/>
        <v>40</v>
      </c>
      <c r="B50" s="141" t="s">
        <v>121</v>
      </c>
      <c r="C50" s="89" t="s">
        <v>172</v>
      </c>
      <c r="D50" s="141" t="s">
        <v>111</v>
      </c>
      <c r="E50" s="39">
        <v>3317000</v>
      </c>
      <c r="F50" s="39">
        <v>2943000</v>
      </c>
      <c r="G50" s="39">
        <v>390000</v>
      </c>
      <c r="H50" s="39"/>
      <c r="I50" s="39"/>
      <c r="J50" s="39">
        <v>2918960</v>
      </c>
      <c r="K50" s="39">
        <v>2685190</v>
      </c>
      <c r="L50" s="39">
        <v>3317000</v>
      </c>
      <c r="M50" s="39">
        <f t="shared" si="5"/>
        <v>2685190</v>
      </c>
      <c r="N50" s="39">
        <v>3317000</v>
      </c>
      <c r="O50" s="39">
        <v>3317000</v>
      </c>
      <c r="P50" s="39"/>
      <c r="Q50" s="39"/>
      <c r="R50" s="39"/>
      <c r="T50" s="39"/>
      <c r="U50" s="39"/>
      <c r="V50" s="265">
        <f t="shared" si="1"/>
        <v>18240340</v>
      </c>
      <c r="W50" s="39"/>
      <c r="X50" s="39"/>
      <c r="Y50" s="498">
        <f>E50*6</f>
        <v>19902000</v>
      </c>
      <c r="Z50" s="503">
        <v>6</v>
      </c>
      <c r="AA50" s="500">
        <f t="shared" si="3"/>
        <v>348285</v>
      </c>
      <c r="AB50" s="501">
        <f t="shared" si="4"/>
        <v>2089710</v>
      </c>
    </row>
    <row r="51" spans="1:28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>
        <v>3051640</v>
      </c>
      <c r="K51" s="18">
        <v>2685190</v>
      </c>
      <c r="L51" s="18">
        <v>3317000</v>
      </c>
      <c r="M51" s="39">
        <f t="shared" si="5"/>
        <v>2685190</v>
      </c>
      <c r="N51" s="39">
        <v>3317000</v>
      </c>
      <c r="O51" s="39">
        <v>3317000</v>
      </c>
      <c r="P51" s="39">
        <v>3317000</v>
      </c>
      <c r="Q51" s="39">
        <v>3677000</v>
      </c>
      <c r="R51" s="39">
        <v>3707000</v>
      </c>
      <c r="S51" s="39">
        <v>3707000</v>
      </c>
      <c r="T51" s="39">
        <v>3707000</v>
      </c>
      <c r="U51" s="39">
        <v>3722000</v>
      </c>
      <c r="V51" s="265">
        <f t="shared" si="1"/>
        <v>40210020</v>
      </c>
      <c r="W51" s="18"/>
      <c r="X51" s="18"/>
      <c r="Y51" s="272">
        <f t="shared" si="2"/>
        <v>39804000</v>
      </c>
      <c r="Z51" s="48">
        <v>12</v>
      </c>
      <c r="AA51" s="392">
        <f>E51*0.105</f>
        <v>348285</v>
      </c>
      <c r="AB51" s="273">
        <f t="shared" si="4"/>
        <v>4179420</v>
      </c>
    </row>
    <row r="52" spans="1:28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8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8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8" ht="21.75" customHeight="1">
      <c r="A55" s="401" t="s">
        <v>25</v>
      </c>
      <c r="B55" s="402"/>
      <c r="C55" s="402"/>
      <c r="D55" s="267" t="s">
        <v>159</v>
      </c>
      <c r="E55" s="264">
        <f>SUM(E11:E54)</f>
        <v>152620000</v>
      </c>
      <c r="F55" s="264">
        <f>SUM(F11:F54)</f>
        <v>137582000</v>
      </c>
      <c r="G55" s="264">
        <f>SUM(G11:G54)</f>
        <v>15990000</v>
      </c>
      <c r="H55" s="264">
        <f>SUM(H11:H54)</f>
        <v>0</v>
      </c>
      <c r="I55" s="264"/>
      <c r="J55" s="264">
        <f>SUMIF(J$11:J$54,"x",$E$11:$E$54)</f>
        <v>0</v>
      </c>
      <c r="K55" s="264">
        <f t="shared" ref="K55:U55" si="6">SUMIF(K$11:K$54,"x",$E$11:$E$54)</f>
        <v>0</v>
      </c>
      <c r="L55" s="264">
        <f t="shared" si="6"/>
        <v>0</v>
      </c>
      <c r="M55" s="264">
        <f t="shared" si="6"/>
        <v>0</v>
      </c>
      <c r="N55" s="264">
        <f t="shared" si="6"/>
        <v>0</v>
      </c>
      <c r="O55" s="264">
        <f t="shared" si="6"/>
        <v>0</v>
      </c>
      <c r="P55" s="264">
        <f t="shared" si="6"/>
        <v>0</v>
      </c>
      <c r="Q55" s="264">
        <f t="shared" si="6"/>
        <v>0</v>
      </c>
      <c r="R55" s="264">
        <f t="shared" si="6"/>
        <v>0</v>
      </c>
      <c r="S55" s="264">
        <f t="shared" si="6"/>
        <v>0</v>
      </c>
      <c r="T55" s="264">
        <f t="shared" si="6"/>
        <v>0</v>
      </c>
      <c r="U55" s="264">
        <f t="shared" si="6"/>
        <v>0</v>
      </c>
      <c r="V55" s="264"/>
      <c r="W55" s="264"/>
      <c r="X55" s="264"/>
      <c r="Y55" s="107"/>
    </row>
    <row r="56" spans="1:28" ht="21.75" customHeight="1">
      <c r="A56" s="403"/>
      <c r="B56" s="404"/>
      <c r="C56" s="404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0</v>
      </c>
      <c r="K56" s="264">
        <f t="array" ref="K56">SUM((K$11:K$54="x")*1)</f>
        <v>0</v>
      </c>
      <c r="L56" s="264">
        <f t="array" ref="L56">SUM((L$11:L$54="x")*1)</f>
        <v>0</v>
      </c>
      <c r="M56" s="264">
        <f t="array" ref="M56">SUM((M$11:M$54="x")*1)</f>
        <v>0</v>
      </c>
      <c r="N56" s="264">
        <f t="array" ref="N56">SUM((N$11:N$54="x")*1)</f>
        <v>0</v>
      </c>
      <c r="O56" s="264">
        <f t="array" ref="O56">SUM((O$11:O$54="x")*1)</f>
        <v>0</v>
      </c>
      <c r="P56" s="264">
        <f t="array" ref="P56">SUM((P$11:P$54="x")*1)</f>
        <v>0</v>
      </c>
      <c r="Q56" s="264">
        <f t="array" ref="Q56">SUM((Q$11:Q$54="x")*1)</f>
        <v>0</v>
      </c>
      <c r="R56" s="264">
        <f t="array" ref="R56">SUM((R$11:R$54="x")*1)</f>
        <v>0</v>
      </c>
      <c r="S56" s="264">
        <f t="array" ref="S56">SUM((S$11:S$54="x")*1)</f>
        <v>0</v>
      </c>
      <c r="T56" s="264">
        <f t="array" ref="T56">SUM((T$11:T$54="x")*1)</f>
        <v>0</v>
      </c>
      <c r="U56" s="264">
        <f t="array" ref="U56">SUM((U$11:U$54="x")*1)</f>
        <v>0</v>
      </c>
      <c r="V56" s="264"/>
      <c r="W56" s="264"/>
      <c r="X56" s="264"/>
      <c r="Y56" s="107"/>
    </row>
    <row r="57" spans="1:28" ht="21.75" customHeight="1">
      <c r="A57" s="405"/>
      <c r="B57" s="406"/>
      <c r="C57" s="406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8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8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8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8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8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8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8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4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94" t="str">
        <f>M82</f>
        <v>ALTP001</v>
      </c>
    </row>
    <row r="83" spans="3:14">
      <c r="C83" s="266"/>
      <c r="G83" s="284" t="s">
        <v>142</v>
      </c>
      <c r="J83" s="2" t="s">
        <v>85</v>
      </c>
      <c r="K83" s="2" t="s">
        <v>142</v>
      </c>
      <c r="M83" s="2" t="str">
        <f t="shared" ref="M83:M112" si="7">VLOOKUP(K83,$G$82:$J$141,4,0)</f>
        <v>ALTP002</v>
      </c>
      <c r="N83" s="394"/>
    </row>
    <row r="84" spans="3:14">
      <c r="C84" s="266"/>
      <c r="G84" s="284" t="s">
        <v>143</v>
      </c>
      <c r="J84" s="2" t="s">
        <v>86</v>
      </c>
      <c r="K84" s="2" t="s">
        <v>143</v>
      </c>
      <c r="M84" s="2" t="str">
        <f t="shared" si="7"/>
        <v>ALTP003</v>
      </c>
      <c r="N84" s="394" t="str">
        <f>M83</f>
        <v>ALTP002</v>
      </c>
    </row>
    <row r="85" spans="3:14">
      <c r="C85" s="266"/>
      <c r="G85" s="284" t="s">
        <v>144</v>
      </c>
      <c r="J85" s="2" t="s">
        <v>87</v>
      </c>
      <c r="K85" s="2" t="s">
        <v>144</v>
      </c>
      <c r="M85" s="2" t="str">
        <f t="shared" si="7"/>
        <v>ALTP004</v>
      </c>
      <c r="N85" s="394"/>
    </row>
    <row r="86" spans="3:14">
      <c r="C86" s="266"/>
      <c r="G86" s="284" t="s">
        <v>145</v>
      </c>
      <c r="J86" s="2" t="s">
        <v>88</v>
      </c>
      <c r="K86" s="2" t="s">
        <v>145</v>
      </c>
      <c r="M86" s="2" t="str">
        <f t="shared" si="7"/>
        <v>ALTP005</v>
      </c>
      <c r="N86" s="394" t="str">
        <f>M84</f>
        <v>ALTP003</v>
      </c>
    </row>
    <row r="87" spans="3:14">
      <c r="C87" s="266"/>
      <c r="G87" s="284" t="s">
        <v>146</v>
      </c>
      <c r="J87" s="2" t="s">
        <v>89</v>
      </c>
      <c r="K87" s="2" t="s">
        <v>146</v>
      </c>
      <c r="M87" s="2" t="str">
        <f t="shared" si="7"/>
        <v>ALTP006</v>
      </c>
      <c r="N87" s="394"/>
    </row>
    <row r="88" spans="3:14">
      <c r="C88" s="266"/>
      <c r="G88" s="284" t="s">
        <v>147</v>
      </c>
      <c r="J88" s="2" t="s">
        <v>90</v>
      </c>
      <c r="K88" s="2" t="s">
        <v>147</v>
      </c>
      <c r="M88" s="2" t="str">
        <f t="shared" si="7"/>
        <v>ALTP007</v>
      </c>
      <c r="N88" s="394" t="str">
        <f>M85</f>
        <v>ALTP004</v>
      </c>
    </row>
    <row r="89" spans="3:14">
      <c r="C89" s="266"/>
      <c r="G89" s="284" t="s">
        <v>148</v>
      </c>
      <c r="J89" s="2" t="s">
        <v>91</v>
      </c>
      <c r="K89" s="2" t="s">
        <v>148</v>
      </c>
      <c r="M89" s="2" t="str">
        <f t="shared" si="7"/>
        <v>ALTP008</v>
      </c>
      <c r="N89" s="394"/>
    </row>
    <row r="90" spans="3:14">
      <c r="C90" s="266"/>
      <c r="G90" s="284" t="s">
        <v>149</v>
      </c>
      <c r="J90" s="2" t="s">
        <v>92</v>
      </c>
      <c r="K90" s="2" t="s">
        <v>149</v>
      </c>
      <c r="M90" s="2" t="str">
        <f t="shared" si="7"/>
        <v>ALTP009</v>
      </c>
      <c r="N90" s="394" t="str">
        <f>M86</f>
        <v>ALTP005</v>
      </c>
    </row>
    <row r="91" spans="3:14">
      <c r="C91" s="266"/>
      <c r="G91" s="284" t="s">
        <v>150</v>
      </c>
      <c r="J91" s="2" t="s">
        <v>93</v>
      </c>
      <c r="K91" s="2" t="s">
        <v>150</v>
      </c>
      <c r="M91" s="2" t="str">
        <f t="shared" si="7"/>
        <v>ALTP010</v>
      </c>
      <c r="N91" s="394"/>
    </row>
    <row r="92" spans="3:14">
      <c r="C92" s="266"/>
      <c r="G92" s="284" t="s">
        <v>151</v>
      </c>
      <c r="J92" s="2" t="s">
        <v>94</v>
      </c>
      <c r="K92" s="2" t="s">
        <v>151</v>
      </c>
      <c r="M92" s="2" t="str">
        <f t="shared" si="7"/>
        <v>ALTP011</v>
      </c>
      <c r="N92" s="394" t="str">
        <f>M87</f>
        <v>ALTP006</v>
      </c>
    </row>
    <row r="93" spans="3:14">
      <c r="C93" s="266"/>
      <c r="G93" s="284" t="s">
        <v>152</v>
      </c>
      <c r="J93" s="2" t="s">
        <v>95</v>
      </c>
      <c r="K93" s="2" t="s">
        <v>153</v>
      </c>
      <c r="M93" s="2" t="str">
        <f t="shared" si="7"/>
        <v>ALTP013</v>
      </c>
      <c r="N93" s="394"/>
    </row>
    <row r="94" spans="3:14">
      <c r="C94" s="266"/>
      <c r="G94" s="284" t="s">
        <v>153</v>
      </c>
      <c r="J94" s="2" t="s">
        <v>96</v>
      </c>
      <c r="K94" s="2" t="s">
        <v>154</v>
      </c>
      <c r="M94" s="2" t="str">
        <f t="shared" si="7"/>
        <v>ALTP014</v>
      </c>
      <c r="N94" s="394" t="str">
        <f>M88</f>
        <v>ALTP007</v>
      </c>
    </row>
    <row r="95" spans="3:14">
      <c r="C95" s="266"/>
      <c r="G95" s="284" t="s">
        <v>154</v>
      </c>
      <c r="J95" s="2" t="s">
        <v>97</v>
      </c>
      <c r="K95" s="2" t="s">
        <v>155</v>
      </c>
      <c r="M95" s="2" t="str">
        <f t="shared" si="7"/>
        <v>ALTP015</v>
      </c>
      <c r="N95" s="394"/>
    </row>
    <row r="96" spans="3:14">
      <c r="C96" s="266"/>
      <c r="G96" s="284" t="s">
        <v>155</v>
      </c>
      <c r="J96" s="2" t="s">
        <v>98</v>
      </c>
      <c r="K96" s="2" t="s">
        <v>156</v>
      </c>
      <c r="M96" s="2" t="str">
        <f t="shared" si="7"/>
        <v>ALTP016</v>
      </c>
      <c r="N96" s="394" t="str">
        <f>M89</f>
        <v>ALTP008</v>
      </c>
    </row>
    <row r="97" spans="3:14">
      <c r="C97" s="266"/>
      <c r="G97" s="284" t="s">
        <v>156</v>
      </c>
      <c r="J97" s="2" t="s">
        <v>99</v>
      </c>
      <c r="K97" s="2" t="s">
        <v>157</v>
      </c>
      <c r="M97" s="2" t="str">
        <f t="shared" si="7"/>
        <v>ALTP017</v>
      </c>
      <c r="N97" s="394"/>
    </row>
    <row r="98" spans="3:14">
      <c r="C98" s="266"/>
      <c r="G98" s="284" t="s">
        <v>157</v>
      </c>
      <c r="J98" s="2" t="s">
        <v>100</v>
      </c>
      <c r="K98" s="2" t="s">
        <v>158</v>
      </c>
      <c r="M98" s="2" t="str">
        <f t="shared" si="7"/>
        <v>ALTP018</v>
      </c>
      <c r="N98" s="394" t="str">
        <f>M90</f>
        <v>ALTP009</v>
      </c>
    </row>
    <row r="99" spans="3:14">
      <c r="C99" s="266"/>
      <c r="G99" s="284" t="s">
        <v>158</v>
      </c>
      <c r="J99" s="2" t="s">
        <v>101</v>
      </c>
      <c r="K99" s="2" t="s">
        <v>162</v>
      </c>
      <c r="M99" s="2" t="str">
        <f t="shared" si="7"/>
        <v>ALTP019</v>
      </c>
      <c r="N99" s="394"/>
    </row>
    <row r="100" spans="3:14">
      <c r="C100" s="266"/>
      <c r="G100" s="284" t="s">
        <v>162</v>
      </c>
      <c r="J100" s="2" t="s">
        <v>102</v>
      </c>
      <c r="K100" s="2" t="s">
        <v>164</v>
      </c>
      <c r="M100" s="2" t="str">
        <f t="shared" si="7"/>
        <v>ALTP020</v>
      </c>
      <c r="N100" s="394" t="str">
        <f>M91</f>
        <v>ALTP010</v>
      </c>
    </row>
    <row r="101" spans="3:14">
      <c r="C101" s="266"/>
      <c r="G101" s="284" t="s">
        <v>164</v>
      </c>
      <c r="J101" s="2" t="s">
        <v>103</v>
      </c>
      <c r="K101" s="2" t="s">
        <v>169</v>
      </c>
      <c r="M101" s="2" t="str">
        <f t="shared" si="7"/>
        <v>ALTP025</v>
      </c>
      <c r="N101" s="394"/>
    </row>
    <row r="102" spans="3:14">
      <c r="C102" s="266"/>
      <c r="G102" s="284" t="s">
        <v>165</v>
      </c>
      <c r="J102" s="2" t="s">
        <v>104</v>
      </c>
      <c r="K102" s="2" t="s">
        <v>177</v>
      </c>
      <c r="M102" s="2" t="str">
        <f t="shared" si="7"/>
        <v>ALTP027</v>
      </c>
      <c r="N102" s="394" t="str">
        <f>M92</f>
        <v>ALTP011</v>
      </c>
    </row>
    <row r="103" spans="3:14">
      <c r="C103" s="266"/>
      <c r="G103" s="284" t="s">
        <v>166</v>
      </c>
      <c r="J103" s="2" t="s">
        <v>105</v>
      </c>
      <c r="K103" s="2" t="s">
        <v>124</v>
      </c>
      <c r="M103" s="2" t="str">
        <f t="shared" si="7"/>
        <v>ALTN001</v>
      </c>
      <c r="N103" s="394"/>
    </row>
    <row r="104" spans="3:14">
      <c r="C104" s="266"/>
      <c r="G104" s="284" t="s">
        <v>177</v>
      </c>
      <c r="J104" s="2" t="s">
        <v>110</v>
      </c>
      <c r="K104" s="2" t="s">
        <v>125</v>
      </c>
      <c r="M104" s="2" t="str">
        <f t="shared" si="7"/>
        <v>ALTN002</v>
      </c>
      <c r="N104" s="394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7"/>
        <v>ALTN003</v>
      </c>
      <c r="N105" s="394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7"/>
        <v>ALTN004</v>
      </c>
      <c r="N106" s="394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7"/>
        <v>ALTN006</v>
      </c>
      <c r="N107" s="394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7"/>
        <v>ALTN007</v>
      </c>
      <c r="N108" s="394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7"/>
        <v>ALTN008</v>
      </c>
      <c r="N109" s="394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7"/>
        <v>ALTN009</v>
      </c>
      <c r="N110" s="394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7"/>
        <v>ALTN010</v>
      </c>
      <c r="N111" s="394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7"/>
        <v>ALTN011</v>
      </c>
      <c r="N112" s="394" t="str">
        <f>M97</f>
        <v>ALTP017</v>
      </c>
    </row>
    <row r="113" spans="3:14">
      <c r="C113" s="266"/>
      <c r="G113" s="2" t="s">
        <v>127</v>
      </c>
      <c r="J113" s="2" t="s">
        <v>117</v>
      </c>
      <c r="N113" s="394"/>
    </row>
    <row r="114" spans="3:14">
      <c r="C114" s="266"/>
      <c r="G114" s="31" t="s">
        <v>128</v>
      </c>
      <c r="J114" s="2" t="s">
        <v>118</v>
      </c>
      <c r="N114" s="394" t="str">
        <f>M98</f>
        <v>ALTP018</v>
      </c>
    </row>
    <row r="115" spans="3:14">
      <c r="C115" s="266"/>
      <c r="G115" s="31" t="s">
        <v>163</v>
      </c>
      <c r="J115" s="2" t="s">
        <v>119</v>
      </c>
      <c r="N115" s="394"/>
    </row>
    <row r="116" spans="3:14">
      <c r="C116" s="266"/>
      <c r="G116" s="31" t="s">
        <v>170</v>
      </c>
      <c r="J116" s="2" t="s">
        <v>120</v>
      </c>
      <c r="N116" s="394" t="str">
        <f>M99</f>
        <v>ALTP019</v>
      </c>
    </row>
    <row r="117" spans="3:14">
      <c r="C117" s="266"/>
      <c r="G117" s="31" t="s">
        <v>171</v>
      </c>
      <c r="J117" s="2" t="s">
        <v>121</v>
      </c>
      <c r="N117" s="394"/>
    </row>
    <row r="118" spans="3:14">
      <c r="C118" s="266"/>
      <c r="G118" s="31" t="s">
        <v>172</v>
      </c>
      <c r="J118" s="2" t="s">
        <v>122</v>
      </c>
      <c r="N118" s="394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94"/>
    </row>
    <row r="120" spans="3:14">
      <c r="C120" s="266"/>
      <c r="N120" s="394" t="str">
        <f>M101</f>
        <v>ALTP025</v>
      </c>
    </row>
    <row r="121" spans="3:14">
      <c r="C121" s="266"/>
      <c r="N121" s="394"/>
    </row>
    <row r="122" spans="3:14">
      <c r="C122" s="266"/>
      <c r="N122" s="394" t="str">
        <f>M102</f>
        <v>ALTP027</v>
      </c>
    </row>
    <row r="123" spans="3:14">
      <c r="C123" s="266"/>
      <c r="N123" s="394"/>
    </row>
    <row r="124" spans="3:14">
      <c r="C124" s="266"/>
      <c r="N124" s="394" t="str">
        <f>M103</f>
        <v>ALTN001</v>
      </c>
    </row>
    <row r="125" spans="3:14">
      <c r="C125" s="266"/>
      <c r="N125" s="394"/>
    </row>
    <row r="126" spans="3:14">
      <c r="C126" s="266"/>
      <c r="N126" s="394" t="str">
        <f>M104</f>
        <v>ALTN002</v>
      </c>
    </row>
    <row r="127" spans="3:14">
      <c r="C127" s="266"/>
      <c r="N127" s="394"/>
    </row>
    <row r="128" spans="3:14">
      <c r="C128" s="266"/>
      <c r="N128" s="394" t="str">
        <f>M105</f>
        <v>ALTN003</v>
      </c>
    </row>
    <row r="129" spans="3:14">
      <c r="C129" s="266"/>
      <c r="N129" s="394"/>
    </row>
    <row r="130" spans="3:14">
      <c r="C130" s="266"/>
      <c r="N130" s="394" t="str">
        <f>M106</f>
        <v>ALTN004</v>
      </c>
    </row>
    <row r="131" spans="3:14">
      <c r="C131" s="266"/>
      <c r="N131" s="394"/>
    </row>
    <row r="132" spans="3:14">
      <c r="C132" s="266"/>
      <c r="N132" s="394" t="str">
        <f>M107</f>
        <v>ALTN006</v>
      </c>
    </row>
    <row r="133" spans="3:14">
      <c r="C133" s="266"/>
      <c r="N133" s="394"/>
    </row>
    <row r="134" spans="3:14">
      <c r="C134" s="266"/>
      <c r="N134" s="394" t="str">
        <f>M108</f>
        <v>ALTN007</v>
      </c>
    </row>
    <row r="135" spans="3:14">
      <c r="C135" s="266"/>
      <c r="N135" s="394"/>
    </row>
    <row r="136" spans="3:14">
      <c r="C136" s="266"/>
      <c r="N136" s="394" t="str">
        <f>M109</f>
        <v>ALTN008</v>
      </c>
    </row>
    <row r="137" spans="3:14">
      <c r="C137" s="266"/>
      <c r="N137" s="394"/>
    </row>
    <row r="138" spans="3:14">
      <c r="C138" s="266"/>
      <c r="N138" s="394" t="str">
        <f>M110</f>
        <v>ALTN009</v>
      </c>
    </row>
    <row r="139" spans="3:14">
      <c r="C139" s="266"/>
      <c r="N139" s="394"/>
    </row>
    <row r="140" spans="3:14">
      <c r="C140" s="266"/>
      <c r="N140" s="394" t="str">
        <f>M111</f>
        <v>ALTN010</v>
      </c>
    </row>
    <row r="141" spans="3:14">
      <c r="C141" s="266"/>
      <c r="N141" s="394"/>
    </row>
    <row r="142" spans="3:14">
      <c r="C142" s="266"/>
      <c r="N142" s="394" t="str">
        <f>M112</f>
        <v>ALTN011</v>
      </c>
    </row>
    <row r="143" spans="3:14">
      <c r="C143" s="266"/>
      <c r="N143" s="394"/>
    </row>
  </sheetData>
  <protectedRanges>
    <protectedRange password="CC78" sqref="E70:E65371 B8:D9 W8:W9 B58:B65371 C67:D65371 F67:JG81 F133:M133 F82 H82:J82 L82:JG82 L83:L109 F120:L132 N83:JG133 M83:M112 F134:JG65371 K110:L119 F83:J103 F105:J119 F104 H104:J104 F8:H8 C53:H57 D42:D51 J52 B10:X10 C52:D52 E11:H12 E21:H52 G13:H20 A8:A65371 J53:JG57 J12:U12 V13:X20 Y8:JG11 Y12:Z20 AB12:JG20 AA12:AA51 W21:AA50 AC21:JG50 AB12:AB50 V52:JG52 K11:X11 W12:X12 W51:JG51 V12:V51" name="Range1_12"/>
    <protectedRange password="CC78" sqref="C60:C65 E67:E69 W60:JG65 D60:H66" name="Range1_1_1"/>
    <protectedRange password="CC78" sqref="C66 W66:JG66" name="Range1_3_1"/>
    <protectedRange password="CC78" sqref="A5:JG7" name="Range1_2_1"/>
    <protectedRange password="CC78" sqref="I8:V9 I11:I57" name="Range1_3_2"/>
    <protectedRange password="CC78" sqref="B42:B57" name="Range1_1_2"/>
    <protectedRange password="CC78" sqref="E8:E9 F9" name="Range1_4_1"/>
    <protectedRange password="CC78" sqref="C13:D20" name="Range1_8_1"/>
    <protectedRange password="CC78" sqref="B13:B20" name="Range1_1_1_1"/>
    <protectedRange password="CC78" sqref="E13:F20" name="Range1_9_1"/>
    <protectedRange password="CC78" sqref="B21:B41" name="Range1_6_1"/>
    <protectedRange password="CC78" sqref="D21:D41" name="Range1_7_1"/>
    <protectedRange password="CC78" sqref="K52:S52 K11:T11 J12:T20 J21:L51 N36:N44 N21:N25 N27:N33 O28:P33 N47:Q51 O37:Q43 O21:R24 Q28:R29 Q31:R31 R42:R51 S21:S36 R37:T41 T42 T46:T48 T11:U24 T28:U29 T31:U31 U37:U48 T50:U52" name="Range1_11_1"/>
    <protectedRange password="CC78" sqref="J11" name="Range1_6_2"/>
    <protectedRange password="CC78" sqref="M36:M41 M21:M25 M27:M34" name="Range1_6_3"/>
    <protectedRange password="CC78" sqref="M42:M51" name="Range1_6_4"/>
  </protectedRanges>
  <autoFilter ref="A10:Z52"/>
  <mergeCells count="45">
    <mergeCell ref="N134:N135"/>
    <mergeCell ref="N136:N137"/>
    <mergeCell ref="N138:N139"/>
    <mergeCell ref="N140:N141"/>
    <mergeCell ref="N142:N143"/>
    <mergeCell ref="N122:N123"/>
    <mergeCell ref="N124:N125"/>
    <mergeCell ref="N126:N127"/>
    <mergeCell ref="N128:N129"/>
    <mergeCell ref="N130:N131"/>
    <mergeCell ref="N132:N133"/>
    <mergeCell ref="N110:N111"/>
    <mergeCell ref="N112:N113"/>
    <mergeCell ref="N114:N115"/>
    <mergeCell ref="N116:N117"/>
    <mergeCell ref="N118:N119"/>
    <mergeCell ref="N120:N121"/>
    <mergeCell ref="N98:N99"/>
    <mergeCell ref="N100:N101"/>
    <mergeCell ref="N102:N103"/>
    <mergeCell ref="N104:N105"/>
    <mergeCell ref="N106:N107"/>
    <mergeCell ref="N108:N109"/>
    <mergeCell ref="N86:N87"/>
    <mergeCell ref="N88:N89"/>
    <mergeCell ref="N90:N91"/>
    <mergeCell ref="N92:N93"/>
    <mergeCell ref="N94:N95"/>
    <mergeCell ref="N96:N97"/>
    <mergeCell ref="V8:V9"/>
    <mergeCell ref="W8:W9"/>
    <mergeCell ref="X8:X9"/>
    <mergeCell ref="A55:C57"/>
    <mergeCell ref="N82:N83"/>
    <mergeCell ref="N84:N85"/>
    <mergeCell ref="A5:X5"/>
    <mergeCell ref="A6:X6"/>
    <mergeCell ref="A8:A9"/>
    <mergeCell ref="B8:B9"/>
    <mergeCell ref="C8:C9"/>
    <mergeCell ref="D8:D9"/>
    <mergeCell ref="E8:F8"/>
    <mergeCell ref="G8:H8"/>
    <mergeCell ref="I8:I9"/>
    <mergeCell ref="J8:U8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4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51" sqref="M51:M5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66"/>
      <c r="C1" s="366"/>
      <c r="D1" s="487" t="str">
        <f>"BẢNG THANH TOÁN LƯƠNG THÁNG"&amp;" "&amp;TEXT($E$4,"mm")&amp;" / "&amp;TEXT($E$4,"yyyy")</f>
        <v>BẢNG THANH TOÁN LƯƠNG THÁNG 11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66"/>
      <c r="C2" s="366"/>
      <c r="D2" s="366"/>
      <c r="E2" s="81"/>
      <c r="F2" s="366"/>
      <c r="G2" s="366"/>
      <c r="H2" s="366"/>
      <c r="I2" s="366"/>
      <c r="J2" s="82"/>
      <c r="K2" s="366"/>
      <c r="L2" s="366"/>
      <c r="M2" s="366"/>
      <c r="N2" s="366"/>
      <c r="O2" s="366"/>
      <c r="P2" s="366"/>
      <c r="Q2" s="366"/>
      <c r="R2" s="366"/>
      <c r="S2" s="366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66"/>
      <c r="C3" s="366"/>
      <c r="D3" s="366"/>
      <c r="E3" s="81"/>
      <c r="F3" s="366"/>
      <c r="G3" s="366"/>
      <c r="H3" s="366"/>
      <c r="I3" s="366"/>
      <c r="J3" s="82"/>
      <c r="K3" s="366"/>
      <c r="L3" s="366"/>
      <c r="M3" s="366"/>
      <c r="N3" s="366"/>
      <c r="O3" s="366"/>
      <c r="P3" s="366"/>
      <c r="Q3" s="366"/>
      <c r="R3" s="366"/>
      <c r="S3" s="36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- 11'!$E$4</f>
        <v>42675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62" t="s">
        <v>40</v>
      </c>
      <c r="G7" s="359" t="s">
        <v>18</v>
      </c>
      <c r="H7" s="362" t="s">
        <v>40</v>
      </c>
      <c r="I7" s="365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- 11'!$B$8:$AS$48,36,0)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- 11'!$B$8:$AS$48,36,0)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- 11'!$B$8:$AS$48,36,0)</f>
        <v>26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26</v>
      </c>
      <c r="K13" s="39">
        <f t="shared" si="5"/>
        <v>3317000</v>
      </c>
      <c r="L13" s="90">
        <f t="shared" ref="L13:L28" si="6">+F13*15000</f>
        <v>390000</v>
      </c>
      <c r="M13" s="40">
        <f t="shared" ref="M13:M28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3358715</v>
      </c>
      <c r="R13" s="39">
        <f t="shared" ref="R13:R28" si="12">VLOOKUP(B13,DS,23,0)</f>
        <v>0</v>
      </c>
      <c r="S13" s="45">
        <f t="shared" ref="S13:S28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- 11'!$B$8:$AS$48,36,0)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- 11'!$B$8:$AS$48,36,0)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- 11'!$B$8:$AS$48,36,0)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- 11'!$B$8:$AS$48,36,0)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- 11'!$B$8:$AS$48,36,0)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- 11'!$B$8:$AS$48,36,0)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- 11'!$B$8:$AS$48,36,0)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- 11'!$B$8:$AS$48,36,0)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- 11'!$B$8:$AS$48,36,0)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- 11'!$B$8:$AS$48,36,0)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- 11'!$B$8:$AS$48,36,0)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- 11'!$B$8:$AS$48,36,0)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- 11'!$B$8:$AS$48,36,0)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- 11'!$B$8:$AS$48,36,0)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26</v>
      </c>
      <c r="K28" s="39">
        <f t="shared" si="18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4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2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86" t="s">
        <v>25</v>
      </c>
      <c r="B30" s="486"/>
      <c r="C30" s="486"/>
      <c r="D30" s="486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6630000</v>
      </c>
      <c r="M30" s="26">
        <f t="shared" si="19"/>
        <v>65009000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58879205</v>
      </c>
      <c r="R30" s="26">
        <f t="shared" si="19"/>
        <v>0</v>
      </c>
      <c r="S30" s="26">
        <f t="shared" si="19"/>
        <v>58879205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30   tháng   11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64"/>
      <c r="C43" s="364"/>
      <c r="D43" s="467" t="str">
        <f>D1</f>
        <v>BẢNG THANH TOÁN LƯƠNG THÁNG 11 / 2016</v>
      </c>
      <c r="E43" s="467"/>
      <c r="F43" s="467"/>
      <c r="G43" s="467"/>
      <c r="H43" s="467"/>
      <c r="I43" s="467"/>
      <c r="J43" s="467"/>
      <c r="K43" s="467"/>
      <c r="L43" s="467"/>
      <c r="M43" s="467"/>
      <c r="N43" s="467"/>
      <c r="O43" s="467"/>
      <c r="P43" s="467"/>
      <c r="Q43" s="468"/>
      <c r="R43" s="469" t="s">
        <v>112</v>
      </c>
      <c r="S43" s="470"/>
      <c r="T43" s="471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64"/>
      <c r="C44" s="364"/>
      <c r="D44" s="364"/>
      <c r="E44" s="200"/>
      <c r="F44" s="364"/>
      <c r="G44" s="364"/>
      <c r="H44" s="364"/>
      <c r="I44" s="364"/>
      <c r="J44" s="201"/>
      <c r="K44" s="364"/>
      <c r="L44" s="364"/>
      <c r="M44" s="364"/>
      <c r="N44" s="364"/>
      <c r="O44" s="364"/>
      <c r="P44" s="364"/>
      <c r="Q44" s="364"/>
      <c r="R44" s="364"/>
      <c r="S44" s="364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64"/>
      <c r="C45" s="364"/>
      <c r="D45" s="364"/>
      <c r="E45" s="200"/>
      <c r="F45" s="364"/>
      <c r="G45" s="364"/>
      <c r="H45" s="364"/>
      <c r="I45" s="364"/>
      <c r="J45" s="201"/>
      <c r="K45" s="364"/>
      <c r="L45" s="364"/>
      <c r="M45" s="364"/>
      <c r="N45" s="364"/>
      <c r="O45" s="364"/>
      <c r="P45" s="364"/>
      <c r="Q45" s="364"/>
      <c r="R45" s="364"/>
      <c r="S45" s="364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72" t="s">
        <v>19</v>
      </c>
      <c r="B47" s="472" t="s">
        <v>20</v>
      </c>
      <c r="C47" s="474" t="s">
        <v>1</v>
      </c>
      <c r="D47" s="474" t="s">
        <v>2</v>
      </c>
      <c r="E47" s="475" t="s">
        <v>56</v>
      </c>
      <c r="F47" s="476" t="s">
        <v>26</v>
      </c>
      <c r="G47" s="477"/>
      <c r="H47" s="477"/>
      <c r="I47" s="477"/>
      <c r="J47" s="477"/>
      <c r="K47" s="478"/>
      <c r="L47" s="458" t="s">
        <v>57</v>
      </c>
      <c r="M47" s="458" t="s">
        <v>5</v>
      </c>
      <c r="N47" s="474" t="s">
        <v>6</v>
      </c>
      <c r="O47" s="474"/>
      <c r="P47" s="474"/>
      <c r="Q47" s="461" t="s">
        <v>7</v>
      </c>
      <c r="R47" s="461" t="s">
        <v>8</v>
      </c>
      <c r="S47" s="461" t="s">
        <v>9</v>
      </c>
      <c r="T47" s="479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73"/>
      <c r="B48" s="473"/>
      <c r="C48" s="474"/>
      <c r="D48" s="474"/>
      <c r="E48" s="475"/>
      <c r="F48" s="476" t="s">
        <v>59</v>
      </c>
      <c r="G48" s="478"/>
      <c r="H48" s="481" t="s">
        <v>189</v>
      </c>
      <c r="I48" s="482"/>
      <c r="J48" s="463" t="s">
        <v>27</v>
      </c>
      <c r="K48" s="461" t="s">
        <v>4</v>
      </c>
      <c r="L48" s="459"/>
      <c r="M48" s="459"/>
      <c r="N48" s="465" t="s">
        <v>12</v>
      </c>
      <c r="O48" s="461" t="s">
        <v>13</v>
      </c>
      <c r="P48" s="461" t="s">
        <v>34</v>
      </c>
      <c r="Q48" s="462"/>
      <c r="R48" s="462"/>
      <c r="S48" s="462"/>
      <c r="T48" s="480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73"/>
      <c r="B49" s="473"/>
      <c r="C49" s="461"/>
      <c r="D49" s="461"/>
      <c r="E49" s="475"/>
      <c r="F49" s="363" t="s">
        <v>40</v>
      </c>
      <c r="G49" s="365" t="s">
        <v>18</v>
      </c>
      <c r="H49" s="362" t="s">
        <v>40</v>
      </c>
      <c r="I49" s="365" t="s">
        <v>18</v>
      </c>
      <c r="J49" s="464"/>
      <c r="K49" s="462"/>
      <c r="L49" s="460"/>
      <c r="M49" s="460"/>
      <c r="N49" s="466"/>
      <c r="O49" s="462"/>
      <c r="P49" s="462"/>
      <c r="Q49" s="462"/>
      <c r="R49" s="462"/>
      <c r="S49" s="462"/>
      <c r="T49" s="480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- 11'!$B$83:$AN$96,36,0)</f>
        <v>23</v>
      </c>
      <c r="G51" s="220">
        <f t="shared" ref="G51:G58" si="23">ROUND(E51/$U$2*F51,0)</f>
        <v>9598962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9598962</v>
      </c>
      <c r="L51" s="90">
        <f>+F51*15000</f>
        <v>345000</v>
      </c>
      <c r="M51" s="222">
        <f t="shared" ref="M51:M58" si="26">K51+SUM(L51:L51)</f>
        <v>9943962</v>
      </c>
      <c r="N51" s="40">
        <f t="shared" ref="N51:N58" si="27">IF(VLOOKUP(B51,DS,14,0)="x",E51*$N$4,0)</f>
        <v>868080</v>
      </c>
      <c r="O51" s="40">
        <f t="shared" ref="O51:O58" si="28">IF(VLOOKUP(B51,DS,14,0)="x",E51*$O$4,0)</f>
        <v>162765</v>
      </c>
      <c r="P51" s="40">
        <f t="shared" ref="P51:P58" si="29">IF(VLOOKUP(B51,DS,14,0)="x",E51*$P$4,0)</f>
        <v>108510</v>
      </c>
      <c r="Q51" s="220">
        <f t="shared" ref="Q51:Q58" si="30">M51-SUM(N51:P51)</f>
        <v>8804607</v>
      </c>
      <c r="R51" s="220">
        <f t="shared" ref="R51:R58" si="31">VLOOKUP(B51,DS,23,0)</f>
        <v>0</v>
      </c>
      <c r="S51" s="223">
        <f>Q51-R51</f>
        <v>8804607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- 11'!$B$83:$AN$96,36,0)</f>
        <v>25</v>
      </c>
      <c r="G52" s="220">
        <f t="shared" si="23"/>
        <v>4706731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25</v>
      </c>
      <c r="K52" s="39">
        <f t="shared" si="25"/>
        <v>4706731</v>
      </c>
      <c r="L52" s="90">
        <f t="shared" ref="L52:L58" si="32">+F52*15000</f>
        <v>375000</v>
      </c>
      <c r="M52" s="222">
        <f t="shared" si="26"/>
        <v>5081731</v>
      </c>
      <c r="N52" s="40">
        <f t="shared" si="27"/>
        <v>391600</v>
      </c>
      <c r="O52" s="40">
        <f t="shared" si="28"/>
        <v>73425</v>
      </c>
      <c r="P52" s="40">
        <f t="shared" si="29"/>
        <v>48950</v>
      </c>
      <c r="Q52" s="220">
        <f t="shared" si="30"/>
        <v>4567756</v>
      </c>
      <c r="R52" s="220">
        <f t="shared" si="31"/>
        <v>0</v>
      </c>
      <c r="S52" s="223">
        <f t="shared" ref="S52:S58" si="33">Q52-R52</f>
        <v>4567756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- 11'!$B$83:$AN$96,36,0)</f>
        <v>25</v>
      </c>
      <c r="G53" s="220">
        <f t="shared" si="23"/>
        <v>4706731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25</v>
      </c>
      <c r="K53" s="39">
        <f t="shared" si="25"/>
        <v>4706731</v>
      </c>
      <c r="L53" s="90">
        <f t="shared" si="32"/>
        <v>375000</v>
      </c>
      <c r="M53" s="222">
        <f t="shared" si="26"/>
        <v>5081731</v>
      </c>
      <c r="N53" s="40">
        <f t="shared" si="27"/>
        <v>391600</v>
      </c>
      <c r="O53" s="40">
        <f t="shared" si="28"/>
        <v>73425</v>
      </c>
      <c r="P53" s="40">
        <f t="shared" si="29"/>
        <v>48950</v>
      </c>
      <c r="Q53" s="220">
        <f t="shared" si="30"/>
        <v>4567756</v>
      </c>
      <c r="R53" s="220">
        <f t="shared" si="31"/>
        <v>0</v>
      </c>
      <c r="S53" s="223">
        <f t="shared" si="33"/>
        <v>4567756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- 11'!$B$83:$AN$96,36,0)</f>
        <v>25</v>
      </c>
      <c r="G54" s="220">
        <f t="shared" si="23"/>
        <v>4169231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25</v>
      </c>
      <c r="K54" s="39">
        <f t="shared" si="25"/>
        <v>4169231</v>
      </c>
      <c r="L54" s="90">
        <f t="shared" si="32"/>
        <v>375000</v>
      </c>
      <c r="M54" s="222">
        <f t="shared" si="26"/>
        <v>4544231</v>
      </c>
      <c r="N54" s="40">
        <f t="shared" si="27"/>
        <v>346880</v>
      </c>
      <c r="O54" s="40">
        <f t="shared" si="28"/>
        <v>65040</v>
      </c>
      <c r="P54" s="40">
        <f t="shared" si="29"/>
        <v>43360</v>
      </c>
      <c r="Q54" s="220">
        <f t="shared" si="30"/>
        <v>4088951</v>
      </c>
      <c r="R54" s="220">
        <f t="shared" si="31"/>
        <v>0</v>
      </c>
      <c r="S54" s="223">
        <f t="shared" si="33"/>
        <v>4088951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- 11'!$B$83:$AN$96,36,0)</f>
        <v>25</v>
      </c>
      <c r="G55" s="220">
        <f t="shared" si="23"/>
        <v>3361538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25</v>
      </c>
      <c r="K55" s="39">
        <f t="shared" si="25"/>
        <v>3361538</v>
      </c>
      <c r="L55" s="90">
        <f t="shared" si="32"/>
        <v>375000</v>
      </c>
      <c r="M55" s="222">
        <f t="shared" si="26"/>
        <v>3736538</v>
      </c>
      <c r="N55" s="40">
        <f t="shared" si="27"/>
        <v>279680</v>
      </c>
      <c r="O55" s="40">
        <f t="shared" si="28"/>
        <v>52440</v>
      </c>
      <c r="P55" s="40">
        <f t="shared" si="29"/>
        <v>34960</v>
      </c>
      <c r="Q55" s="220">
        <f t="shared" si="30"/>
        <v>3369458</v>
      </c>
      <c r="R55" s="220">
        <f t="shared" si="31"/>
        <v>0</v>
      </c>
      <c r="S55" s="223">
        <f t="shared" si="33"/>
        <v>3369458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- 11'!$B$83:$AN$96,36,0)</f>
        <v>25</v>
      </c>
      <c r="G56" s="220">
        <f t="shared" si="23"/>
        <v>3900000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25</v>
      </c>
      <c r="K56" s="39">
        <f t="shared" si="25"/>
        <v>3900000</v>
      </c>
      <c r="L56" s="90">
        <f t="shared" si="32"/>
        <v>375000</v>
      </c>
      <c r="M56" s="222">
        <f t="shared" si="26"/>
        <v>4275000</v>
      </c>
      <c r="N56" s="40">
        <f t="shared" si="27"/>
        <v>324480</v>
      </c>
      <c r="O56" s="40">
        <f t="shared" si="28"/>
        <v>60840</v>
      </c>
      <c r="P56" s="40">
        <f t="shared" si="29"/>
        <v>40560</v>
      </c>
      <c r="Q56" s="220">
        <f t="shared" si="30"/>
        <v>3849120</v>
      </c>
      <c r="R56" s="220">
        <f t="shared" si="31"/>
        <v>0</v>
      </c>
      <c r="S56" s="223">
        <f t="shared" si="33"/>
        <v>3849120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- 11'!$B$83:$AN$96,36,0)</f>
        <v>25</v>
      </c>
      <c r="G57" s="220">
        <f t="shared" si="23"/>
        <v>4653846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25</v>
      </c>
      <c r="K57" s="39">
        <f t="shared" si="25"/>
        <v>4653846</v>
      </c>
      <c r="L57" s="90">
        <f t="shared" si="32"/>
        <v>375000</v>
      </c>
      <c r="M57" s="222">
        <f t="shared" si="26"/>
        <v>5028846</v>
      </c>
      <c r="N57" s="40">
        <f t="shared" si="27"/>
        <v>387200</v>
      </c>
      <c r="O57" s="40">
        <f t="shared" si="28"/>
        <v>72600</v>
      </c>
      <c r="P57" s="40">
        <f t="shared" si="29"/>
        <v>48400</v>
      </c>
      <c r="Q57" s="220">
        <f t="shared" si="30"/>
        <v>4520646</v>
      </c>
      <c r="R57" s="220">
        <f t="shared" si="31"/>
        <v>0</v>
      </c>
      <c r="S57" s="223">
        <f t="shared" si="33"/>
        <v>4520646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- 11'!$B$83:$AN$100,36,0)</f>
        <v>25</v>
      </c>
      <c r="G58" s="220">
        <f t="shared" si="23"/>
        <v>3430769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25</v>
      </c>
      <c r="K58" s="39">
        <f t="shared" si="25"/>
        <v>3430769</v>
      </c>
      <c r="L58" s="90">
        <f t="shared" si="32"/>
        <v>375000</v>
      </c>
      <c r="M58" s="222">
        <f t="shared" si="26"/>
        <v>3805769</v>
      </c>
      <c r="N58" s="40">
        <f t="shared" si="27"/>
        <v>285440</v>
      </c>
      <c r="O58" s="40">
        <f t="shared" si="28"/>
        <v>53520</v>
      </c>
      <c r="P58" s="40">
        <f t="shared" si="29"/>
        <v>35680</v>
      </c>
      <c r="Q58" s="220">
        <f t="shared" si="30"/>
        <v>3431129</v>
      </c>
      <c r="R58" s="220">
        <f t="shared" si="31"/>
        <v>0</v>
      </c>
      <c r="S58" s="223">
        <f t="shared" si="33"/>
        <v>3431129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3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56" t="s">
        <v>25</v>
      </c>
      <c r="B60" s="457"/>
      <c r="C60" s="457"/>
      <c r="D60" s="457"/>
      <c r="E60" s="231">
        <f>SUM(E51:E59)</f>
        <v>40937000</v>
      </c>
      <c r="F60" s="231"/>
      <c r="G60" s="231">
        <f t="shared" ref="G60:S60" si="34">SUM(G51:G59)</f>
        <v>38527808</v>
      </c>
      <c r="H60" s="231">
        <f t="shared" si="34"/>
        <v>0</v>
      </c>
      <c r="I60" s="231">
        <f t="shared" si="34"/>
        <v>0</v>
      </c>
      <c r="J60" s="231">
        <f t="shared" si="34"/>
        <v>198</v>
      </c>
      <c r="K60" s="232">
        <f t="shared" si="34"/>
        <v>38527808</v>
      </c>
      <c r="L60" s="232">
        <f t="shared" si="34"/>
        <v>2970000</v>
      </c>
      <c r="M60" s="232">
        <f t="shared" si="34"/>
        <v>41497808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37199423</v>
      </c>
      <c r="R60" s="232">
        <f t="shared" si="34"/>
        <v>0</v>
      </c>
      <c r="S60" s="232">
        <f t="shared" si="34"/>
        <v>37199423</v>
      </c>
      <c r="T60" s="232"/>
      <c r="U60" s="182"/>
      <c r="V60" s="233">
        <f>S60+S30</f>
        <v>96078628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30   tháng   11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57">
        <f>+E60+E30</f>
        <v>99316000</v>
      </c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4" sqref="E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67" customWidth="1"/>
    <col min="5" max="5" width="11.28515625" style="2" bestFit="1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36" t="s">
        <v>180</v>
      </c>
      <c r="AN1" s="437"/>
      <c r="AO1" s="437"/>
      <c r="AP1" s="437"/>
      <c r="AQ1" s="437"/>
      <c r="AR1" s="437"/>
      <c r="AS1" s="4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76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44" t="s">
        <v>28</v>
      </c>
      <c r="B5" s="444" t="s">
        <v>3</v>
      </c>
      <c r="C5" s="444" t="s">
        <v>1</v>
      </c>
      <c r="D5" s="446" t="s">
        <v>29</v>
      </c>
      <c r="E5" s="444" t="s">
        <v>30</v>
      </c>
      <c r="F5" s="118">
        <f>+E4</f>
        <v>42705</v>
      </c>
      <c r="G5" s="118">
        <f t="shared" ref="G5:AG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>AH5+1</f>
        <v>42734</v>
      </c>
      <c r="AJ5" s="118">
        <v>31</v>
      </c>
      <c r="AK5" s="449" t="s">
        <v>15</v>
      </c>
      <c r="AL5" s="450"/>
      <c r="AM5" s="451"/>
      <c r="AN5" s="447" t="s">
        <v>45</v>
      </c>
      <c r="AO5" s="447" t="s">
        <v>41</v>
      </c>
      <c r="AP5" s="447" t="s">
        <v>42</v>
      </c>
      <c r="AQ5" s="447" t="s">
        <v>43</v>
      </c>
      <c r="AR5" s="447" t="s">
        <v>44</v>
      </c>
      <c r="AS5" s="446" t="s">
        <v>0</v>
      </c>
      <c r="AT5" s="4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45"/>
      <c r="B6" s="445"/>
      <c r="C6" s="445"/>
      <c r="D6" s="445"/>
      <c r="E6" s="445"/>
      <c r="F6" s="302" t="str">
        <f>CHOOSE(WEEKDAY(F5),"C.Nhật","T.Hai","T.Ba","T.Tư","T.Năm","T.Sáu","T.Bảy")</f>
        <v>T.Năm</v>
      </c>
      <c r="G6" s="302" t="str">
        <f t="shared" ref="G6:AI6" si="1">CHOOSE(WEEKDAY(G5),"C.Nhật","T.Hai","T.Ba","T.Tư","T.Năm","T.Sáu","T.Bảy")</f>
        <v>T.Sáu</v>
      </c>
      <c r="H6" s="302" t="str">
        <f t="shared" si="1"/>
        <v>T.Bảy</v>
      </c>
      <c r="I6" s="302" t="str">
        <f t="shared" si="1"/>
        <v>C.Nhật</v>
      </c>
      <c r="J6" s="302" t="str">
        <f t="shared" si="1"/>
        <v>T.Hai</v>
      </c>
      <c r="K6" s="302" t="str">
        <f t="shared" si="1"/>
        <v>T.Ba</v>
      </c>
      <c r="L6" s="302" t="str">
        <f t="shared" si="1"/>
        <v>T.Tư</v>
      </c>
      <c r="M6" s="302" t="str">
        <f t="shared" si="1"/>
        <v>T.Năm</v>
      </c>
      <c r="N6" s="302" t="str">
        <f t="shared" si="1"/>
        <v>T.Sáu</v>
      </c>
      <c r="O6" s="302" t="str">
        <f t="shared" si="1"/>
        <v>T.Bảy</v>
      </c>
      <c r="P6" s="302" t="str">
        <f t="shared" si="1"/>
        <v>C.Nhật</v>
      </c>
      <c r="Q6" s="302" t="str">
        <f t="shared" si="1"/>
        <v>T.Hai</v>
      </c>
      <c r="R6" s="302" t="str">
        <f t="shared" si="1"/>
        <v>T.Ba</v>
      </c>
      <c r="S6" s="302" t="str">
        <f t="shared" si="1"/>
        <v>T.Tư</v>
      </c>
      <c r="T6" s="302" t="str">
        <f t="shared" si="1"/>
        <v>T.Năm</v>
      </c>
      <c r="U6" s="302" t="str">
        <f t="shared" si="1"/>
        <v>T.Sáu</v>
      </c>
      <c r="V6" s="302" t="str">
        <f t="shared" si="1"/>
        <v>T.Bảy</v>
      </c>
      <c r="W6" s="302" t="str">
        <f t="shared" si="1"/>
        <v>C.Nhật</v>
      </c>
      <c r="X6" s="302" t="str">
        <f t="shared" si="1"/>
        <v>T.Hai</v>
      </c>
      <c r="Y6" s="302" t="str">
        <f t="shared" si="1"/>
        <v>T.Ba</v>
      </c>
      <c r="Z6" s="302" t="str">
        <f t="shared" si="1"/>
        <v>T.Tư</v>
      </c>
      <c r="AA6" s="302" t="str">
        <f t="shared" si="1"/>
        <v>T.Năm</v>
      </c>
      <c r="AB6" s="302" t="str">
        <f t="shared" si="1"/>
        <v>T.Sáu</v>
      </c>
      <c r="AC6" s="302" t="str">
        <f t="shared" si="1"/>
        <v>T.Bảy</v>
      </c>
      <c r="AD6" s="302" t="str">
        <f t="shared" si="1"/>
        <v>C.Nhật</v>
      </c>
      <c r="AE6" s="302" t="str">
        <f t="shared" si="1"/>
        <v>T.Hai</v>
      </c>
      <c r="AF6" s="302" t="str">
        <f t="shared" si="1"/>
        <v>T.Ba</v>
      </c>
      <c r="AG6" s="302" t="str">
        <f t="shared" si="1"/>
        <v>T.Tư</v>
      </c>
      <c r="AH6" s="302" t="str">
        <f t="shared" si="1"/>
        <v>T.Năm</v>
      </c>
      <c r="AI6" s="302" t="str">
        <f t="shared" si="1"/>
        <v>T.Sáu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48"/>
      <c r="AO6" s="448"/>
      <c r="AP6" s="448"/>
      <c r="AQ6" s="448"/>
      <c r="AR6" s="448"/>
      <c r="AS6" s="445"/>
      <c r="AT6" s="4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7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411">
        <v>1</v>
      </c>
      <c r="B9" s="411" t="s">
        <v>61</v>
      </c>
      <c r="C9" s="413" t="str">
        <f>VLOOKUP(B9,DS,2,0)</f>
        <v>Mai Út Hiền</v>
      </c>
      <c r="D9" s="415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>
        <v>8</v>
      </c>
      <c r="AK9" s="417">
        <f>((SUM(F9:AJ9))/8)-(SUMIF($F$6:$AJ$6,"C.Nhật",F9:AJ9)/8)</f>
        <v>27</v>
      </c>
      <c r="AL9" s="417">
        <f>SUM(F10:AI10)/8*1.5</f>
        <v>0</v>
      </c>
      <c r="AM9" s="419">
        <f>SUMIF($F$6:$AI$6,"C.Nhật",$F9:$AI10)/8*2</f>
        <v>0</v>
      </c>
      <c r="AN9" s="407">
        <f>SUM(AK9:AM10)</f>
        <v>27</v>
      </c>
      <c r="AO9" s="421">
        <v>0</v>
      </c>
      <c r="AP9" s="407"/>
      <c r="AQ9" s="407"/>
      <c r="AR9" s="407"/>
      <c r="AS9" s="409"/>
      <c r="AT9" s="37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412"/>
      <c r="B10" s="412"/>
      <c r="C10" s="414"/>
      <c r="D10" s="416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18"/>
      <c r="AL10" s="418"/>
      <c r="AM10" s="420"/>
      <c r="AN10" s="408"/>
      <c r="AO10" s="422"/>
      <c r="AP10" s="408"/>
      <c r="AQ10" s="408"/>
      <c r="AR10" s="408"/>
      <c r="AS10" s="410"/>
      <c r="AT10" s="37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411">
        <f>A9+1</f>
        <v>2</v>
      </c>
      <c r="B11" s="411" t="s">
        <v>62</v>
      </c>
      <c r="C11" s="413" t="str">
        <f>VLOOKUP(B11,DS,2,0)</f>
        <v>Nguyễn Thị Xuân Thảo</v>
      </c>
      <c r="D11" s="415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>
        <v>8</v>
      </c>
      <c r="AK11" s="417">
        <f>((SUM(F11:AJ11))/8)-(SUMIF($F$6:$AJ$6,"C.Nhật",F11:AJ11)/8)</f>
        <v>27</v>
      </c>
      <c r="AL11" s="417">
        <f>SUM(F12:AI12)/8*1.5</f>
        <v>0</v>
      </c>
      <c r="AM11" s="419">
        <f>SUMIF($F$6:$AI$6,"C.Nhật",$F11:$AI12)/8*2</f>
        <v>0</v>
      </c>
      <c r="AN11" s="407">
        <f>SUM(AK11:AM12)</f>
        <v>27</v>
      </c>
      <c r="AO11" s="421">
        <v>0</v>
      </c>
      <c r="AP11" s="407"/>
      <c r="AQ11" s="407"/>
      <c r="AR11" s="407"/>
      <c r="AS11" s="409"/>
      <c r="AT11" s="37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412"/>
      <c r="B12" s="412"/>
      <c r="C12" s="414"/>
      <c r="D12" s="416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18"/>
      <c r="AL12" s="418"/>
      <c r="AM12" s="420"/>
      <c r="AN12" s="408"/>
      <c r="AO12" s="422"/>
      <c r="AP12" s="408"/>
      <c r="AQ12" s="408"/>
      <c r="AR12" s="408"/>
      <c r="AS12" s="410"/>
      <c r="AT12" s="37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411">
        <v>3</v>
      </c>
      <c r="B14" s="411" t="s">
        <v>85</v>
      </c>
      <c r="C14" s="413" t="str">
        <f>VLOOKUP(B14,DS,2,0)</f>
        <v>Huỳnh Thị Hường</v>
      </c>
      <c r="D14" s="415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>
        <v>8</v>
      </c>
      <c r="AK14" s="417">
        <f>((SUM(F14:AJ14))/8)-(SUMIF($F$6:$AJ$6,"C.Nhật",F14:AJ14)/8)</f>
        <v>27</v>
      </c>
      <c r="AL14" s="417">
        <f>SUM(F15:AI15)/8*1.5</f>
        <v>0</v>
      </c>
      <c r="AM14" s="419">
        <f>SUMIF($F$6:$AI$6,"C.Nhật",$F14:$AI15)/8*2</f>
        <v>0</v>
      </c>
      <c r="AN14" s="407">
        <f>SUM(AK14:AM15)</f>
        <v>27</v>
      </c>
      <c r="AO14" s="421">
        <v>0</v>
      </c>
      <c r="AP14" s="407"/>
      <c r="AQ14" s="407"/>
      <c r="AR14" s="407"/>
      <c r="AS14" s="409"/>
      <c r="AT14" s="37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412"/>
      <c r="B15" s="412"/>
      <c r="C15" s="414"/>
      <c r="D15" s="416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18"/>
      <c r="AL15" s="418"/>
      <c r="AM15" s="420"/>
      <c r="AN15" s="408"/>
      <c r="AO15" s="422"/>
      <c r="AP15" s="408"/>
      <c r="AQ15" s="408"/>
      <c r="AR15" s="408"/>
      <c r="AS15" s="410"/>
      <c r="AT15" s="37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411">
        <f>A14+1</f>
        <v>4</v>
      </c>
      <c r="B16" s="411" t="s">
        <v>86</v>
      </c>
      <c r="C16" s="413" t="str">
        <f>VLOOKUP(B16,DS,2,0)</f>
        <v>Nguyễn Thị Rong</v>
      </c>
      <c r="D16" s="415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>
        <v>8</v>
      </c>
      <c r="AK16" s="417">
        <f>((SUM(F16:AJ16))/8)-(SUMIF($F$6:$AJ$6,"C.Nhật",F16:AJ16)/8)</f>
        <v>27</v>
      </c>
      <c r="AL16" s="417">
        <f>SUM(F17:AI17)/8*1.5</f>
        <v>0</v>
      </c>
      <c r="AM16" s="419">
        <f>SUMIF($F$6:$AI$6,"C.Nhật",$F16:$AI17)/8*2</f>
        <v>0</v>
      </c>
      <c r="AN16" s="407">
        <f>SUM(AK16:AM17)</f>
        <v>27</v>
      </c>
      <c r="AO16" s="421">
        <v>0</v>
      </c>
      <c r="AP16" s="407"/>
      <c r="AQ16" s="407"/>
      <c r="AR16" s="407"/>
      <c r="AS16" s="409"/>
      <c r="AT16" s="37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412"/>
      <c r="B17" s="412"/>
      <c r="C17" s="414"/>
      <c r="D17" s="416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18"/>
      <c r="AL17" s="418"/>
      <c r="AM17" s="420"/>
      <c r="AN17" s="408"/>
      <c r="AO17" s="422"/>
      <c r="AP17" s="408"/>
      <c r="AQ17" s="408"/>
      <c r="AR17" s="408"/>
      <c r="AS17" s="410"/>
      <c r="AT17" s="37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411">
        <f t="shared" ref="A18:A22" si="2">A16+1</f>
        <v>5</v>
      </c>
      <c r="B18" s="411" t="s">
        <v>87</v>
      </c>
      <c r="C18" s="413" t="str">
        <f>VLOOKUP(B18,DS,2,0)</f>
        <v>Sơn Thị Nil</v>
      </c>
      <c r="D18" s="415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>
        <v>8</v>
      </c>
      <c r="AK18" s="417">
        <f>((SUM(F18:AJ18))/8)-(SUMIF($F$6:$AJ$6,"C.Nhật",F18:AJ18)/8)</f>
        <v>27</v>
      </c>
      <c r="AL18" s="417">
        <f>SUM(F19:AI19)/8*1.5</f>
        <v>0</v>
      </c>
      <c r="AM18" s="419">
        <f>SUMIF($F$6:$AI$6,"C.Nhật",$F18:$AI19)/8*2</f>
        <v>0</v>
      </c>
      <c r="AN18" s="407">
        <f>SUM(AK18:AM19)</f>
        <v>27</v>
      </c>
      <c r="AO18" s="421">
        <v>0</v>
      </c>
      <c r="AP18" s="407"/>
      <c r="AQ18" s="407"/>
      <c r="AR18" s="407"/>
      <c r="AS18" s="409"/>
      <c r="AT18" s="37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412"/>
      <c r="B19" s="412"/>
      <c r="C19" s="414"/>
      <c r="D19" s="416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18"/>
      <c r="AL19" s="418"/>
      <c r="AM19" s="420"/>
      <c r="AN19" s="408"/>
      <c r="AO19" s="422"/>
      <c r="AP19" s="408"/>
      <c r="AQ19" s="408"/>
      <c r="AR19" s="408"/>
      <c r="AS19" s="410"/>
      <c r="AT19" s="37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411">
        <f>A18+1</f>
        <v>6</v>
      </c>
      <c r="B20" s="411" t="s">
        <v>91</v>
      </c>
      <c r="C20" s="413" t="str">
        <f>VLOOKUP(B20,DS,2,0)</f>
        <v>Nguyễn Thị Lựu</v>
      </c>
      <c r="D20" s="415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>
        <v>8</v>
      </c>
      <c r="AK20" s="417">
        <f>((SUM(F20:AJ20))/8)-(SUMIF($F$6:$AJ$6,"C.Nhật",F20:AJ20)/8)</f>
        <v>27</v>
      </c>
      <c r="AL20" s="417">
        <f>SUM(F21:AI21)/8*1.5</f>
        <v>0</v>
      </c>
      <c r="AM20" s="419">
        <f>SUMIF($F$6:$AI$6,"C.Nhật",$F20:$AI21)/8*2</f>
        <v>0</v>
      </c>
      <c r="AN20" s="407">
        <f>SUM(AK20:AM21)</f>
        <v>27</v>
      </c>
      <c r="AO20" s="421">
        <v>0</v>
      </c>
      <c r="AP20" s="407"/>
      <c r="AQ20" s="407"/>
      <c r="AR20" s="407"/>
      <c r="AS20" s="409"/>
      <c r="AT20" s="37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412"/>
      <c r="B21" s="412"/>
      <c r="C21" s="414"/>
      <c r="D21" s="416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18"/>
      <c r="AL21" s="418"/>
      <c r="AM21" s="420"/>
      <c r="AN21" s="408"/>
      <c r="AO21" s="422"/>
      <c r="AP21" s="408"/>
      <c r="AQ21" s="408"/>
      <c r="AR21" s="408"/>
      <c r="AS21" s="410"/>
      <c r="AT21" s="37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411">
        <f t="shared" si="2"/>
        <v>7</v>
      </c>
      <c r="B22" s="411" t="s">
        <v>92</v>
      </c>
      <c r="C22" s="413" t="str">
        <f>VLOOKUP(B22,DS,2,0)</f>
        <v>Lý Thị Được</v>
      </c>
      <c r="D22" s="415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>
        <v>8</v>
      </c>
      <c r="AK22" s="417">
        <f>((SUM(F22:AJ22))/8)-(SUMIF($F$6:$AJ$6,"C.Nhật",F22:AJ22)/8)</f>
        <v>27</v>
      </c>
      <c r="AL22" s="417">
        <f>SUM(F23:AI23)/8*1.5</f>
        <v>0</v>
      </c>
      <c r="AM22" s="419">
        <f>SUMIF($F$6:$AI$6,"C.Nhật",$F22:$AI23)/8*2</f>
        <v>0</v>
      </c>
      <c r="AN22" s="407">
        <f>SUM(AK22:AM23)</f>
        <v>27</v>
      </c>
      <c r="AO22" s="421">
        <v>0</v>
      </c>
      <c r="AP22" s="407"/>
      <c r="AQ22" s="407"/>
      <c r="AR22" s="407"/>
      <c r="AS22" s="409"/>
      <c r="AT22" s="37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412"/>
      <c r="B23" s="412"/>
      <c r="C23" s="414"/>
      <c r="D23" s="416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18"/>
      <c r="AL23" s="418"/>
      <c r="AM23" s="420"/>
      <c r="AN23" s="408"/>
      <c r="AO23" s="422"/>
      <c r="AP23" s="408"/>
      <c r="AQ23" s="408"/>
      <c r="AR23" s="408"/>
      <c r="AS23" s="410"/>
      <c r="AT23" s="37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411">
        <f>A22+1</f>
        <v>8</v>
      </c>
      <c r="B24" s="411" t="s">
        <v>94</v>
      </c>
      <c r="C24" s="413" t="str">
        <f>VLOOKUP(B24,DS,2,0)</f>
        <v>Trà Thị Soi</v>
      </c>
      <c r="D24" s="415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>
        <v>8</v>
      </c>
      <c r="AK24" s="417">
        <f>((SUM(F24:AJ24))/8)-(SUMIF($F$6:$AJ$6,"C.Nhật",F24:AJ24)/8)</f>
        <v>27</v>
      </c>
      <c r="AL24" s="417">
        <f>SUM(F25:AI25)/8*1.5</f>
        <v>0</v>
      </c>
      <c r="AM24" s="419">
        <f>SUMIF($F$6:$AI$6,"C.Nhật",$F24:$AI25)/8*2</f>
        <v>0</v>
      </c>
      <c r="AN24" s="407">
        <f>SUM(AK24:AM25)</f>
        <v>27</v>
      </c>
      <c r="AO24" s="421">
        <v>0</v>
      </c>
      <c r="AP24" s="407"/>
      <c r="AQ24" s="407"/>
      <c r="AR24" s="407"/>
      <c r="AS24" s="409"/>
      <c r="AT24" s="37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412"/>
      <c r="B25" s="412"/>
      <c r="C25" s="414"/>
      <c r="D25" s="416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18"/>
      <c r="AL25" s="418"/>
      <c r="AM25" s="420"/>
      <c r="AN25" s="408"/>
      <c r="AO25" s="422"/>
      <c r="AP25" s="408"/>
      <c r="AQ25" s="408"/>
      <c r="AR25" s="408"/>
      <c r="AS25" s="410"/>
      <c r="AT25" s="37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411">
        <f>A24+1</f>
        <v>9</v>
      </c>
      <c r="B26" s="411" t="s">
        <v>100</v>
      </c>
      <c r="C26" s="413" t="str">
        <f>VLOOKUP(B26,DS,2,0)</f>
        <v>Sơn Thị Chành Đa</v>
      </c>
      <c r="D26" s="415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>
        <v>8</v>
      </c>
      <c r="AK26" s="417">
        <f>((SUM(F26:AJ26))/8)-(SUMIF($F$6:$AJ$6,"C.Nhật",F26:AJ26)/8)</f>
        <v>27</v>
      </c>
      <c r="AL26" s="417">
        <f>SUM(F27:AI27)/8*1.5</f>
        <v>0</v>
      </c>
      <c r="AM26" s="419">
        <f>SUMIF($F$6:$AI$6,"C.Nhật",$F26:$AI27)/8*2</f>
        <v>0</v>
      </c>
      <c r="AN26" s="407">
        <f>SUM(AK26:AM27)</f>
        <v>27</v>
      </c>
      <c r="AO26" s="421">
        <v>0</v>
      </c>
      <c r="AP26" s="407"/>
      <c r="AQ26" s="407"/>
      <c r="AR26" s="407"/>
      <c r="AS26" s="409"/>
      <c r="AT26" s="37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412"/>
      <c r="B27" s="412"/>
      <c r="C27" s="414"/>
      <c r="D27" s="416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18"/>
      <c r="AL27" s="418"/>
      <c r="AM27" s="420"/>
      <c r="AN27" s="408"/>
      <c r="AO27" s="422"/>
      <c r="AP27" s="408"/>
      <c r="AQ27" s="408"/>
      <c r="AR27" s="408"/>
      <c r="AS27" s="410"/>
      <c r="AT27" s="37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411">
        <f>A26+1</f>
        <v>10</v>
      </c>
      <c r="B28" s="411" t="s">
        <v>101</v>
      </c>
      <c r="C28" s="413" t="str">
        <f>VLOOKUP(B28,DS,2,0)</f>
        <v>Trần Thị Bích Phượng</v>
      </c>
      <c r="D28" s="415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>
        <v>8</v>
      </c>
      <c r="AK28" s="417">
        <f>((SUM(F28:AJ28))/8)-(SUMIF($F$6:$AJ$6,"C.Nhật",F28:AJ28)/8)</f>
        <v>27</v>
      </c>
      <c r="AL28" s="417">
        <f>SUM(F29:AI29)/8*1.5</f>
        <v>0</v>
      </c>
      <c r="AM28" s="419">
        <f>SUMIF($F$6:$AI$6,"C.Nhật",$F28:$AI29)/8*2</f>
        <v>0</v>
      </c>
      <c r="AN28" s="407">
        <f>SUM(AK28:AM29)</f>
        <v>27</v>
      </c>
      <c r="AO28" s="421">
        <v>0</v>
      </c>
      <c r="AP28" s="407"/>
      <c r="AQ28" s="407"/>
      <c r="AR28" s="407"/>
      <c r="AS28" s="409"/>
      <c r="AT28" s="37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412"/>
      <c r="B29" s="412"/>
      <c r="C29" s="414"/>
      <c r="D29" s="416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18"/>
      <c r="AL29" s="418"/>
      <c r="AM29" s="420"/>
      <c r="AN29" s="408"/>
      <c r="AO29" s="422"/>
      <c r="AP29" s="408"/>
      <c r="AQ29" s="408"/>
      <c r="AR29" s="408"/>
      <c r="AS29" s="410"/>
      <c r="AT29" s="37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411">
        <f>A28+1</f>
        <v>11</v>
      </c>
      <c r="B30" s="411" t="s">
        <v>102</v>
      </c>
      <c r="C30" s="413" t="str">
        <f>VLOOKUP(B30,DS,2,0)</f>
        <v>Sơn Thị Trường Sa</v>
      </c>
      <c r="D30" s="415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>
        <v>8</v>
      </c>
      <c r="AK30" s="417">
        <f>((SUM(F30:AJ30))/8)-(SUMIF($F$6:$AJ$6,"C.Nhật",F30:AJ30)/8)</f>
        <v>27</v>
      </c>
      <c r="AL30" s="417">
        <f>SUM(F31:AI31)/8*1.5</f>
        <v>0</v>
      </c>
      <c r="AM30" s="419">
        <f>SUMIF($F$6:$AI$6,"C.Nhật",$F30:$AI31)/8*2</f>
        <v>0</v>
      </c>
      <c r="AN30" s="407">
        <f>SUM(AK30:AM31)</f>
        <v>27</v>
      </c>
      <c r="AO30" s="421">
        <v>0</v>
      </c>
      <c r="AP30" s="407"/>
      <c r="AQ30" s="407"/>
      <c r="AR30" s="407"/>
      <c r="AS30" s="409"/>
      <c r="AT30" s="37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412"/>
      <c r="B31" s="412"/>
      <c r="C31" s="414"/>
      <c r="D31" s="416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18"/>
      <c r="AL31" s="418"/>
      <c r="AM31" s="420"/>
      <c r="AN31" s="408"/>
      <c r="AO31" s="422"/>
      <c r="AP31" s="408"/>
      <c r="AQ31" s="408"/>
      <c r="AR31" s="408"/>
      <c r="AS31" s="410"/>
      <c r="AT31" s="37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411">
        <f>A30+1</f>
        <v>12</v>
      </c>
      <c r="B32" s="411" t="s">
        <v>103</v>
      </c>
      <c r="C32" s="413" t="str">
        <f>VLOOKUP(B32,DS,2,0)</f>
        <v>Lý Thị Sà Kha</v>
      </c>
      <c r="D32" s="415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>
        <v>8</v>
      </c>
      <c r="AK32" s="417">
        <f>((SUM(F32:AJ32))/8)-(SUMIF($F$6:$AJ$6,"C.Nhật",F32:AJ32)/8)</f>
        <v>27</v>
      </c>
      <c r="AL32" s="417">
        <f>SUM(F33:AI33)/8*1.5</f>
        <v>0</v>
      </c>
      <c r="AM32" s="419">
        <f>SUMIF($F$6:$AI$6,"C.Nhật",$F32:$AI33)/8*2</f>
        <v>0</v>
      </c>
      <c r="AN32" s="407">
        <f>SUM(AK32:AM33)</f>
        <v>27</v>
      </c>
      <c r="AO32" s="421">
        <v>0</v>
      </c>
      <c r="AP32" s="407"/>
      <c r="AQ32" s="407"/>
      <c r="AR32" s="407"/>
      <c r="AS32" s="409"/>
      <c r="AT32" s="37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412"/>
      <c r="B33" s="412"/>
      <c r="C33" s="414"/>
      <c r="D33" s="416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18"/>
      <c r="AL33" s="418"/>
      <c r="AM33" s="420"/>
      <c r="AN33" s="408"/>
      <c r="AO33" s="422"/>
      <c r="AP33" s="408"/>
      <c r="AQ33" s="408"/>
      <c r="AR33" s="408"/>
      <c r="AS33" s="410"/>
      <c r="AT33" s="370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411">
        <f>A32+1</f>
        <v>13</v>
      </c>
      <c r="B34" s="411" t="s">
        <v>104</v>
      </c>
      <c r="C34" s="413" t="str">
        <f>VLOOKUP(B34,DS,2,0)</f>
        <v xml:space="preserve"> Lâm Thị Mộng Thường</v>
      </c>
      <c r="D34" s="415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>
        <v>8</v>
      </c>
      <c r="AK34" s="417">
        <f>((SUM(F34:AJ34))/8)-(SUMIF($F$6:$AJ$6,"C.Nhật",F34:AJ34)/8)</f>
        <v>27</v>
      </c>
      <c r="AL34" s="417">
        <f>SUM(F35:AI35)/8*1.5</f>
        <v>0</v>
      </c>
      <c r="AM34" s="419">
        <f>SUMIF($F$6:$AI$6,"C.Nhật",$F34:$AI35)/8*2</f>
        <v>0</v>
      </c>
      <c r="AN34" s="407">
        <f>SUM(AK34:AM35)</f>
        <v>27</v>
      </c>
      <c r="AO34" s="421">
        <v>0</v>
      </c>
      <c r="AP34" s="407"/>
      <c r="AQ34" s="407"/>
      <c r="AR34" s="407"/>
      <c r="AS34" s="409"/>
      <c r="AT34" s="370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412"/>
      <c r="B35" s="412"/>
      <c r="C35" s="414"/>
      <c r="D35" s="416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18"/>
      <c r="AL35" s="418"/>
      <c r="AM35" s="420"/>
      <c r="AN35" s="408"/>
      <c r="AO35" s="422"/>
      <c r="AP35" s="408"/>
      <c r="AQ35" s="408"/>
      <c r="AR35" s="408"/>
      <c r="AS35" s="410"/>
      <c r="AT35" s="370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411">
        <f>A34+1</f>
        <v>14</v>
      </c>
      <c r="B37" s="411" t="s">
        <v>113</v>
      </c>
      <c r="C37" s="413" t="str">
        <f>VLOOKUP(B37,DS,2,0)</f>
        <v>Nguyễn Văn Bé Hai</v>
      </c>
      <c r="D37" s="415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>
        <v>8</v>
      </c>
      <c r="AK37" s="417">
        <f>((SUM(F37:AJ37))/8)-(SUMIF($F$6:$AJ$6,"C.Nhật",F37:AJ37)/8)</f>
        <v>27</v>
      </c>
      <c r="AL37" s="417">
        <f>SUM(F38:AI38)/8*1.5</f>
        <v>0</v>
      </c>
      <c r="AM37" s="419">
        <f>SUMIF($F$6:$AI$6,"C.Nhật",$F37:$AI38)/8*2</f>
        <v>0</v>
      </c>
      <c r="AN37" s="407">
        <f>SUM(AK37:AM38)</f>
        <v>27</v>
      </c>
      <c r="AO37" s="421">
        <v>0</v>
      </c>
      <c r="AP37" s="407"/>
      <c r="AQ37" s="407"/>
      <c r="AR37" s="407"/>
      <c r="AS37" s="409"/>
      <c r="AT37" s="37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412"/>
      <c r="B38" s="412"/>
      <c r="C38" s="414"/>
      <c r="D38" s="416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18"/>
      <c r="AL38" s="418"/>
      <c r="AM38" s="420"/>
      <c r="AN38" s="408"/>
      <c r="AO38" s="422"/>
      <c r="AP38" s="408"/>
      <c r="AQ38" s="408"/>
      <c r="AR38" s="408"/>
      <c r="AS38" s="410"/>
      <c r="AT38" s="37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411">
        <f>A37+1</f>
        <v>15</v>
      </c>
      <c r="B39" s="411" t="s">
        <v>114</v>
      </c>
      <c r="C39" s="413" t="str">
        <f>VLOOKUP(B39,DS,2,0)</f>
        <v>Thạch Tiền</v>
      </c>
      <c r="D39" s="415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>
        <v>8</v>
      </c>
      <c r="AK39" s="417">
        <f>((SUM(F39:AJ39))/8)-(SUMIF($F$6:$AJ$6,"C.Nhật",F39:AJ39)/8)</f>
        <v>27</v>
      </c>
      <c r="AL39" s="417">
        <f>SUM(F40:AI40)/8*1.5</f>
        <v>0</v>
      </c>
      <c r="AM39" s="419">
        <f>SUMIF($F$6:$AI$6,"C.Nhật",$F39:$AI40)/8*2</f>
        <v>0</v>
      </c>
      <c r="AN39" s="407">
        <f>SUM(AK39:AM40)</f>
        <v>27</v>
      </c>
      <c r="AO39" s="421">
        <v>0</v>
      </c>
      <c r="AP39" s="407"/>
      <c r="AQ39" s="407"/>
      <c r="AR39" s="407"/>
      <c r="AS39" s="409"/>
      <c r="AT39" s="37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412"/>
      <c r="B40" s="412"/>
      <c r="C40" s="414"/>
      <c r="D40" s="416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18"/>
      <c r="AL40" s="418"/>
      <c r="AM40" s="420"/>
      <c r="AN40" s="408"/>
      <c r="AO40" s="422"/>
      <c r="AP40" s="408"/>
      <c r="AQ40" s="408"/>
      <c r="AR40" s="408"/>
      <c r="AS40" s="410"/>
      <c r="AT40" s="37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411">
        <f>A39+1</f>
        <v>16</v>
      </c>
      <c r="B41" s="411" t="s">
        <v>118</v>
      </c>
      <c r="C41" s="413" t="str">
        <f>VLOOKUP(B41,DS,2,0)</f>
        <v>Trần Nhiên</v>
      </c>
      <c r="D41" s="415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>
        <v>8</v>
      </c>
      <c r="AK41" s="417">
        <f>((SUM(F41:AJ41))/8)-(SUMIF($F$6:$AJ$6,"C.Nhật",F41:AJ41)/8)</f>
        <v>27</v>
      </c>
      <c r="AL41" s="417">
        <f>SUM(F42:AI42)/8*1.5</f>
        <v>0</v>
      </c>
      <c r="AM41" s="419">
        <f>SUMIF($F$6:$AI$6,"C.Nhật",$F41:$AI42)/8*2</f>
        <v>0</v>
      </c>
      <c r="AN41" s="407">
        <f>SUM(AK41:AM42)</f>
        <v>27</v>
      </c>
      <c r="AO41" s="421">
        <v>0</v>
      </c>
      <c r="AP41" s="407"/>
      <c r="AQ41" s="407"/>
      <c r="AR41" s="407"/>
      <c r="AS41" s="409"/>
      <c r="AT41" s="37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412"/>
      <c r="B42" s="412"/>
      <c r="C42" s="414"/>
      <c r="D42" s="416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18"/>
      <c r="AL42" s="418"/>
      <c r="AM42" s="420"/>
      <c r="AN42" s="408"/>
      <c r="AO42" s="422"/>
      <c r="AP42" s="408"/>
      <c r="AQ42" s="408"/>
      <c r="AR42" s="408"/>
      <c r="AS42" s="410"/>
      <c r="AT42" s="370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411">
        <f>A41+1</f>
        <v>17</v>
      </c>
      <c r="B43" s="411" t="s">
        <v>119</v>
      </c>
      <c r="C43" s="413" t="str">
        <f>VLOOKUP(B43,DS,2,0)</f>
        <v>Thạch Giang</v>
      </c>
      <c r="D43" s="415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>
        <v>8</v>
      </c>
      <c r="AK43" s="417">
        <f>((SUM(F43:AJ43))/8)-(SUMIF($F$6:$AJ$6,"C.Nhật",F43:AJ43)/8)</f>
        <v>27</v>
      </c>
      <c r="AL43" s="417">
        <f>SUM(F44:AI44)/8*1.5</f>
        <v>0</v>
      </c>
      <c r="AM43" s="419">
        <f>SUMIF($F$6:$AI$6,"C.Nhật",$F43:$AI44)/8*2</f>
        <v>0</v>
      </c>
      <c r="AN43" s="407">
        <f>SUM(AK43:AM44)</f>
        <v>27</v>
      </c>
      <c r="AO43" s="421">
        <v>0</v>
      </c>
      <c r="AP43" s="407"/>
      <c r="AQ43" s="407"/>
      <c r="AR43" s="407"/>
      <c r="AS43" s="409"/>
      <c r="AT43" s="370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412"/>
      <c r="B44" s="412"/>
      <c r="C44" s="414"/>
      <c r="D44" s="416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18"/>
      <c r="AL44" s="418"/>
      <c r="AM44" s="420"/>
      <c r="AN44" s="408"/>
      <c r="AO44" s="422"/>
      <c r="AP44" s="408"/>
      <c r="AQ44" s="408"/>
      <c r="AR44" s="408"/>
      <c r="AS44" s="410"/>
      <c r="AT44" s="370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411">
        <f>A43+1</f>
        <v>18</v>
      </c>
      <c r="B45" s="411" t="s">
        <v>120</v>
      </c>
      <c r="C45" s="413" t="str">
        <f>VLOOKUP(B45,DS,2,0)</f>
        <v>Thạch Quyền</v>
      </c>
      <c r="D45" s="415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>
        <v>8</v>
      </c>
      <c r="AK45" s="417">
        <f>((SUM(F45:AJ45))/8)-(SUMIF($F$6:$AJ$6,"C.Nhật",F45:AJ45)/8)</f>
        <v>27</v>
      </c>
      <c r="AL45" s="417">
        <f>SUM(F46:AI46)/8*1.5</f>
        <v>0</v>
      </c>
      <c r="AM45" s="419">
        <f>SUMIF($F$6:$AI$6,"C.Nhật",$F45:$AI46)/8*2</f>
        <v>0</v>
      </c>
      <c r="AN45" s="407">
        <f>SUM(AK45:AM46)</f>
        <v>27</v>
      </c>
      <c r="AO45" s="421">
        <v>0</v>
      </c>
      <c r="AP45" s="407"/>
      <c r="AQ45" s="407"/>
      <c r="AR45" s="407"/>
      <c r="AS45" s="409"/>
      <c r="AT45" s="370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412"/>
      <c r="B46" s="412"/>
      <c r="C46" s="414"/>
      <c r="D46" s="416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18"/>
      <c r="AL46" s="418"/>
      <c r="AM46" s="420"/>
      <c r="AN46" s="408"/>
      <c r="AO46" s="422"/>
      <c r="AP46" s="408"/>
      <c r="AQ46" s="408"/>
      <c r="AR46" s="408"/>
      <c r="AS46" s="410"/>
      <c r="AT46" s="370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411">
        <f>A45+1</f>
        <v>19</v>
      </c>
      <c r="B47" s="411" t="s">
        <v>122</v>
      </c>
      <c r="C47" s="413" t="str">
        <f>VLOOKUP(B47,DS,2,0)</f>
        <v>Lâm Chanh Đa Ra</v>
      </c>
      <c r="D47" s="415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>
        <v>8</v>
      </c>
      <c r="AK47" s="417">
        <f>((SUM(F47:AJ47))/8)-(SUMIF($F$6:$AJ$6,"C.Nhật",F47:AJ47)/8)</f>
        <v>27</v>
      </c>
      <c r="AL47" s="417">
        <f>SUM(F48:AI48)/8*1.5</f>
        <v>0</v>
      </c>
      <c r="AM47" s="419">
        <f>SUMIF($F$6:$AI$6,"C.Nhật",$F47:$AI48)/8*2</f>
        <v>0</v>
      </c>
      <c r="AN47" s="407">
        <f>SUM(AK47:AM48)</f>
        <v>27</v>
      </c>
      <c r="AO47" s="421">
        <v>0</v>
      </c>
      <c r="AP47" s="407"/>
      <c r="AQ47" s="407"/>
      <c r="AR47" s="407"/>
      <c r="AS47" s="409"/>
      <c r="AT47" s="370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412"/>
      <c r="B48" s="412"/>
      <c r="C48" s="414"/>
      <c r="D48" s="416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18"/>
      <c r="AL48" s="418"/>
      <c r="AM48" s="420"/>
      <c r="AN48" s="408"/>
      <c r="AO48" s="422"/>
      <c r="AP48" s="408"/>
      <c r="AQ48" s="408"/>
      <c r="AR48" s="408"/>
      <c r="AS48" s="410"/>
      <c r="AT48" s="370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67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67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12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53" t="s">
        <v>112</v>
      </c>
      <c r="AN76" s="454"/>
      <c r="AO76" s="454"/>
      <c r="AP76" s="454"/>
      <c r="AQ76" s="454"/>
      <c r="AR76" s="454"/>
      <c r="AS76" s="455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42705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96" t="s">
        <v>28</v>
      </c>
      <c r="B80" s="496" t="s">
        <v>3</v>
      </c>
      <c r="C80" s="496" t="s">
        <v>1</v>
      </c>
      <c r="D80" s="434" t="s">
        <v>29</v>
      </c>
      <c r="E80" s="496" t="s">
        <v>30</v>
      </c>
      <c r="F80" s="164">
        <f>+E79</f>
        <v>42705</v>
      </c>
      <c r="G80" s="164">
        <f t="shared" ref="G80:AG80" si="3">F80+1</f>
        <v>42706</v>
      </c>
      <c r="H80" s="164">
        <f t="shared" si="3"/>
        <v>42707</v>
      </c>
      <c r="I80" s="164">
        <f t="shared" si="3"/>
        <v>42708</v>
      </c>
      <c r="J80" s="164">
        <f t="shared" si="3"/>
        <v>42709</v>
      </c>
      <c r="K80" s="164">
        <f t="shared" si="3"/>
        <v>42710</v>
      </c>
      <c r="L80" s="164">
        <f t="shared" si="3"/>
        <v>42711</v>
      </c>
      <c r="M80" s="164">
        <f t="shared" si="3"/>
        <v>42712</v>
      </c>
      <c r="N80" s="164">
        <f t="shared" si="3"/>
        <v>42713</v>
      </c>
      <c r="O80" s="164">
        <f t="shared" si="3"/>
        <v>42714</v>
      </c>
      <c r="P80" s="164">
        <f t="shared" si="3"/>
        <v>42715</v>
      </c>
      <c r="Q80" s="164">
        <f t="shared" si="3"/>
        <v>42716</v>
      </c>
      <c r="R80" s="164">
        <f t="shared" si="3"/>
        <v>42717</v>
      </c>
      <c r="S80" s="164">
        <f t="shared" si="3"/>
        <v>42718</v>
      </c>
      <c r="T80" s="164">
        <f t="shared" si="3"/>
        <v>42719</v>
      </c>
      <c r="U80" s="164">
        <f t="shared" si="3"/>
        <v>42720</v>
      </c>
      <c r="V80" s="164">
        <f t="shared" si="3"/>
        <v>42721</v>
      </c>
      <c r="W80" s="164">
        <f t="shared" si="3"/>
        <v>42722</v>
      </c>
      <c r="X80" s="164">
        <f t="shared" si="3"/>
        <v>42723</v>
      </c>
      <c r="Y80" s="164">
        <f t="shared" si="3"/>
        <v>42724</v>
      </c>
      <c r="Z80" s="164">
        <f t="shared" si="3"/>
        <v>42725</v>
      </c>
      <c r="AA80" s="164">
        <f t="shared" si="3"/>
        <v>42726</v>
      </c>
      <c r="AB80" s="164">
        <f t="shared" si="3"/>
        <v>42727</v>
      </c>
      <c r="AC80" s="164">
        <f t="shared" si="3"/>
        <v>42728</v>
      </c>
      <c r="AD80" s="164">
        <f t="shared" si="3"/>
        <v>42729</v>
      </c>
      <c r="AE80" s="164">
        <f t="shared" si="3"/>
        <v>42730</v>
      </c>
      <c r="AF80" s="164">
        <f t="shared" si="3"/>
        <v>42731</v>
      </c>
      <c r="AG80" s="164">
        <f t="shared" si="3"/>
        <v>42732</v>
      </c>
      <c r="AH80" s="164">
        <f>AG80+1</f>
        <v>42733</v>
      </c>
      <c r="AI80" s="164">
        <f>AH80+1</f>
        <v>42734</v>
      </c>
      <c r="AJ80" s="164"/>
      <c r="AK80" s="441" t="s">
        <v>15</v>
      </c>
      <c r="AL80" s="442"/>
      <c r="AM80" s="443"/>
      <c r="AN80" s="432" t="s">
        <v>45</v>
      </c>
      <c r="AO80" s="432" t="s">
        <v>41</v>
      </c>
      <c r="AP80" s="432" t="s">
        <v>42</v>
      </c>
      <c r="AQ80" s="432" t="s">
        <v>43</v>
      </c>
      <c r="AR80" s="432" t="s">
        <v>44</v>
      </c>
      <c r="AS80" s="434" t="s">
        <v>0</v>
      </c>
      <c r="AT80" s="427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35"/>
      <c r="B81" s="435"/>
      <c r="C81" s="435"/>
      <c r="D81" s="435"/>
      <c r="E81" s="435"/>
      <c r="F81" s="322" t="str">
        <f>CHOOSE(WEEKDAY(F80),"C.Nhật","T.Hai","T.Ba","T.Tư","T.Năm","T.Sáu","T.Bảy")</f>
        <v>T.Năm</v>
      </c>
      <c r="G81" s="322" t="str">
        <f t="shared" ref="G81:AI81" si="4">CHOOSE(WEEKDAY(G80),"C.Nhật","T.Hai","T.Ba","T.Tư","T.Năm","T.Sáu","T.Bảy")</f>
        <v>T.Sáu</v>
      </c>
      <c r="H81" s="322" t="str">
        <f t="shared" si="4"/>
        <v>T.Bảy</v>
      </c>
      <c r="I81" s="322" t="str">
        <f t="shared" si="4"/>
        <v>C.Nhật</v>
      </c>
      <c r="J81" s="322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33"/>
      <c r="AO81" s="433"/>
      <c r="AP81" s="433"/>
      <c r="AQ81" s="433"/>
      <c r="AR81" s="433"/>
      <c r="AS81" s="435"/>
      <c r="AT81" s="427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25">
        <v>1</v>
      </c>
      <c r="B83" s="425" t="s">
        <v>68</v>
      </c>
      <c r="C83" s="413" t="str">
        <f>VLOOKUP(B83,DS,2,0)</f>
        <v>Nguyễn Thiện Duy</v>
      </c>
      <c r="D83" s="415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/>
      <c r="J83" s="171">
        <v>8</v>
      </c>
      <c r="K83" s="171"/>
      <c r="L83" s="171">
        <v>8</v>
      </c>
      <c r="M83" s="171">
        <v>8</v>
      </c>
      <c r="N83" s="171">
        <v>8</v>
      </c>
      <c r="O83" s="171">
        <v>8</v>
      </c>
      <c r="P83" s="171"/>
      <c r="Q83" s="171">
        <v>8</v>
      </c>
      <c r="R83" s="171">
        <v>8</v>
      </c>
      <c r="S83" s="171"/>
      <c r="T83" s="171">
        <v>8</v>
      </c>
      <c r="U83" s="171">
        <v>8</v>
      </c>
      <c r="V83" s="171">
        <v>8</v>
      </c>
      <c r="W83" s="171"/>
      <c r="X83" s="171">
        <v>8</v>
      </c>
      <c r="Y83" s="171">
        <v>8</v>
      </c>
      <c r="Z83" s="171">
        <v>8</v>
      </c>
      <c r="AA83" s="171"/>
      <c r="AB83" s="171">
        <v>8</v>
      </c>
      <c r="AC83" s="171">
        <v>8</v>
      </c>
      <c r="AD83" s="171"/>
      <c r="AE83" s="171"/>
      <c r="AF83" s="171">
        <v>8</v>
      </c>
      <c r="AG83" s="171">
        <v>8</v>
      </c>
      <c r="AH83" s="171">
        <v>8</v>
      </c>
      <c r="AI83" s="171">
        <v>8</v>
      </c>
      <c r="AJ83" s="171">
        <v>8</v>
      </c>
      <c r="AK83" s="417">
        <f>((SUM(F83:AJ83))/8)-(SUMIF($F$6:$AJ$6,"C.Nhật",F83:AJ83)/8)</f>
        <v>23</v>
      </c>
      <c r="AL83" s="417">
        <f>SUM(F84:AI84)/8*1.5</f>
        <v>0</v>
      </c>
      <c r="AM83" s="419">
        <f>SUMIF($F$6:$AI$6,"C.Nhật",$F83:$AI84)/8*2</f>
        <v>0</v>
      </c>
      <c r="AN83" s="407">
        <f>SUM(AK83:AM84)</f>
        <v>23</v>
      </c>
      <c r="AO83" s="423">
        <v>0</v>
      </c>
      <c r="AP83" s="428"/>
      <c r="AQ83" s="428"/>
      <c r="AR83" s="428"/>
      <c r="AS83" s="430"/>
      <c r="AT83" s="36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26"/>
      <c r="B84" s="426"/>
      <c r="C84" s="414"/>
      <c r="D84" s="416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18"/>
      <c r="AL84" s="418"/>
      <c r="AM84" s="420"/>
      <c r="AN84" s="408"/>
      <c r="AO84" s="424"/>
      <c r="AP84" s="429"/>
      <c r="AQ84" s="429"/>
      <c r="AR84" s="429"/>
      <c r="AS84" s="431"/>
      <c r="AT84" s="36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25">
        <f>A83+1</f>
        <v>2</v>
      </c>
      <c r="B85" s="425" t="s">
        <v>70</v>
      </c>
      <c r="C85" s="413" t="str">
        <f>VLOOKUP(B85,DS,2,0)</f>
        <v>Nguyễn Văn Sẽ</v>
      </c>
      <c r="D85" s="415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>
        <v>8</v>
      </c>
      <c r="AK85" s="417">
        <f>((SUM(F85:AJ85))/8)-(SUMIF($F$6:$AJ$6,"C.Nhật",F85:AJ85)/8)</f>
        <v>27</v>
      </c>
      <c r="AL85" s="417">
        <f>SUM(F86:AI86)/8*1.5</f>
        <v>0</v>
      </c>
      <c r="AM85" s="419">
        <f>SUMIF($F$6:$AI$6,"C.Nhật",$F85:$AI86)/8*2</f>
        <v>0</v>
      </c>
      <c r="AN85" s="407">
        <f>SUM(AK85:AM86)</f>
        <v>27</v>
      </c>
      <c r="AO85" s="423">
        <v>0</v>
      </c>
      <c r="AP85" s="428"/>
      <c r="AQ85" s="428"/>
      <c r="AR85" s="428"/>
      <c r="AS85" s="430"/>
      <c r="AT85" s="36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26"/>
      <c r="B86" s="426"/>
      <c r="C86" s="414"/>
      <c r="D86" s="416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18"/>
      <c r="AL86" s="418"/>
      <c r="AM86" s="420"/>
      <c r="AN86" s="408"/>
      <c r="AO86" s="424"/>
      <c r="AP86" s="429"/>
      <c r="AQ86" s="429"/>
      <c r="AR86" s="429"/>
      <c r="AS86" s="431"/>
      <c r="AT86" s="36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25">
        <f>A85+1</f>
        <v>3</v>
      </c>
      <c r="B87" s="425" t="s">
        <v>72</v>
      </c>
      <c r="C87" s="413" t="str">
        <f>VLOOKUP(B87,DS,2,0)</f>
        <v>Võ Uyên Phương</v>
      </c>
      <c r="D87" s="415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>
        <v>8</v>
      </c>
      <c r="AK87" s="417">
        <f>((SUM(F87:AJ87))/8)-(SUMIF($F$6:$AJ$6,"C.Nhật",F87:AJ87)/8)</f>
        <v>27</v>
      </c>
      <c r="AL87" s="417">
        <f>SUM(F88:AI88)/8*1.5</f>
        <v>0</v>
      </c>
      <c r="AM87" s="419">
        <f>SUMIF($F$6:$AI$6,"C.Nhật",$F87:$AI88)/8*2</f>
        <v>0</v>
      </c>
      <c r="AN87" s="407">
        <f>SUM(AK87:AM88)</f>
        <v>27</v>
      </c>
      <c r="AO87" s="423">
        <v>0</v>
      </c>
      <c r="AP87" s="428"/>
      <c r="AQ87" s="428"/>
      <c r="AR87" s="428"/>
      <c r="AS87" s="430"/>
      <c r="AT87" s="36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26"/>
      <c r="B88" s="426"/>
      <c r="C88" s="414"/>
      <c r="D88" s="416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18"/>
      <c r="AL88" s="418"/>
      <c r="AM88" s="420"/>
      <c r="AN88" s="408"/>
      <c r="AO88" s="424"/>
      <c r="AP88" s="429"/>
      <c r="AQ88" s="429"/>
      <c r="AR88" s="429"/>
      <c r="AS88" s="431"/>
      <c r="AT88" s="36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25">
        <f>A87+1</f>
        <v>4</v>
      </c>
      <c r="B89" s="425" t="s">
        <v>75</v>
      </c>
      <c r="C89" s="413" t="str">
        <f>VLOOKUP(B89,DS,2,0)</f>
        <v>Lê Nguyễn Huy Cường</v>
      </c>
      <c r="D89" s="415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>
        <v>8</v>
      </c>
      <c r="AK89" s="417">
        <f>((SUM(F89:AJ89))/8)-(SUMIF($F$6:$AJ$6,"C.Nhật",F89:AJ89)/8)</f>
        <v>27</v>
      </c>
      <c r="AL89" s="417">
        <f>SUM(F90:AI90)/8*1.5</f>
        <v>0</v>
      </c>
      <c r="AM89" s="419">
        <f>SUMIF($F$6:$AI$6,"C.Nhật",$F89:$AI90)/8*2</f>
        <v>0</v>
      </c>
      <c r="AN89" s="407">
        <f>SUM(AK89:AM90)</f>
        <v>27</v>
      </c>
      <c r="AO89" s="423">
        <v>0</v>
      </c>
      <c r="AP89" s="428"/>
      <c r="AQ89" s="428"/>
      <c r="AR89" s="428"/>
      <c r="AS89" s="430"/>
      <c r="AT89" s="36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26"/>
      <c r="B90" s="426"/>
      <c r="C90" s="414"/>
      <c r="D90" s="416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18"/>
      <c r="AL90" s="418"/>
      <c r="AM90" s="420"/>
      <c r="AN90" s="408"/>
      <c r="AO90" s="424"/>
      <c r="AP90" s="429"/>
      <c r="AQ90" s="429"/>
      <c r="AR90" s="429"/>
      <c r="AS90" s="431"/>
      <c r="AT90" s="36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25">
        <f>A89+1</f>
        <v>5</v>
      </c>
      <c r="B91" s="425" t="s">
        <v>77</v>
      </c>
      <c r="C91" s="413" t="str">
        <f>VLOOKUP(B91,DS,2,0)</f>
        <v>Nguyễn Văn Bé Tư</v>
      </c>
      <c r="D91" s="415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>
        <v>8</v>
      </c>
      <c r="AK91" s="417">
        <f>((SUM(F91:AJ91))/8)-(SUMIF($F$6:$AJ$6,"C.Nhật",F91:AJ91)/8)</f>
        <v>27</v>
      </c>
      <c r="AL91" s="417">
        <f>SUM(F92:AI92)/8*1.5</f>
        <v>0</v>
      </c>
      <c r="AM91" s="419">
        <f>SUMIF($F$6:$AI$6,"C.Nhật",$F91:$AI92)/8*2</f>
        <v>0</v>
      </c>
      <c r="AN91" s="407">
        <f>SUM(AK91:AM92)</f>
        <v>27</v>
      </c>
      <c r="AO91" s="423">
        <v>0</v>
      </c>
      <c r="AP91" s="428"/>
      <c r="AQ91" s="428"/>
      <c r="AR91" s="428"/>
      <c r="AS91" s="430"/>
      <c r="AT91" s="36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26"/>
      <c r="B92" s="426"/>
      <c r="C92" s="414"/>
      <c r="D92" s="416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18"/>
      <c r="AL92" s="418"/>
      <c r="AM92" s="420"/>
      <c r="AN92" s="408"/>
      <c r="AO92" s="424"/>
      <c r="AP92" s="429"/>
      <c r="AQ92" s="429"/>
      <c r="AR92" s="429"/>
      <c r="AS92" s="431"/>
      <c r="AT92" s="36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25">
        <f>A91+1</f>
        <v>6</v>
      </c>
      <c r="B93" s="425" t="s">
        <v>78</v>
      </c>
      <c r="C93" s="413" t="str">
        <f>VLOOKUP(B93,DS,2,0)</f>
        <v>Dương Thanh Tuấn</v>
      </c>
      <c r="D93" s="415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>
        <v>8</v>
      </c>
      <c r="AK93" s="417">
        <f>((SUM(F93:AJ93))/8)-(SUMIF($F$6:$AJ$6,"C.Nhật",F93:AJ93)/8)</f>
        <v>27</v>
      </c>
      <c r="AL93" s="417">
        <f>SUM(F94:AI94)/8*1.5</f>
        <v>0</v>
      </c>
      <c r="AM93" s="419">
        <f>SUMIF($F$6:$AI$6,"C.Nhật",$F93:$AI94)/8*2</f>
        <v>0</v>
      </c>
      <c r="AN93" s="407">
        <f>SUM(AK93:AM94)</f>
        <v>27</v>
      </c>
      <c r="AO93" s="423">
        <v>0</v>
      </c>
      <c r="AP93" s="428"/>
      <c r="AQ93" s="428"/>
      <c r="AR93" s="428"/>
      <c r="AS93" s="430"/>
      <c r="AT93" s="36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26"/>
      <c r="B94" s="426"/>
      <c r="C94" s="414"/>
      <c r="D94" s="416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18"/>
      <c r="AL94" s="418"/>
      <c r="AM94" s="420"/>
      <c r="AN94" s="408"/>
      <c r="AO94" s="424"/>
      <c r="AP94" s="429"/>
      <c r="AQ94" s="429"/>
      <c r="AR94" s="429"/>
      <c r="AS94" s="431"/>
      <c r="AT94" s="369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25">
        <f>A93+1</f>
        <v>7</v>
      </c>
      <c r="B95" s="425" t="s">
        <v>81</v>
      </c>
      <c r="C95" s="413" t="str">
        <f>VLOOKUP(B95,DS,2,0)</f>
        <v>Nguyễn Thiện Duyệt</v>
      </c>
      <c r="D95" s="415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>
        <v>8</v>
      </c>
      <c r="AK95" s="417">
        <f>((SUM(F95:AJ95))/8)-(SUMIF($F$6:$AJ$6,"C.Nhật",F95:AJ95)/8)</f>
        <v>27</v>
      </c>
      <c r="AL95" s="417">
        <f>SUM(F96:AI96)/8*1.5</f>
        <v>0</v>
      </c>
      <c r="AM95" s="419">
        <f>SUMIF($F$6:$AI$6,"C.Nhật",$F95:$AI96)/8*2</f>
        <v>0</v>
      </c>
      <c r="AN95" s="407">
        <f>SUM(AK95:AM96)</f>
        <v>27</v>
      </c>
      <c r="AO95" s="423">
        <v>0</v>
      </c>
      <c r="AP95" s="428"/>
      <c r="AQ95" s="428"/>
      <c r="AR95" s="428"/>
      <c r="AS95" s="430"/>
      <c r="AT95" s="36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26"/>
      <c r="B96" s="426"/>
      <c r="C96" s="414"/>
      <c r="D96" s="416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18"/>
      <c r="AL96" s="418"/>
      <c r="AM96" s="420"/>
      <c r="AN96" s="408"/>
      <c r="AO96" s="424"/>
      <c r="AP96" s="429"/>
      <c r="AQ96" s="429"/>
      <c r="AR96" s="429"/>
      <c r="AS96" s="431"/>
      <c r="AT96" s="369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25">
        <f>A95+1</f>
        <v>8</v>
      </c>
      <c r="B97" s="425" t="s">
        <v>192</v>
      </c>
      <c r="C97" s="413" t="str">
        <f>VLOOKUP(B97,DS,2,0)</f>
        <v>Trần Đình Thái</v>
      </c>
      <c r="D97" s="415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>
        <v>8</v>
      </c>
      <c r="AK97" s="417">
        <f>((SUM(F97:AJ97))/8)-(SUMIF($F$6:$AJ$6,"C.Nhật",F97:AJ97)/8)</f>
        <v>27</v>
      </c>
      <c r="AL97" s="417">
        <f>SUM(F98:AI98)/8*1.5</f>
        <v>0</v>
      </c>
      <c r="AM97" s="419">
        <f>SUMIF($F$6:$AI$6,"C.Nhật",$F97:$AI98)/8*2</f>
        <v>0</v>
      </c>
      <c r="AN97" s="407">
        <f>SUM(AK97:AM98)</f>
        <v>27</v>
      </c>
      <c r="AO97" s="423">
        <v>0</v>
      </c>
      <c r="AP97" s="428"/>
      <c r="AQ97" s="428"/>
      <c r="AR97" s="428"/>
      <c r="AS97" s="430"/>
      <c r="AT97" s="36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26"/>
      <c r="B98" s="426"/>
      <c r="C98" s="414"/>
      <c r="D98" s="416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18"/>
      <c r="AL98" s="418"/>
      <c r="AM98" s="420"/>
      <c r="AN98" s="408"/>
      <c r="AO98" s="424"/>
      <c r="AP98" s="429"/>
      <c r="AQ98" s="429"/>
      <c r="AR98" s="429"/>
      <c r="AS98" s="431"/>
      <c r="AT98" s="36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83:AJ98 F9:AJ12 F37:AJ48 F14:AJ3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2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25" sqref="M25:M2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5"/>
      <c r="C1" s="375"/>
      <c r="D1" s="487" t="str">
        <f>"BẢNG THANH TOÁN LƯƠNG THÁNG"&amp;" "&amp;TEXT($E$4,"mm")&amp;" / "&amp;TEXT($E$4,"yyyy")</f>
        <v>BẢNG THANH TOÁN LƯƠNG THÁNG 12 / 2016</v>
      </c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8"/>
      <c r="R1" s="491" t="s">
        <v>179</v>
      </c>
      <c r="S1" s="492"/>
      <c r="T1" s="493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5"/>
      <c r="C2" s="375"/>
      <c r="D2" s="375"/>
      <c r="E2" s="81"/>
      <c r="F2" s="375"/>
      <c r="G2" s="375"/>
      <c r="H2" s="375"/>
      <c r="I2" s="375"/>
      <c r="J2" s="82"/>
      <c r="K2" s="375"/>
      <c r="L2" s="375"/>
      <c r="M2" s="375"/>
      <c r="N2" s="375"/>
      <c r="O2" s="375"/>
      <c r="P2" s="375"/>
      <c r="Q2" s="375"/>
      <c r="R2" s="375"/>
      <c r="S2" s="37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5"/>
      <c r="C3" s="375"/>
      <c r="D3" s="375"/>
      <c r="E3" s="81"/>
      <c r="F3" s="375"/>
      <c r="G3" s="375"/>
      <c r="H3" s="375"/>
      <c r="I3" s="375"/>
      <c r="J3" s="82"/>
      <c r="K3" s="375"/>
      <c r="L3" s="375"/>
      <c r="M3" s="375"/>
      <c r="N3" s="375"/>
      <c r="O3" s="375"/>
      <c r="P3" s="375"/>
      <c r="Q3" s="375"/>
      <c r="R3" s="375"/>
      <c r="S3" s="37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- 12'!$E$4</f>
        <v>42705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89" t="s">
        <v>19</v>
      </c>
      <c r="B5" s="489" t="s">
        <v>20</v>
      </c>
      <c r="C5" s="400" t="s">
        <v>1</v>
      </c>
      <c r="D5" s="400" t="s">
        <v>2</v>
      </c>
      <c r="E5" s="395" t="s">
        <v>56</v>
      </c>
      <c r="F5" s="481" t="s">
        <v>26</v>
      </c>
      <c r="G5" s="482"/>
      <c r="H5" s="482"/>
      <c r="I5" s="482"/>
      <c r="J5" s="482"/>
      <c r="K5" s="483"/>
      <c r="L5" s="458" t="s">
        <v>57</v>
      </c>
      <c r="M5" s="458" t="s">
        <v>5</v>
      </c>
      <c r="N5" s="400" t="s">
        <v>6</v>
      </c>
      <c r="O5" s="400"/>
      <c r="P5" s="400"/>
      <c r="Q5" s="458" t="s">
        <v>7</v>
      </c>
      <c r="R5" s="458" t="s">
        <v>8</v>
      </c>
      <c r="S5" s="458" t="s">
        <v>9</v>
      </c>
      <c r="T5" s="396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90"/>
      <c r="B6" s="490"/>
      <c r="C6" s="400"/>
      <c r="D6" s="400"/>
      <c r="E6" s="395"/>
      <c r="F6" s="481" t="s">
        <v>59</v>
      </c>
      <c r="G6" s="483"/>
      <c r="H6" s="481" t="s">
        <v>189</v>
      </c>
      <c r="I6" s="482"/>
      <c r="J6" s="484" t="s">
        <v>27</v>
      </c>
      <c r="K6" s="458" t="s">
        <v>4</v>
      </c>
      <c r="L6" s="459"/>
      <c r="M6" s="459"/>
      <c r="N6" s="494" t="s">
        <v>12</v>
      </c>
      <c r="O6" s="458" t="s">
        <v>13</v>
      </c>
      <c r="P6" s="458" t="s">
        <v>34</v>
      </c>
      <c r="Q6" s="459"/>
      <c r="R6" s="459"/>
      <c r="S6" s="459"/>
      <c r="T6" s="397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90"/>
      <c r="B7" s="490"/>
      <c r="C7" s="458"/>
      <c r="D7" s="458"/>
      <c r="E7" s="395"/>
      <c r="F7" s="371" t="s">
        <v>40</v>
      </c>
      <c r="G7" s="368" t="s">
        <v>18</v>
      </c>
      <c r="H7" s="371" t="s">
        <v>40</v>
      </c>
      <c r="I7" s="374" t="s">
        <v>18</v>
      </c>
      <c r="J7" s="485"/>
      <c r="K7" s="459"/>
      <c r="L7" s="460"/>
      <c r="M7" s="460"/>
      <c r="N7" s="495"/>
      <c r="O7" s="459"/>
      <c r="P7" s="459"/>
      <c r="Q7" s="459"/>
      <c r="R7" s="459"/>
      <c r="S7" s="459"/>
      <c r="T7" s="397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- 12'!$B$8:$AS$48,36,0)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- 12'!$B$8:$AS$48,36,0)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- 12'!$B$8:$AS$48,36,0)</f>
        <v>27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27</v>
      </c>
      <c r="K13" s="39">
        <f t="shared" si="5"/>
        <v>3317000</v>
      </c>
      <c r="L13" s="90">
        <f t="shared" ref="L13:L28" si="6">+F13*15000</f>
        <v>405000</v>
      </c>
      <c r="M13" s="40">
        <f t="shared" ref="M13:M28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3373715</v>
      </c>
      <c r="R13" s="39">
        <f t="shared" ref="R13:R28" si="12">VLOOKUP(B13,DS,23,0)</f>
        <v>0</v>
      </c>
      <c r="S13" s="45">
        <f t="shared" ref="S13:S28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- 12'!$B$8:$AS$48,36,0)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- 12'!$B$8:$AS$48,36,0)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- 12'!$B$8:$AS$48,36,0)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- 12'!$B$8:$AS$48,36,0)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- 12'!$B$8:$AS$48,36,0)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- 12'!$B$8:$AS$48,36,0)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- 12'!$B$8:$AS$48,36,0)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- 12'!$B$8:$AS$48,36,0)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- 12'!$B$8:$AS$48,36,0)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- 12'!$B$8:$AS$48,36,0)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- 12'!$B$8:$AS$48,36,0)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3549000</v>
      </c>
      <c r="L25" s="90">
        <f t="shared" si="6"/>
        <v>405000</v>
      </c>
      <c r="M25" s="40">
        <f t="shared" si="7"/>
        <v>3954000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- 12'!$B$8:$AS$48,36,0)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- 12'!$B$8:$AS$48,36,0)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3317000</v>
      </c>
      <c r="L27" s="90">
        <f t="shared" si="6"/>
        <v>405000</v>
      </c>
      <c r="M27" s="40">
        <f t="shared" si="7"/>
        <v>3722000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- 12'!$B$8:$AS$48,36,0)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27</v>
      </c>
      <c r="K28" s="39">
        <f t="shared" si="18"/>
        <v>3317000</v>
      </c>
      <c r="L28" s="90">
        <f t="shared" si="6"/>
        <v>405000</v>
      </c>
      <c r="M28" s="40">
        <f t="shared" si="7"/>
        <v>3722000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4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2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86" t="s">
        <v>25</v>
      </c>
      <c r="B30" s="486"/>
      <c r="C30" s="486"/>
      <c r="D30" s="486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6885000</v>
      </c>
      <c r="M30" s="26">
        <f t="shared" si="19"/>
        <v>65264000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59134205</v>
      </c>
      <c r="R30" s="26">
        <f t="shared" si="19"/>
        <v>0</v>
      </c>
      <c r="S30" s="26">
        <f t="shared" si="19"/>
        <v>59134205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31   tháng   12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73"/>
      <c r="C43" s="373"/>
      <c r="D43" s="467" t="str">
        <f>D1</f>
        <v>BẢNG THANH TOÁN LƯƠNG THÁNG 12 / 2016</v>
      </c>
      <c r="E43" s="467"/>
      <c r="F43" s="467"/>
      <c r="G43" s="467"/>
      <c r="H43" s="467"/>
      <c r="I43" s="467"/>
      <c r="J43" s="467"/>
      <c r="K43" s="467"/>
      <c r="L43" s="467"/>
      <c r="M43" s="467"/>
      <c r="N43" s="467"/>
      <c r="O43" s="467"/>
      <c r="P43" s="467"/>
      <c r="Q43" s="468"/>
      <c r="R43" s="469" t="s">
        <v>112</v>
      </c>
      <c r="S43" s="470"/>
      <c r="T43" s="471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73"/>
      <c r="C44" s="373"/>
      <c r="D44" s="373"/>
      <c r="E44" s="200"/>
      <c r="F44" s="373"/>
      <c r="G44" s="373"/>
      <c r="H44" s="373"/>
      <c r="I44" s="373"/>
      <c r="J44" s="201"/>
      <c r="K44" s="373"/>
      <c r="L44" s="373"/>
      <c r="M44" s="373"/>
      <c r="N44" s="373"/>
      <c r="O44" s="373"/>
      <c r="P44" s="373"/>
      <c r="Q44" s="373"/>
      <c r="R44" s="373"/>
      <c r="S44" s="373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73"/>
      <c r="C45" s="373"/>
      <c r="D45" s="373"/>
      <c r="E45" s="200"/>
      <c r="F45" s="373"/>
      <c r="G45" s="373"/>
      <c r="H45" s="373"/>
      <c r="I45" s="373"/>
      <c r="J45" s="201"/>
      <c r="K45" s="373"/>
      <c r="L45" s="373"/>
      <c r="M45" s="373"/>
      <c r="N45" s="373"/>
      <c r="O45" s="373"/>
      <c r="P45" s="373"/>
      <c r="Q45" s="373"/>
      <c r="R45" s="373"/>
      <c r="S45" s="373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72" t="s">
        <v>19</v>
      </c>
      <c r="B47" s="472" t="s">
        <v>20</v>
      </c>
      <c r="C47" s="474" t="s">
        <v>1</v>
      </c>
      <c r="D47" s="474" t="s">
        <v>2</v>
      </c>
      <c r="E47" s="475" t="s">
        <v>56</v>
      </c>
      <c r="F47" s="476" t="s">
        <v>26</v>
      </c>
      <c r="G47" s="477"/>
      <c r="H47" s="477"/>
      <c r="I47" s="477"/>
      <c r="J47" s="477"/>
      <c r="K47" s="478"/>
      <c r="L47" s="458" t="s">
        <v>57</v>
      </c>
      <c r="M47" s="458" t="s">
        <v>5</v>
      </c>
      <c r="N47" s="474" t="s">
        <v>6</v>
      </c>
      <c r="O47" s="474"/>
      <c r="P47" s="474"/>
      <c r="Q47" s="461" t="s">
        <v>7</v>
      </c>
      <c r="R47" s="461" t="s">
        <v>8</v>
      </c>
      <c r="S47" s="461" t="s">
        <v>9</v>
      </c>
      <c r="T47" s="479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73"/>
      <c r="B48" s="473"/>
      <c r="C48" s="474"/>
      <c r="D48" s="474"/>
      <c r="E48" s="475"/>
      <c r="F48" s="476" t="s">
        <v>59</v>
      </c>
      <c r="G48" s="478"/>
      <c r="H48" s="481" t="s">
        <v>189</v>
      </c>
      <c r="I48" s="482"/>
      <c r="J48" s="463" t="s">
        <v>27</v>
      </c>
      <c r="K48" s="461" t="s">
        <v>4</v>
      </c>
      <c r="L48" s="459"/>
      <c r="M48" s="459"/>
      <c r="N48" s="465" t="s">
        <v>12</v>
      </c>
      <c r="O48" s="461" t="s">
        <v>13</v>
      </c>
      <c r="P48" s="461" t="s">
        <v>34</v>
      </c>
      <c r="Q48" s="462"/>
      <c r="R48" s="462"/>
      <c r="S48" s="462"/>
      <c r="T48" s="480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73"/>
      <c r="B49" s="473"/>
      <c r="C49" s="461"/>
      <c r="D49" s="461"/>
      <c r="E49" s="475"/>
      <c r="F49" s="372" t="s">
        <v>40</v>
      </c>
      <c r="G49" s="374" t="s">
        <v>18</v>
      </c>
      <c r="H49" s="371" t="s">
        <v>40</v>
      </c>
      <c r="I49" s="374" t="s">
        <v>18</v>
      </c>
      <c r="J49" s="464"/>
      <c r="K49" s="462"/>
      <c r="L49" s="460"/>
      <c r="M49" s="460"/>
      <c r="N49" s="466"/>
      <c r="O49" s="462"/>
      <c r="P49" s="462"/>
      <c r="Q49" s="462"/>
      <c r="R49" s="462"/>
      <c r="S49" s="462"/>
      <c r="T49" s="480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- 12'!$B$83:$AN$96,36,0)</f>
        <v>23</v>
      </c>
      <c r="G51" s="220">
        <f t="shared" ref="G51:G58" si="23">ROUND(E51/$U$2*F51,0)</f>
        <v>9243444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9243444</v>
      </c>
      <c r="L51" s="90">
        <f>+F51*15000</f>
        <v>345000</v>
      </c>
      <c r="M51" s="222">
        <f t="shared" ref="M51:M58" si="26">K51+SUM(L51:L51)</f>
        <v>9588444</v>
      </c>
      <c r="N51" s="40">
        <f>IF(VLOOKUP(B51,DS,14,0)="x",E51*$N$4,0)</f>
        <v>868080</v>
      </c>
      <c r="O51" s="40">
        <f t="shared" ref="O51:O58" si="27">IF(VLOOKUP(B51,DS,14,0)="x",E51*$O$4,0)</f>
        <v>162765</v>
      </c>
      <c r="P51" s="40">
        <f t="shared" ref="P51:P58" si="28">IF(VLOOKUP(B51,DS,14,0)="x",E51*$P$4,0)</f>
        <v>108510</v>
      </c>
      <c r="Q51" s="220">
        <f t="shared" ref="Q51:Q58" si="29">M51-SUM(N51:P51)</f>
        <v>8449089</v>
      </c>
      <c r="R51" s="220">
        <f t="shared" ref="R51:R58" si="30">VLOOKUP(B51,DS,23,0)</f>
        <v>0</v>
      </c>
      <c r="S51" s="223">
        <f>Q51-R51</f>
        <v>8449089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- 12'!$B$83:$AN$96,36,0)</f>
        <v>27</v>
      </c>
      <c r="G52" s="220">
        <f t="shared" si="23"/>
        <v>4895000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27</v>
      </c>
      <c r="K52" s="39">
        <f t="shared" si="25"/>
        <v>4895000</v>
      </c>
      <c r="L52" s="90">
        <f t="shared" ref="L52:L58" si="31">+F52*15000</f>
        <v>405000</v>
      </c>
      <c r="M52" s="222">
        <f t="shared" si="26"/>
        <v>5300000</v>
      </c>
      <c r="N52" s="40">
        <f t="shared" ref="N52:N58" si="32">IF(VLOOKUP(B52,DS,14,0)="x",E52*$N$4,0)</f>
        <v>391600</v>
      </c>
      <c r="O52" s="40">
        <f t="shared" si="27"/>
        <v>73425</v>
      </c>
      <c r="P52" s="40">
        <f t="shared" si="28"/>
        <v>48950</v>
      </c>
      <c r="Q52" s="220">
        <f t="shared" si="29"/>
        <v>4786025</v>
      </c>
      <c r="R52" s="220">
        <f t="shared" si="30"/>
        <v>0</v>
      </c>
      <c r="S52" s="223">
        <f t="shared" ref="S52:S58" si="33">Q52-R52</f>
        <v>4786025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- 12'!$B$83:$AN$96,36,0)</f>
        <v>27</v>
      </c>
      <c r="G53" s="220">
        <f t="shared" si="23"/>
        <v>4895000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27</v>
      </c>
      <c r="K53" s="39">
        <f t="shared" si="25"/>
        <v>4895000</v>
      </c>
      <c r="L53" s="90">
        <f t="shared" si="31"/>
        <v>405000</v>
      </c>
      <c r="M53" s="222">
        <f t="shared" si="26"/>
        <v>5300000</v>
      </c>
      <c r="N53" s="40">
        <f t="shared" si="32"/>
        <v>391600</v>
      </c>
      <c r="O53" s="40">
        <f t="shared" si="27"/>
        <v>73425</v>
      </c>
      <c r="P53" s="40">
        <f t="shared" si="28"/>
        <v>48950</v>
      </c>
      <c r="Q53" s="220">
        <f t="shared" si="29"/>
        <v>4786025</v>
      </c>
      <c r="R53" s="220">
        <f t="shared" si="30"/>
        <v>0</v>
      </c>
      <c r="S53" s="223">
        <f t="shared" si="33"/>
        <v>4786025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- 12'!$B$83:$AN$96,36,0)</f>
        <v>27</v>
      </c>
      <c r="G54" s="220">
        <f t="shared" si="23"/>
        <v>4336000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4336000</v>
      </c>
      <c r="L54" s="90">
        <f t="shared" si="31"/>
        <v>405000</v>
      </c>
      <c r="M54" s="222">
        <f t="shared" si="26"/>
        <v>4741000</v>
      </c>
      <c r="N54" s="40">
        <f t="shared" si="32"/>
        <v>346880</v>
      </c>
      <c r="O54" s="40">
        <f t="shared" si="27"/>
        <v>65040</v>
      </c>
      <c r="P54" s="40">
        <f t="shared" si="28"/>
        <v>43360</v>
      </c>
      <c r="Q54" s="220">
        <f t="shared" si="29"/>
        <v>4285720</v>
      </c>
      <c r="R54" s="220">
        <f t="shared" si="30"/>
        <v>0</v>
      </c>
      <c r="S54" s="223">
        <f t="shared" si="33"/>
        <v>4285720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- 12'!$B$83:$AN$96,36,0)</f>
        <v>27</v>
      </c>
      <c r="G55" s="220">
        <f t="shared" si="23"/>
        <v>3496000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3496000</v>
      </c>
      <c r="L55" s="90">
        <f t="shared" si="31"/>
        <v>405000</v>
      </c>
      <c r="M55" s="222">
        <f t="shared" si="26"/>
        <v>3901000</v>
      </c>
      <c r="N55" s="40">
        <f t="shared" si="32"/>
        <v>279680</v>
      </c>
      <c r="O55" s="40">
        <f t="shared" si="27"/>
        <v>52440</v>
      </c>
      <c r="P55" s="40">
        <f t="shared" si="28"/>
        <v>34960</v>
      </c>
      <c r="Q55" s="220">
        <f t="shared" si="29"/>
        <v>3533920</v>
      </c>
      <c r="R55" s="220">
        <f t="shared" si="30"/>
        <v>0</v>
      </c>
      <c r="S55" s="223">
        <f t="shared" si="33"/>
        <v>3533920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- 12'!$B$83:$AN$96,36,0)</f>
        <v>27</v>
      </c>
      <c r="G56" s="220">
        <f t="shared" si="23"/>
        <v>4056000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4056000</v>
      </c>
      <c r="L56" s="90">
        <f t="shared" si="31"/>
        <v>405000</v>
      </c>
      <c r="M56" s="222">
        <f t="shared" si="26"/>
        <v>4461000</v>
      </c>
      <c r="N56" s="40">
        <f t="shared" si="32"/>
        <v>324480</v>
      </c>
      <c r="O56" s="40">
        <f t="shared" si="27"/>
        <v>60840</v>
      </c>
      <c r="P56" s="40">
        <f t="shared" si="28"/>
        <v>40560</v>
      </c>
      <c r="Q56" s="220">
        <f t="shared" si="29"/>
        <v>4035120</v>
      </c>
      <c r="R56" s="220">
        <f t="shared" si="30"/>
        <v>0</v>
      </c>
      <c r="S56" s="223">
        <f t="shared" si="33"/>
        <v>4035120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- 12'!$B$83:$AN$96,36,0)</f>
        <v>27</v>
      </c>
      <c r="G57" s="220">
        <f t="shared" si="23"/>
        <v>4840000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4840000</v>
      </c>
      <c r="L57" s="90">
        <f t="shared" si="31"/>
        <v>405000</v>
      </c>
      <c r="M57" s="222">
        <f t="shared" si="26"/>
        <v>5245000</v>
      </c>
      <c r="N57" s="40">
        <f t="shared" si="32"/>
        <v>387200</v>
      </c>
      <c r="O57" s="40">
        <f t="shared" si="27"/>
        <v>72600</v>
      </c>
      <c r="P57" s="40">
        <f t="shared" si="28"/>
        <v>48400</v>
      </c>
      <c r="Q57" s="220">
        <f t="shared" si="29"/>
        <v>4736800</v>
      </c>
      <c r="R57" s="220">
        <f t="shared" si="30"/>
        <v>0</v>
      </c>
      <c r="S57" s="223">
        <f t="shared" si="33"/>
        <v>4736800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- 12'!$B$83:$AN$100,36,0)</f>
        <v>27</v>
      </c>
      <c r="G58" s="220">
        <f t="shared" si="23"/>
        <v>3568000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3568000</v>
      </c>
      <c r="L58" s="90">
        <f t="shared" si="31"/>
        <v>405000</v>
      </c>
      <c r="M58" s="222">
        <f t="shared" si="26"/>
        <v>3973000</v>
      </c>
      <c r="N58" s="40">
        <f t="shared" si="32"/>
        <v>285440</v>
      </c>
      <c r="O58" s="40">
        <f t="shared" si="27"/>
        <v>53520</v>
      </c>
      <c r="P58" s="40">
        <f t="shared" si="28"/>
        <v>35680</v>
      </c>
      <c r="Q58" s="220">
        <f t="shared" si="29"/>
        <v>3598360</v>
      </c>
      <c r="R58" s="220">
        <f t="shared" si="30"/>
        <v>0</v>
      </c>
      <c r="S58" s="223">
        <f t="shared" si="33"/>
        <v>3598360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3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56" t="s">
        <v>25</v>
      </c>
      <c r="B60" s="457"/>
      <c r="C60" s="457"/>
      <c r="D60" s="457"/>
      <c r="E60" s="231">
        <f>SUM(E51:E59)</f>
        <v>40937000</v>
      </c>
      <c r="F60" s="231"/>
      <c r="G60" s="231">
        <f t="shared" ref="G60:S60" si="34">SUM(G51:G59)</f>
        <v>39329444</v>
      </c>
      <c r="H60" s="231">
        <f t="shared" si="34"/>
        <v>0</v>
      </c>
      <c r="I60" s="231">
        <f t="shared" si="34"/>
        <v>0</v>
      </c>
      <c r="J60" s="231">
        <f t="shared" si="34"/>
        <v>212</v>
      </c>
      <c r="K60" s="232">
        <f t="shared" si="34"/>
        <v>39329444</v>
      </c>
      <c r="L60" s="232">
        <f t="shared" si="34"/>
        <v>3180000</v>
      </c>
      <c r="M60" s="232">
        <f t="shared" si="34"/>
        <v>42509444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38211059</v>
      </c>
      <c r="R60" s="232">
        <f t="shared" si="34"/>
        <v>0</v>
      </c>
      <c r="S60" s="232">
        <f t="shared" si="34"/>
        <v>38211059</v>
      </c>
      <c r="T60" s="232"/>
      <c r="U60" s="182"/>
      <c r="V60" s="233">
        <f>S60+S30</f>
        <v>97345264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31   tháng   12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57"/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26</vt:i4>
      </vt:variant>
    </vt:vector>
  </HeadingPairs>
  <TitlesOfParts>
    <vt:vector size="53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TH (2)</vt:lpstr>
      <vt:lpstr>L - 11</vt:lpstr>
      <vt:lpstr>CC - 12</vt:lpstr>
      <vt:lpstr>L - 12</vt:lpstr>
      <vt:lpstr>Sheet1</vt:lpstr>
      <vt:lpstr>'TH (2)'!DS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2017-03-08T03:09:03Z</cp:lastPrinted>
  <dcterms:created xsi:type="dcterms:W3CDTF">2011-06-27T04:19:15Z</dcterms:created>
  <dcterms:modified xsi:type="dcterms:W3CDTF">2017-03-30T02:45:09Z</dcterms:modified>
</cp:coreProperties>
</file>