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65" windowWidth="19440" windowHeight="8415" tabRatio="834" firstSheet="4" activeTab="10"/>
  </bookViews>
  <sheets>
    <sheet name="TD-TQ 2016" sheetId="1" r:id="rId1"/>
    <sheet name="CT-2016" sheetId="5" r:id="rId2"/>
    <sheet name="GC - TQ 2016" sheetId="2" r:id="rId3"/>
    <sheet name="BSHĐ - 2016" sheetId="6" r:id="rId4"/>
    <sheet name="ZHOUSHAN - 2017" sheetId="8" r:id="rId5"/>
    <sheet name="ZHOUSHAN - CT-2017" sheetId="9" r:id="rId6"/>
    <sheet name="C.THANH MN" sheetId="16" r:id="rId7"/>
    <sheet name="HUNAM - 2017" sheetId="11" r:id="rId8"/>
    <sheet name="HUNAM - CT-2017" sheetId="12" r:id="rId9"/>
    <sheet name="HUNAM (MB) - 2018" sheetId="18" r:id="rId10"/>
    <sheet name="HUNAM (MB) - CT-2018" sheetId="19" r:id="rId11"/>
    <sheet name="BSHĐ - 2017" sheetId="10" r:id="rId12"/>
    <sheet name="CP-TQ" sheetId="14" r:id="rId13"/>
    <sheet name="Sheet1" sheetId="15" r:id="rId14"/>
    <sheet name="ZHOUSHAN - CT-2017 (2)" sheetId="17" r:id="rId15"/>
  </sheets>
  <definedNames>
    <definedName name="_Fill" localSheetId="11" hidden="1">#REF!</definedName>
    <definedName name="_Fill" localSheetId="6" hidden="1">#REF!</definedName>
    <definedName name="_Fill" localSheetId="12" hidden="1">#REF!</definedName>
    <definedName name="_Fill" localSheetId="1" hidden="1">#REF!</definedName>
    <definedName name="_Fill" localSheetId="2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4" hidden="1">#REF!</definedName>
    <definedName name="_Fill" localSheetId="5" hidden="1">#REF!</definedName>
    <definedName name="_Fill" localSheetId="14" hidden="1">#REF!</definedName>
    <definedName name="_Fill" hidden="1">#REF!</definedName>
    <definedName name="_xlnm._FilterDatabase" localSheetId="7" hidden="1">'HUNAM - 2017'!$A$3:$T$68</definedName>
    <definedName name="_xlnm._FilterDatabase" localSheetId="9" hidden="1">'HUNAM (MB) - 2018'!$A$3:$R$17</definedName>
    <definedName name="_xlnm._FilterDatabase" localSheetId="4" hidden="1">'ZHOUSHAN - 2017'!$A$3:$V$216</definedName>
    <definedName name="_xlnm._FilterDatabase" localSheetId="5" hidden="1">'ZHOUSHAN - CT-2017'!$A$287:$T$297</definedName>
    <definedName name="_xlnm._FilterDatabase" localSheetId="14" hidden="1">'ZHOUSHAN - CT-2017 (2)'!$A$2:$P$23</definedName>
    <definedName name="_xlnm.Print_Area" localSheetId="3">'BSHĐ - 2016'!$A$67:$I$89</definedName>
    <definedName name="_xlnm.Print_Area" localSheetId="11">'BSHĐ - 2017'!$A$174:$J$198</definedName>
    <definedName name="_xlnm.Print_Area" localSheetId="6">'C.THANH MN'!$B$1:$L$60</definedName>
    <definedName name="_xlnm.Print_Area" localSheetId="1">'CT-2016'!$A$522:$E$535</definedName>
    <definedName name="_xlnm.Print_Area" localSheetId="8">'HUNAM - CT-2017'!$A$177:$G$206</definedName>
    <definedName name="_xlnm.Print_Area" localSheetId="9">'HUNAM (MB) - 2018'!$A$2:$G$19</definedName>
    <definedName name="_xlnm.Print_Area" localSheetId="10">'HUNAM (MB) - CT-2018'!#REF!</definedName>
    <definedName name="_xlnm.Print_Area" localSheetId="13">Sheet1!$A$1:$G$22</definedName>
    <definedName name="_xlnm.Print_Area" localSheetId="4">'ZHOUSHAN - 2017'!$B$193:$K$204</definedName>
    <definedName name="_xlnm.Print_Area" localSheetId="5">'ZHOUSHAN - CT-2017'!$A$746:$G$757</definedName>
    <definedName name="_xlnm.Print_Area" localSheetId="14">'ZHOUSHAN - CT-2017 (2)'!#REF!</definedName>
    <definedName name="_xlnm.Print_Titles" localSheetId="7">'HUNAM - 2017'!$2:$3</definedName>
    <definedName name="_xlnm.Print_Titles" localSheetId="9">'HUNAM (MB) - 2018'!$2:$3</definedName>
    <definedName name="_xlnm.Print_Titles" localSheetId="0">'TD-TQ 2016'!$17:$18</definedName>
    <definedName name="_xlnm.Print_Titles" localSheetId="4">'ZHOUSHAN - 2017'!$2:$3</definedName>
  </definedNames>
  <calcPr calcId="144525" iterate="1"/>
</workbook>
</file>

<file path=xl/calcChain.xml><?xml version="1.0" encoding="utf-8"?>
<calcChain xmlns="http://schemas.openxmlformats.org/spreadsheetml/2006/main">
  <c r="F8" i="19" l="1"/>
  <c r="L50" i="16" l="1"/>
  <c r="F183" i="12" l="1"/>
  <c r="F185" i="12" l="1"/>
  <c r="E182" i="12" l="1"/>
  <c r="P36" i="11"/>
  <c r="N36" i="11"/>
  <c r="L58" i="16" l="1"/>
  <c r="F188" i="12" l="1"/>
  <c r="F184" i="12"/>
  <c r="I56" i="11"/>
  <c r="F6" i="19" l="1"/>
  <c r="F7" i="19"/>
  <c r="G11" i="19"/>
  <c r="F19" i="19" s="1"/>
  <c r="C11" i="19"/>
  <c r="C14" i="19" s="1"/>
  <c r="E4" i="19"/>
  <c r="Q19" i="18"/>
  <c r="P19" i="18"/>
  <c r="D19" i="18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G9" i="18"/>
  <c r="G8" i="18"/>
  <c r="G7" i="18"/>
  <c r="G6" i="18"/>
  <c r="G5" i="18"/>
  <c r="G4" i="18"/>
  <c r="I19" i="18"/>
  <c r="H19" i="18"/>
  <c r="E11" i="19" l="1"/>
  <c r="F14" i="19" s="1"/>
  <c r="E19" i="18"/>
  <c r="L19" i="18"/>
  <c r="N19" i="18"/>
  <c r="E181" i="12"/>
  <c r="N43" i="11"/>
  <c r="P43" i="11" s="1"/>
  <c r="F11" i="19" l="1"/>
  <c r="F16" i="19" s="1"/>
  <c r="F22" i="19" s="1"/>
  <c r="G19" i="18"/>
  <c r="L21" i="18" s="1"/>
  <c r="K19" i="18"/>
  <c r="L57" i="16"/>
  <c r="L56" i="16"/>
  <c r="L55" i="16"/>
  <c r="I53" i="11" l="1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I46" i="11"/>
  <c r="G46" i="11"/>
  <c r="G48" i="11"/>
  <c r="G47" i="11"/>
  <c r="G50" i="11"/>
  <c r="G49" i="11"/>
  <c r="F187" i="12"/>
  <c r="F186" i="12"/>
  <c r="L52" i="16" l="1"/>
  <c r="G5" i="17" l="1"/>
  <c r="G24" i="17"/>
  <c r="E24" i="17"/>
  <c r="C24" i="17"/>
  <c r="C5" i="17"/>
  <c r="G193" i="12" l="1"/>
  <c r="F200" i="12" s="1"/>
  <c r="E193" i="12"/>
  <c r="F196" i="12" s="1"/>
  <c r="C193" i="12"/>
  <c r="C196" i="12" s="1"/>
  <c r="E180" i="12"/>
  <c r="N40" i="11"/>
  <c r="P40" i="11" s="1"/>
  <c r="F193" i="12" l="1"/>
  <c r="F198" i="12" s="1"/>
  <c r="F203" i="12" s="1"/>
  <c r="N31" i="11"/>
  <c r="P31" i="11" s="1"/>
  <c r="G738" i="9" l="1"/>
  <c r="F738" i="9"/>
  <c r="C738" i="9"/>
  <c r="E734" i="9"/>
  <c r="E738" i="9" s="1"/>
  <c r="R199" i="8"/>
  <c r="P199" i="8"/>
  <c r="N199" i="8"/>
  <c r="G741" i="9" l="1"/>
  <c r="F160" i="12"/>
  <c r="F164" i="12" s="1"/>
  <c r="F169" i="12" s="1"/>
  <c r="G164" i="12"/>
  <c r="F171" i="12" s="1"/>
  <c r="E159" i="12"/>
  <c r="E164" i="12" s="1"/>
  <c r="F167" i="12" s="1"/>
  <c r="F174" i="12" l="1"/>
  <c r="C164" i="12"/>
  <c r="C167" i="12" s="1"/>
  <c r="N26" i="1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6" i="12"/>
  <c r="F132" i="12"/>
  <c r="E131" i="12"/>
  <c r="L53" i="16" l="1"/>
  <c r="L54" i="16"/>
  <c r="L42" i="16" l="1"/>
  <c r="L41" i="16"/>
  <c r="H23" i="16"/>
  <c r="J23" i="16" s="1"/>
  <c r="G23" i="16"/>
  <c r="H21" i="16"/>
  <c r="J21" i="16" s="1"/>
  <c r="I21" i="16"/>
  <c r="G21" i="16"/>
  <c r="K21" i="16" s="1"/>
  <c r="G32" i="16"/>
  <c r="J32" i="16"/>
  <c r="I32" i="16"/>
  <c r="H26" i="16"/>
  <c r="H17" i="16" s="1"/>
  <c r="J25" i="16"/>
  <c r="I25" i="16"/>
  <c r="G25" i="16"/>
  <c r="K25" i="16" s="1"/>
  <c r="J26" i="16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I26" i="16" l="1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4" i="12"/>
  <c r="F133" i="12"/>
  <c r="G56" i="11"/>
  <c r="G55" i="11"/>
  <c r="I55" i="11" s="1"/>
  <c r="G54" i="11"/>
  <c r="G53" i="11"/>
  <c r="G52" i="11"/>
  <c r="I52" i="11" s="1"/>
  <c r="G51" i="11"/>
  <c r="I51" i="11" s="1"/>
  <c r="G62" i="11"/>
  <c r="I62" i="11" s="1"/>
  <c r="G61" i="11"/>
  <c r="I61" i="11" s="1"/>
  <c r="G60" i="11"/>
  <c r="I60" i="11" s="1"/>
  <c r="G59" i="11"/>
  <c r="I59" i="11" s="1"/>
  <c r="G58" i="11"/>
  <c r="I58" i="11" s="1"/>
  <c r="G57" i="11"/>
  <c r="C130" i="12"/>
  <c r="E130" i="12" s="1"/>
  <c r="G39" i="11" l="1"/>
  <c r="I39" i="11" s="1"/>
  <c r="G38" i="11"/>
  <c r="I38" i="11" s="1"/>
  <c r="K203" i="8" l="1"/>
  <c r="K197" i="8"/>
  <c r="F690" i="9" l="1"/>
  <c r="E688" i="9"/>
  <c r="E697" i="9" s="1"/>
  <c r="F689" i="9"/>
  <c r="C697" i="9"/>
  <c r="G697" i="9"/>
  <c r="F697" i="9" l="1"/>
  <c r="G700" i="9"/>
  <c r="F135" i="12" l="1"/>
  <c r="F143" i="12" s="1"/>
  <c r="E129" i="12" l="1"/>
  <c r="G143" i="12"/>
  <c r="F150" i="12" s="1"/>
  <c r="C143" i="12"/>
  <c r="C146" i="12" s="1"/>
  <c r="E128" i="12"/>
  <c r="K34" i="11"/>
  <c r="J34" i="11"/>
  <c r="E143" i="12" l="1"/>
  <c r="F146" i="12" s="1"/>
  <c r="F148" i="12"/>
  <c r="F153" i="12" s="1"/>
  <c r="J20" i="16" l="1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I36" i="11" s="1"/>
  <c r="G35" i="11"/>
  <c r="I35" i="11" s="1"/>
  <c r="G34" i="11"/>
  <c r="I34" i="11" s="1"/>
  <c r="M34" i="11" s="1"/>
  <c r="G45" i="11"/>
  <c r="G44" i="11"/>
  <c r="G43" i="11"/>
  <c r="I43" i="11" s="1"/>
  <c r="G42" i="11"/>
  <c r="G41" i="11"/>
  <c r="G40" i="11"/>
  <c r="G66" i="11"/>
  <c r="I66" i="11" s="1"/>
  <c r="G65" i="11"/>
  <c r="I65" i="11" s="1"/>
  <c r="I40" i="11" l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4" i="12" l="1"/>
  <c r="F121" i="12" s="1"/>
  <c r="C114" i="12"/>
  <c r="C117" i="12" s="1"/>
  <c r="F111" i="12"/>
  <c r="F114" i="12" s="1"/>
  <c r="F119" i="12" s="1"/>
  <c r="E110" i="12"/>
  <c r="E114" i="12" s="1"/>
  <c r="F117" i="12" s="1"/>
  <c r="F124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7" i="11"/>
  <c r="J27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40" i="16" s="1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37" i="16" l="1"/>
  <c r="L60" i="16" s="1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N169" i="8" l="1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S534" i="9" l="1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I11" i="11" s="1"/>
  <c r="N11" i="11" s="1"/>
  <c r="P11" i="11" s="1"/>
  <c r="G12" i="11"/>
  <c r="G13" i="11"/>
  <c r="G8" i="11"/>
  <c r="G9" i="11"/>
  <c r="G10" i="11"/>
  <c r="G14" i="11"/>
  <c r="I8" i="11" l="1"/>
  <c r="N8" i="11" s="1"/>
  <c r="P8" i="11" s="1"/>
  <c r="K70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6" i="11"/>
  <c r="J4" i="11"/>
  <c r="F23" i="12" l="1"/>
  <c r="F28" i="12" s="1"/>
  <c r="F34" i="12" s="1"/>
  <c r="E70" i="12" s="1"/>
  <c r="F73" i="12" s="1"/>
  <c r="F80" i="12" s="1"/>
  <c r="K139" i="8"/>
  <c r="F467" i="9"/>
  <c r="S70" i="11"/>
  <c r="R70" i="11"/>
  <c r="F70" i="11"/>
  <c r="G68" i="11"/>
  <c r="I68" i="11" s="1"/>
  <c r="G67" i="11"/>
  <c r="I67" i="11" s="1"/>
  <c r="G64" i="11"/>
  <c r="I64" i="11" s="1"/>
  <c r="G63" i="11"/>
  <c r="I63" i="11" s="1"/>
  <c r="I30" i="11"/>
  <c r="G33" i="11"/>
  <c r="G32" i="11"/>
  <c r="G31" i="11"/>
  <c r="G29" i="11"/>
  <c r="G28" i="11"/>
  <c r="G27" i="11"/>
  <c r="G25" i="11"/>
  <c r="G24" i="11"/>
  <c r="G23" i="11"/>
  <c r="G22" i="11"/>
  <c r="G21" i="11"/>
  <c r="G20" i="11"/>
  <c r="G19" i="11"/>
  <c r="G18" i="11"/>
  <c r="G17" i="11"/>
  <c r="G16" i="11"/>
  <c r="G15" i="11"/>
  <c r="G26" i="11"/>
  <c r="I26" i="11" s="1"/>
  <c r="G7" i="11"/>
  <c r="I7" i="11" s="1"/>
  <c r="G6" i="11"/>
  <c r="I6" i="11" s="1"/>
  <c r="G5" i="11"/>
  <c r="I5" i="11" s="1"/>
  <c r="G4" i="11"/>
  <c r="I4" i="11" s="1"/>
  <c r="M4" i="11" s="1"/>
  <c r="G475" i="9"/>
  <c r="C475" i="9"/>
  <c r="F466" i="9"/>
  <c r="E465" i="9"/>
  <c r="E475" i="9" s="1"/>
  <c r="N5" i="11" l="1"/>
  <c r="P5" i="11" s="1"/>
  <c r="I14" i="11"/>
  <c r="N14" i="11" s="1"/>
  <c r="P14" i="11" s="1"/>
  <c r="I23" i="11"/>
  <c r="N23" i="11" s="1"/>
  <c r="P23" i="11" s="1"/>
  <c r="I31" i="11"/>
  <c r="P26" i="11" s="1"/>
  <c r="I27" i="11"/>
  <c r="I20" i="11"/>
  <c r="I17" i="11"/>
  <c r="N17" i="11" s="1"/>
  <c r="P17" i="11" s="1"/>
  <c r="F475" i="9"/>
  <c r="G478" i="9" s="1"/>
  <c r="G70" i="11"/>
  <c r="M70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I70" i="11" l="1"/>
  <c r="N20" i="11"/>
  <c r="P20" i="11" s="1"/>
  <c r="G446" i="9"/>
  <c r="G460" i="9"/>
  <c r="E432" i="9"/>
  <c r="N70" i="11" l="1"/>
  <c r="N72" i="11" s="1"/>
  <c r="C206" i="12" s="1"/>
  <c r="P70" i="11"/>
  <c r="P89" i="8"/>
  <c r="R89" i="8" s="1"/>
  <c r="V92" i="8" s="1"/>
  <c r="P85" i="8"/>
  <c r="R85" i="8" s="1"/>
  <c r="G425" i="9"/>
  <c r="F425" i="9"/>
  <c r="E418" i="9"/>
  <c r="E425" i="9" s="1"/>
  <c r="J70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N157" i="8" s="1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<sst xmlns="http://schemas.openxmlformats.org/spreadsheetml/2006/main" count="3826" uniqueCount="1230">
  <si>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</si>
  <si>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</si>
  <si>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</si>
  <si>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</si>
  <si>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</si>
  <si>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</si>
  <si>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</si>
  <si>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</si>
  <si>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</si>
  <si>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</si>
  <si>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</si>
  <si>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</si>
  <si>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</si>
  <si>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</si>
  <si>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</si>
  <si>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</si>
  <si>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</si>
  <si>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</si>
  <si>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</si>
  <si>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</si>
  <si>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</si>
  <si>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</si>
  <si>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</si>
  <si>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</si>
  <si>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</si>
  <si>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</si>
  <si>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</si>
  <si>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</si>
  <si>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</si>
  <si>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</si>
  <si>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</si>
  <si>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</si>
  <si>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</si>
  <si>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</si>
  <si>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</si>
  <si>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</si>
  <si>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</si>
  <si>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</si>
  <si>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</si>
  <si>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</si>
  <si>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</si>
  <si>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</si>
  <si>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</si>
  <si>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</si>
  <si>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</si>
  <si>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</si>
  <si>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</si>
  <si>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</si>
  <si>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</si>
  <si>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</si>
  <si>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</si>
  <si>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</si>
  <si>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</si>
  <si>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</si>
  <si>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</si>
  <si>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</si>
  <si>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</si>
  <si>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</si>
  <si>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</si>
  <si>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</si>
  <si>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</si>
  <si>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</si>
  <si>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</si>
  <si>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</si>
  <si>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</si>
  <si>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</si>
  <si>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</si>
  <si>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</si>
  <si>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</si>
  <si>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</si>
  <si>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</si>
  <si>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</si>
  <si>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</si>
  <si>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</si>
  <si>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</si>
  <si>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</si>
  <si>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</si>
  <si>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</si>
  <si>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</si>
  <si>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</si>
  <si>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</si>
  <si>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</si>
  <si>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</si>
  <si>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</si>
  <si>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</si>
  <si>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</si>
  <si>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</si>
  <si>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</si>
  <si>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</si>
  <si>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</si>
  <si>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</si>
  <si>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</si>
  <si>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</si>
  <si>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</si>
  <si>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</si>
  <si>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</si>
  <si>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</si>
  <si>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</si>
  <si>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</si>
  <si>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</si>
  <si>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</si>
  <si>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</si>
  <si>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</si>
  <si>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</si>
  <si>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</si>
  <si>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</si>
  <si>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</si>
  <si>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</si>
  <si>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</si>
  <si>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</si>
  <si>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</si>
  <si>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</si>
  <si>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</si>
  <si>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</si>
  <si>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</si>
  <si>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</si>
  <si>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</si>
  <si>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</si>
  <si>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</si>
  <si>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</si>
  <si>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</si>
  <si>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</si>
  <si>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</si>
  <si>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</si>
  <si>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</si>
  <si>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</si>
  <si>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</si>
  <si>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</si>
  <si>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</si>
  <si>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</si>
  <si>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</si>
  <si>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</si>
  <si>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</si>
  <si>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</si>
  <si>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</si>
  <si>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</si>
  <si>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</si>
  <si>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</si>
  <si>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</si>
  <si>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</si>
  <si>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</si>
  <si>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</si>
  <si>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</si>
  <si>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</si>
  <si>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</si>
  <si>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</si>
  <si>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</si>
  <si>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</si>
  <si>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</si>
  <si>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</si>
  <si>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</si>
  <si>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</si>
  <si>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</si>
  <si>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</si>
  <si>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</si>
  <si>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</si>
  <si>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</si>
  <si>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</si>
  <si>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</si>
  <si>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</si>
  <si>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</si>
  <si>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</si>
  <si>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</si>
  <si>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</si>
  <si>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</si>
  <si>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</si>
  <si>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</si>
  <si>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</si>
  <si>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</si>
  <si>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</si>
  <si>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</si>
  <si>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</si>
  <si>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</si>
  <si>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</si>
  <si>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</si>
  <si>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</si>
  <si>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</si>
  <si>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</si>
  <si>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</si>
  <si>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</si>
  <si>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</si>
  <si>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</si>
  <si>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</si>
  <si>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</si>
  <si>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</si>
  <si>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</si>
  <si>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</si>
  <si>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</si>
  <si>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</si>
  <si>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</si>
  <si>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</si>
  <si>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</si>
  <si>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</si>
  <si>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</si>
  <si>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</si>
  <si>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</si>
  <si>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</si>
  <si>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</si>
  <si>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</si>
  <si>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</si>
  <si>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</si>
  <si>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</si>
  <si>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</si>
  <si>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</si>
  <si>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</si>
  <si>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</si>
  <si>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</si>
  <si>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</si>
  <si>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</si>
  <si>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</si>
  <si>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</si>
  <si>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</si>
  <si>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</si>
  <si>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</si>
  <si>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</si>
  <si>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</si>
  <si>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</si>
  <si>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</si>
  <si>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</si>
  <si>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</si>
  <si>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</si>
  <si>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</si>
  <si>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</si>
  <si>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</si>
  <si>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</si>
  <si>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</si>
  <si>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</si>
  <si>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</si>
  <si>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</si>
  <si>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</si>
  <si>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</si>
  <si>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</si>
  <si>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</si>
  <si>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</si>
  <si>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</si>
  <si>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</si>
  <si>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</si>
  <si>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</si>
  <si>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</si>
  <si>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</si>
  <si>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</si>
  <si>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</si>
  <si>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</si>
  <si>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</si>
  <si>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</si>
  <si>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</si>
  <si>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</si>
  <si>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</si>
  <si>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</si>
  <si>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</si>
  <si>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</si>
  <si>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</si>
  <si>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</si>
  <si>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</si>
  <si>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</si>
  <si>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</si>
  <si>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</si>
  <si>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</si>
  <si>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</si>
  <si>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</si>
  <si>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</si>
  <si>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</si>
  <si>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</si>
  <si>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</si>
  <si>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</si>
  <si>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</si>
  <si>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</si>
  <si>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</si>
  <si>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</si>
  <si>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</si>
  <si>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</si>
  <si>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</si>
  <si>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</si>
  <si>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</si>
  <si>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</si>
  <si>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</si>
  <si>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</si>
  <si>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</si>
  <si>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</si>
  <si>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</si>
  <si>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</si>
  <si>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</si>
  <si>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</si>
  <si>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</si>
  <si>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</si>
  <si>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</si>
  <si>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</si>
  <si>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</si>
  <si>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</si>
  <si>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</si>
  <si>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</si>
  <si>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</si>
  <si>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</si>
  <si>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</si>
  <si>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</si>
  <si>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</si>
  <si>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</si>
  <si>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</si>
  <si>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</si>
  <si>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</si>
  <si>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</si>
  <si>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</si>
  <si>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</si>
  <si>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</si>
  <si>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</si>
  <si>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</si>
  <si>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</si>
  <si>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</si>
  <si>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</si>
  <si>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</si>
  <si>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</si>
  <si>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</si>
  <si>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</si>
  <si>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</si>
  <si>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</si>
  <si>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</si>
  <si>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</si>
  <si>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</si>
  <si>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</si>
  <si>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</si>
  <si>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</si>
  <si>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</si>
  <si>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</si>
  <si>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</si>
  <si>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</si>
  <si>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</si>
  <si>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</si>
  <si>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</si>
  <si>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</si>
  <si>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</si>
  <si>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</si>
  <si>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</si>
  <si>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</si>
  <si>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</si>
  <si>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</si>
  <si>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</si>
  <si>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</si>
  <si>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</si>
  <si>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</si>
  <si>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</si>
  <si>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</si>
  <si>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</si>
  <si>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</si>
  <si>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</si>
  <si>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</si>
  <si>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</si>
  <si>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</si>
  <si>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</si>
  <si>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</si>
  <si>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</si>
  <si>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</si>
  <si>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</si>
  <si>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</si>
  <si>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</si>
  <si>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</si>
  <si>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</si>
  <si>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</si>
  <si>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</si>
  <si>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</si>
  <si>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</si>
  <si>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</si>
  <si>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</si>
  <si>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</si>
  <si>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</si>
  <si>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</si>
  <si>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</si>
  <si>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</si>
  <si>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</si>
  <si>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</si>
  <si>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</si>
  <si>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</si>
  <si>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</si>
  <si>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</si>
  <si>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</si>
  <si>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</si>
  <si>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</si>
  <si>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</si>
  <si>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</si>
  <si>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</si>
  <si>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</si>
  <si>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</si>
  <si>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</si>
  <si>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</si>
  <si>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</si>
  <si>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</si>
  <si>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</si>
  <si>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</si>
  <si>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</si>
  <si>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</si>
  <si>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</si>
  <si>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</si>
  <si>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</si>
  <si>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</si>
  <si>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</si>
  <si>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</si>
  <si>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</si>
  <si>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</si>
  <si>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</si>
  <si>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</si>
  <si>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</si>
  <si>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</si>
  <si>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</si>
  <si>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</si>
  <si>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</si>
  <si>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</si>
  <si>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</si>
  <si>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</si>
  <si>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</si>
  <si>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</si>
  <si>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</si>
  <si>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</si>
  <si>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</si>
  <si>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</si>
  <si>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</si>
  <si>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</si>
  <si>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</si>
  <si>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</si>
  <si>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</si>
  <si>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</si>
  <si>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</si>
  <si>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</si>
  <si>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</si>
  <si>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</si>
  <si>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</si>
  <si>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</si>
  <si>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</si>
  <si>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</si>
  <si>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</si>
  <si>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</si>
  <si>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</si>
  <si>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</si>
  <si>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</si>
  <si>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</si>
  <si>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</si>
  <si>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</si>
  <si>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</si>
  <si>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</si>
  <si>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</si>
  <si>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</si>
  <si>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</si>
  <si>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</si>
  <si>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</si>
  <si>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</si>
  <si>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</si>
  <si>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</si>
  <si>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</si>
  <si>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</si>
  <si>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</si>
  <si>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</si>
  <si>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</si>
  <si>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</si>
  <si>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</si>
  <si>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</si>
  <si>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</si>
  <si>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</si>
  <si>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</si>
  <si>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</si>
  <si>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</si>
  <si>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</si>
  <si>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</si>
  <si>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</si>
  <si>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</si>
  <si>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</si>
  <si>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</si>
  <si>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</si>
  <si>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</si>
  <si>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</si>
  <si>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</si>
  <si>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</si>
  <si>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</si>
  <si>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</si>
  <si>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</si>
  <si>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</si>
  <si>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</si>
  <si>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</si>
  <si>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</si>
  <si>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</si>
  <si>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</si>
  <si>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</si>
  <si>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</si>
  <si>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</si>
  <si>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</si>
  <si>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</si>
  <si>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</si>
  <si>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</si>
  <si>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</si>
  <si>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</si>
  <si>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</si>
  <si>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</si>
  <si>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</si>
  <si>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</si>
  <si>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</si>
  <si>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</si>
  <si>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</si>
  <si>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</si>
  <si>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</si>
  <si>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</si>
  <si>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</si>
  <si>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</si>
  <si>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</si>
  <si>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</si>
  <si>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</si>
  <si>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</si>
  <si>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</si>
  <si>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</si>
  <si>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</si>
  <si>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</si>
  <si>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</si>
  <si>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</si>
  <si>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</si>
  <si>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</si>
  <si>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</si>
  <si>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</si>
  <si>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</si>
  <si>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</si>
  <si>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</si>
  <si>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</si>
  <si>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</si>
  <si>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</si>
  <si>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</si>
  <si>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</si>
  <si>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</si>
  <si>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</si>
  <si>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</si>
  <si>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</si>
  <si>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</si>
  <si>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</si>
  <si>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</si>
  <si>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</si>
  <si>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</si>
  <si>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</si>
  <si>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</si>
  <si>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</si>
  <si>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</si>
  <si>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</si>
  <si>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</si>
  <si>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</si>
  <si>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</si>
  <si>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</si>
  <si>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</si>
  <si>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</si>
  <si>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</si>
  <si>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</si>
  <si>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</si>
  <si>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</si>
  <si>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</si>
  <si>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</si>
  <si>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</si>
  <si>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</si>
  <si>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</si>
  <si>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</si>
  <si>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</si>
  <si>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</si>
  <si>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</si>
  <si>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</si>
  <si>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</si>
  <si>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</si>
  <si>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</si>
  <si>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</si>
  <si>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</si>
  <si>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</si>
  <si>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</si>
  <si>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</si>
  <si>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</si>
  <si>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</si>
  <si>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</si>
  <si>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</si>
  <si>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</si>
  <si>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</si>
  <si>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</si>
  <si>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</si>
  <si>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</si>
  <si>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</si>
  <si>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</si>
  <si>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</si>
  <si>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</si>
  <si>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</si>
  <si>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</si>
  <si>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</si>
  <si>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</si>
  <si>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</si>
  <si>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</si>
  <si>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</si>
  <si>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</si>
  <si>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</si>
  <si>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</si>
  <si>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</si>
  <si>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</si>
  <si>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</si>
  <si>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</si>
  <si>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</si>
  <si>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</si>
  <si>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</si>
  <si>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</si>
  <si>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</si>
  <si>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</si>
  <si>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</si>
  <si>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</si>
  <si>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</si>
  <si>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</si>
  <si>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</si>
  <si>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</si>
  <si>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</si>
  <si>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</si>
  <si>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</si>
  <si>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</si>
  <si>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</si>
  <si>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</si>
  <si>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</si>
  <si>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</si>
  <si>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</si>
  <si>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</si>
  <si>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</si>
  <si>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</si>
  <si>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</si>
  <si>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</si>
  <si>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</si>
  <si>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</si>
  <si>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</si>
  <si>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</si>
  <si>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</si>
  <si>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</si>
  <si>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</si>
  <si>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</si>
  <si>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</si>
  <si>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</si>
  <si>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</si>
  <si>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</si>
  <si>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</si>
  <si>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</si>
  <si>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</si>
  <si>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</si>
  <si>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</si>
  <si>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</si>
  <si>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</si>
  <si>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</si>
  <si>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</si>
  <si>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</si>
  <si>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</si>
  <si>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</si>
  <si>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</si>
  <si>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</si>
  <si>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</si>
  <si>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</si>
  <si>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</si>
  <si>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</si>
  <si>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</si>
  <si>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</si>
  <si>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</si>
  <si>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</si>
  <si>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</si>
  <si>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</si>
  <si>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</si>
  <si>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</si>
  <si>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</si>
  <si>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</si>
  <si>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</si>
  <si>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</si>
  <si>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</si>
  <si>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</si>
  <si>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</si>
  <si>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</si>
  <si>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</si>
  <si>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</si>
  <si>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</si>
  <si>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</si>
  <si>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</si>
  <si>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</si>
  <si>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</si>
  <si>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</si>
  <si>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</si>
  <si>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</si>
  <si>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</si>
  <si>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</si>
  <si>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</si>
  <si>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</si>
  <si>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</si>
  <si>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</si>
  <si>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</si>
  <si>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</si>
  <si>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</si>
  <si>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</si>
  <si>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</si>
  <si>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</si>
  <si>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</si>
  <si>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</si>
  <si>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</si>
  <si>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</si>
  <si>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</si>
  <si>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</si>
  <si>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</si>
  <si>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</si>
  <si>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</si>
  <si>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</si>
  <si>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</si>
  <si>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</si>
  <si>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</si>
  <si>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</si>
  <si>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</si>
  <si>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</si>
  <si>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</si>
  <si>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</si>
  <si>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</si>
  <si>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</si>
  <si>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</si>
  <si>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</si>
  <si>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</si>
  <si>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</si>
  <si>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</si>
  <si>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</si>
  <si>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</si>
  <si>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</si>
  <si>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</si>
  <si>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</si>
  <si>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</si>
  <si>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</si>
  <si>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</si>
  <si>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</si>
  <si>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</si>
  <si>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</si>
  <si>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</si>
  <si>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</si>
  <si>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</si>
  <si>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</si>
  <si>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</si>
  <si>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</si>
  <si>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</si>
  <si>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</si>
  <si>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</si>
  <si>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</si>
  <si>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</si>
  <si>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</si>
  <si>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</si>
  <si>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</si>
  <si>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</si>
  <si>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</si>
  <si>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</si>
  <si>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</si>
  <si>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</si>
  <si>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</si>
  <si>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</si>
  <si>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</si>
  <si>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</si>
  <si>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</si>
  <si>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</si>
  <si>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</si>
  <si>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</si>
  <si>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</si>
  <si>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</si>
  <si>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</si>
  <si>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</si>
  <si>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</si>
  <si>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</si>
  <si>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</si>
  <si>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</si>
  <si>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</si>
  <si>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</si>
  <si>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</si>
  <si>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</si>
  <si>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</si>
  <si>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</si>
  <si>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</si>
  <si>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</si>
  <si>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</si>
  <si>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</si>
  <si>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</si>
  <si>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</si>
  <si>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</si>
  <si>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</si>
  <si>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</si>
  <si>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</si>
  <si>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</si>
  <si>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</si>
  <si>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</si>
  <si>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</si>
  <si>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</si>
  <si>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</si>
  <si>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</si>
  <si>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</si>
  <si>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</si>
  <si>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</si>
  <si>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</si>
  <si>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</si>
  <si>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</si>
  <si>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</si>
  <si>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</si>
  <si>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</si>
  <si>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</si>
  <si>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</si>
  <si>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</si>
  <si>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</si>
  <si>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</si>
  <si>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</si>
  <si>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</si>
  <si>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</si>
  <si>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</si>
  <si>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</si>
  <si>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</si>
  <si>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</si>
  <si>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</si>
  <si>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</si>
  <si>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</si>
  <si>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</si>
  <si>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</si>
  <si>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</si>
  <si>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</si>
  <si>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</si>
  <si>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</si>
  <si>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</si>
  <si>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</si>
  <si>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</si>
  <si>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</si>
  <si>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</si>
  <si>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</si>
  <si>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</si>
  <si>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</si>
  <si>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</si>
  <si>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</si>
  <si>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</si>
  <si>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</si>
  <si>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</si>
  <si>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</si>
  <si>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</si>
  <si>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</si>
  <si>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</si>
  <si>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</si>
  <si>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</si>
  <si>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</si>
  <si>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</si>
  <si>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</si>
  <si>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</si>
  <si>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</si>
  <si>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</si>
  <si>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</si>
  <si>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</si>
  <si>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</si>
  <si>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</si>
  <si>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</si>
  <si>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</si>
  <si>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</si>
  <si>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</si>
  <si>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</si>
  <si>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</si>
  <si>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</si>
  <si>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</si>
  <si>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</si>
  <si>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</si>
  <si>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</si>
  <si>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</si>
  <si>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</si>
  <si>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</si>
  <si>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</si>
  <si>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</si>
  <si>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</si>
  <si>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</si>
  <si>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</si>
  <si>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</si>
  <si>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</si>
  <si>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</si>
  <si>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</si>
  <si>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</si>
  <si>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</si>
  <si>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</si>
  <si>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</si>
  <si>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</si>
  <si>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</si>
  <si>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</si>
  <si>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</si>
  <si>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</si>
  <si>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</si>
  <si>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</si>
  <si>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</si>
  <si>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</si>
  <si>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</si>
  <si>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</si>
  <si>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</si>
  <si>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</si>
  <si>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</si>
  <si>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</si>
  <si>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</si>
  <si>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</si>
  <si>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</si>
  <si>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</si>
  <si>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</si>
  <si>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</si>
  <si>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</si>
  <si>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</si>
  <si>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</si>
  <si>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</si>
  <si>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</si>
  <si>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</si>
  <si>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</si>
  <si>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</si>
  <si>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</si>
  <si>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</si>
  <si>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</si>
  <si>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</si>
  <si>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</si>
  <si>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</si>
  <si>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</si>
  <si>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</si>
  <si>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</si>
  <si>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</si>
  <si>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</si>
  <si>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</si>
  <si>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</si>
  <si>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</si>
  <si>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</si>
  <si>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</si>
  <si>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</si>
  <si>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</si>
  <si>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</si>
  <si>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</si>
  <si>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</si>
  <si>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</si>
  <si>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</si>
  <si>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</si>
  <si>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</si>
  <si>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</si>
  <si>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</si>
  <si>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</si>
  <si>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</si>
  <si>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</si>
  <si>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</si>
  <si>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</si>
  <si>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</si>
  <si>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</si>
  <si>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</si>
  <si>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</si>
  <si>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</si>
  <si>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</si>
  <si>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</si>
  <si>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</si>
  <si>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</si>
  <si>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</si>
  <si>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</si>
  <si>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</si>
  <si>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</si>
  <si>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</si>
  <si>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</si>
  <si>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</si>
  <si>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</si>
  <si>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</si>
  <si>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</si>
  <si>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</si>
  <si>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</si>
  <si>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</si>
  <si>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</si>
  <si>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</si>
  <si>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</si>
  <si>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</si>
  <si>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</si>
  <si>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</si>
  <si>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</si>
  <si>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</si>
  <si>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</si>
  <si>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</si>
  <si>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</si>
  <si>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</si>
  <si>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</si>
  <si>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</si>
  <si>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</si>
  <si>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</si>
  <si>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</si>
  <si>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</si>
  <si>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</si>
  <si>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</si>
  <si>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</si>
  <si>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</si>
  <si>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</si>
  <si>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</si>
  <si>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</si>
  <si>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</si>
  <si>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</si>
  <si>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</si>
  <si>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</si>
  <si>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</si>
  <si>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</si>
  <si>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</si>
  <si>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</si>
  <si>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</si>
  <si>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</si>
  <si>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</si>
  <si>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</si>
  <si>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</si>
  <si>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</si>
  <si>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</si>
  <si>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</si>
  <si>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</si>
  <si>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</si>
  <si>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</si>
  <si>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</si>
  <si>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</si>
  <si>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</si>
  <si>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</si>
  <si>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</si>
  <si>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</si>
  <si>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</si>
  <si>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</si>
  <si>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</si>
  <si>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</si>
  <si>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</si>
  <si>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</si>
  <si>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</si>
  <si>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</si>
  <si>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</si>
  <si>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</si>
  <si>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</si>
  <si>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</si>
  <si>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</si>
  <si>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</si>
  <si>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</si>
  <si>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</si>
  <si>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</si>
  <si>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</si>
  <si>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</si>
  <si>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</si>
  <si>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</si>
  <si>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</si>
  <si>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</si>
  <si>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</si>
  <si>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</si>
  <si>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</si>
  <si>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</si>
  <si>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</si>
  <si>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</si>
  <si>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</si>
  <si>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</si>
  <si>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</si>
  <si>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</si>
  <si>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</si>
  <si>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</si>
  <si>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</si>
  <si>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</si>
  <si>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</si>
  <si>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</si>
  <si>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</si>
  <si>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</si>
  <si>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</si>
  <si>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</si>
  <si>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</si>
  <si>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</si>
  <si>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</si>
  <si>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</si>
  <si>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</si>
  <si>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</si>
  <si>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</si>
  <si>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</si>
  <si>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</si>
  <si>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</si>
  <si>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</si>
  <si>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</si>
  <si>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</si>
  <si>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</si>
  <si>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</si>
  <si>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</si>
  <si>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</si>
  <si>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</si>
  <si>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</si>
  <si>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</si>
  <si>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</si>
  <si>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</si>
  <si>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</si>
  <si>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</si>
  <si>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</si>
  <si>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</si>
  <si>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</si>
  <si>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</si>
  <si>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</si>
  <si>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</si>
  <si>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</si>
  <si>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</si>
  <si>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</si>
  <si>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</si>
  <si>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</si>
  <si>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</si>
  <si>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</si>
  <si>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</si>
  <si>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</si>
  <si>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</si>
  <si>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</si>
  <si>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</si>
  <si>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</si>
  <si>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</si>
  <si>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</si>
  <si>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</si>
  <si>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</si>
  <si>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</si>
  <si>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</si>
  <si>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</si>
  <si>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</si>
  <si>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</si>
  <si>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</si>
  <si>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</si>
  <si>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</si>
  <si>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</si>
  <si>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</si>
  <si>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</si>
  <si>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</si>
  <si>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</si>
  <si>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</si>
  <si>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</si>
  <si>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</si>
  <si>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</si>
  <si>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</si>
  <si>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</si>
  <si>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</si>
  <si>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</si>
  <si>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</si>
  <si>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</si>
  <si>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</si>
  <si>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</si>
  <si>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</si>
  <si>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</si>
  <si>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</si>
  <si>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</si>
  <si>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</si>
  <si>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</si>
  <si>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</si>
  <si>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</si>
  <si>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</si>
  <si>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</si>
  <si>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</si>
  <si>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</si>
  <si>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</si>
  <si>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</si>
  <si>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</si>
  <si>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</si>
  <si>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</si>
  <si>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</si>
  <si>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</si>
  <si>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</si>
  <si>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</si>
  <si>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</si>
  <si>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</si>
  <si>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</si>
  <si>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</si>
  <si>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</si>
  <si>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</si>
  <si>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</si>
  <si>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</si>
  <si>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</si>
  <si>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</si>
  <si>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</si>
  <si>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</si>
  <si>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</si>
  <si>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</si>
  <si>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</si>
  <si>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</si>
  <si>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</si>
  <si>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</si>
  <si>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</si>
  <si>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</si>
  <si>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</si>
  <si>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</si>
  <si>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</si>
  <si>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</si>
  <si>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</si>
  <si>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</si>
  <si>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</si>
  <si>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</si>
  <si>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</si>
  <si>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</si>
  <si>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</si>
  <si>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</si>
  <si>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</si>
  <si>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</si>
  <si>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</si>
  <si>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</si>
  <si>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</si>
  <si>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</si>
  <si>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</si>
  <si>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</si>
  <si>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</si>
  <si>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AL mua: 11.635kg x 48.500đ</t>
  </si>
  <si>
    <t>Tiền hàng (2cont): 52.780kg x 48.500đ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</si>
  <si>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</si>
  <si>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</si>
  <si>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</si>
  <si>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</si>
  <si>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</si>
  <si>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</si>
  <si>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</si>
  <si>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</si>
  <si>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</si>
  <si>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</si>
  <si>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</si>
  <si>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</si>
  <si>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</si>
  <si>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</si>
  <si>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</si>
  <si>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</si>
  <si>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Tiền hàng (4cont): 105.560kg x 48.000đ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</si>
  <si>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</si>
  <si>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</si>
  <si>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</si>
  <si>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</si>
  <si>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</si>
  <si>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</si>
  <si>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</si>
  <si>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Diệp huệ Trinh</t>
  </si>
  <si>
    <t>03/01/18 Chuyển khoản:</t>
  </si>
  <si>
    <t>Tiền hàng AL mua 24/12/17: 350T x 13kg x 48.500đ</t>
  </si>
  <si>
    <t>Tiền hàng TQ 30/12/17: 1984T x 13kg x 48.500đ</t>
  </si>
  <si>
    <t>Còn lại AL nợ C.Thanh:</t>
  </si>
  <si>
    <t>Tiền hàng 11/01/18</t>
  </si>
  <si>
    <t>Tiền hàng 17/01/18</t>
  </si>
  <si>
    <t>Chi phí xuất hàng (Cont 43 -&gt;54) (12 cont) 68tr</t>
  </si>
  <si>
    <t>Tiền hàng An Lạc-30/12/17 (1cont): 26.390kg x 48.500đ</t>
  </si>
  <si>
    <t>Tiền hàng An Lạc-30/12/17 (1cont): 26.390kg x 49.000đ</t>
  </si>
  <si>
    <t>TIỀN USD CHƯA CHUYỂN NGÂN HÀNG :</t>
  </si>
  <si>
    <t>USD</t>
  </si>
  <si>
    <t>Tiền hàng An Lạc-20/01/18 (2cont): 52.780kg x 49.500đ</t>
  </si>
  <si>
    <t>Tiền hàng AL mua 20/01/18: 4000T x 13kg x 48.500đ</t>
  </si>
  <si>
    <t>Tiền hàng AL mua 04/01/18: 10T x 13kg x 48.500đ</t>
  </si>
  <si>
    <t>30/01/18 Chuyển khoản:</t>
  </si>
  <si>
    <t>Tiền hàng 29/01/18</t>
  </si>
  <si>
    <t>TIỀN CÒN LẠI  :</t>
  </si>
  <si>
    <t>Đậu Văn Định (19/01/18)</t>
  </si>
  <si>
    <t>Hoàng Thị Ly (03/01/18)</t>
  </si>
  <si>
    <t>Đậu Văn Định (01/02/18)</t>
  </si>
  <si>
    <t>01/02/18 Chuyển khoản:</t>
  </si>
  <si>
    <t>TÊN HÀNG</t>
  </si>
  <si>
    <t>KHÔ CÁ CƠM</t>
  </si>
  <si>
    <t>KHÔ CÁ CHỈ</t>
  </si>
  <si>
    <t>KHÔ CÁ CHỈ B</t>
  </si>
  <si>
    <t>Chi phí xuất hàng (Cont 3) 4.758kg (31/1)</t>
  </si>
  <si>
    <t>Chi phí xuất hàng (Cont 1) (4/1)</t>
  </si>
  <si>
    <t>Chi phí xuất hàng (Cont 2) 4.500kg (10/1)</t>
  </si>
  <si>
    <t>Chi phí xuất hàng (Cont 3) 6.000kg (18/1)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</si>
</sst>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883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0" fillId="0" borderId="25" xfId="0" applyBorder="1"/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5" fillId="0" borderId="0" xfId="0" applyNumberFormat="1" applyFont="1"/>
    <xf numFmtId="0" fontId="28" fillId="0" borderId="2" xfId="0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14" xfId="22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64" fontId="28" fillId="0" borderId="4" xfId="1" applyNumberFormat="1" applyFont="1" applyFill="1" applyBorder="1" applyAlignment="1">
      <alignment horizontal="center" vertical="center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759" t="s">
        <v>428</v>
      </c>
      <c r="B17" s="759" t="s">
        <v>434</v>
      </c>
      <c r="C17" s="760" t="s">
        <v>2</v>
      </c>
      <c r="D17" s="760"/>
      <c r="E17" s="760"/>
      <c r="F17" s="760" t="s">
        <v>435</v>
      </c>
      <c r="G17" s="760"/>
      <c r="H17" s="760"/>
      <c r="I17" s="760"/>
      <c r="J17" s="759" t="s">
        <v>439</v>
      </c>
      <c r="K17" s="760"/>
      <c r="L17" s="760"/>
      <c r="M17" s="760"/>
      <c r="N17" s="760"/>
      <c r="O17" s="760"/>
      <c r="P17" s="760"/>
      <c r="Q17" s="759" t="s">
        <v>444</v>
      </c>
      <c r="R17" s="759"/>
      <c r="S17" s="759"/>
      <c r="T17" s="759" t="s">
        <v>449</v>
      </c>
      <c r="U17" s="759" t="s">
        <v>448</v>
      </c>
    </row>
    <row r="18" spans="1:21" s="279" customFormat="1" ht="48.75" customHeight="1">
      <c r="A18" s="759"/>
      <c r="B18" s="759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759"/>
      <c r="U18" s="759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761">
        <f>H19+H20</f>
        <v>148200</v>
      </c>
      <c r="J19" s="763">
        <v>42627</v>
      </c>
      <c r="K19" s="761">
        <f>I19-L19</f>
        <v>12</v>
      </c>
      <c r="L19" s="761">
        <v>148188</v>
      </c>
      <c r="M19" s="755">
        <v>22260</v>
      </c>
      <c r="N19" s="755">
        <f>L19*M19</f>
        <v>3298664880</v>
      </c>
      <c r="O19" s="755">
        <f>2780756/2</f>
        <v>1390378</v>
      </c>
      <c r="P19" s="755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755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761"/>
      <c r="J20" s="763"/>
      <c r="K20" s="761"/>
      <c r="L20" s="761"/>
      <c r="M20" s="755"/>
      <c r="N20" s="755"/>
      <c r="O20" s="755"/>
      <c r="P20" s="755"/>
      <c r="Q20" s="253" t="s">
        <v>55</v>
      </c>
      <c r="R20" s="242">
        <f t="shared" ref="R20:R21" si="1">S20*0.03%</f>
        <v>426587.39999999997</v>
      </c>
      <c r="S20" s="242">
        <v>1421958000</v>
      </c>
      <c r="T20" s="755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762"/>
      <c r="J21" s="764"/>
      <c r="K21" s="762"/>
      <c r="L21" s="762"/>
      <c r="M21" s="757"/>
      <c r="N21" s="757"/>
      <c r="O21" s="757"/>
      <c r="P21" s="757"/>
      <c r="Q21" s="253" t="s">
        <v>56</v>
      </c>
      <c r="R21" s="242">
        <f t="shared" si="1"/>
        <v>77210.117399999988</v>
      </c>
      <c r="S21" s="242">
        <v>257367058</v>
      </c>
      <c r="T21" s="757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761">
        <f>H22+H23</f>
        <v>148200</v>
      </c>
      <c r="J22" s="764">
        <v>42633</v>
      </c>
      <c r="K22" s="762">
        <f t="shared" ref="K22" si="3">I22-L22</f>
        <v>12</v>
      </c>
      <c r="L22" s="762">
        <v>148188</v>
      </c>
      <c r="M22" s="757">
        <v>22270</v>
      </c>
      <c r="N22" s="757">
        <f>L22*M22</f>
        <v>3300146760</v>
      </c>
      <c r="O22" s="757">
        <f>2780756/2</f>
        <v>1390378</v>
      </c>
      <c r="P22" s="755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757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762"/>
      <c r="J23" s="764"/>
      <c r="K23" s="762"/>
      <c r="L23" s="762"/>
      <c r="M23" s="757"/>
      <c r="N23" s="757"/>
      <c r="O23" s="757"/>
      <c r="P23" s="757"/>
      <c r="Q23" s="253" t="s">
        <v>395</v>
      </c>
      <c r="R23" s="254">
        <v>531976</v>
      </c>
      <c r="S23" s="255">
        <v>1791165000</v>
      </c>
      <c r="T23" s="757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761">
        <f>H24+H25</f>
        <v>145600</v>
      </c>
      <c r="J24" s="764">
        <v>42685</v>
      </c>
      <c r="K24" s="762">
        <f t="shared" ref="K24" si="5">I24-L24</f>
        <v>12</v>
      </c>
      <c r="L24" s="762">
        <v>145588</v>
      </c>
      <c r="M24" s="757">
        <v>22285</v>
      </c>
      <c r="N24" s="757">
        <f t="shared" ref="N24" si="6">L24*M24</f>
        <v>3244428580</v>
      </c>
      <c r="O24" s="757">
        <v>1791144</v>
      </c>
      <c r="P24" s="755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757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762"/>
      <c r="J25" s="764"/>
      <c r="K25" s="762"/>
      <c r="L25" s="762"/>
      <c r="M25" s="757"/>
      <c r="N25" s="757"/>
      <c r="O25" s="757"/>
      <c r="P25" s="757"/>
      <c r="Q25" s="253" t="s">
        <v>56</v>
      </c>
      <c r="R25" s="254">
        <v>176854.25586180002</v>
      </c>
      <c r="S25" s="255">
        <v>535745133.20413822</v>
      </c>
      <c r="T25" s="757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765">
        <f>H28+H27</f>
        <v>145600</v>
      </c>
      <c r="J26" s="767">
        <v>42689</v>
      </c>
      <c r="K26" s="765">
        <f t="shared" ref="K26" si="9">I26-L26</f>
        <v>12</v>
      </c>
      <c r="L26" s="765">
        <v>145588</v>
      </c>
      <c r="M26" s="753">
        <v>22290</v>
      </c>
      <c r="N26" s="753">
        <f t="shared" ref="N26" si="10">L26*M26</f>
        <v>3245156520</v>
      </c>
      <c r="O26" s="753">
        <v>1791144</v>
      </c>
      <c r="P26" s="753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766"/>
      <c r="J27" s="768"/>
      <c r="K27" s="766"/>
      <c r="L27" s="766"/>
      <c r="M27" s="754"/>
      <c r="N27" s="754"/>
      <c r="O27" s="754"/>
      <c r="P27" s="754"/>
      <c r="Q27" s="253" t="s">
        <v>131</v>
      </c>
      <c r="R27" s="254">
        <v>480480</v>
      </c>
      <c r="S27" s="255">
        <v>1456000000</v>
      </c>
      <c r="T27" s="753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761"/>
      <c r="J28" s="763"/>
      <c r="K28" s="761"/>
      <c r="L28" s="761"/>
      <c r="M28" s="755"/>
      <c r="N28" s="755"/>
      <c r="O28" s="755"/>
      <c r="P28" s="755"/>
      <c r="Q28" s="253" t="s">
        <v>56</v>
      </c>
      <c r="R28" s="254">
        <v>231033</v>
      </c>
      <c r="S28" s="255">
        <v>699867789</v>
      </c>
      <c r="T28" s="754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765">
        <f>SUM(H29:H32)</f>
        <v>291200</v>
      </c>
      <c r="J29" s="767">
        <v>42696</v>
      </c>
      <c r="K29" s="765">
        <f>I29-L29</f>
        <v>12</v>
      </c>
      <c r="L29" s="765">
        <v>291188</v>
      </c>
      <c r="M29" s="753">
        <v>22480</v>
      </c>
      <c r="N29" s="753">
        <f>L29*M29</f>
        <v>6545906240</v>
      </c>
      <c r="O29" s="753">
        <v>3582288</v>
      </c>
      <c r="P29" s="753">
        <f>N29-O29</f>
        <v>6542323952</v>
      </c>
      <c r="Q29" s="253" t="s">
        <v>142</v>
      </c>
      <c r="R29" s="254">
        <v>1450020</v>
      </c>
      <c r="S29" s="255">
        <v>4394000000</v>
      </c>
      <c r="T29" s="754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766"/>
      <c r="J30" s="768"/>
      <c r="K30" s="766"/>
      <c r="L30" s="766"/>
      <c r="M30" s="754"/>
      <c r="N30" s="754"/>
      <c r="O30" s="754"/>
      <c r="P30" s="754"/>
      <c r="Q30" s="253" t="s">
        <v>149</v>
      </c>
      <c r="R30" s="254">
        <v>133243</v>
      </c>
      <c r="S30" s="255">
        <v>403767000</v>
      </c>
      <c r="T30" s="754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766"/>
      <c r="J31" s="768"/>
      <c r="K31" s="766"/>
      <c r="L31" s="766"/>
      <c r="M31" s="754"/>
      <c r="N31" s="754"/>
      <c r="O31" s="754"/>
      <c r="P31" s="754"/>
      <c r="Q31" s="253" t="s">
        <v>150</v>
      </c>
      <c r="R31" s="254">
        <v>142501</v>
      </c>
      <c r="S31" s="255">
        <v>431821000</v>
      </c>
      <c r="T31" s="754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761"/>
      <c r="J32" s="763"/>
      <c r="K32" s="761"/>
      <c r="L32" s="761"/>
      <c r="M32" s="755"/>
      <c r="N32" s="755"/>
      <c r="O32" s="755"/>
      <c r="P32" s="755"/>
      <c r="Q32" s="253" t="s">
        <v>56</v>
      </c>
      <c r="R32" s="254">
        <v>298421</v>
      </c>
      <c r="S32" s="255">
        <v>904008247</v>
      </c>
      <c r="T32" s="755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765">
        <f>H33+H34</f>
        <v>145600</v>
      </c>
      <c r="J33" s="767">
        <v>42699</v>
      </c>
      <c r="K33" s="765">
        <f>I33-L33</f>
        <v>12</v>
      </c>
      <c r="L33" s="765">
        <v>145588</v>
      </c>
      <c r="M33" s="753">
        <v>22660</v>
      </c>
      <c r="N33" s="753">
        <f t="shared" ref="N33:N37" si="15">L33*M33</f>
        <v>3299024080</v>
      </c>
      <c r="O33" s="753">
        <v>1819968</v>
      </c>
      <c r="P33" s="753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757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766"/>
      <c r="J34" s="768"/>
      <c r="K34" s="766"/>
      <c r="L34" s="766"/>
      <c r="M34" s="754"/>
      <c r="N34" s="754"/>
      <c r="O34" s="754"/>
      <c r="P34" s="754"/>
      <c r="Q34" s="256" t="s">
        <v>153</v>
      </c>
      <c r="R34" s="254">
        <v>178679</v>
      </c>
      <c r="S34" s="255">
        <v>541450000</v>
      </c>
      <c r="T34" s="757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766"/>
      <c r="J35" s="768"/>
      <c r="K35" s="766"/>
      <c r="L35" s="766"/>
      <c r="M35" s="754"/>
      <c r="N35" s="754"/>
      <c r="O35" s="754"/>
      <c r="P35" s="754"/>
      <c r="Q35" s="253" t="s">
        <v>55</v>
      </c>
      <c r="R35" s="254">
        <v>351889</v>
      </c>
      <c r="S35" s="255">
        <v>1066331000</v>
      </c>
      <c r="T35" s="757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761"/>
      <c r="J36" s="763"/>
      <c r="K36" s="761"/>
      <c r="L36" s="761"/>
      <c r="M36" s="755"/>
      <c r="N36" s="755"/>
      <c r="O36" s="755"/>
      <c r="P36" s="755"/>
      <c r="Q36" s="253" t="s">
        <v>56</v>
      </c>
      <c r="R36" s="254">
        <v>81592</v>
      </c>
      <c r="S36" s="255">
        <v>247168367</v>
      </c>
      <c r="T36" s="757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761">
        <f>H37+H38</f>
        <v>145600</v>
      </c>
      <c r="J37" s="763">
        <v>42703</v>
      </c>
      <c r="K37" s="762">
        <f>I37-L37</f>
        <v>12</v>
      </c>
      <c r="L37" s="762">
        <v>145588</v>
      </c>
      <c r="M37" s="753">
        <v>22620</v>
      </c>
      <c r="N37" s="757">
        <f t="shared" si="15"/>
        <v>3293200560</v>
      </c>
      <c r="O37" s="757">
        <v>1825573</v>
      </c>
      <c r="P37" s="755">
        <f t="shared" si="16"/>
        <v>3291374987</v>
      </c>
      <c r="Q37" s="256" t="s">
        <v>152</v>
      </c>
      <c r="R37" s="254">
        <v>497640</v>
      </c>
      <c r="S37" s="255">
        <v>1508000000</v>
      </c>
      <c r="T37" s="757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762"/>
      <c r="J38" s="764"/>
      <c r="K38" s="762"/>
      <c r="L38" s="762"/>
      <c r="M38" s="755"/>
      <c r="N38" s="757"/>
      <c r="O38" s="757"/>
      <c r="P38" s="757"/>
      <c r="Q38" s="253" t="s">
        <v>142</v>
      </c>
      <c r="R38" s="254">
        <v>552453</v>
      </c>
      <c r="S38" s="255">
        <v>1674100000</v>
      </c>
      <c r="T38" s="757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765">
        <f>SUM(H39:H42)</f>
        <v>291200</v>
      </c>
      <c r="J39" s="767">
        <v>42711</v>
      </c>
      <c r="K39" s="765">
        <f>I39-L39</f>
        <v>12</v>
      </c>
      <c r="L39" s="765">
        <v>291188</v>
      </c>
      <c r="M39" s="753">
        <v>22650</v>
      </c>
      <c r="N39" s="753">
        <f>L39*M39</f>
        <v>6595408200</v>
      </c>
      <c r="O39" s="753">
        <v>3651146</v>
      </c>
      <c r="P39" s="753">
        <f>N39-O39</f>
        <v>6591757054</v>
      </c>
      <c r="Q39" s="253" t="s">
        <v>142</v>
      </c>
      <c r="R39" s="254">
        <v>963198</v>
      </c>
      <c r="S39" s="255">
        <v>2918780500</v>
      </c>
      <c r="T39" s="757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766"/>
      <c r="J40" s="768"/>
      <c r="K40" s="766"/>
      <c r="L40" s="766"/>
      <c r="M40" s="754"/>
      <c r="N40" s="754"/>
      <c r="O40" s="754"/>
      <c r="P40" s="754"/>
      <c r="Q40" s="256" t="s">
        <v>152</v>
      </c>
      <c r="R40" s="254">
        <v>602224</v>
      </c>
      <c r="S40" s="255">
        <v>1824920500</v>
      </c>
      <c r="T40" s="757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766"/>
      <c r="J41" s="768"/>
      <c r="K41" s="766"/>
      <c r="L41" s="766"/>
      <c r="M41" s="754"/>
      <c r="N41" s="754"/>
      <c r="O41" s="754"/>
      <c r="P41" s="754"/>
      <c r="Q41" s="256" t="s">
        <v>153</v>
      </c>
      <c r="R41" s="254">
        <v>182381</v>
      </c>
      <c r="S41" s="255">
        <v>552669000</v>
      </c>
      <c r="T41" s="757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761"/>
      <c r="J42" s="763"/>
      <c r="K42" s="761"/>
      <c r="L42" s="761"/>
      <c r="M42" s="755"/>
      <c r="N42" s="755"/>
      <c r="O42" s="755"/>
      <c r="P42" s="755"/>
      <c r="Q42" s="253" t="s">
        <v>56</v>
      </c>
      <c r="R42" s="254">
        <v>224782.55613005161</v>
      </c>
      <c r="S42" s="255">
        <v>480934478.44387001</v>
      </c>
      <c r="T42" s="757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765">
        <f>SUM(H43:H47)</f>
        <v>291200</v>
      </c>
      <c r="J43" s="767">
        <v>42717</v>
      </c>
      <c r="K43" s="765">
        <f>I43-L43</f>
        <v>12</v>
      </c>
      <c r="L43" s="765">
        <v>291188</v>
      </c>
      <c r="M43" s="753">
        <v>22620</v>
      </c>
      <c r="N43" s="753">
        <f>L43*M43</f>
        <v>6586672560</v>
      </c>
      <c r="O43" s="753">
        <v>3651146</v>
      </c>
      <c r="P43" s="753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757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766"/>
      <c r="J44" s="768"/>
      <c r="K44" s="766"/>
      <c r="L44" s="766"/>
      <c r="M44" s="754"/>
      <c r="N44" s="754"/>
      <c r="O44" s="754"/>
      <c r="P44" s="754"/>
      <c r="Q44" s="256" t="s">
        <v>152</v>
      </c>
      <c r="R44" s="254">
        <v>321557</v>
      </c>
      <c r="S44" s="255">
        <v>974415000</v>
      </c>
      <c r="T44" s="757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766"/>
      <c r="J45" s="768"/>
      <c r="K45" s="766"/>
      <c r="L45" s="766"/>
      <c r="M45" s="754"/>
      <c r="N45" s="754"/>
      <c r="O45" s="754"/>
      <c r="P45" s="754"/>
      <c r="Q45" s="256" t="s">
        <v>149</v>
      </c>
      <c r="R45" s="254">
        <v>155513</v>
      </c>
      <c r="S45" s="255">
        <v>471250000</v>
      </c>
      <c r="T45" s="757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766"/>
      <c r="J46" s="768"/>
      <c r="K46" s="766"/>
      <c r="L46" s="766"/>
      <c r="M46" s="754"/>
      <c r="N46" s="754"/>
      <c r="O46" s="754"/>
      <c r="P46" s="754"/>
      <c r="Q46" s="256" t="s">
        <v>227</v>
      </c>
      <c r="R46" s="254">
        <v>97190</v>
      </c>
      <c r="S46" s="255">
        <v>294515000</v>
      </c>
      <c r="T46" s="757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761"/>
      <c r="J47" s="763"/>
      <c r="K47" s="761"/>
      <c r="L47" s="761"/>
      <c r="M47" s="755"/>
      <c r="N47" s="755"/>
      <c r="O47" s="755"/>
      <c r="P47" s="755"/>
      <c r="Q47" s="253" t="s">
        <v>56</v>
      </c>
      <c r="R47" s="254">
        <v>897991</v>
      </c>
      <c r="S47" s="255">
        <v>2721185000</v>
      </c>
      <c r="T47" s="757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765">
        <f>SUM(H48:H53)</f>
        <v>291200</v>
      </c>
      <c r="J48" s="767">
        <v>42723</v>
      </c>
      <c r="K48" s="765">
        <f>I48-L48</f>
        <v>117</v>
      </c>
      <c r="L48" s="765">
        <v>291083</v>
      </c>
      <c r="M48" s="753">
        <v>22620</v>
      </c>
      <c r="N48" s="753">
        <f>L48*M48</f>
        <v>6584297460</v>
      </c>
      <c r="O48" s="753"/>
      <c r="P48" s="753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757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766"/>
      <c r="J49" s="768"/>
      <c r="K49" s="766"/>
      <c r="L49" s="766"/>
      <c r="M49" s="754"/>
      <c r="N49" s="754"/>
      <c r="O49" s="754"/>
      <c r="P49" s="754"/>
      <c r="Q49" s="256" t="s">
        <v>149</v>
      </c>
      <c r="R49" s="254">
        <v>158498</v>
      </c>
      <c r="S49" s="255">
        <v>480298000</v>
      </c>
      <c r="T49" s="757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766"/>
      <c r="J50" s="768"/>
      <c r="K50" s="766"/>
      <c r="L50" s="766"/>
      <c r="M50" s="754"/>
      <c r="N50" s="754"/>
      <c r="O50" s="754"/>
      <c r="P50" s="754"/>
      <c r="Q50" s="256" t="s">
        <v>279</v>
      </c>
      <c r="R50" s="254">
        <v>221450</v>
      </c>
      <c r="S50" s="255">
        <v>671060000</v>
      </c>
      <c r="T50" s="757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766"/>
      <c r="J51" s="768"/>
      <c r="K51" s="766"/>
      <c r="L51" s="766"/>
      <c r="M51" s="754"/>
      <c r="N51" s="754"/>
      <c r="O51" s="754"/>
      <c r="P51" s="754"/>
      <c r="Q51" s="256" t="s">
        <v>55</v>
      </c>
      <c r="R51" s="254">
        <v>701499</v>
      </c>
      <c r="S51" s="255">
        <v>2125756000</v>
      </c>
      <c r="T51" s="757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766"/>
      <c r="J52" s="768"/>
      <c r="K52" s="766"/>
      <c r="L52" s="766"/>
      <c r="M52" s="754"/>
      <c r="N52" s="754"/>
      <c r="O52" s="754"/>
      <c r="P52" s="754"/>
      <c r="Q52" s="256" t="s">
        <v>280</v>
      </c>
      <c r="R52" s="254">
        <v>141021</v>
      </c>
      <c r="S52" s="255">
        <v>427336000</v>
      </c>
      <c r="T52" s="757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761"/>
      <c r="J53" s="763"/>
      <c r="K53" s="761"/>
      <c r="L53" s="761"/>
      <c r="M53" s="755"/>
      <c r="N53" s="755"/>
      <c r="O53" s="755"/>
      <c r="P53" s="755"/>
      <c r="Q53" s="253" t="s">
        <v>56</v>
      </c>
      <c r="R53" s="254">
        <v>412914</v>
      </c>
      <c r="S53" s="255">
        <v>1251254000</v>
      </c>
      <c r="T53" s="757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765">
        <f>SUM(H54:H57)</f>
        <v>281840</v>
      </c>
      <c r="J54" s="767">
        <v>42725</v>
      </c>
      <c r="K54" s="765">
        <f>I54-L54</f>
        <v>117</v>
      </c>
      <c r="L54" s="765">
        <v>281723</v>
      </c>
      <c r="M54" s="753">
        <v>22650</v>
      </c>
      <c r="N54" s="753">
        <f>L54*M54</f>
        <v>6381025950</v>
      </c>
      <c r="O54" s="753"/>
      <c r="P54" s="753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757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766"/>
      <c r="J55" s="768"/>
      <c r="K55" s="766"/>
      <c r="L55" s="766"/>
      <c r="M55" s="754"/>
      <c r="N55" s="754"/>
      <c r="O55" s="754"/>
      <c r="P55" s="754"/>
      <c r="Q55" s="256" t="s">
        <v>152</v>
      </c>
      <c r="R55" s="254">
        <v>482346</v>
      </c>
      <c r="S55" s="255">
        <v>876993000</v>
      </c>
      <c r="T55" s="757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766"/>
      <c r="J56" s="768"/>
      <c r="K56" s="766"/>
      <c r="L56" s="766"/>
      <c r="M56" s="754"/>
      <c r="N56" s="754"/>
      <c r="O56" s="754"/>
      <c r="P56" s="754"/>
      <c r="Q56" s="256" t="s">
        <v>131</v>
      </c>
      <c r="R56" s="254">
        <v>984083</v>
      </c>
      <c r="S56" s="255">
        <v>2982070000</v>
      </c>
      <c r="T56" s="757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761"/>
      <c r="J57" s="763"/>
      <c r="K57" s="761"/>
      <c r="L57" s="761"/>
      <c r="M57" s="755"/>
      <c r="N57" s="755"/>
      <c r="O57" s="755"/>
      <c r="P57" s="755"/>
      <c r="Q57" s="253" t="s">
        <v>56</v>
      </c>
      <c r="R57" s="254">
        <v>343695</v>
      </c>
      <c r="S57" s="255">
        <v>1041500000</v>
      </c>
      <c r="T57" s="757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765">
        <f>SUM(H58:H61)</f>
        <v>282482.72000000003</v>
      </c>
      <c r="J58" s="767">
        <v>42730</v>
      </c>
      <c r="K58" s="765">
        <f>I58-L58</f>
        <v>117.00000000005821</v>
      </c>
      <c r="L58" s="765">
        <v>282365.71999999997</v>
      </c>
      <c r="M58" s="753">
        <v>22650</v>
      </c>
      <c r="N58" s="753">
        <f>L58*M58</f>
        <v>6395583557.999999</v>
      </c>
      <c r="O58" s="753"/>
      <c r="P58" s="753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757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766"/>
      <c r="J59" s="768"/>
      <c r="K59" s="766"/>
      <c r="L59" s="766"/>
      <c r="M59" s="754"/>
      <c r="N59" s="754"/>
      <c r="O59" s="754"/>
      <c r="P59" s="754"/>
      <c r="Q59" s="256" t="s">
        <v>325</v>
      </c>
      <c r="R59" s="254">
        <v>15246</v>
      </c>
      <c r="S59" s="255">
        <v>27720000</v>
      </c>
      <c r="T59" s="757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766"/>
      <c r="J60" s="768"/>
      <c r="K60" s="766"/>
      <c r="L60" s="766"/>
      <c r="M60" s="754"/>
      <c r="N60" s="754"/>
      <c r="O60" s="754"/>
      <c r="P60" s="754"/>
      <c r="Q60" s="256" t="s">
        <v>131</v>
      </c>
      <c r="R60" s="254">
        <v>647657</v>
      </c>
      <c r="S60" s="255">
        <v>1177559000</v>
      </c>
      <c r="T60" s="757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761"/>
      <c r="J61" s="763"/>
      <c r="K61" s="761"/>
      <c r="L61" s="761"/>
      <c r="M61" s="755"/>
      <c r="N61" s="755"/>
      <c r="O61" s="755"/>
      <c r="P61" s="755"/>
      <c r="Q61" s="253" t="s">
        <v>56</v>
      </c>
      <c r="R61" s="254">
        <v>2403113</v>
      </c>
      <c r="S61" s="255">
        <v>4369297000</v>
      </c>
      <c r="T61" s="757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765">
        <f>H62+H63</f>
        <v>144200.68</v>
      </c>
      <c r="J62" s="767">
        <v>42742</v>
      </c>
      <c r="K62" s="765">
        <f>I62-L62</f>
        <v>12</v>
      </c>
      <c r="L62" s="765">
        <v>144188.68</v>
      </c>
      <c r="M62" s="753">
        <v>22480</v>
      </c>
      <c r="N62" s="757">
        <f t="shared" ref="N62" si="27">L62*M62</f>
        <v>3241361526.3999996</v>
      </c>
      <c r="O62" s="753">
        <v>1825573</v>
      </c>
      <c r="P62" s="755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757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761"/>
      <c r="J63" s="763"/>
      <c r="K63" s="761"/>
      <c r="L63" s="761"/>
      <c r="M63" s="755"/>
      <c r="N63" s="757"/>
      <c r="O63" s="755"/>
      <c r="P63" s="757"/>
      <c r="Q63" s="253" t="s">
        <v>56</v>
      </c>
      <c r="R63" s="254">
        <v>2422361</v>
      </c>
      <c r="S63" s="255">
        <v>2691512000</v>
      </c>
      <c r="T63" s="757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765">
        <f>SUM(H64:H67)</f>
        <v>294320</v>
      </c>
      <c r="J64" s="767">
        <v>42733</v>
      </c>
      <c r="K64" s="765">
        <f>I64-L64</f>
        <v>12</v>
      </c>
      <c r="L64" s="765">
        <v>294308</v>
      </c>
      <c r="M64" s="753">
        <v>22650</v>
      </c>
      <c r="N64" s="753">
        <f>L64*M64</f>
        <v>6666076200</v>
      </c>
      <c r="O64" s="753">
        <v>3651146</v>
      </c>
      <c r="P64" s="753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757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766"/>
      <c r="J65" s="768"/>
      <c r="K65" s="766"/>
      <c r="L65" s="766"/>
      <c r="M65" s="754"/>
      <c r="N65" s="754"/>
      <c r="O65" s="754"/>
      <c r="P65" s="754"/>
      <c r="Q65" s="253" t="s">
        <v>56</v>
      </c>
      <c r="R65" s="254">
        <v>2786095</v>
      </c>
      <c r="S65" s="255">
        <v>5065628000</v>
      </c>
      <c r="T65" s="757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766"/>
      <c r="J66" s="768"/>
      <c r="K66" s="766"/>
      <c r="L66" s="766"/>
      <c r="M66" s="754"/>
      <c r="N66" s="754"/>
      <c r="O66" s="754"/>
      <c r="P66" s="754"/>
      <c r="Q66" s="247"/>
      <c r="R66" s="247"/>
      <c r="S66" s="247"/>
      <c r="T66" s="757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761"/>
      <c r="J67" s="763"/>
      <c r="K67" s="761"/>
      <c r="L67" s="761"/>
      <c r="M67" s="755"/>
      <c r="N67" s="755"/>
      <c r="O67" s="755"/>
      <c r="P67" s="755"/>
      <c r="Q67" s="247"/>
      <c r="R67" s="247"/>
      <c r="S67" s="247"/>
      <c r="T67" s="757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765">
        <f>SUM(H68:H71)</f>
        <v>294320</v>
      </c>
      <c r="J68" s="767">
        <v>42746</v>
      </c>
      <c r="K68" s="765">
        <f>I68-L68</f>
        <v>12</v>
      </c>
      <c r="L68" s="765">
        <v>294308</v>
      </c>
      <c r="M68" s="753">
        <v>22465</v>
      </c>
      <c r="N68" s="753">
        <f>L68*M68</f>
        <v>6611629220</v>
      </c>
      <c r="O68" s="753">
        <v>3651146</v>
      </c>
      <c r="P68" s="753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757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766"/>
      <c r="J69" s="768"/>
      <c r="K69" s="766"/>
      <c r="L69" s="766"/>
      <c r="M69" s="754"/>
      <c r="N69" s="754"/>
      <c r="O69" s="754"/>
      <c r="P69" s="754"/>
      <c r="Q69" s="253" t="s">
        <v>390</v>
      </c>
      <c r="R69" s="254">
        <v>851458</v>
      </c>
      <c r="S69" s="255">
        <v>946064000</v>
      </c>
      <c r="T69" s="757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766"/>
      <c r="J70" s="768"/>
      <c r="K70" s="766"/>
      <c r="L70" s="766"/>
      <c r="M70" s="754"/>
      <c r="N70" s="754"/>
      <c r="O70" s="754"/>
      <c r="P70" s="754"/>
      <c r="Q70" s="253" t="s">
        <v>56</v>
      </c>
      <c r="R70" s="254">
        <v>4198989</v>
      </c>
      <c r="S70" s="255">
        <v>4665543000</v>
      </c>
      <c r="T70" s="757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761"/>
      <c r="J71" s="763"/>
      <c r="K71" s="761"/>
      <c r="L71" s="761"/>
      <c r="M71" s="755"/>
      <c r="N71" s="755"/>
      <c r="O71" s="755"/>
      <c r="P71" s="755"/>
      <c r="Q71" s="242"/>
      <c r="R71" s="242"/>
      <c r="S71" s="242"/>
      <c r="T71" s="757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765">
        <f>SUM(H72:H77)</f>
        <v>441480</v>
      </c>
      <c r="J72" s="767">
        <v>42782</v>
      </c>
      <c r="K72" s="765">
        <f>I72-L72</f>
        <v>12</v>
      </c>
      <c r="L72" s="765">
        <v>441468</v>
      </c>
      <c r="M72" s="753">
        <v>22570</v>
      </c>
      <c r="N72" s="753">
        <f>L72*M72</f>
        <v>9963932760</v>
      </c>
      <c r="O72" s="753">
        <v>3250000</v>
      </c>
      <c r="P72" s="753">
        <f>N72-O72</f>
        <v>9960682760</v>
      </c>
      <c r="Q72" s="253" t="s">
        <v>131</v>
      </c>
      <c r="R72" s="254">
        <v>1100000</v>
      </c>
      <c r="S72" s="255">
        <v>1697000000</v>
      </c>
      <c r="T72" s="757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766"/>
      <c r="J73" s="768"/>
      <c r="K73" s="766"/>
      <c r="L73" s="766"/>
      <c r="M73" s="754"/>
      <c r="N73" s="754"/>
      <c r="O73" s="754"/>
      <c r="P73" s="754"/>
      <c r="Q73" s="253" t="s">
        <v>396</v>
      </c>
      <c r="R73" s="254">
        <v>1100000</v>
      </c>
      <c r="S73" s="255">
        <v>1697000000</v>
      </c>
      <c r="T73" s="757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766"/>
      <c r="J74" s="768"/>
      <c r="K74" s="766"/>
      <c r="L74" s="766"/>
      <c r="M74" s="754"/>
      <c r="N74" s="754"/>
      <c r="O74" s="754"/>
      <c r="P74" s="754"/>
      <c r="Q74" s="253" t="s">
        <v>395</v>
      </c>
      <c r="R74" s="254">
        <v>1100000</v>
      </c>
      <c r="S74" s="255">
        <v>1696000000</v>
      </c>
      <c r="T74" s="757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766"/>
      <c r="J75" s="768"/>
      <c r="K75" s="766"/>
      <c r="L75" s="766"/>
      <c r="M75" s="754"/>
      <c r="N75" s="754"/>
      <c r="O75" s="754"/>
      <c r="P75" s="754"/>
      <c r="Q75" s="253" t="s">
        <v>400</v>
      </c>
      <c r="R75" s="254">
        <v>1100000</v>
      </c>
      <c r="S75" s="255">
        <v>1696000000</v>
      </c>
      <c r="T75" s="757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766"/>
      <c r="J76" s="768"/>
      <c r="K76" s="766"/>
      <c r="L76" s="766"/>
      <c r="M76" s="754"/>
      <c r="N76" s="754"/>
      <c r="O76" s="754"/>
      <c r="P76" s="754"/>
      <c r="Q76" s="256" t="s">
        <v>401</v>
      </c>
      <c r="R76" s="254">
        <v>1100000</v>
      </c>
      <c r="S76" s="255">
        <v>1696000000</v>
      </c>
      <c r="T76" s="757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761"/>
      <c r="J77" s="763"/>
      <c r="K77" s="761"/>
      <c r="L77" s="761"/>
      <c r="M77" s="755"/>
      <c r="N77" s="755"/>
      <c r="O77" s="755"/>
      <c r="P77" s="755"/>
      <c r="Q77" s="257" t="s">
        <v>394</v>
      </c>
      <c r="R77" s="254">
        <v>1100000</v>
      </c>
      <c r="S77" s="255">
        <v>1696000000</v>
      </c>
      <c r="T77" s="757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762">
        <f>H78+H79</f>
        <v>149367.4</v>
      </c>
      <c r="J78" s="764">
        <v>42774</v>
      </c>
      <c r="K78" s="762">
        <f>I78-L78</f>
        <v>12</v>
      </c>
      <c r="L78" s="762">
        <v>149355.4</v>
      </c>
      <c r="M78" s="753">
        <v>22520</v>
      </c>
      <c r="N78" s="757">
        <f t="shared" ref="N78" si="33">L78*M78</f>
        <v>3363483608</v>
      </c>
      <c r="O78" s="757">
        <v>1861474</v>
      </c>
      <c r="P78" s="755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757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762"/>
      <c r="J79" s="764"/>
      <c r="K79" s="762"/>
      <c r="L79" s="762"/>
      <c r="M79" s="755"/>
      <c r="N79" s="757"/>
      <c r="O79" s="757"/>
      <c r="P79" s="757"/>
      <c r="Q79" s="256" t="s">
        <v>152</v>
      </c>
      <c r="R79" s="254">
        <v>1175650</v>
      </c>
      <c r="S79" s="255">
        <v>1679500000</v>
      </c>
      <c r="T79" s="757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765">
        <f>SUM(H80:H85)</f>
        <v>448102.2</v>
      </c>
      <c r="J80" s="767">
        <v>42788</v>
      </c>
      <c r="K80" s="765">
        <f>I80-L80</f>
        <v>122</v>
      </c>
      <c r="L80" s="765">
        <v>447980.2</v>
      </c>
      <c r="M80" s="753">
        <v>22620</v>
      </c>
      <c r="N80" s="753">
        <f>L80*M80</f>
        <v>10133312124</v>
      </c>
      <c r="O80" s="753"/>
      <c r="P80" s="753">
        <f>N80-O80</f>
        <v>10133312124</v>
      </c>
      <c r="Q80" s="253" t="s">
        <v>396</v>
      </c>
      <c r="R80" s="254">
        <v>1100000</v>
      </c>
      <c r="S80" s="255">
        <v>2110891000</v>
      </c>
      <c r="T80" s="757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766"/>
      <c r="J81" s="768"/>
      <c r="K81" s="766"/>
      <c r="L81" s="766"/>
      <c r="M81" s="754"/>
      <c r="N81" s="754"/>
      <c r="O81" s="754"/>
      <c r="P81" s="754"/>
      <c r="Q81" s="253" t="s">
        <v>395</v>
      </c>
      <c r="R81" s="254">
        <v>1100000</v>
      </c>
      <c r="S81" s="255">
        <v>1238708500</v>
      </c>
      <c r="T81" s="757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766"/>
      <c r="J82" s="768"/>
      <c r="K82" s="766"/>
      <c r="L82" s="766"/>
      <c r="M82" s="754"/>
      <c r="N82" s="754"/>
      <c r="O82" s="754"/>
      <c r="P82" s="754"/>
      <c r="Q82" s="253" t="s">
        <v>131</v>
      </c>
      <c r="R82" s="254">
        <v>1100000</v>
      </c>
      <c r="S82" s="255">
        <v>1473180000</v>
      </c>
      <c r="T82" s="757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766"/>
      <c r="J83" s="768"/>
      <c r="K83" s="766"/>
      <c r="L83" s="766"/>
      <c r="M83" s="754"/>
      <c r="N83" s="754"/>
      <c r="O83" s="754"/>
      <c r="P83" s="754"/>
      <c r="Q83" s="253" t="s">
        <v>406</v>
      </c>
      <c r="R83" s="254">
        <v>1100000</v>
      </c>
      <c r="S83" s="255">
        <v>1552320000</v>
      </c>
      <c r="T83" s="757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766"/>
      <c r="J84" s="768"/>
      <c r="K84" s="766"/>
      <c r="L84" s="766"/>
      <c r="M84" s="754"/>
      <c r="N84" s="754"/>
      <c r="O84" s="754"/>
      <c r="P84" s="754"/>
      <c r="Q84" s="253" t="s">
        <v>400</v>
      </c>
      <c r="R84" s="254">
        <v>1100000</v>
      </c>
      <c r="S84" s="255">
        <v>1329812000</v>
      </c>
      <c r="T84" s="753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761"/>
      <c r="J85" s="763"/>
      <c r="K85" s="761"/>
      <c r="L85" s="761"/>
      <c r="M85" s="755"/>
      <c r="N85" s="755"/>
      <c r="O85" s="755"/>
      <c r="P85" s="755"/>
      <c r="Q85" s="257" t="s">
        <v>394</v>
      </c>
      <c r="R85" s="260">
        <v>1100000</v>
      </c>
      <c r="S85" s="258">
        <v>2251300000</v>
      </c>
      <c r="T85" s="754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765">
        <f>SUM(H86:H91)</f>
        <v>450241.68</v>
      </c>
      <c r="J86" s="767">
        <v>42790</v>
      </c>
      <c r="K86" s="765">
        <f>I86-L86</f>
        <v>12</v>
      </c>
      <c r="L86" s="765">
        <v>450229.68</v>
      </c>
      <c r="M86" s="753">
        <v>22620</v>
      </c>
      <c r="N86" s="753">
        <f>L86*M86</f>
        <v>10184195361.6</v>
      </c>
      <c r="O86" s="753">
        <v>2514600</v>
      </c>
      <c r="P86" s="753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754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766"/>
      <c r="J87" s="768"/>
      <c r="K87" s="766"/>
      <c r="L87" s="766"/>
      <c r="M87" s="754"/>
      <c r="N87" s="754"/>
      <c r="O87" s="754"/>
      <c r="P87" s="754"/>
      <c r="Q87" s="61" t="s">
        <v>395</v>
      </c>
      <c r="R87" s="247">
        <v>550000</v>
      </c>
      <c r="S87" s="255">
        <v>1000000000</v>
      </c>
      <c r="T87" s="754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766"/>
      <c r="J88" s="768"/>
      <c r="K88" s="766"/>
      <c r="L88" s="766"/>
      <c r="M88" s="754"/>
      <c r="N88" s="754"/>
      <c r="O88" s="754"/>
      <c r="P88" s="754"/>
      <c r="Q88" s="61" t="s">
        <v>400</v>
      </c>
      <c r="R88" s="247">
        <v>825000</v>
      </c>
      <c r="S88" s="255">
        <v>1500000000</v>
      </c>
      <c r="T88" s="754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766"/>
      <c r="J89" s="768"/>
      <c r="K89" s="766"/>
      <c r="L89" s="766"/>
      <c r="M89" s="754"/>
      <c r="N89" s="754"/>
      <c r="O89" s="754"/>
      <c r="P89" s="754"/>
      <c r="Q89" s="220" t="s">
        <v>394</v>
      </c>
      <c r="R89" s="247">
        <v>1100000</v>
      </c>
      <c r="S89" s="255">
        <v>4443756000</v>
      </c>
      <c r="T89" s="754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766"/>
      <c r="J90" s="768"/>
      <c r="K90" s="766"/>
      <c r="L90" s="766"/>
      <c r="M90" s="754"/>
      <c r="N90" s="754"/>
      <c r="O90" s="754"/>
      <c r="P90" s="754"/>
      <c r="Q90" s="61" t="s">
        <v>56</v>
      </c>
      <c r="R90" s="247">
        <v>324500</v>
      </c>
      <c r="S90" s="255">
        <v>590000000</v>
      </c>
      <c r="T90" s="754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761"/>
      <c r="J91" s="763"/>
      <c r="K91" s="761"/>
      <c r="L91" s="761"/>
      <c r="M91" s="755"/>
      <c r="N91" s="755"/>
      <c r="O91" s="755"/>
      <c r="P91" s="755"/>
      <c r="Q91" s="247"/>
      <c r="R91" s="247"/>
      <c r="S91" s="247"/>
      <c r="T91" s="754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765">
        <f>SUM(H92:H97)</f>
        <v>448102.2</v>
      </c>
      <c r="J92" s="767">
        <v>42797</v>
      </c>
      <c r="K92" s="765">
        <f>I92-L92</f>
        <v>12</v>
      </c>
      <c r="L92" s="765">
        <v>448090.2</v>
      </c>
      <c r="M92" s="753">
        <v>22650</v>
      </c>
      <c r="N92" s="753">
        <f>L92*M92</f>
        <v>10149243030</v>
      </c>
      <c r="O92" s="753">
        <v>2514600</v>
      </c>
      <c r="P92" s="753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754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766"/>
      <c r="J93" s="768"/>
      <c r="K93" s="766"/>
      <c r="L93" s="766"/>
      <c r="M93" s="754"/>
      <c r="N93" s="754"/>
      <c r="O93" s="754"/>
      <c r="P93" s="754"/>
      <c r="Q93" s="139" t="s">
        <v>395</v>
      </c>
      <c r="R93" s="276">
        <v>770000</v>
      </c>
      <c r="S93" s="247">
        <v>1000000000</v>
      </c>
      <c r="T93" s="754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766"/>
      <c r="J94" s="768"/>
      <c r="K94" s="766"/>
      <c r="L94" s="766"/>
      <c r="M94" s="754"/>
      <c r="N94" s="754"/>
      <c r="O94" s="754"/>
      <c r="P94" s="754"/>
      <c r="Q94" s="139" t="s">
        <v>400</v>
      </c>
      <c r="R94" s="276">
        <v>1100000</v>
      </c>
      <c r="S94" s="247">
        <v>1500000000</v>
      </c>
      <c r="T94" s="754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766"/>
      <c r="J95" s="768"/>
      <c r="K95" s="766"/>
      <c r="L95" s="766"/>
      <c r="M95" s="754"/>
      <c r="N95" s="754"/>
      <c r="O95" s="754"/>
      <c r="P95" s="754"/>
      <c r="Q95" s="139" t="s">
        <v>394</v>
      </c>
      <c r="R95" s="276">
        <v>1100000</v>
      </c>
      <c r="S95" s="247">
        <v>1955000000</v>
      </c>
      <c r="T95" s="755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766"/>
      <c r="J96" s="768"/>
      <c r="K96" s="766"/>
      <c r="L96" s="766"/>
      <c r="M96" s="754"/>
      <c r="N96" s="754"/>
      <c r="O96" s="754"/>
      <c r="P96" s="754"/>
      <c r="Q96" s="139" t="s">
        <v>55</v>
      </c>
      <c r="R96" s="276">
        <v>1100000</v>
      </c>
      <c r="S96" s="247">
        <v>2245072000</v>
      </c>
      <c r="T96" s="753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761"/>
      <c r="J97" s="763"/>
      <c r="K97" s="761"/>
      <c r="L97" s="761"/>
      <c r="M97" s="755"/>
      <c r="N97" s="755"/>
      <c r="O97" s="755"/>
      <c r="P97" s="755"/>
      <c r="Q97" s="139" t="s">
        <v>56</v>
      </c>
      <c r="R97" s="276">
        <v>1100000</v>
      </c>
      <c r="S97" s="247">
        <v>1998400000</v>
      </c>
      <c r="T97" s="755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765">
        <f>SUM(H98:H101)</f>
        <v>277622.8</v>
      </c>
      <c r="J98" s="767">
        <v>42779</v>
      </c>
      <c r="K98" s="765">
        <f>I98-L98</f>
        <v>12</v>
      </c>
      <c r="L98" s="765">
        <v>277610.8</v>
      </c>
      <c r="M98" s="753">
        <v>22520</v>
      </c>
      <c r="N98" s="753">
        <f>L98*M98</f>
        <v>6251795216</v>
      </c>
      <c r="O98" s="753">
        <v>2899200</v>
      </c>
      <c r="P98" s="753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753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766"/>
      <c r="J99" s="768"/>
      <c r="K99" s="766"/>
      <c r="L99" s="766"/>
      <c r="M99" s="754"/>
      <c r="N99" s="754"/>
      <c r="O99" s="754"/>
      <c r="P99" s="754"/>
      <c r="Q99" s="253" t="s">
        <v>395</v>
      </c>
      <c r="R99" s="254">
        <v>1367145</v>
      </c>
      <c r="S99" s="255">
        <v>1519050000</v>
      </c>
      <c r="T99" s="754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766"/>
      <c r="J100" s="768"/>
      <c r="K100" s="766"/>
      <c r="L100" s="766"/>
      <c r="M100" s="754"/>
      <c r="N100" s="754"/>
      <c r="O100" s="754"/>
      <c r="P100" s="754"/>
      <c r="Q100" s="253" t="s">
        <v>396</v>
      </c>
      <c r="R100" s="254">
        <v>1360476</v>
      </c>
      <c r="S100" s="255">
        <v>1511640000</v>
      </c>
      <c r="T100" s="754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761"/>
      <c r="J101" s="763"/>
      <c r="K101" s="761"/>
      <c r="L101" s="761"/>
      <c r="M101" s="755"/>
      <c r="N101" s="755"/>
      <c r="O101" s="755"/>
      <c r="P101" s="755"/>
      <c r="Q101" s="253" t="s">
        <v>397</v>
      </c>
      <c r="R101" s="254">
        <v>1348542</v>
      </c>
      <c r="S101" s="255">
        <v>1498380000</v>
      </c>
      <c r="T101" s="755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769" t="s">
        <v>19</v>
      </c>
      <c r="B103" s="770"/>
      <c r="C103" s="770"/>
      <c r="D103" s="770"/>
      <c r="E103" s="771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756"/>
      <c r="O104" s="756"/>
      <c r="P104" s="756"/>
      <c r="Q104" s="259"/>
      <c r="R104" s="259"/>
      <c r="S104" s="259"/>
      <c r="T104" s="758"/>
      <c r="U104" s="758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</mergeCells>
  <pageMargins left="0.16" right="0.16" top="0.11" bottom="0.16" header="0.3" footer="0.16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4"/>
  <sheetViews>
    <sheetView zoomScale="90" zoomScaleNormal="90" workbookViewId="0">
      <pane xSplit="3" ySplit="3" topLeftCell="D4" activePane="bottomRight" state="frozen"/>
      <selection activeCell="Q24" sqref="Q24"/>
      <selection pane="topRight" activeCell="Q24" sqref="Q24"/>
      <selection pane="bottomLeft" activeCell="Q24" sqref="Q24"/>
      <selection pane="bottomRight" activeCell="A2" sqref="A2:G19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9" style="236" customWidth="1"/>
    <col min="5" max="5" width="9.85546875" style="236" customWidth="1"/>
    <col min="6" max="6" width="6.5703125" style="236" customWidth="1"/>
    <col min="7" max="7" width="11.85546875" style="236" customWidth="1"/>
    <col min="8" max="9" width="14.28515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26.85546875" style="236" customWidth="1"/>
    <col min="16" max="16" width="11.5703125" style="236" customWidth="1"/>
    <col min="17" max="17" width="14.85546875" style="236" customWidth="1"/>
    <col min="18" max="18" width="16" style="236" customWidth="1"/>
    <col min="19" max="16384" width="10.7109375" style="236"/>
  </cols>
  <sheetData>
    <row r="1" spans="1:18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1:18" s="237" customFormat="1" ht="19.5" customHeight="1">
      <c r="A2" s="759" t="s">
        <v>0</v>
      </c>
      <c r="B2" s="759" t="s">
        <v>1</v>
      </c>
      <c r="C2" s="880" t="s">
        <v>1222</v>
      </c>
      <c r="D2" s="760" t="s">
        <v>464</v>
      </c>
      <c r="E2" s="760"/>
      <c r="F2" s="760"/>
      <c r="G2" s="760"/>
      <c r="H2" s="820" t="s">
        <v>452</v>
      </c>
      <c r="I2" s="820" t="s">
        <v>893</v>
      </c>
      <c r="J2" s="760" t="s">
        <v>3</v>
      </c>
      <c r="K2" s="760"/>
      <c r="L2" s="760"/>
      <c r="M2" s="760"/>
      <c r="N2" s="760"/>
      <c r="O2" s="759" t="s">
        <v>451</v>
      </c>
      <c r="P2" s="759"/>
      <c r="Q2" s="759"/>
      <c r="R2" s="820" t="s">
        <v>82</v>
      </c>
    </row>
    <row r="3" spans="1:18" s="143" customFormat="1" ht="42" customHeight="1">
      <c r="A3" s="759"/>
      <c r="B3" s="759" t="s">
        <v>1</v>
      </c>
      <c r="C3" s="881"/>
      <c r="D3" s="743" t="s">
        <v>83</v>
      </c>
      <c r="E3" s="743" t="s">
        <v>7</v>
      </c>
      <c r="F3" s="743" t="s">
        <v>453</v>
      </c>
      <c r="G3" s="743" t="s">
        <v>411</v>
      </c>
      <c r="H3" s="821"/>
      <c r="I3" s="821"/>
      <c r="J3" s="743" t="s">
        <v>455</v>
      </c>
      <c r="K3" s="743" t="s">
        <v>456</v>
      </c>
      <c r="L3" s="743" t="s">
        <v>457</v>
      </c>
      <c r="M3" s="743" t="s">
        <v>51</v>
      </c>
      <c r="N3" s="743" t="s">
        <v>458</v>
      </c>
      <c r="O3" s="743" t="s">
        <v>460</v>
      </c>
      <c r="P3" s="743" t="s">
        <v>461</v>
      </c>
      <c r="Q3" s="743" t="s">
        <v>462</v>
      </c>
      <c r="R3" s="821"/>
    </row>
    <row r="4" spans="1:18" s="150" customFormat="1" ht="18.75" customHeight="1">
      <c r="A4" s="876">
        <v>1</v>
      </c>
      <c r="B4" s="836">
        <v>43104</v>
      </c>
      <c r="C4" s="243" t="s">
        <v>1223</v>
      </c>
      <c r="D4" s="741"/>
      <c r="E4" s="739">
        <v>130</v>
      </c>
      <c r="F4" s="745">
        <v>2.1</v>
      </c>
      <c r="G4" s="744">
        <f t="shared" ref="G4:G11" si="0">E4*F4</f>
        <v>273</v>
      </c>
      <c r="H4" s="310"/>
      <c r="I4" s="310"/>
      <c r="J4" s="308"/>
      <c r="K4" s="309"/>
      <c r="L4" s="309"/>
      <c r="M4" s="310"/>
      <c r="N4" s="310"/>
      <c r="O4" s="253"/>
      <c r="P4" s="254"/>
      <c r="Q4" s="255"/>
      <c r="R4" s="144"/>
    </row>
    <row r="5" spans="1:18" s="150" customFormat="1" ht="18.75" customHeight="1">
      <c r="A5" s="877"/>
      <c r="B5" s="763"/>
      <c r="C5" s="243" t="s">
        <v>1224</v>
      </c>
      <c r="D5" s="741"/>
      <c r="E5" s="739">
        <v>150</v>
      </c>
      <c r="F5" s="745">
        <v>4.5</v>
      </c>
      <c r="G5" s="744">
        <f t="shared" si="0"/>
        <v>675</v>
      </c>
      <c r="H5" s="310"/>
      <c r="I5" s="310"/>
      <c r="J5" s="308"/>
      <c r="K5" s="309"/>
      <c r="L5" s="309"/>
      <c r="M5" s="310"/>
      <c r="N5" s="310"/>
      <c r="O5" s="253"/>
      <c r="P5" s="254"/>
      <c r="Q5" s="255"/>
      <c r="R5" s="144"/>
    </row>
    <row r="6" spans="1:18" s="150" customFormat="1" ht="18" customHeight="1">
      <c r="A6" s="144">
        <v>2</v>
      </c>
      <c r="B6" s="746">
        <v>43110</v>
      </c>
      <c r="C6" s="243" t="s">
        <v>1224</v>
      </c>
      <c r="D6" s="741"/>
      <c r="E6" s="739">
        <v>4500</v>
      </c>
      <c r="F6" s="745">
        <v>4.5</v>
      </c>
      <c r="G6" s="744">
        <f t="shared" si="0"/>
        <v>20250</v>
      </c>
      <c r="H6" s="310"/>
      <c r="I6" s="310"/>
      <c r="J6" s="308"/>
      <c r="K6" s="309"/>
      <c r="L6" s="309"/>
      <c r="M6" s="310"/>
      <c r="N6" s="310"/>
      <c r="O6" s="253"/>
      <c r="P6" s="254"/>
      <c r="Q6" s="255"/>
      <c r="R6" s="144"/>
    </row>
    <row r="7" spans="1:18" s="150" customFormat="1" ht="18" customHeight="1">
      <c r="A7" s="144">
        <v>3</v>
      </c>
      <c r="B7" s="746">
        <v>43118</v>
      </c>
      <c r="C7" s="243" t="s">
        <v>1225</v>
      </c>
      <c r="D7" s="741"/>
      <c r="E7" s="739">
        <v>6000</v>
      </c>
      <c r="F7" s="745">
        <v>3.8</v>
      </c>
      <c r="G7" s="744">
        <f t="shared" si="0"/>
        <v>22800</v>
      </c>
      <c r="H7" s="310"/>
      <c r="I7" s="310"/>
      <c r="J7" s="308"/>
      <c r="K7" s="309"/>
      <c r="L7" s="309"/>
      <c r="M7" s="310"/>
      <c r="N7" s="310"/>
      <c r="O7" s="253"/>
      <c r="P7" s="254"/>
      <c r="Q7" s="255"/>
      <c r="R7" s="144"/>
    </row>
    <row r="8" spans="1:18" s="150" customFormat="1" ht="18.75" customHeight="1">
      <c r="A8" s="882">
        <v>4</v>
      </c>
      <c r="B8" s="767">
        <v>43130</v>
      </c>
      <c r="C8" s="243" t="s">
        <v>1225</v>
      </c>
      <c r="D8" s="741"/>
      <c r="E8" s="739">
        <v>858</v>
      </c>
      <c r="F8" s="745">
        <v>3.8</v>
      </c>
      <c r="G8" s="744">
        <f t="shared" si="0"/>
        <v>3260.3999999999996</v>
      </c>
      <c r="H8" s="310"/>
      <c r="I8" s="310"/>
      <c r="J8" s="308"/>
      <c r="K8" s="309"/>
      <c r="L8" s="309"/>
      <c r="M8" s="310"/>
      <c r="N8" s="310"/>
      <c r="O8" s="253"/>
      <c r="P8" s="254"/>
      <c r="Q8" s="255"/>
      <c r="R8" s="144"/>
    </row>
    <row r="9" spans="1:18" s="150" customFormat="1" ht="18.75" customHeight="1">
      <c r="A9" s="877"/>
      <c r="B9" s="763"/>
      <c r="C9" s="243" t="s">
        <v>1223</v>
      </c>
      <c r="D9" s="741"/>
      <c r="E9" s="739">
        <v>3900</v>
      </c>
      <c r="F9" s="745">
        <v>2.1</v>
      </c>
      <c r="G9" s="744">
        <f t="shared" si="0"/>
        <v>8190</v>
      </c>
      <c r="H9" s="310"/>
      <c r="I9" s="310"/>
      <c r="J9" s="308"/>
      <c r="K9" s="309"/>
      <c r="L9" s="309"/>
      <c r="M9" s="310"/>
      <c r="N9" s="310"/>
      <c r="O9" s="253"/>
      <c r="P9" s="254"/>
      <c r="Q9" s="255"/>
      <c r="R9" s="144"/>
    </row>
    <row r="10" spans="1:18" s="150" customFormat="1" ht="18.75" customHeight="1">
      <c r="A10" s="144">
        <v>5</v>
      </c>
      <c r="B10" s="746"/>
      <c r="C10" s="243"/>
      <c r="D10" s="741"/>
      <c r="E10" s="739">
        <f t="shared" ref="E8:E11" si="1">D10*13</f>
        <v>0</v>
      </c>
      <c r="F10" s="745"/>
      <c r="G10" s="744">
        <f t="shared" si="0"/>
        <v>0</v>
      </c>
      <c r="H10" s="310"/>
      <c r="I10" s="310"/>
      <c r="J10" s="308"/>
      <c r="K10" s="309"/>
      <c r="L10" s="309"/>
      <c r="M10" s="310"/>
      <c r="N10" s="310"/>
      <c r="O10" s="253"/>
      <c r="P10" s="254"/>
      <c r="Q10" s="255"/>
      <c r="R10" s="144"/>
    </row>
    <row r="11" spans="1:18" s="150" customFormat="1" ht="18.75" customHeight="1">
      <c r="A11" s="144">
        <v>6</v>
      </c>
      <c r="B11" s="746"/>
      <c r="C11" s="243"/>
      <c r="D11" s="741"/>
      <c r="E11" s="739">
        <f t="shared" si="1"/>
        <v>0</v>
      </c>
      <c r="F11" s="745"/>
      <c r="G11" s="744">
        <f t="shared" si="0"/>
        <v>0</v>
      </c>
      <c r="H11" s="310"/>
      <c r="I11" s="310"/>
      <c r="J11" s="308"/>
      <c r="K11" s="309"/>
      <c r="L11" s="309"/>
      <c r="M11" s="310"/>
      <c r="N11" s="310"/>
      <c r="O11" s="253"/>
      <c r="P11" s="254"/>
      <c r="Q11" s="255"/>
      <c r="R11" s="144"/>
    </row>
    <row r="12" spans="1:18" s="150" customFormat="1" ht="18" customHeight="1">
      <c r="A12" s="752">
        <v>7</v>
      </c>
      <c r="B12" s="746"/>
      <c r="C12" s="243"/>
      <c r="D12" s="741"/>
      <c r="E12" s="739">
        <f t="shared" ref="E12:E17" si="2">D12*13</f>
        <v>0</v>
      </c>
      <c r="F12" s="745"/>
      <c r="G12" s="744">
        <f t="shared" ref="G12:G17" si="3">E12*F12</f>
        <v>0</v>
      </c>
      <c r="H12" s="310"/>
      <c r="I12" s="310"/>
      <c r="J12" s="308"/>
      <c r="K12" s="309"/>
      <c r="L12" s="309"/>
      <c r="M12" s="310"/>
      <c r="N12" s="310"/>
      <c r="O12" s="253"/>
      <c r="P12" s="254"/>
      <c r="Q12" s="255"/>
      <c r="R12" s="144"/>
    </row>
    <row r="13" spans="1:18" s="150" customFormat="1" ht="18" customHeight="1">
      <c r="A13" s="752">
        <v>8</v>
      </c>
      <c r="B13" s="746"/>
      <c r="C13" s="243"/>
      <c r="D13" s="741"/>
      <c r="E13" s="739">
        <f t="shared" si="2"/>
        <v>0</v>
      </c>
      <c r="F13" s="745"/>
      <c r="G13" s="744">
        <f t="shared" si="3"/>
        <v>0</v>
      </c>
      <c r="H13" s="310"/>
      <c r="I13" s="310"/>
      <c r="J13" s="308"/>
      <c r="K13" s="309"/>
      <c r="L13" s="309"/>
      <c r="M13" s="310"/>
      <c r="N13" s="310"/>
      <c r="O13" s="253"/>
      <c r="P13" s="254"/>
      <c r="Q13" s="255"/>
      <c r="R13" s="144"/>
    </row>
    <row r="14" spans="1:18" s="150" customFormat="1" ht="18.75" customHeight="1">
      <c r="A14" s="752">
        <v>9</v>
      </c>
      <c r="B14" s="746"/>
      <c r="C14" s="243"/>
      <c r="D14" s="741"/>
      <c r="E14" s="739">
        <f t="shared" si="2"/>
        <v>0</v>
      </c>
      <c r="F14" s="745"/>
      <c r="G14" s="744">
        <f t="shared" si="3"/>
        <v>0</v>
      </c>
      <c r="H14" s="310"/>
      <c r="I14" s="310"/>
      <c r="J14" s="308"/>
      <c r="K14" s="309"/>
      <c r="L14" s="309"/>
      <c r="M14" s="310"/>
      <c r="N14" s="310"/>
      <c r="O14" s="253"/>
      <c r="P14" s="254"/>
      <c r="Q14" s="255"/>
      <c r="R14" s="144"/>
    </row>
    <row r="15" spans="1:18" s="150" customFormat="1" ht="18.75" customHeight="1">
      <c r="A15" s="752">
        <v>10</v>
      </c>
      <c r="B15" s="746"/>
      <c r="C15" s="243"/>
      <c r="D15" s="741"/>
      <c r="E15" s="739">
        <f t="shared" si="2"/>
        <v>0</v>
      </c>
      <c r="F15" s="745"/>
      <c r="G15" s="744">
        <f t="shared" si="3"/>
        <v>0</v>
      </c>
      <c r="H15" s="310"/>
      <c r="I15" s="310"/>
      <c r="J15" s="308"/>
      <c r="K15" s="309"/>
      <c r="L15" s="309"/>
      <c r="M15" s="310"/>
      <c r="N15" s="310"/>
      <c r="O15" s="253"/>
      <c r="P15" s="254"/>
      <c r="Q15" s="255"/>
      <c r="R15" s="144"/>
    </row>
    <row r="16" spans="1:18" s="150" customFormat="1" ht="18.75" customHeight="1">
      <c r="A16" s="752">
        <v>11</v>
      </c>
      <c r="B16" s="746"/>
      <c r="C16" s="243"/>
      <c r="D16" s="741"/>
      <c r="E16" s="739">
        <f t="shared" si="2"/>
        <v>0</v>
      </c>
      <c r="F16" s="745"/>
      <c r="G16" s="744">
        <f t="shared" si="3"/>
        <v>0</v>
      </c>
      <c r="H16" s="310"/>
      <c r="I16" s="310"/>
      <c r="J16" s="308"/>
      <c r="K16" s="309"/>
      <c r="L16" s="309"/>
      <c r="M16" s="310"/>
      <c r="N16" s="310"/>
      <c r="O16" s="253"/>
      <c r="P16" s="254"/>
      <c r="Q16" s="255"/>
      <c r="R16" s="144"/>
    </row>
    <row r="17" spans="1:18" s="150" customFormat="1" ht="18.75" customHeight="1">
      <c r="A17" s="752">
        <v>12</v>
      </c>
      <c r="B17" s="746"/>
      <c r="C17" s="243"/>
      <c r="D17" s="741"/>
      <c r="E17" s="739">
        <f t="shared" si="2"/>
        <v>0</v>
      </c>
      <c r="F17" s="745"/>
      <c r="G17" s="744">
        <f t="shared" si="3"/>
        <v>0</v>
      </c>
      <c r="H17" s="310"/>
      <c r="I17" s="310"/>
      <c r="J17" s="308"/>
      <c r="K17" s="309"/>
      <c r="L17" s="309"/>
      <c r="M17" s="310"/>
      <c r="N17" s="310"/>
      <c r="O17" s="253"/>
      <c r="P17" s="254"/>
      <c r="Q17" s="255"/>
      <c r="R17" s="144"/>
    </row>
    <row r="18" spans="1:18" s="150" customFormat="1" ht="18.75" customHeight="1">
      <c r="A18" s="249"/>
      <c r="B18" s="748"/>
      <c r="C18" s="148"/>
      <c r="D18" s="738"/>
      <c r="E18" s="738"/>
      <c r="F18" s="747"/>
      <c r="G18" s="747"/>
      <c r="H18" s="312"/>
      <c r="I18" s="312"/>
      <c r="J18" s="311"/>
      <c r="K18" s="311"/>
      <c r="L18" s="312"/>
      <c r="M18" s="312"/>
      <c r="N18" s="312"/>
      <c r="O18" s="747"/>
      <c r="P18" s="747"/>
      <c r="Q18" s="747"/>
      <c r="R18" s="249"/>
    </row>
    <row r="19" spans="1:18" s="305" customFormat="1" ht="18.75" customHeight="1">
      <c r="A19" s="769" t="s">
        <v>19</v>
      </c>
      <c r="B19" s="770"/>
      <c r="C19" s="770"/>
      <c r="D19" s="261">
        <f>SUM(D4:D18)</f>
        <v>0</v>
      </c>
      <c r="E19" s="261">
        <f>SUM(E4:E18)</f>
        <v>15538</v>
      </c>
      <c r="F19" s="262"/>
      <c r="G19" s="552">
        <f>SUM(G4:G18)</f>
        <v>55448.4</v>
      </c>
      <c r="H19" s="261">
        <f>SUM(H4:H18)</f>
        <v>0</v>
      </c>
      <c r="I19" s="261">
        <f>SUM(I4:I18)</f>
        <v>0</v>
      </c>
      <c r="J19" s="262"/>
      <c r="K19" s="262">
        <f>SUM(K4:K18)</f>
        <v>0</v>
      </c>
      <c r="L19" s="262">
        <f>SUM(L4:L18)</f>
        <v>0</v>
      </c>
      <c r="M19" s="262"/>
      <c r="N19" s="261">
        <f>SUM(N4:N18)</f>
        <v>0</v>
      </c>
      <c r="O19" s="261"/>
      <c r="P19" s="261">
        <f>SUM(P4:P18)</f>
        <v>0</v>
      </c>
      <c r="Q19" s="261">
        <f>SUM(Q4:Q18)</f>
        <v>0</v>
      </c>
      <c r="R19" s="262"/>
    </row>
    <row r="20" spans="1:18" ht="18.75" customHeight="1">
      <c r="B20" s="162"/>
    </row>
    <row r="21" spans="1:18" s="237" customFormat="1" ht="18.75" customHeight="1">
      <c r="H21" s="462"/>
      <c r="I21" s="462"/>
      <c r="J21" s="305"/>
      <c r="K21" s="305"/>
      <c r="L21" s="463">
        <f>G19-L19</f>
        <v>55448.4</v>
      </c>
      <c r="M21" s="305"/>
      <c r="N21" s="740" t="s">
        <v>463</v>
      </c>
      <c r="O21" s="259"/>
      <c r="P21" s="259"/>
      <c r="Q21" s="259"/>
      <c r="R21" s="742"/>
    </row>
    <row r="22" spans="1:18" ht="18.75" customHeight="1">
      <c r="H22" s="259"/>
      <c r="I22" s="259"/>
      <c r="O22" s="306"/>
      <c r="P22" s="306"/>
      <c r="Q22" s="306"/>
      <c r="R22" s="259"/>
    </row>
    <row r="23" spans="1:18" ht="18" customHeight="1">
      <c r="L23" s="649"/>
      <c r="R23" s="307"/>
    </row>
    <row r="24" spans="1:18" ht="18" customHeight="1">
      <c r="R24" s="307"/>
    </row>
  </sheetData>
  <autoFilter ref="A3:R17"/>
  <mergeCells count="14">
    <mergeCell ref="R2:R3"/>
    <mergeCell ref="A2:A3"/>
    <mergeCell ref="B2:B3"/>
    <mergeCell ref="D2:G2"/>
    <mergeCell ref="H2:H3"/>
    <mergeCell ref="I2:I3"/>
    <mergeCell ref="C2:C3"/>
    <mergeCell ref="A19:C19"/>
    <mergeCell ref="B4:B5"/>
    <mergeCell ref="A4:A5"/>
    <mergeCell ref="J2:N2"/>
    <mergeCell ref="O2:Q2"/>
    <mergeCell ref="B8:B9"/>
    <mergeCell ref="A8:A9"/>
  </mergeCells>
  <pageMargins left="0.16" right="0.16" top="0.11" bottom="0.16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103"/>
  <sheetViews>
    <sheetView tabSelected="1" zoomScale="90" zoomScaleNormal="90" workbookViewId="0">
      <selection activeCell="E11" sqref="E11"/>
    </sheetView>
  </sheetViews>
  <sheetFormatPr defaultColWidth="9.140625" defaultRowHeight="15"/>
  <cols>
    <col min="1" max="1" width="4.28515625" style="335" customWidth="1"/>
    <col min="2" max="2" width="45.140625" style="335" customWidth="1"/>
    <col min="3" max="3" width="11.42578125" style="340" customWidth="1"/>
    <col min="4" max="4" width="8.7109375" style="341" customWidth="1"/>
    <col min="5" max="5" width="15.140625" style="341" customWidth="1"/>
    <col min="6" max="6" width="14.85546875" style="335" customWidth="1"/>
    <col min="7" max="7" width="14.85546875" style="334" customWidth="1"/>
    <col min="8" max="8" width="0.7109375" style="334" customWidth="1"/>
    <col min="9" max="16384" width="9.140625" style="335"/>
  </cols>
  <sheetData>
    <row r="2" spans="1:8" ht="24.75" customHeight="1">
      <c r="A2" s="843" t="s">
        <v>0</v>
      </c>
      <c r="B2" s="843" t="s">
        <v>21</v>
      </c>
      <c r="C2" s="838" t="s">
        <v>50</v>
      </c>
      <c r="D2" s="837" t="s">
        <v>51</v>
      </c>
      <c r="E2" s="837" t="s">
        <v>9</v>
      </c>
      <c r="F2" s="837" t="s">
        <v>117</v>
      </c>
      <c r="G2" s="837" t="s">
        <v>52</v>
      </c>
      <c r="H2" s="559"/>
    </row>
    <row r="3" spans="1:8" ht="23.25" customHeight="1">
      <c r="A3" s="843"/>
      <c r="B3" s="843"/>
      <c r="C3" s="838"/>
      <c r="D3" s="837"/>
      <c r="E3" s="837"/>
      <c r="F3" s="837"/>
      <c r="G3" s="837"/>
      <c r="H3" s="559"/>
    </row>
    <row r="4" spans="1:8">
      <c r="A4" s="711">
        <v>1</v>
      </c>
      <c r="B4" s="264" t="s">
        <v>1206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</row>
    <row r="5" spans="1:8">
      <c r="A5" s="711">
        <v>2</v>
      </c>
      <c r="B5" s="253" t="s">
        <v>1227</v>
      </c>
      <c r="C5" s="309"/>
      <c r="D5" s="255"/>
      <c r="E5" s="255"/>
      <c r="F5" s="254">
        <v>5000000</v>
      </c>
      <c r="G5" s="255"/>
      <c r="H5" s="559"/>
    </row>
    <row r="6" spans="1:8">
      <c r="A6" s="711">
        <v>3</v>
      </c>
      <c r="B6" s="253" t="s">
        <v>1228</v>
      </c>
      <c r="C6" s="309"/>
      <c r="D6" s="255"/>
      <c r="E6" s="255"/>
      <c r="F6" s="254">
        <f>4500*2500</f>
        <v>11250000</v>
      </c>
      <c r="G6" s="255"/>
      <c r="H6" s="559"/>
    </row>
    <row r="7" spans="1:8">
      <c r="A7" s="711">
        <v>4</v>
      </c>
      <c r="B7" s="253" t="s">
        <v>1229</v>
      </c>
      <c r="C7" s="309"/>
      <c r="D7" s="255"/>
      <c r="E7" s="255"/>
      <c r="F7" s="254">
        <f>6000*2500</f>
        <v>15000000</v>
      </c>
      <c r="G7" s="255"/>
      <c r="H7" s="559"/>
    </row>
    <row r="8" spans="1:8">
      <c r="A8" s="711">
        <v>5</v>
      </c>
      <c r="B8" s="253" t="s">
        <v>1226</v>
      </c>
      <c r="C8" s="309"/>
      <c r="D8" s="255"/>
      <c r="E8" s="255"/>
      <c r="F8" s="254">
        <f>4758*2500</f>
        <v>11895000</v>
      </c>
      <c r="G8" s="255"/>
      <c r="H8" s="559"/>
    </row>
    <row r="9" spans="1:8">
      <c r="A9" s="711">
        <v>6</v>
      </c>
      <c r="B9" s="256"/>
      <c r="C9" s="310"/>
      <c r="D9" s="255"/>
      <c r="E9" s="255"/>
      <c r="F9" s="254"/>
      <c r="G9" s="255"/>
      <c r="H9" s="559"/>
    </row>
    <row r="10" spans="1:8">
      <c r="A10" s="711"/>
      <c r="B10" s="256"/>
      <c r="C10" s="310"/>
      <c r="D10" s="255"/>
      <c r="E10" s="255"/>
      <c r="F10" s="254"/>
      <c r="G10" s="255"/>
      <c r="H10" s="559"/>
    </row>
    <row r="11" spans="1:8">
      <c r="A11" s="376"/>
      <c r="B11" s="376" t="s">
        <v>57</v>
      </c>
      <c r="C11" s="262">
        <f>SUM(C4:C10)</f>
        <v>21166</v>
      </c>
      <c r="D11" s="262"/>
      <c r="E11" s="261">
        <f>SUM(E4:E10)</f>
        <v>480256540</v>
      </c>
      <c r="F11" s="261">
        <f>SUM(F4:F10)</f>
        <v>43145000</v>
      </c>
      <c r="G11" s="261">
        <f>SUM(G4:G10)</f>
        <v>0</v>
      </c>
      <c r="H11" s="559"/>
    </row>
    <row r="12" spans="1:8">
      <c r="A12" s="534"/>
      <c r="B12" s="534"/>
      <c r="C12" s="535"/>
      <c r="D12" s="536"/>
      <c r="E12" s="536"/>
      <c r="F12" s="534"/>
      <c r="G12" s="581"/>
      <c r="H12" s="559"/>
    </row>
    <row r="13" spans="1:8">
      <c r="A13" s="534"/>
      <c r="B13" s="582"/>
      <c r="C13" s="535"/>
      <c r="D13" s="536"/>
      <c r="E13" s="536"/>
      <c r="F13" s="534"/>
      <c r="G13" s="581"/>
      <c r="H13" s="559"/>
    </row>
    <row r="14" spans="1:8" ht="15" customHeight="1">
      <c r="A14" s="534"/>
      <c r="B14" s="534" t="s">
        <v>929</v>
      </c>
      <c r="C14" s="535">
        <f>C11</f>
        <v>21166</v>
      </c>
      <c r="D14" s="536"/>
      <c r="E14" s="536"/>
      <c r="F14" s="872">
        <f>E11</f>
        <v>480256540</v>
      </c>
      <c r="G14" s="872"/>
      <c r="H14" s="559"/>
    </row>
    <row r="15" spans="1:8">
      <c r="A15" s="534"/>
      <c r="B15" s="534"/>
      <c r="C15" s="535"/>
      <c r="D15" s="536"/>
      <c r="E15" s="536"/>
      <c r="F15" s="534"/>
      <c r="G15" s="581"/>
      <c r="H15" s="559"/>
    </row>
    <row r="16" spans="1:8">
      <c r="A16" s="583"/>
      <c r="B16" s="583" t="s">
        <v>961</v>
      </c>
      <c r="C16" s="583"/>
      <c r="D16" s="583"/>
      <c r="E16" s="583"/>
      <c r="F16" s="872">
        <f>F11</f>
        <v>43145000</v>
      </c>
      <c r="G16" s="872"/>
      <c r="H16" s="559"/>
    </row>
    <row r="17" spans="1:8">
      <c r="A17" s="583"/>
      <c r="B17" s="583"/>
      <c r="C17" s="583"/>
      <c r="D17" s="583"/>
      <c r="E17" s="583"/>
      <c r="F17" s="583"/>
      <c r="G17" s="583"/>
      <c r="H17" s="559"/>
    </row>
    <row r="18" spans="1:8">
      <c r="A18" s="583"/>
      <c r="B18" s="583"/>
      <c r="C18" s="583"/>
      <c r="D18" s="583"/>
      <c r="E18" s="583"/>
      <c r="F18" s="583"/>
      <c r="G18" s="583"/>
      <c r="H18" s="559"/>
    </row>
    <row r="19" spans="1:8">
      <c r="A19" s="583"/>
      <c r="B19" s="583" t="s">
        <v>960</v>
      </c>
      <c r="C19" s="583"/>
      <c r="D19" s="583"/>
      <c r="E19" s="583"/>
      <c r="F19" s="872">
        <f>G11</f>
        <v>0</v>
      </c>
      <c r="G19" s="872"/>
      <c r="H19" s="559"/>
    </row>
    <row r="20" spans="1:8">
      <c r="A20" s="560"/>
      <c r="B20" s="560"/>
      <c r="C20" s="560"/>
      <c r="D20" s="560"/>
      <c r="E20" s="560"/>
      <c r="F20" s="873"/>
      <c r="G20" s="873"/>
      <c r="H20" s="559"/>
    </row>
    <row r="21" spans="1:8">
      <c r="A21" s="560"/>
      <c r="B21" s="560"/>
      <c r="C21" s="560"/>
      <c r="D21" s="560"/>
      <c r="E21" s="560"/>
      <c r="F21" s="872"/>
      <c r="G21" s="872"/>
      <c r="H21" s="559"/>
    </row>
    <row r="22" spans="1:8">
      <c r="A22" s="559"/>
      <c r="B22" s="560" t="s">
        <v>930</v>
      </c>
      <c r="C22" s="559"/>
      <c r="D22" s="559"/>
      <c r="E22" s="559"/>
      <c r="F22" s="872">
        <f>F14-F16-F19</f>
        <v>437111540</v>
      </c>
      <c r="G22" s="872"/>
      <c r="H22" s="559"/>
    </row>
    <row r="23" spans="1:8">
      <c r="A23" s="559"/>
      <c r="B23" s="559"/>
      <c r="C23" s="559"/>
      <c r="D23" s="559"/>
      <c r="E23" s="559"/>
      <c r="F23" s="559"/>
      <c r="G23" s="559"/>
      <c r="H23" s="559"/>
    </row>
    <row r="24" spans="1:8">
      <c r="A24" s="559"/>
      <c r="B24" s="559"/>
      <c r="C24" s="559"/>
      <c r="D24" s="559"/>
      <c r="E24" s="559"/>
      <c r="F24" s="559"/>
      <c r="G24" s="559"/>
      <c r="H24" s="559"/>
    </row>
    <row r="25" spans="1:8" s="534" customFormat="1" ht="14.25">
      <c r="A25" s="559"/>
      <c r="B25" s="559"/>
      <c r="C25" s="559"/>
      <c r="D25" s="559"/>
      <c r="E25" s="559"/>
      <c r="F25" s="559"/>
      <c r="G25" s="559"/>
      <c r="H25" s="560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>
      <c r="A27" s="559"/>
      <c r="B27" s="559"/>
      <c r="C27" s="559"/>
      <c r="D27" s="559"/>
      <c r="E27" s="559"/>
      <c r="F27" s="559"/>
      <c r="G27" s="559"/>
      <c r="H27" s="559"/>
    </row>
    <row r="28" spans="1:8">
      <c r="A28" s="559"/>
      <c r="B28" s="559"/>
      <c r="C28" s="559"/>
      <c r="D28" s="559"/>
      <c r="E28" s="559"/>
      <c r="F28" s="559"/>
      <c r="G28" s="559"/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G70" s="559"/>
      <c r="H70" s="559"/>
    </row>
    <row r="71" spans="1:8">
      <c r="A71" s="559"/>
      <c r="B71" s="559"/>
      <c r="C71" s="559"/>
      <c r="D71" s="559"/>
      <c r="E71" s="559"/>
      <c r="F71" s="559"/>
      <c r="H71" s="559"/>
    </row>
    <row r="72" spans="1:8">
      <c r="H72" s="559"/>
    </row>
    <row r="73" spans="1:8"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  <row r="103" spans="8:8">
      <c r="H103" s="559"/>
    </row>
  </sheetData>
  <mergeCells count="13">
    <mergeCell ref="F14:G14"/>
    <mergeCell ref="G2:G3"/>
    <mergeCell ref="A2:A3"/>
    <mergeCell ref="B2:B3"/>
    <mergeCell ref="C2:C3"/>
    <mergeCell ref="D2:D3"/>
    <mergeCell ref="E2:E3"/>
    <mergeCell ref="F2:F3"/>
    <mergeCell ref="F16:G16"/>
    <mergeCell ref="F19:G19"/>
    <mergeCell ref="F20:G20"/>
    <mergeCell ref="F21:G21"/>
    <mergeCell ref="F22:G22"/>
  </mergeCells>
  <pageMargins left="0.16" right="0.16" top="0.27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798" t="s">
        <v>518</v>
      </c>
      <c r="B2" s="798"/>
      <c r="C2" s="798"/>
      <c r="D2" s="798"/>
      <c r="E2" s="798"/>
      <c r="F2" s="798"/>
      <c r="G2" s="798"/>
      <c r="H2" s="798"/>
      <c r="I2" s="798"/>
      <c r="J2" s="798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799" t="s">
        <v>19</v>
      </c>
      <c r="B28" s="799"/>
      <c r="C28" s="799"/>
      <c r="D28" s="799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798" t="s">
        <v>574</v>
      </c>
      <c r="B35" s="798"/>
      <c r="C35" s="798"/>
      <c r="D35" s="798"/>
      <c r="E35" s="798"/>
      <c r="F35" s="798"/>
      <c r="G35" s="798"/>
      <c r="H35" s="798"/>
      <c r="I35" s="798"/>
      <c r="J35" s="798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799" t="s">
        <v>19</v>
      </c>
      <c r="B58" s="799"/>
      <c r="C58" s="799"/>
      <c r="D58" s="799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798" t="s">
        <v>707</v>
      </c>
      <c r="B67" s="798"/>
      <c r="C67" s="798"/>
      <c r="D67" s="798"/>
      <c r="E67" s="798"/>
      <c r="F67" s="798"/>
      <c r="G67" s="798"/>
      <c r="H67" s="798"/>
      <c r="I67" s="798"/>
      <c r="J67" s="798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799" t="s">
        <v>19</v>
      </c>
      <c r="B87" s="799"/>
      <c r="C87" s="799"/>
      <c r="D87" s="799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798" t="s">
        <v>750</v>
      </c>
      <c r="B97" s="798"/>
      <c r="C97" s="798"/>
      <c r="D97" s="798"/>
      <c r="E97" s="798"/>
      <c r="F97" s="798"/>
      <c r="G97" s="798"/>
      <c r="H97" s="798"/>
      <c r="I97" s="798"/>
      <c r="J97" s="798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799" t="s">
        <v>19</v>
      </c>
      <c r="B111" s="799"/>
      <c r="C111" s="799"/>
      <c r="D111" s="799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798" t="s">
        <v>909</v>
      </c>
      <c r="B118" s="798"/>
      <c r="C118" s="798"/>
      <c r="D118" s="798"/>
      <c r="E118" s="798"/>
      <c r="F118" s="798"/>
      <c r="G118" s="798"/>
      <c r="H118" s="798"/>
      <c r="I118" s="798"/>
      <c r="J118" s="798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799" t="s">
        <v>19</v>
      </c>
      <c r="B135" s="799"/>
      <c r="C135" s="799"/>
      <c r="D135" s="799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798" t="s">
        <v>1023</v>
      </c>
      <c r="B139" s="798"/>
      <c r="C139" s="798"/>
      <c r="D139" s="798"/>
      <c r="E139" s="798"/>
      <c r="F139" s="798"/>
      <c r="G139" s="798"/>
      <c r="H139" s="798"/>
      <c r="I139" s="798"/>
      <c r="J139" s="798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799" t="s">
        <v>19</v>
      </c>
      <c r="B151" s="799"/>
      <c r="C151" s="799"/>
      <c r="D151" s="799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798" t="s">
        <v>1111</v>
      </c>
      <c r="B156" s="798"/>
      <c r="C156" s="798"/>
      <c r="D156" s="798"/>
      <c r="E156" s="798"/>
      <c r="F156" s="798"/>
      <c r="G156" s="798"/>
      <c r="H156" s="798"/>
      <c r="I156" s="798"/>
      <c r="J156" s="798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799" t="s">
        <v>19</v>
      </c>
      <c r="B168" s="799"/>
      <c r="C168" s="799"/>
      <c r="D168" s="799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798" t="s">
        <v>1151</v>
      </c>
      <c r="B174" s="798"/>
      <c r="C174" s="798"/>
      <c r="D174" s="798"/>
      <c r="E174" s="798"/>
      <c r="F174" s="798"/>
      <c r="G174" s="798"/>
      <c r="H174" s="798"/>
      <c r="I174" s="798"/>
      <c r="J174" s="798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799" t="s">
        <v>19</v>
      </c>
      <c r="B183" s="799"/>
      <c r="C183" s="799"/>
      <c r="D183" s="799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798" t="s">
        <v>1149</v>
      </c>
      <c r="B187" s="798"/>
      <c r="C187" s="798"/>
      <c r="D187" s="798"/>
      <c r="E187" s="798"/>
      <c r="F187" s="798"/>
      <c r="G187" s="798"/>
      <c r="H187" s="798"/>
      <c r="I187" s="798"/>
      <c r="J187" s="798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799" t="s">
        <v>19</v>
      </c>
      <c r="B194" s="799"/>
      <c r="C194" s="799"/>
      <c r="D194" s="799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4">
        <f>H194+H183</f>
        <v>17965500</v>
      </c>
    </row>
  </sheetData>
  <sortState ref="A158:K171">
    <sortCondition ref="B158:B171"/>
  </sortState>
  <mergeCells count="18">
    <mergeCell ref="A118:J118"/>
    <mergeCell ref="A135:D135"/>
    <mergeCell ref="A139:J139"/>
    <mergeCell ref="A151:D151"/>
    <mergeCell ref="A97:J97"/>
    <mergeCell ref="A111:D111"/>
    <mergeCell ref="A87:D87"/>
    <mergeCell ref="A2:J2"/>
    <mergeCell ref="A28:D28"/>
    <mergeCell ref="A35:J35"/>
    <mergeCell ref="A58:D58"/>
    <mergeCell ref="A67:J67"/>
    <mergeCell ref="A174:J174"/>
    <mergeCell ref="A183:D183"/>
    <mergeCell ref="A187:J187"/>
    <mergeCell ref="A194:D194"/>
    <mergeCell ref="A156:J156"/>
    <mergeCell ref="A168:D168"/>
  </mergeCells>
  <pageMargins left="0.16" right="0.13" top="0.16" bottom="0.16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E29" sqref="E29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878" t="s">
        <v>27</v>
      </c>
      <c r="F8" s="879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878" t="s">
        <v>27</v>
      </c>
      <c r="B15" s="879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878" t="s">
        <v>27</v>
      </c>
      <c r="F21" s="879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1188</v>
      </c>
      <c r="C1" s="581"/>
      <c r="D1" s="534" t="s">
        <v>1190</v>
      </c>
      <c r="F1" s="534" t="s">
        <v>1191</v>
      </c>
    </row>
    <row r="2" spans="1:16" ht="42" customHeight="1">
      <c r="A2" s="716" t="s">
        <v>21</v>
      </c>
      <c r="B2" s="716" t="s">
        <v>1189</v>
      </c>
      <c r="C2" s="717" t="s">
        <v>52</v>
      </c>
      <c r="D2" s="716" t="s">
        <v>1189</v>
      </c>
      <c r="E2" s="717" t="s">
        <v>52</v>
      </c>
      <c r="F2" s="716" t="s">
        <v>1189</v>
      </c>
      <c r="G2" s="717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5">
        <v>42843</v>
      </c>
      <c r="C4" s="255">
        <v>1349618000</v>
      </c>
      <c r="D4" s="725">
        <v>43005</v>
      </c>
      <c r="E4" s="255">
        <v>930600000</v>
      </c>
      <c r="F4" s="725"/>
      <c r="G4" s="255"/>
    </row>
    <row r="5" spans="1:16" ht="20.25" customHeight="1">
      <c r="A5" s="256" t="s">
        <v>394</v>
      </c>
      <c r="B5" s="725">
        <v>42850</v>
      </c>
      <c r="C5" s="255">
        <f>5186275000-204000000</f>
        <v>4982275000</v>
      </c>
      <c r="D5" s="725">
        <v>43011</v>
      </c>
      <c r="E5" s="255">
        <v>322400000</v>
      </c>
      <c r="F5" s="725">
        <v>43011</v>
      </c>
      <c r="G5" s="255">
        <f>917432000-E5</f>
        <v>595032000</v>
      </c>
    </row>
    <row r="6" spans="1:16" ht="20.25" customHeight="1">
      <c r="A6" s="256" t="s">
        <v>394</v>
      </c>
      <c r="B6" s="725">
        <v>42864</v>
      </c>
      <c r="C6" s="255">
        <v>662146000</v>
      </c>
      <c r="D6" s="725"/>
      <c r="E6" s="255"/>
      <c r="F6" s="725">
        <v>43069</v>
      </c>
      <c r="G6" s="255">
        <v>2200000000</v>
      </c>
    </row>
    <row r="7" spans="1:16" ht="20.25" customHeight="1">
      <c r="A7" s="256" t="s">
        <v>394</v>
      </c>
      <c r="B7" s="725">
        <v>42868</v>
      </c>
      <c r="C7" s="255">
        <v>3162276000</v>
      </c>
      <c r="D7" s="725"/>
      <c r="E7" s="255"/>
      <c r="F7" s="725">
        <v>43074</v>
      </c>
      <c r="G7" s="255">
        <v>2000000000</v>
      </c>
    </row>
    <row r="8" spans="1:16" ht="20.25" customHeight="1">
      <c r="A8" s="256" t="s">
        <v>394</v>
      </c>
      <c r="B8" s="725">
        <v>42926</v>
      </c>
      <c r="C8" s="255">
        <v>1411865000</v>
      </c>
      <c r="D8" s="725"/>
      <c r="E8" s="255"/>
      <c r="F8" s="725">
        <v>43084</v>
      </c>
      <c r="G8" s="255">
        <v>800000000</v>
      </c>
    </row>
    <row r="9" spans="1:16" ht="20.25" customHeight="1">
      <c r="A9" s="256" t="s">
        <v>394</v>
      </c>
      <c r="B9" s="725">
        <v>42930</v>
      </c>
      <c r="C9" s="255">
        <v>2220230000</v>
      </c>
      <c r="D9" s="725"/>
      <c r="E9" s="255"/>
      <c r="F9" s="725"/>
      <c r="G9" s="255"/>
    </row>
    <row r="10" spans="1:16" ht="20.25" customHeight="1">
      <c r="A10" s="256" t="s">
        <v>394</v>
      </c>
      <c r="B10" s="725">
        <v>42935</v>
      </c>
      <c r="C10" s="255">
        <v>1912587000</v>
      </c>
      <c r="D10" s="725"/>
      <c r="E10" s="255"/>
      <c r="F10" s="725"/>
      <c r="G10" s="255"/>
    </row>
    <row r="11" spans="1:16" ht="20.25" customHeight="1">
      <c r="A11" s="256" t="s">
        <v>394</v>
      </c>
      <c r="B11" s="725">
        <v>42941</v>
      </c>
      <c r="C11" s="258">
        <v>2709455000</v>
      </c>
      <c r="D11" s="725"/>
      <c r="E11" s="258"/>
      <c r="F11" s="725"/>
      <c r="G11" s="258"/>
    </row>
    <row r="12" spans="1:16" ht="20.25" customHeight="1">
      <c r="A12" s="256" t="s">
        <v>394</v>
      </c>
      <c r="B12" s="725">
        <v>42949</v>
      </c>
      <c r="C12" s="255">
        <v>1397242000</v>
      </c>
      <c r="D12" s="725"/>
      <c r="E12" s="255"/>
      <c r="F12" s="725"/>
      <c r="G12" s="255"/>
    </row>
    <row r="13" spans="1:16" s="334" customFormat="1" ht="20.25" customHeight="1">
      <c r="A13" s="256" t="s">
        <v>394</v>
      </c>
      <c r="B13" s="725">
        <v>42985</v>
      </c>
      <c r="C13" s="255">
        <v>1290562000</v>
      </c>
      <c r="D13" s="725"/>
      <c r="E13" s="255"/>
      <c r="F13" s="725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5">
        <v>42993</v>
      </c>
      <c r="C14" s="255">
        <v>3000000000</v>
      </c>
      <c r="D14" s="725"/>
      <c r="E14" s="255"/>
      <c r="F14" s="725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5">
        <v>42993</v>
      </c>
      <c r="C15" s="255">
        <v>2000000000</v>
      </c>
      <c r="D15" s="725"/>
      <c r="E15" s="255"/>
      <c r="F15" s="725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5">
        <v>42994</v>
      </c>
      <c r="C16" s="255">
        <v>1000000000</v>
      </c>
      <c r="D16" s="725"/>
      <c r="E16" s="255"/>
      <c r="F16" s="725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5">
        <v>42996</v>
      </c>
      <c r="C17" s="255">
        <v>149245000</v>
      </c>
      <c r="D17" s="725"/>
      <c r="E17" s="255"/>
      <c r="F17" s="725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5">
        <v>42999</v>
      </c>
      <c r="C18" s="255">
        <v>3299500000</v>
      </c>
      <c r="D18" s="725"/>
      <c r="E18" s="255"/>
      <c r="F18" s="725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5">
        <v>43033</v>
      </c>
      <c r="C19" s="255">
        <v>4053558000</v>
      </c>
      <c r="D19" s="725"/>
      <c r="E19" s="255"/>
      <c r="F19" s="725"/>
      <c r="G19" s="255"/>
    </row>
    <row r="20" spans="1:16" ht="20.25" customHeight="1">
      <c r="A20" s="256" t="s">
        <v>394</v>
      </c>
      <c r="B20" s="725">
        <v>43045</v>
      </c>
      <c r="C20" s="255">
        <v>6439946500</v>
      </c>
      <c r="D20" s="725"/>
      <c r="E20" s="255"/>
      <c r="F20" s="725"/>
      <c r="G20" s="255"/>
    </row>
    <row r="21" spans="1:16" ht="20.25" customHeight="1">
      <c r="A21" s="256" t="s">
        <v>394</v>
      </c>
      <c r="B21" s="725">
        <v>43049</v>
      </c>
      <c r="C21" s="255">
        <v>1121952000</v>
      </c>
      <c r="D21" s="725"/>
      <c r="E21" s="255"/>
      <c r="F21" s="725"/>
      <c r="G21" s="255"/>
    </row>
    <row r="22" spans="1:16" ht="21.75" customHeight="1">
      <c r="A22" s="256" t="s">
        <v>394</v>
      </c>
      <c r="B22" s="725">
        <v>43077</v>
      </c>
      <c r="C22" s="255">
        <v>2427880000</v>
      </c>
      <c r="D22" s="725"/>
      <c r="E22" s="255"/>
      <c r="F22" s="725"/>
      <c r="G22" s="255"/>
    </row>
    <row r="23" spans="1:16" ht="21.75" customHeight="1">
      <c r="A23" s="257" t="s">
        <v>394</v>
      </c>
      <c r="B23" s="725">
        <v>43089</v>
      </c>
      <c r="C23" s="258">
        <v>1204970000</v>
      </c>
      <c r="D23" s="725"/>
      <c r="E23" s="258"/>
      <c r="F23" s="725"/>
      <c r="G23" s="258"/>
    </row>
    <row r="24" spans="1:16" s="534" customFormat="1" ht="21.75" customHeight="1">
      <c r="A24" s="726" t="s">
        <v>19</v>
      </c>
      <c r="B24" s="727"/>
      <c r="C24" s="728">
        <f>SUM(C3:C23)</f>
        <v>48644005300</v>
      </c>
      <c r="D24" s="728"/>
      <c r="E24" s="728">
        <f>SUM(E3:E23)</f>
        <v>1969994000</v>
      </c>
      <c r="F24" s="728"/>
      <c r="G24" s="728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792" t="s">
        <v>77</v>
      </c>
      <c r="B1" s="792"/>
      <c r="C1" s="792"/>
      <c r="D1" s="792"/>
      <c r="E1" s="792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792" t="s">
        <v>97</v>
      </c>
      <c r="B21" s="792"/>
      <c r="C21" s="792"/>
      <c r="D21" s="792"/>
      <c r="E21" s="792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792" t="s">
        <v>78</v>
      </c>
      <c r="B32" s="792"/>
      <c r="C32" s="792"/>
      <c r="D32" s="792"/>
      <c r="E32" s="792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792" t="s">
        <v>109</v>
      </c>
      <c r="B55" s="792"/>
      <c r="C55" s="792"/>
      <c r="D55" s="792"/>
      <c r="E55" s="792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793" t="s">
        <v>21</v>
      </c>
      <c r="C77" s="793"/>
      <c r="D77" s="793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794" t="s">
        <v>113</v>
      </c>
      <c r="C78" s="794"/>
      <c r="D78" s="794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795" t="s">
        <v>114</v>
      </c>
      <c r="C79" s="795"/>
      <c r="D79" s="795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795" t="s">
        <v>115</v>
      </c>
      <c r="C80" s="795"/>
      <c r="D80" s="795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795" t="s">
        <v>116</v>
      </c>
      <c r="C81" s="795"/>
      <c r="D81" s="795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796"/>
      <c r="C82" s="796"/>
      <c r="D82" s="796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797" t="s">
        <v>57</v>
      </c>
      <c r="C83" s="797"/>
      <c r="D83" s="797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778" t="s">
        <v>117</v>
      </c>
      <c r="G85" s="779"/>
      <c r="H85" s="780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775"/>
      <c r="G86" s="776"/>
      <c r="H86" s="777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775">
        <f>I87*0.033%</f>
        <v>688392.54</v>
      </c>
      <c r="G87" s="776"/>
      <c r="H87" s="777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775">
        <f>I84*0.033%</f>
        <v>176854.25586180002</v>
      </c>
      <c r="G88" s="776"/>
      <c r="H88" s="777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788"/>
      <c r="G89" s="789"/>
      <c r="H89" s="790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772">
        <f>SUM(F86:H89)</f>
        <v>865246.79586180008</v>
      </c>
      <c r="G90" s="773"/>
      <c r="H90" s="774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778" t="s">
        <v>117</v>
      </c>
      <c r="G92" s="779"/>
      <c r="H92" s="780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785"/>
      <c r="G93" s="786"/>
      <c r="H93" s="787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775">
        <v>1791144</v>
      </c>
      <c r="G94" s="776"/>
      <c r="H94" s="777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775"/>
      <c r="G95" s="776"/>
      <c r="H95" s="777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775">
        <v>357930</v>
      </c>
      <c r="G96" s="776"/>
      <c r="H96" s="777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775">
        <v>480480</v>
      </c>
      <c r="G97" s="776"/>
      <c r="H97" s="777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775">
        <v>231033</v>
      </c>
      <c r="G98" s="776"/>
      <c r="H98" s="777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788"/>
      <c r="G99" s="789"/>
      <c r="H99" s="790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772">
        <f>SUM(F93:H99)</f>
        <v>2860587</v>
      </c>
      <c r="G100" s="773"/>
      <c r="H100" s="774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792" t="s">
        <v>147</v>
      </c>
      <c r="B105" s="792"/>
      <c r="C105" s="792"/>
      <c r="D105" s="792"/>
      <c r="E105" s="792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778" t="s">
        <v>117</v>
      </c>
      <c r="G128" s="779"/>
      <c r="H128" s="780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775"/>
      <c r="G129" s="776"/>
      <c r="H129" s="777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775">
        <f>F94*2</f>
        <v>3582288</v>
      </c>
      <c r="G130" s="776"/>
      <c r="H130" s="777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775">
        <v>-1791144</v>
      </c>
      <c r="G131" s="776"/>
      <c r="H131" s="777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775">
        <f>ROUND(I132*0.033%,0)</f>
        <v>1450020</v>
      </c>
      <c r="G132" s="776"/>
      <c r="H132" s="777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775">
        <f>ROUND(I133*0.033%,0)</f>
        <v>133243</v>
      </c>
      <c r="G133" s="776"/>
      <c r="H133" s="777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775">
        <f t="shared" ref="F134" si="44">ROUND(I134*0.033%,0)</f>
        <v>142501</v>
      </c>
      <c r="G134" s="776"/>
      <c r="H134" s="777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775">
        <v>298421</v>
      </c>
      <c r="G135" s="776"/>
      <c r="H135" s="777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788"/>
      <c r="G136" s="789"/>
      <c r="H136" s="790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772">
        <f>SUM(F129:H136)</f>
        <v>3815329</v>
      </c>
      <c r="G137" s="773"/>
      <c r="H137" s="774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778" t="s">
        <v>117</v>
      </c>
      <c r="G139" s="779"/>
      <c r="H139" s="780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775"/>
      <c r="G140" s="776"/>
      <c r="H140" s="777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775">
        <v>1819968</v>
      </c>
      <c r="G141" s="776"/>
      <c r="H141" s="777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775">
        <f>ROUND(I142*0.033%,0)</f>
        <v>475585</v>
      </c>
      <c r="G142" s="776"/>
      <c r="H142" s="777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775">
        <f>ROUND(I143*0.033%,0)</f>
        <v>178679</v>
      </c>
      <c r="G143" s="776"/>
      <c r="H143" s="777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775">
        <f t="shared" ref="F144" si="46">ROUND(I144*0.033%,0)</f>
        <v>351889</v>
      </c>
      <c r="G144" s="776"/>
      <c r="H144" s="777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775">
        <v>81592</v>
      </c>
      <c r="G145" s="776"/>
      <c r="H145" s="777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788"/>
      <c r="G146" s="789"/>
      <c r="H146" s="790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772">
        <f>SUM(F140:H146)</f>
        <v>2907713</v>
      </c>
      <c r="G147" s="773"/>
      <c r="H147" s="774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792" t="s">
        <v>190</v>
      </c>
      <c r="B150" s="792"/>
      <c r="C150" s="792"/>
      <c r="D150" s="792"/>
      <c r="E150" s="792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778" t="s">
        <v>117</v>
      </c>
      <c r="G177" s="779"/>
      <c r="H177" s="780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775"/>
      <c r="G178" s="776"/>
      <c r="H178" s="777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775">
        <v>1825573</v>
      </c>
      <c r="G179" s="776"/>
      <c r="H179" s="777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775">
        <f>ROUND(I180*0.033%,0)</f>
        <v>497640</v>
      </c>
      <c r="G180" s="776"/>
      <c r="H180" s="777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775">
        <f>ROUND(I181*0.033%,0)</f>
        <v>552453</v>
      </c>
      <c r="G181" s="776"/>
      <c r="H181" s="777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775"/>
      <c r="G182" s="776"/>
      <c r="H182" s="777"/>
      <c r="I182" s="63"/>
    </row>
    <row r="183" spans="1:14" ht="6" customHeight="1">
      <c r="A183" s="112"/>
      <c r="B183" s="115"/>
      <c r="C183" s="116"/>
      <c r="D183" s="113"/>
      <c r="E183" s="113"/>
      <c r="F183" s="788"/>
      <c r="G183" s="789"/>
      <c r="H183" s="790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772">
        <f>SUM(F178:H183)</f>
        <v>2875666</v>
      </c>
      <c r="G184" s="773"/>
      <c r="H184" s="774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778" t="s">
        <v>117</v>
      </c>
      <c r="G188" s="779"/>
      <c r="H188" s="780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775"/>
      <c r="G189" s="776"/>
      <c r="H189" s="777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775"/>
      <c r="G190" s="776"/>
      <c r="H190" s="777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775">
        <f>1825573*2</f>
        <v>3651146</v>
      </c>
      <c r="G191" s="776"/>
      <c r="H191" s="777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775">
        <f>ROUND(I194*0.033%,0)</f>
        <v>963198</v>
      </c>
      <c r="G194" s="776"/>
      <c r="H194" s="777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775">
        <f>ROUND(I195*0.033%,0)</f>
        <v>602224</v>
      </c>
      <c r="G195" s="776"/>
      <c r="H195" s="777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775">
        <f>ROUND(I196*0.033%,0)</f>
        <v>182381</v>
      </c>
      <c r="G196" s="776"/>
      <c r="H196" s="777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775">
        <v>224782.55613005161</v>
      </c>
      <c r="G197" s="776"/>
      <c r="H197" s="777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788"/>
      <c r="G198" s="789"/>
      <c r="H198" s="790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772">
        <f>SUM(F189:H198)</f>
        <v>5623731.5561300516</v>
      </c>
      <c r="G199" s="773"/>
      <c r="H199" s="774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792" t="s">
        <v>198</v>
      </c>
      <c r="B205" s="792"/>
      <c r="C205" s="792"/>
      <c r="D205" s="792"/>
      <c r="E205" s="792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778" t="s">
        <v>117</v>
      </c>
      <c r="G226" s="779"/>
      <c r="H226" s="780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775"/>
      <c r="G227" s="776"/>
      <c r="H227" s="777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775">
        <f>1825573*2</f>
        <v>3651146</v>
      </c>
      <c r="G228" s="776"/>
      <c r="H228" s="777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775">
        <f>ROUND(I230*0.033%,0)</f>
        <v>476190</v>
      </c>
      <c r="G230" s="776"/>
      <c r="H230" s="777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775">
        <f>ROUND(I231*0.033%,0)</f>
        <v>321557</v>
      </c>
      <c r="G231" s="776"/>
      <c r="H231" s="777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775">
        <f>ROUND(I232*0.033%,0)</f>
        <v>155513</v>
      </c>
      <c r="G232" s="776"/>
      <c r="H232" s="777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775">
        <f>ROUND(I233*0.033%,0)</f>
        <v>97190</v>
      </c>
      <c r="G233" s="776"/>
      <c r="H233" s="777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775">
        <f>ROUND(I234*0.033%,0)</f>
        <v>897991</v>
      </c>
      <c r="G234" s="776"/>
      <c r="H234" s="777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788"/>
      <c r="G235" s="789"/>
      <c r="H235" s="790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772">
        <f>SUM(F227:H235)</f>
        <v>5599587</v>
      </c>
      <c r="G236" s="773"/>
      <c r="H236" s="774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792" t="s">
        <v>277</v>
      </c>
      <c r="B240" s="792"/>
      <c r="C240" s="792"/>
      <c r="D240" s="792"/>
      <c r="E240" s="792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778" t="s">
        <v>117</v>
      </c>
      <c r="G262" s="779"/>
      <c r="H262" s="780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775"/>
      <c r="G263" s="776"/>
      <c r="H263" s="777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775"/>
      <c r="G264" s="776"/>
      <c r="H264" s="777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775">
        <f>ROUND(I265*0.055%,0)</f>
        <v>577777</v>
      </c>
      <c r="G265" s="776"/>
      <c r="H265" s="777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775">
        <f>ROUND(I266*0.033%,0)</f>
        <v>158498</v>
      </c>
      <c r="G266" s="776"/>
      <c r="H266" s="777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775">
        <f>ROUND(I267*0.033%,0)</f>
        <v>221450</v>
      </c>
      <c r="G267" s="776"/>
      <c r="H267" s="777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775">
        <f>ROUND(I268*0.033%,0)</f>
        <v>701499</v>
      </c>
      <c r="G268" s="776"/>
      <c r="H268" s="777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775">
        <f>ROUND(I269*0.033%,0)</f>
        <v>141021</v>
      </c>
      <c r="G269" s="776"/>
      <c r="H269" s="777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775">
        <f>ROUND(I270*0.033%,0)</f>
        <v>412914</v>
      </c>
      <c r="G270" s="776"/>
      <c r="H270" s="777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788"/>
      <c r="G271" s="789"/>
      <c r="H271" s="790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772">
        <f>SUM(F263:H271)</f>
        <v>2213159</v>
      </c>
      <c r="G272" s="773"/>
      <c r="H272" s="774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778" t="s">
        <v>117</v>
      </c>
      <c r="G274" s="779"/>
      <c r="H274" s="780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775"/>
      <c r="G275" s="776"/>
      <c r="H275" s="777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775">
        <f>ROUND(I276*0.055%,0)</f>
        <v>812812</v>
      </c>
      <c r="G276" s="776"/>
      <c r="H276" s="777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775">
        <f>ROUND(I277*0.055%,0)</f>
        <v>482346</v>
      </c>
      <c r="G277" s="776"/>
      <c r="H277" s="777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775">
        <f>ROUND(I278*0.033%,0)</f>
        <v>984083</v>
      </c>
      <c r="G278" s="776"/>
      <c r="H278" s="777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775">
        <f>ROUND(I279*0.033%,0)</f>
        <v>343695</v>
      </c>
      <c r="G279" s="776"/>
      <c r="H279" s="777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788"/>
      <c r="G280" s="789"/>
      <c r="H280" s="790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772">
        <f>SUM(F275:H280)</f>
        <v>2622936</v>
      </c>
      <c r="G281" s="773"/>
      <c r="H281" s="774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792" t="s">
        <v>316</v>
      </c>
      <c r="B288" s="792"/>
      <c r="C288" s="792"/>
      <c r="D288" s="792"/>
      <c r="E288" s="792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778" t="s">
        <v>117</v>
      </c>
      <c r="G316" s="779"/>
      <c r="H316" s="780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782"/>
      <c r="G317" s="783"/>
      <c r="H317" s="784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785"/>
      <c r="G318" s="786"/>
      <c r="H318" s="787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775">
        <f>ROUND(I319*0.055%,0)</f>
        <v>120120</v>
      </c>
      <c r="G319" s="776"/>
      <c r="H319" s="777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775">
        <f>ROUND(I320*0.055%,0)</f>
        <v>15246</v>
      </c>
      <c r="G320" s="776"/>
      <c r="H320" s="777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775">
        <f>ROUND(I321*0.055%,0)</f>
        <v>647657</v>
      </c>
      <c r="G321" s="776"/>
      <c r="H321" s="777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775">
        <f>ROUND(I322*0.055%,0)</f>
        <v>2403113</v>
      </c>
      <c r="G322" s="776"/>
      <c r="H322" s="777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772">
        <f>SUM(F317:H323)</f>
        <v>3186136</v>
      </c>
      <c r="G324" s="773"/>
      <c r="H324" s="774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792" t="s">
        <v>326</v>
      </c>
      <c r="B328" s="792"/>
      <c r="C328" s="792"/>
      <c r="D328" s="792"/>
      <c r="E328" s="792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778" t="s">
        <v>117</v>
      </c>
      <c r="G345" s="779"/>
      <c r="H345" s="780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775">
        <f>1825573*2</f>
        <v>3651146</v>
      </c>
      <c r="G347" s="776"/>
      <c r="H347" s="777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775"/>
      <c r="G348" s="776"/>
      <c r="H348" s="777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775">
        <f>ROUND(I349*0.055%,0)</f>
        <v>820069</v>
      </c>
      <c r="G349" s="776"/>
      <c r="H349" s="777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775">
        <f>ROUND(I350*0.055%,0)</f>
        <v>2786095</v>
      </c>
      <c r="G350" s="776"/>
      <c r="H350" s="777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772">
        <f>SUM(F346:H351)</f>
        <v>7257310</v>
      </c>
      <c r="G352" s="773"/>
      <c r="H352" s="774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791"/>
      <c r="B358" s="791"/>
      <c r="C358" s="791"/>
      <c r="D358" s="791"/>
      <c r="E358" s="791"/>
      <c r="F358" s="87"/>
      <c r="G358" s="781" t="s">
        <v>377</v>
      </c>
      <c r="H358" s="781"/>
      <c r="I358" s="781"/>
      <c r="J358" s="781"/>
      <c r="K358" s="781"/>
      <c r="L358" s="781"/>
      <c r="M358" s="781"/>
      <c r="N358" s="781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778" t="s">
        <v>117</v>
      </c>
      <c r="G400" s="779"/>
      <c r="H400" s="780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775">
        <f>1825573</f>
        <v>1825573</v>
      </c>
      <c r="G402" s="776"/>
      <c r="H402" s="777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775"/>
      <c r="G403" s="776"/>
      <c r="H403" s="777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775"/>
      <c r="G404" s="776"/>
      <c r="H404" s="777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775">
        <f>ROUND(I405*0.09%,0)</f>
        <v>296150</v>
      </c>
      <c r="G405" s="776"/>
      <c r="H405" s="777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775">
        <f>ROUND(I406*0.09%,0)</f>
        <v>2422361</v>
      </c>
      <c r="G406" s="776"/>
      <c r="H406" s="777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772">
        <f>SUM(F401:H407)</f>
        <v>4544084</v>
      </c>
      <c r="G408" s="773"/>
      <c r="H408" s="774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778" t="s">
        <v>117</v>
      </c>
      <c r="G412" s="779"/>
      <c r="H412" s="780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775">
        <f>1825573*2</f>
        <v>3651146</v>
      </c>
      <c r="G414" s="776"/>
      <c r="H414" s="777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775">
        <v>1842100</v>
      </c>
      <c r="G415" s="776"/>
      <c r="H415" s="777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775">
        <f t="shared" ref="F416:F417" si="122">ROUND(I416*0.09%,0)</f>
        <v>889727</v>
      </c>
      <c r="G416" s="776"/>
      <c r="H416" s="777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775">
        <f t="shared" si="122"/>
        <v>851458</v>
      </c>
      <c r="G417" s="776"/>
      <c r="H417" s="777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775">
        <f>ROUND(I418*0.09%,0)</f>
        <v>4198989</v>
      </c>
      <c r="G418" s="776"/>
      <c r="H418" s="777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772">
        <f>SUM(F413:H419)</f>
        <v>11433420</v>
      </c>
      <c r="G420" s="773"/>
      <c r="H420" s="774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778" t="s">
        <v>117</v>
      </c>
      <c r="G423" s="779"/>
      <c r="H423" s="780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775">
        <v>1861474</v>
      </c>
      <c r="G425" s="776"/>
      <c r="H425" s="777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775">
        <f>ROUND(I426*0.07%,0)</f>
        <v>1175650</v>
      </c>
      <c r="G426" s="776"/>
      <c r="H426" s="777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775">
        <f>ROUND(I427*0.07%,0)</f>
        <v>1175650</v>
      </c>
      <c r="G427" s="776"/>
      <c r="H427" s="777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772">
        <f>SUM(F424:H428)</f>
        <v>4212774</v>
      </c>
      <c r="G429" s="773"/>
      <c r="H429" s="774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778" t="s">
        <v>117</v>
      </c>
      <c r="G433" s="779"/>
      <c r="H433" s="780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775">
        <v>2899200</v>
      </c>
      <c r="G435" s="776"/>
      <c r="H435" s="777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775">
        <f>ROUND(I436*0.09%,0)</f>
        <v>1339135</v>
      </c>
      <c r="G436" s="776"/>
      <c r="H436" s="777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775">
        <f t="shared" ref="F437:F439" si="123">ROUND(I437*0.09%,0)</f>
        <v>1367145</v>
      </c>
      <c r="G437" s="776"/>
      <c r="H437" s="777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775">
        <f t="shared" si="123"/>
        <v>1360476</v>
      </c>
      <c r="G438" s="776"/>
      <c r="H438" s="777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775">
        <f t="shared" si="123"/>
        <v>1348542</v>
      </c>
      <c r="G439" s="776"/>
      <c r="H439" s="777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775">
        <f>ROUND(I440*0.06%,0)</f>
        <v>0</v>
      </c>
      <c r="G440" s="776"/>
      <c r="H440" s="777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772">
        <f>SUM(F434:H441)</f>
        <v>8314498</v>
      </c>
      <c r="G442" s="773"/>
      <c r="H442" s="774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778" t="s">
        <v>117</v>
      </c>
      <c r="G446" s="779"/>
      <c r="H446" s="780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775">
        <v>3250000</v>
      </c>
      <c r="G448" s="776"/>
      <c r="H448" s="777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775"/>
      <c r="G449" s="776"/>
      <c r="H449" s="777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775"/>
      <c r="G450" s="776"/>
      <c r="H450" s="777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775">
        <v>1100000</v>
      </c>
      <c r="G451" s="776"/>
      <c r="H451" s="777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775">
        <v>1100000</v>
      </c>
      <c r="G452" s="776"/>
      <c r="H452" s="777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775">
        <v>1100000</v>
      </c>
      <c r="G453" s="776"/>
      <c r="H453" s="777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775">
        <v>1100000</v>
      </c>
      <c r="G454" s="776"/>
      <c r="H454" s="777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775">
        <v>1100000</v>
      </c>
      <c r="G455" s="776"/>
      <c r="H455" s="777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775">
        <v>1100000</v>
      </c>
      <c r="G456" s="776"/>
      <c r="H456" s="777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775">
        <f t="shared" ref="F457" si="124">ROUND(I457*0.06%,0)</f>
        <v>0</v>
      </c>
      <c r="G457" s="776"/>
      <c r="H457" s="777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772">
        <f>SUM(F447:H458)</f>
        <v>9850000</v>
      </c>
      <c r="G459" s="773"/>
      <c r="H459" s="774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778" t="s">
        <v>117</v>
      </c>
      <c r="G463" s="779"/>
      <c r="H463" s="780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775"/>
      <c r="G465" s="776"/>
      <c r="H465" s="777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775">
        <v>1100000</v>
      </c>
      <c r="G466" s="776"/>
      <c r="H466" s="777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775">
        <v>1100000</v>
      </c>
      <c r="G467" s="776"/>
      <c r="H467" s="777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775">
        <v>1100000</v>
      </c>
      <c r="G468" s="776"/>
      <c r="H468" s="777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775">
        <v>1100000</v>
      </c>
      <c r="G469" s="776"/>
      <c r="H469" s="777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775">
        <v>1100000</v>
      </c>
      <c r="G470" s="776"/>
      <c r="H470" s="777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775">
        <v>1100000</v>
      </c>
      <c r="G471" s="776"/>
      <c r="H471" s="777"/>
      <c r="I471" s="63">
        <v>2251300000</v>
      </c>
    </row>
    <row r="472" spans="1:11">
      <c r="A472" s="60"/>
      <c r="B472" s="220"/>
      <c r="C472" s="221"/>
      <c r="D472" s="113"/>
      <c r="E472" s="113"/>
      <c r="F472" s="775">
        <f t="shared" ref="F472" si="125">ROUND(I472*0.06%,0)</f>
        <v>0</v>
      </c>
      <c r="G472" s="776"/>
      <c r="H472" s="777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772">
        <f>SUM(F464:H473)</f>
        <v>6600000</v>
      </c>
      <c r="G474" s="773"/>
      <c r="H474" s="774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778" t="s">
        <v>117</v>
      </c>
      <c r="G478" s="779"/>
      <c r="H478" s="780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775">
        <v>2514600</v>
      </c>
      <c r="G480" s="776"/>
      <c r="H480" s="777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775"/>
      <c r="G481" s="776"/>
      <c r="H481" s="777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775">
        <v>1100000</v>
      </c>
      <c r="G482" s="776"/>
      <c r="H482" s="777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775">
        <v>550000</v>
      </c>
      <c r="G483" s="776"/>
      <c r="H483" s="777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775">
        <v>825000</v>
      </c>
      <c r="G484" s="776"/>
      <c r="H484" s="777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775">
        <v>1100000</v>
      </c>
      <c r="G485" s="776"/>
      <c r="H485" s="777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775">
        <v>324500</v>
      </c>
      <c r="G486" s="776"/>
      <c r="H486" s="777"/>
      <c r="I486" s="63">
        <v>590000000</v>
      </c>
    </row>
    <row r="487" spans="1:11">
      <c r="A487" s="60"/>
      <c r="B487" s="220"/>
      <c r="C487" s="221"/>
      <c r="D487" s="113"/>
      <c r="E487" s="113"/>
      <c r="F487" s="775">
        <f t="shared" ref="F487" si="126">ROUND(I487*0.06%,0)</f>
        <v>0</v>
      </c>
      <c r="G487" s="776"/>
      <c r="H487" s="777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772">
        <f>SUM(F479:H488)</f>
        <v>6414100</v>
      </c>
      <c r="G489" s="773"/>
      <c r="H489" s="774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778" t="s">
        <v>117</v>
      </c>
      <c r="G493" s="779"/>
      <c r="H493" s="780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775">
        <v>2514600</v>
      </c>
      <c r="G495" s="776"/>
      <c r="H495" s="777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775"/>
      <c r="G496" s="776"/>
      <c r="H496" s="777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775">
        <f>ROUND(IF(I498*0.07%&gt;1100000,1100000,I498*0.07%),0)</f>
        <v>1100000</v>
      </c>
      <c r="G498" s="776"/>
      <c r="H498" s="777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775">
        <v>770000</v>
      </c>
      <c r="G499" s="776"/>
      <c r="H499" s="777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775">
        <v>1100000</v>
      </c>
      <c r="G500" s="776"/>
      <c r="H500" s="777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775">
        <f t="shared" ref="F501:F503" si="127">ROUND(IF(I501*0.07%&gt;1100000,1100000,I501*0.07%),0)</f>
        <v>1100000</v>
      </c>
      <c r="G501" s="776"/>
      <c r="H501" s="777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775">
        <f t="shared" si="127"/>
        <v>1100000</v>
      </c>
      <c r="G502" s="776"/>
      <c r="H502" s="777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775">
        <f t="shared" si="127"/>
        <v>1100000</v>
      </c>
      <c r="G503" s="776"/>
      <c r="H503" s="777"/>
      <c r="I503" s="63">
        <v>1998400000</v>
      </c>
    </row>
    <row r="504" spans="1:11">
      <c r="A504" s="60"/>
      <c r="B504" s="220"/>
      <c r="C504" s="221"/>
      <c r="D504" s="113"/>
      <c r="E504" s="113"/>
      <c r="F504" s="775"/>
      <c r="G504" s="776"/>
      <c r="H504" s="777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772">
        <f>SUM(F494:H505)</f>
        <v>8784600</v>
      </c>
      <c r="G506" s="773"/>
      <c r="H506" s="774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</mergeCells>
  <pageMargins left="0.16" right="0.16" top="0.19" bottom="0.25" header="0" footer="0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792" t="s">
        <v>20</v>
      </c>
      <c r="B1" s="792"/>
      <c r="C1" s="792"/>
      <c r="D1" s="792"/>
      <c r="E1" s="792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798" t="s">
        <v>204</v>
      </c>
      <c r="B2" s="798"/>
      <c r="C2" s="798"/>
      <c r="D2" s="798"/>
      <c r="E2" s="798"/>
      <c r="F2" s="798"/>
      <c r="G2" s="798"/>
      <c r="H2" s="798"/>
      <c r="I2" s="798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799" t="s">
        <v>19</v>
      </c>
      <c r="B15" s="799"/>
      <c r="C15" s="799"/>
      <c r="D15" s="799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798" t="s">
        <v>257</v>
      </c>
      <c r="B22" s="798"/>
      <c r="C22" s="798"/>
      <c r="D22" s="798"/>
      <c r="E22" s="798"/>
      <c r="F22" s="798"/>
      <c r="G22" s="798"/>
      <c r="H22" s="798"/>
      <c r="I22" s="798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799" t="s">
        <v>19</v>
      </c>
      <c r="B36" s="799"/>
      <c r="C36" s="799"/>
      <c r="D36" s="799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798" t="s">
        <v>314</v>
      </c>
      <c r="B45" s="798"/>
      <c r="C45" s="798"/>
      <c r="D45" s="798"/>
      <c r="E45" s="798"/>
      <c r="F45" s="798"/>
      <c r="G45" s="798"/>
      <c r="H45" s="798"/>
      <c r="I45" s="798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799" t="s">
        <v>19</v>
      </c>
      <c r="B58" s="799"/>
      <c r="C58" s="799"/>
      <c r="D58" s="799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798" t="s">
        <v>327</v>
      </c>
      <c r="B67" s="798"/>
      <c r="C67" s="798"/>
      <c r="D67" s="798"/>
      <c r="E67" s="798"/>
      <c r="F67" s="798"/>
      <c r="G67" s="798"/>
      <c r="H67" s="798"/>
      <c r="I67" s="798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799" t="s">
        <v>19</v>
      </c>
      <c r="B85" s="799"/>
      <c r="C85" s="799"/>
      <c r="D85" s="799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188" activePane="bottomRight" state="frozen"/>
      <selection activeCell="V99" sqref="V99"/>
      <selection pane="topRight" activeCell="V99" sqref="V99"/>
      <selection pane="bottomLeft" activeCell="V99" sqref="V99"/>
      <selection pane="bottomRight" activeCell="R204" sqref="R20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759" t="s">
        <v>0</v>
      </c>
      <c r="B2" s="759" t="s">
        <v>1</v>
      </c>
      <c r="C2" s="760" t="s">
        <v>2</v>
      </c>
      <c r="D2" s="760"/>
      <c r="E2" s="760"/>
      <c r="F2" s="760" t="s">
        <v>464</v>
      </c>
      <c r="G2" s="760"/>
      <c r="H2" s="760"/>
      <c r="I2" s="760"/>
      <c r="J2" s="760"/>
      <c r="K2" s="820" t="s">
        <v>452</v>
      </c>
      <c r="L2" s="760" t="s">
        <v>3</v>
      </c>
      <c r="M2" s="760"/>
      <c r="N2" s="760"/>
      <c r="O2" s="760"/>
      <c r="P2" s="760"/>
      <c r="Q2" s="760"/>
      <c r="R2" s="760"/>
      <c r="S2" s="759" t="s">
        <v>451</v>
      </c>
      <c r="T2" s="759"/>
      <c r="U2" s="759"/>
      <c r="V2" s="820" t="s">
        <v>82</v>
      </c>
    </row>
    <row r="3" spans="1:22" s="143" customFormat="1" ht="42" customHeight="1">
      <c r="A3" s="759"/>
      <c r="B3" s="759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21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21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822">
        <f>SUM(I4:I9)</f>
        <v>418946.44999999995</v>
      </c>
      <c r="K4" s="823">
        <f>29*51000000+9000000*3</f>
        <v>1506000000</v>
      </c>
      <c r="L4" s="836">
        <v>42828</v>
      </c>
      <c r="M4" s="822">
        <v>12</v>
      </c>
      <c r="N4" s="822">
        <f>J4-M4</f>
        <v>418934.44999999995</v>
      </c>
      <c r="O4" s="823">
        <v>22610</v>
      </c>
      <c r="P4" s="823">
        <f>N4*O4</f>
        <v>9472107914.4999981</v>
      </c>
      <c r="Q4" s="823">
        <v>2506900</v>
      </c>
      <c r="R4" s="823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766"/>
      <c r="K5" s="754"/>
      <c r="L5" s="768"/>
      <c r="M5" s="766"/>
      <c r="N5" s="766"/>
      <c r="O5" s="754"/>
      <c r="P5" s="754"/>
      <c r="Q5" s="754"/>
      <c r="R5" s="754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766"/>
      <c r="K6" s="754"/>
      <c r="L6" s="768"/>
      <c r="M6" s="766"/>
      <c r="N6" s="766"/>
      <c r="O6" s="754"/>
      <c r="P6" s="754"/>
      <c r="Q6" s="754"/>
      <c r="R6" s="754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766"/>
      <c r="K7" s="754"/>
      <c r="L7" s="768"/>
      <c r="M7" s="766"/>
      <c r="N7" s="766"/>
      <c r="O7" s="754"/>
      <c r="P7" s="754"/>
      <c r="Q7" s="754"/>
      <c r="R7" s="754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766"/>
      <c r="K8" s="754"/>
      <c r="L8" s="768"/>
      <c r="M8" s="766"/>
      <c r="N8" s="766"/>
      <c r="O8" s="754"/>
      <c r="P8" s="754"/>
      <c r="Q8" s="754"/>
      <c r="R8" s="754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761"/>
      <c r="K9" s="754"/>
      <c r="L9" s="763"/>
      <c r="M9" s="761"/>
      <c r="N9" s="761"/>
      <c r="O9" s="755"/>
      <c r="P9" s="755"/>
      <c r="Q9" s="755"/>
      <c r="R9" s="755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765">
        <f>SUM(I10:I14)</f>
        <v>348255.05</v>
      </c>
      <c r="K10" s="754"/>
      <c r="L10" s="764">
        <v>42842</v>
      </c>
      <c r="M10" s="762">
        <v>117</v>
      </c>
      <c r="N10" s="762">
        <f>J10-M10</f>
        <v>348138.05</v>
      </c>
      <c r="O10" s="757">
        <v>22630</v>
      </c>
      <c r="P10" s="757">
        <f>N10*O10</f>
        <v>7878364071.5</v>
      </c>
      <c r="Q10" s="757"/>
      <c r="R10" s="757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766"/>
      <c r="K11" s="754"/>
      <c r="L11" s="764"/>
      <c r="M11" s="762"/>
      <c r="N11" s="762"/>
      <c r="O11" s="757"/>
      <c r="P11" s="757"/>
      <c r="Q11" s="757"/>
      <c r="R11" s="757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766"/>
      <c r="K12" s="754"/>
      <c r="L12" s="764"/>
      <c r="M12" s="762"/>
      <c r="N12" s="762"/>
      <c r="O12" s="757"/>
      <c r="P12" s="757"/>
      <c r="Q12" s="757"/>
      <c r="R12" s="757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766"/>
      <c r="K13" s="754"/>
      <c r="L13" s="764"/>
      <c r="M13" s="762"/>
      <c r="N13" s="762"/>
      <c r="O13" s="757"/>
      <c r="P13" s="757"/>
      <c r="Q13" s="757"/>
      <c r="R13" s="757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761"/>
      <c r="K14" s="754"/>
      <c r="L14" s="764"/>
      <c r="M14" s="762"/>
      <c r="N14" s="762"/>
      <c r="O14" s="757"/>
      <c r="P14" s="757"/>
      <c r="Q14" s="757"/>
      <c r="R14" s="757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765">
        <f>SUM(I15:I20)</f>
        <v>449685.59999999992</v>
      </c>
      <c r="K15" s="754"/>
      <c r="L15" s="764">
        <v>42850</v>
      </c>
      <c r="M15" s="762">
        <v>12</v>
      </c>
      <c r="N15" s="762">
        <f>J15-M15</f>
        <v>449673.59999999992</v>
      </c>
      <c r="O15" s="757">
        <v>22630</v>
      </c>
      <c r="P15" s="757">
        <f>N15*O15</f>
        <v>10176113567.999998</v>
      </c>
      <c r="Q15" s="757">
        <v>2506900</v>
      </c>
      <c r="R15" s="757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766"/>
      <c r="K16" s="754"/>
      <c r="L16" s="764"/>
      <c r="M16" s="762"/>
      <c r="N16" s="762"/>
      <c r="O16" s="757"/>
      <c r="P16" s="757"/>
      <c r="Q16" s="757"/>
      <c r="R16" s="757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766"/>
      <c r="K17" s="754"/>
      <c r="L17" s="764"/>
      <c r="M17" s="762"/>
      <c r="N17" s="762"/>
      <c r="O17" s="757"/>
      <c r="P17" s="757"/>
      <c r="Q17" s="757"/>
      <c r="R17" s="757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766"/>
      <c r="K18" s="754"/>
      <c r="L18" s="764"/>
      <c r="M18" s="762"/>
      <c r="N18" s="762"/>
      <c r="O18" s="757"/>
      <c r="P18" s="757"/>
      <c r="Q18" s="757"/>
      <c r="R18" s="757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766"/>
      <c r="K19" s="754"/>
      <c r="L19" s="764"/>
      <c r="M19" s="762"/>
      <c r="N19" s="762"/>
      <c r="O19" s="757"/>
      <c r="P19" s="757"/>
      <c r="Q19" s="757"/>
      <c r="R19" s="757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761"/>
      <c r="K20" s="754"/>
      <c r="L20" s="764"/>
      <c r="M20" s="762"/>
      <c r="N20" s="762"/>
      <c r="O20" s="757"/>
      <c r="P20" s="757"/>
      <c r="Q20" s="757"/>
      <c r="R20" s="757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765">
        <f>SUM(I21:I26)</f>
        <v>444935.4</v>
      </c>
      <c r="K21" s="754"/>
      <c r="L21" s="767">
        <v>42868</v>
      </c>
      <c r="M21" s="765">
        <v>12</v>
      </c>
      <c r="N21" s="762">
        <f>J21-M21</f>
        <v>444923.4</v>
      </c>
      <c r="O21" s="757">
        <v>22600</v>
      </c>
      <c r="P21" s="757">
        <f>N21*O21</f>
        <v>10055268840</v>
      </c>
      <c r="Q21" s="757">
        <v>2504700</v>
      </c>
      <c r="R21" s="757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766"/>
      <c r="K22" s="754"/>
      <c r="L22" s="768"/>
      <c r="M22" s="766"/>
      <c r="N22" s="762"/>
      <c r="O22" s="757"/>
      <c r="P22" s="757"/>
      <c r="Q22" s="757"/>
      <c r="R22" s="757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766"/>
      <c r="K23" s="754"/>
      <c r="L23" s="768"/>
      <c r="M23" s="766"/>
      <c r="N23" s="762"/>
      <c r="O23" s="757"/>
      <c r="P23" s="757"/>
      <c r="Q23" s="757"/>
      <c r="R23" s="757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766"/>
      <c r="K24" s="754"/>
      <c r="L24" s="768"/>
      <c r="M24" s="766"/>
      <c r="N24" s="762"/>
      <c r="O24" s="757"/>
      <c r="P24" s="757"/>
      <c r="Q24" s="757"/>
      <c r="R24" s="757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766"/>
      <c r="K25" s="754"/>
      <c r="L25" s="768"/>
      <c r="M25" s="766"/>
      <c r="N25" s="762"/>
      <c r="O25" s="757"/>
      <c r="P25" s="757"/>
      <c r="Q25" s="757"/>
      <c r="R25" s="757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761"/>
      <c r="K26" s="754"/>
      <c r="L26" s="763"/>
      <c r="M26" s="761"/>
      <c r="N26" s="762"/>
      <c r="O26" s="757"/>
      <c r="P26" s="757"/>
      <c r="Q26" s="757"/>
      <c r="R26" s="757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824">
        <f>SUM(I27:I32)</f>
        <v>444935.4</v>
      </c>
      <c r="K27" s="754"/>
      <c r="L27" s="833">
        <v>42907</v>
      </c>
      <c r="M27" s="824">
        <f>12+110</f>
        <v>122</v>
      </c>
      <c r="N27" s="824">
        <f>J27-M27</f>
        <v>444813.4</v>
      </c>
      <c r="O27" s="827">
        <v>22660</v>
      </c>
      <c r="P27" s="827">
        <f>N27*O27</f>
        <v>10079471644</v>
      </c>
      <c r="Q27" s="827"/>
      <c r="R27" s="827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825"/>
      <c r="K28" s="754"/>
      <c r="L28" s="834"/>
      <c r="M28" s="825"/>
      <c r="N28" s="825"/>
      <c r="O28" s="828"/>
      <c r="P28" s="828"/>
      <c r="Q28" s="828"/>
      <c r="R28" s="828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825"/>
      <c r="K29" s="754"/>
      <c r="L29" s="834"/>
      <c r="M29" s="825"/>
      <c r="N29" s="825"/>
      <c r="O29" s="828"/>
      <c r="P29" s="828"/>
      <c r="Q29" s="828"/>
      <c r="R29" s="828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825"/>
      <c r="K30" s="754"/>
      <c r="L30" s="834"/>
      <c r="M30" s="825"/>
      <c r="N30" s="825"/>
      <c r="O30" s="828"/>
      <c r="P30" s="828"/>
      <c r="Q30" s="828"/>
      <c r="R30" s="828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825"/>
      <c r="K31" s="754"/>
      <c r="L31" s="834"/>
      <c r="M31" s="825"/>
      <c r="N31" s="825"/>
      <c r="O31" s="828"/>
      <c r="P31" s="828"/>
      <c r="Q31" s="828"/>
      <c r="R31" s="828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826"/>
      <c r="K32" s="755"/>
      <c r="L32" s="835"/>
      <c r="M32" s="826"/>
      <c r="N32" s="826"/>
      <c r="O32" s="829"/>
      <c r="P32" s="829"/>
      <c r="Q32" s="829"/>
      <c r="R32" s="829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765">
        <f>SUM(I33:I36)</f>
        <v>286067.59999999998</v>
      </c>
      <c r="K33" s="753">
        <f>4*51000000</f>
        <v>204000000</v>
      </c>
      <c r="L33" s="767">
        <v>42864</v>
      </c>
      <c r="M33" s="765">
        <v>12</v>
      </c>
      <c r="N33" s="765">
        <f>J33-M33</f>
        <v>286055.59999999998</v>
      </c>
      <c r="O33" s="753">
        <v>22630</v>
      </c>
      <c r="P33" s="753">
        <f>N33*O33</f>
        <v>6473438227.999999</v>
      </c>
      <c r="Q33" s="753">
        <v>2504700</v>
      </c>
      <c r="R33" s="753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766"/>
      <c r="K34" s="754"/>
      <c r="L34" s="768"/>
      <c r="M34" s="766"/>
      <c r="N34" s="766"/>
      <c r="O34" s="754"/>
      <c r="P34" s="754"/>
      <c r="Q34" s="754"/>
      <c r="R34" s="754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766"/>
      <c r="K35" s="754"/>
      <c r="L35" s="768"/>
      <c r="M35" s="766"/>
      <c r="N35" s="766"/>
      <c r="O35" s="754"/>
      <c r="P35" s="754"/>
      <c r="Q35" s="754"/>
      <c r="R35" s="754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766"/>
      <c r="K36" s="755"/>
      <c r="L36" s="763"/>
      <c r="M36" s="761"/>
      <c r="N36" s="761"/>
      <c r="O36" s="755"/>
      <c r="P36" s="755"/>
      <c r="Q36" s="755"/>
      <c r="R36" s="755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765">
        <f>SUM(I37:I44)</f>
        <v>544219.19999999995</v>
      </c>
      <c r="K37" s="753">
        <f>8*51000000</f>
        <v>408000000</v>
      </c>
      <c r="L37" s="767">
        <v>42873</v>
      </c>
      <c r="M37" s="765">
        <v>12</v>
      </c>
      <c r="N37" s="765">
        <f>SUM(I37:I39)-M37</f>
        <v>174747.2</v>
      </c>
      <c r="O37" s="753">
        <v>22610</v>
      </c>
      <c r="P37" s="753">
        <f>N37*O37</f>
        <v>3951034192.0000005</v>
      </c>
      <c r="Q37" s="753">
        <v>2183641</v>
      </c>
      <c r="R37" s="753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766"/>
      <c r="K38" s="754"/>
      <c r="L38" s="768"/>
      <c r="M38" s="766"/>
      <c r="N38" s="766"/>
      <c r="O38" s="754"/>
      <c r="P38" s="754"/>
      <c r="Q38" s="754"/>
      <c r="R38" s="754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766"/>
      <c r="K39" s="754"/>
      <c r="L39" s="763"/>
      <c r="M39" s="761"/>
      <c r="N39" s="761"/>
      <c r="O39" s="755"/>
      <c r="P39" s="755"/>
      <c r="Q39" s="755"/>
      <c r="R39" s="755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766"/>
      <c r="K40" s="754"/>
      <c r="L40" s="767">
        <v>42892</v>
      </c>
      <c r="M40" s="765">
        <v>12</v>
      </c>
      <c r="N40" s="765">
        <f>SUM(I40:I44)-M40</f>
        <v>369448</v>
      </c>
      <c r="O40" s="753">
        <v>22610</v>
      </c>
      <c r="P40" s="753">
        <f>N40*O40</f>
        <v>8353219280</v>
      </c>
      <c r="Q40" s="753">
        <v>2502500</v>
      </c>
      <c r="R40" s="753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766"/>
      <c r="K41" s="754"/>
      <c r="L41" s="768"/>
      <c r="M41" s="766"/>
      <c r="N41" s="766"/>
      <c r="O41" s="754"/>
      <c r="P41" s="754"/>
      <c r="Q41" s="754"/>
      <c r="R41" s="754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766"/>
      <c r="K42" s="754"/>
      <c r="L42" s="768"/>
      <c r="M42" s="766"/>
      <c r="N42" s="766"/>
      <c r="O42" s="754"/>
      <c r="P42" s="754"/>
      <c r="Q42" s="754"/>
      <c r="R42" s="754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766"/>
      <c r="K43" s="754"/>
      <c r="L43" s="768"/>
      <c r="M43" s="766"/>
      <c r="N43" s="766"/>
      <c r="O43" s="754"/>
      <c r="P43" s="754"/>
      <c r="Q43" s="754"/>
      <c r="R43" s="754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761"/>
      <c r="K44" s="755"/>
      <c r="L44" s="763"/>
      <c r="M44" s="761"/>
      <c r="N44" s="761"/>
      <c r="O44" s="755"/>
      <c r="P44" s="755"/>
      <c r="Q44" s="755"/>
      <c r="R44" s="755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815">
        <f>SUM(I45:I50)</f>
        <v>443352</v>
      </c>
      <c r="K45" s="753">
        <f>12*51000000+14622660</f>
        <v>626622660</v>
      </c>
      <c r="L45" s="812">
        <v>42915</v>
      </c>
      <c r="M45" s="815">
        <v>12</v>
      </c>
      <c r="N45" s="815">
        <f>J45-M45</f>
        <v>443340</v>
      </c>
      <c r="O45" s="830">
        <v>22655</v>
      </c>
      <c r="P45" s="830">
        <f>N45*O45</f>
        <v>10043867700</v>
      </c>
      <c r="Q45" s="830">
        <v>2505800</v>
      </c>
      <c r="R45" s="830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816"/>
      <c r="K46" s="754"/>
      <c r="L46" s="813"/>
      <c r="M46" s="816"/>
      <c r="N46" s="816"/>
      <c r="O46" s="831"/>
      <c r="P46" s="831"/>
      <c r="Q46" s="831"/>
      <c r="R46" s="831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816"/>
      <c r="K47" s="754"/>
      <c r="L47" s="813"/>
      <c r="M47" s="816"/>
      <c r="N47" s="816"/>
      <c r="O47" s="831"/>
      <c r="P47" s="831"/>
      <c r="Q47" s="831"/>
      <c r="R47" s="831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816"/>
      <c r="K48" s="754"/>
      <c r="L48" s="813"/>
      <c r="M48" s="816"/>
      <c r="N48" s="816"/>
      <c r="O48" s="831"/>
      <c r="P48" s="831"/>
      <c r="Q48" s="831"/>
      <c r="R48" s="831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816"/>
      <c r="K49" s="754"/>
      <c r="L49" s="813"/>
      <c r="M49" s="816"/>
      <c r="N49" s="816"/>
      <c r="O49" s="831"/>
      <c r="P49" s="831"/>
      <c r="Q49" s="831"/>
      <c r="R49" s="831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817"/>
      <c r="K50" s="754"/>
      <c r="L50" s="814"/>
      <c r="M50" s="817"/>
      <c r="N50" s="817"/>
      <c r="O50" s="832"/>
      <c r="P50" s="832"/>
      <c r="Q50" s="832"/>
      <c r="R50" s="832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765">
        <f>SUM(I51:I56)</f>
        <v>419601</v>
      </c>
      <c r="K51" s="754"/>
      <c r="L51" s="767">
        <v>42922</v>
      </c>
      <c r="M51" s="765">
        <f>12+5.09</f>
        <v>17.09</v>
      </c>
      <c r="N51" s="765">
        <f>J51-M51</f>
        <v>419583.91</v>
      </c>
      <c r="O51" s="753">
        <v>22660</v>
      </c>
      <c r="P51" s="753">
        <f>N51*O51</f>
        <v>9507771400.5999985</v>
      </c>
      <c r="Q51" s="753">
        <v>2504700</v>
      </c>
      <c r="R51" s="753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766"/>
      <c r="K52" s="754"/>
      <c r="L52" s="768"/>
      <c r="M52" s="766"/>
      <c r="N52" s="766"/>
      <c r="O52" s="754"/>
      <c r="P52" s="754"/>
      <c r="Q52" s="754"/>
      <c r="R52" s="754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766"/>
      <c r="K53" s="754"/>
      <c r="L53" s="768"/>
      <c r="M53" s="766"/>
      <c r="N53" s="766"/>
      <c r="O53" s="754"/>
      <c r="P53" s="754"/>
      <c r="Q53" s="754"/>
      <c r="R53" s="754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766"/>
      <c r="K54" s="754"/>
      <c r="L54" s="768"/>
      <c r="M54" s="766"/>
      <c r="N54" s="766"/>
      <c r="O54" s="754"/>
      <c r="P54" s="754"/>
      <c r="Q54" s="754"/>
      <c r="R54" s="754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766"/>
      <c r="K55" s="754"/>
      <c r="L55" s="768"/>
      <c r="M55" s="766"/>
      <c r="N55" s="766"/>
      <c r="O55" s="754"/>
      <c r="P55" s="754"/>
      <c r="Q55" s="754"/>
      <c r="R55" s="754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761"/>
      <c r="K56" s="755"/>
      <c r="L56" s="763"/>
      <c r="M56" s="761"/>
      <c r="N56" s="761"/>
      <c r="O56" s="755"/>
      <c r="P56" s="755"/>
      <c r="Q56" s="755"/>
      <c r="R56" s="755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765">
        <f>SUM(I57:I62)</f>
        <v>419601</v>
      </c>
      <c r="K57" s="753">
        <f>6*51000000</f>
        <v>306000000</v>
      </c>
      <c r="L57" s="767">
        <v>42926</v>
      </c>
      <c r="M57" s="765">
        <v>16.98</v>
      </c>
      <c r="N57" s="765">
        <f>J57-M57</f>
        <v>419584.02</v>
      </c>
      <c r="O57" s="753">
        <v>22660</v>
      </c>
      <c r="P57" s="753">
        <f>N57*O57</f>
        <v>9507773893.2000008</v>
      </c>
      <c r="Q57" s="753">
        <v>2504700</v>
      </c>
      <c r="R57" s="753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766"/>
      <c r="K58" s="754"/>
      <c r="L58" s="768"/>
      <c r="M58" s="766"/>
      <c r="N58" s="766"/>
      <c r="O58" s="754"/>
      <c r="P58" s="754"/>
      <c r="Q58" s="754"/>
      <c r="R58" s="754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766"/>
      <c r="K59" s="754"/>
      <c r="L59" s="768"/>
      <c r="M59" s="766"/>
      <c r="N59" s="766"/>
      <c r="O59" s="754"/>
      <c r="P59" s="754"/>
      <c r="Q59" s="754"/>
      <c r="R59" s="754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766"/>
      <c r="K60" s="754"/>
      <c r="L60" s="768"/>
      <c r="M60" s="766"/>
      <c r="N60" s="766"/>
      <c r="O60" s="754"/>
      <c r="P60" s="754"/>
      <c r="Q60" s="754"/>
      <c r="R60" s="754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766"/>
      <c r="K61" s="754"/>
      <c r="L61" s="768"/>
      <c r="M61" s="766"/>
      <c r="N61" s="766"/>
      <c r="O61" s="754"/>
      <c r="P61" s="754"/>
      <c r="Q61" s="754"/>
      <c r="R61" s="754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761"/>
      <c r="K62" s="755"/>
      <c r="L62" s="763"/>
      <c r="M62" s="761"/>
      <c r="N62" s="761"/>
      <c r="O62" s="755"/>
      <c r="P62" s="755"/>
      <c r="Q62" s="755"/>
      <c r="R62" s="755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815">
        <f>SUM(I63:I68)</f>
        <v>419601</v>
      </c>
      <c r="K63" s="753">
        <f>22*51000000</f>
        <v>1122000000</v>
      </c>
      <c r="L63" s="767">
        <v>42930</v>
      </c>
      <c r="M63" s="765">
        <v>16.98</v>
      </c>
      <c r="N63" s="765">
        <f>J63-M63</f>
        <v>419584.02</v>
      </c>
      <c r="O63" s="753">
        <v>22660</v>
      </c>
      <c r="P63" s="753">
        <f>N63*O63</f>
        <v>9507773893.2000008</v>
      </c>
      <c r="Q63" s="753">
        <v>2504700</v>
      </c>
      <c r="R63" s="753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816"/>
      <c r="K64" s="754"/>
      <c r="L64" s="768"/>
      <c r="M64" s="766"/>
      <c r="N64" s="766"/>
      <c r="O64" s="754"/>
      <c r="P64" s="754"/>
      <c r="Q64" s="754"/>
      <c r="R64" s="754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816"/>
      <c r="K65" s="754"/>
      <c r="L65" s="768"/>
      <c r="M65" s="766"/>
      <c r="N65" s="766"/>
      <c r="O65" s="754"/>
      <c r="P65" s="754"/>
      <c r="Q65" s="754"/>
      <c r="R65" s="754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816"/>
      <c r="K66" s="754"/>
      <c r="L66" s="768"/>
      <c r="M66" s="766"/>
      <c r="N66" s="766"/>
      <c r="O66" s="754"/>
      <c r="P66" s="754"/>
      <c r="Q66" s="754"/>
      <c r="R66" s="754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816"/>
      <c r="K67" s="754"/>
      <c r="L67" s="768"/>
      <c r="M67" s="766"/>
      <c r="N67" s="766"/>
      <c r="O67" s="754"/>
      <c r="P67" s="754"/>
      <c r="Q67" s="754"/>
      <c r="R67" s="754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817"/>
      <c r="K68" s="754"/>
      <c r="L68" s="763"/>
      <c r="M68" s="761"/>
      <c r="N68" s="761"/>
      <c r="O68" s="755"/>
      <c r="P68" s="755"/>
      <c r="Q68" s="755"/>
      <c r="R68" s="755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815">
        <f>SUM(I69:I74)</f>
        <v>419601</v>
      </c>
      <c r="K69" s="754"/>
      <c r="L69" s="767">
        <v>42935</v>
      </c>
      <c r="M69" s="765">
        <f>J69-N69</f>
        <v>17.179999999993015</v>
      </c>
      <c r="N69" s="765">
        <v>419583.82</v>
      </c>
      <c r="O69" s="753">
        <v>22660</v>
      </c>
      <c r="P69" s="753">
        <f>N69*O69</f>
        <v>9507769361.2000008</v>
      </c>
      <c r="Q69" s="753">
        <v>2504700</v>
      </c>
      <c r="R69" s="753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816"/>
      <c r="K70" s="754"/>
      <c r="L70" s="768"/>
      <c r="M70" s="766"/>
      <c r="N70" s="766"/>
      <c r="O70" s="754"/>
      <c r="P70" s="754"/>
      <c r="Q70" s="754"/>
      <c r="R70" s="754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816"/>
      <c r="K71" s="754"/>
      <c r="L71" s="768"/>
      <c r="M71" s="766"/>
      <c r="N71" s="766"/>
      <c r="O71" s="754"/>
      <c r="P71" s="754"/>
      <c r="Q71" s="754"/>
      <c r="R71" s="754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816"/>
      <c r="K72" s="754"/>
      <c r="L72" s="768"/>
      <c r="M72" s="766"/>
      <c r="N72" s="766"/>
      <c r="O72" s="754"/>
      <c r="P72" s="754"/>
      <c r="Q72" s="754"/>
      <c r="R72" s="754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816"/>
      <c r="K73" s="754"/>
      <c r="L73" s="768"/>
      <c r="M73" s="766"/>
      <c r="N73" s="766"/>
      <c r="O73" s="754"/>
      <c r="P73" s="754"/>
      <c r="Q73" s="754"/>
      <c r="R73" s="754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817"/>
      <c r="K74" s="754"/>
      <c r="L74" s="763"/>
      <c r="M74" s="761"/>
      <c r="N74" s="761"/>
      <c r="O74" s="755"/>
      <c r="P74" s="755"/>
      <c r="Q74" s="755"/>
      <c r="R74" s="755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765">
        <f>SUM(I75:I80)</f>
        <v>419601</v>
      </c>
      <c r="K75" s="754"/>
      <c r="L75" s="767">
        <v>42941</v>
      </c>
      <c r="M75" s="765">
        <f>J75-N75</f>
        <v>17.179999999993015</v>
      </c>
      <c r="N75" s="765">
        <v>419583.82</v>
      </c>
      <c r="O75" s="753">
        <v>22660</v>
      </c>
      <c r="P75" s="753">
        <f>N75*O75</f>
        <v>9507769361.2000008</v>
      </c>
      <c r="Q75" s="753">
        <v>2504700</v>
      </c>
      <c r="R75" s="753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766"/>
      <c r="K76" s="754"/>
      <c r="L76" s="768"/>
      <c r="M76" s="766"/>
      <c r="N76" s="766"/>
      <c r="O76" s="754"/>
      <c r="P76" s="754"/>
      <c r="Q76" s="754"/>
      <c r="R76" s="754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766"/>
      <c r="K77" s="754"/>
      <c r="L77" s="768"/>
      <c r="M77" s="766"/>
      <c r="N77" s="766"/>
      <c r="O77" s="754"/>
      <c r="P77" s="754"/>
      <c r="Q77" s="754"/>
      <c r="R77" s="754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766"/>
      <c r="K78" s="754"/>
      <c r="L78" s="768"/>
      <c r="M78" s="766"/>
      <c r="N78" s="766"/>
      <c r="O78" s="754"/>
      <c r="P78" s="754"/>
      <c r="Q78" s="754"/>
      <c r="R78" s="754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766"/>
      <c r="K79" s="754"/>
      <c r="L79" s="768"/>
      <c r="M79" s="766"/>
      <c r="N79" s="766"/>
      <c r="O79" s="754"/>
      <c r="P79" s="754"/>
      <c r="Q79" s="754"/>
      <c r="R79" s="754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761"/>
      <c r="K80" s="754"/>
      <c r="L80" s="763"/>
      <c r="M80" s="761"/>
      <c r="N80" s="761"/>
      <c r="O80" s="755"/>
      <c r="P80" s="755"/>
      <c r="Q80" s="755"/>
      <c r="R80" s="755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762">
        <f>SUM(I81:I84)</f>
        <v>279734</v>
      </c>
      <c r="K81" s="754"/>
      <c r="L81" s="767">
        <v>42949</v>
      </c>
      <c r="M81" s="765">
        <v>153.86000000000001</v>
      </c>
      <c r="N81" s="765">
        <f>J81-M81</f>
        <v>279580.14</v>
      </c>
      <c r="O81" s="753">
        <v>22690</v>
      </c>
      <c r="P81" s="753">
        <f>N81*O81</f>
        <v>6343673376.6000004</v>
      </c>
      <c r="Q81" s="753"/>
      <c r="R81" s="753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762"/>
      <c r="K82" s="754"/>
      <c r="L82" s="768"/>
      <c r="M82" s="766"/>
      <c r="N82" s="766"/>
      <c r="O82" s="754"/>
      <c r="P82" s="754"/>
      <c r="Q82" s="754"/>
      <c r="R82" s="754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762"/>
      <c r="K83" s="754"/>
      <c r="L83" s="768"/>
      <c r="M83" s="766"/>
      <c r="N83" s="766"/>
      <c r="O83" s="754"/>
      <c r="P83" s="754"/>
      <c r="Q83" s="754"/>
      <c r="R83" s="754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762"/>
      <c r="K84" s="755"/>
      <c r="L84" s="763"/>
      <c r="M84" s="761"/>
      <c r="N84" s="761"/>
      <c r="O84" s="755"/>
      <c r="P84" s="755"/>
      <c r="Q84" s="755"/>
      <c r="R84" s="755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762">
        <f>SUM(I85:I88)</f>
        <v>279734</v>
      </c>
      <c r="K85" s="753">
        <f>10*51000000</f>
        <v>510000000</v>
      </c>
      <c r="L85" s="767">
        <v>42957</v>
      </c>
      <c r="M85" s="765">
        <f>J85-N85</f>
        <v>17.75</v>
      </c>
      <c r="N85" s="765">
        <v>279716.25</v>
      </c>
      <c r="O85" s="753">
        <v>22690</v>
      </c>
      <c r="P85" s="753">
        <f>N85*O85</f>
        <v>6346761712.5</v>
      </c>
      <c r="Q85" s="753">
        <v>2503600</v>
      </c>
      <c r="R85" s="753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762"/>
      <c r="K86" s="754"/>
      <c r="L86" s="768"/>
      <c r="M86" s="766"/>
      <c r="N86" s="766"/>
      <c r="O86" s="754"/>
      <c r="P86" s="754"/>
      <c r="Q86" s="754"/>
      <c r="R86" s="754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762"/>
      <c r="K87" s="754"/>
      <c r="L87" s="768"/>
      <c r="M87" s="766"/>
      <c r="N87" s="766"/>
      <c r="O87" s="754"/>
      <c r="P87" s="754"/>
      <c r="Q87" s="754"/>
      <c r="R87" s="754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762"/>
      <c r="K88" s="754"/>
      <c r="L88" s="763"/>
      <c r="M88" s="761"/>
      <c r="N88" s="761"/>
      <c r="O88" s="755"/>
      <c r="P88" s="755"/>
      <c r="Q88" s="755"/>
      <c r="R88" s="755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762">
        <f>SUM(I89:I92)</f>
        <v>279734</v>
      </c>
      <c r="K89" s="754"/>
      <c r="L89" s="767">
        <v>42964</v>
      </c>
      <c r="M89" s="765">
        <f>J89-N89</f>
        <v>17.64000000001397</v>
      </c>
      <c r="N89" s="765">
        <v>279716.36</v>
      </c>
      <c r="O89" s="753">
        <v>22690</v>
      </c>
      <c r="P89" s="753">
        <f>N89*O89</f>
        <v>6346764208.3999996</v>
      </c>
      <c r="Q89" s="753">
        <v>2504150</v>
      </c>
      <c r="R89" s="753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762"/>
      <c r="K90" s="754"/>
      <c r="L90" s="768"/>
      <c r="M90" s="766"/>
      <c r="N90" s="766"/>
      <c r="O90" s="754"/>
      <c r="P90" s="754"/>
      <c r="Q90" s="754"/>
      <c r="R90" s="754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762"/>
      <c r="K91" s="754"/>
      <c r="L91" s="768"/>
      <c r="M91" s="766"/>
      <c r="N91" s="766"/>
      <c r="O91" s="754"/>
      <c r="P91" s="754"/>
      <c r="Q91" s="754"/>
      <c r="R91" s="754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762"/>
      <c r="K92" s="754"/>
      <c r="L92" s="763"/>
      <c r="M92" s="761"/>
      <c r="N92" s="761"/>
      <c r="O92" s="755"/>
      <c r="P92" s="755"/>
      <c r="Q92" s="755"/>
      <c r="R92" s="755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765">
        <f>SUM(I93:I94)</f>
        <v>145145</v>
      </c>
      <c r="K93" s="754"/>
      <c r="L93" s="767">
        <v>42972</v>
      </c>
      <c r="M93" s="765">
        <f>SUM(J93:J98)-N93</f>
        <v>220</v>
      </c>
      <c r="N93" s="765">
        <v>435215</v>
      </c>
      <c r="O93" s="753">
        <v>22690</v>
      </c>
      <c r="P93" s="753">
        <f>N93*O93</f>
        <v>9875028350</v>
      </c>
      <c r="Q93" s="753"/>
      <c r="R93" s="753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761"/>
      <c r="K94" s="755"/>
      <c r="L94" s="768"/>
      <c r="M94" s="766"/>
      <c r="N94" s="766"/>
      <c r="O94" s="754"/>
      <c r="P94" s="754"/>
      <c r="Q94" s="754"/>
      <c r="R94" s="754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765">
        <f>SUM(I95:I98)</f>
        <v>290290</v>
      </c>
      <c r="K95" s="753">
        <f>10*51000000+46999580</f>
        <v>556999580</v>
      </c>
      <c r="L95" s="768"/>
      <c r="M95" s="766"/>
      <c r="N95" s="766"/>
      <c r="O95" s="754"/>
      <c r="P95" s="754"/>
      <c r="Q95" s="754"/>
      <c r="R95" s="754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766"/>
      <c r="K96" s="754"/>
      <c r="L96" s="768"/>
      <c r="M96" s="766"/>
      <c r="N96" s="766"/>
      <c r="O96" s="754"/>
      <c r="P96" s="754"/>
      <c r="Q96" s="754"/>
      <c r="R96" s="754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766"/>
      <c r="K97" s="754"/>
      <c r="L97" s="768"/>
      <c r="M97" s="766"/>
      <c r="N97" s="766"/>
      <c r="O97" s="754"/>
      <c r="P97" s="754"/>
      <c r="Q97" s="754"/>
      <c r="R97" s="754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761"/>
      <c r="K98" s="754"/>
      <c r="L98" s="763"/>
      <c r="M98" s="761"/>
      <c r="N98" s="761"/>
      <c r="O98" s="755"/>
      <c r="P98" s="755"/>
      <c r="Q98" s="755"/>
      <c r="R98" s="755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765">
        <f>SUM(I99:I104)</f>
        <v>427518</v>
      </c>
      <c r="K99" s="754"/>
      <c r="L99" s="767">
        <v>42985</v>
      </c>
      <c r="M99" s="765">
        <v>110</v>
      </c>
      <c r="N99" s="765">
        <f>J99-M99</f>
        <v>427408</v>
      </c>
      <c r="O99" s="753">
        <v>22690</v>
      </c>
      <c r="P99" s="753">
        <f>N99*O99</f>
        <v>9697887520</v>
      </c>
      <c r="Q99" s="753"/>
      <c r="R99" s="753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766"/>
      <c r="K100" s="754"/>
      <c r="L100" s="768"/>
      <c r="M100" s="766"/>
      <c r="N100" s="766"/>
      <c r="O100" s="754"/>
      <c r="P100" s="754"/>
      <c r="Q100" s="754"/>
      <c r="R100" s="754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766"/>
      <c r="K101" s="754"/>
      <c r="L101" s="768"/>
      <c r="M101" s="766"/>
      <c r="N101" s="766"/>
      <c r="O101" s="754"/>
      <c r="P101" s="754"/>
      <c r="Q101" s="754"/>
      <c r="R101" s="754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766"/>
      <c r="K102" s="754"/>
      <c r="L102" s="768"/>
      <c r="M102" s="766"/>
      <c r="N102" s="766"/>
      <c r="O102" s="754"/>
      <c r="P102" s="754"/>
      <c r="Q102" s="754"/>
      <c r="R102" s="754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766"/>
      <c r="K103" s="754"/>
      <c r="L103" s="768"/>
      <c r="M103" s="766"/>
      <c r="N103" s="766"/>
      <c r="O103" s="754"/>
      <c r="P103" s="754"/>
      <c r="Q103" s="754"/>
      <c r="R103" s="754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761"/>
      <c r="K104" s="755"/>
      <c r="L104" s="763"/>
      <c r="M104" s="761"/>
      <c r="N104" s="761"/>
      <c r="O104" s="755"/>
      <c r="P104" s="755"/>
      <c r="Q104" s="755"/>
      <c r="R104" s="755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09">
        <f>SUM(I105:I108)</f>
        <v>295568</v>
      </c>
      <c r="K105" s="753">
        <f>10*51000000+'ZHOUSHAN - CT-2017'!F271+'ZHOUSHAN - CT-2017'!F272</f>
        <v>564434540</v>
      </c>
      <c r="L105" s="767">
        <v>43011</v>
      </c>
      <c r="M105" s="765">
        <f>J105-N105</f>
        <v>17.679999999993015</v>
      </c>
      <c r="N105" s="765">
        <v>295550.32</v>
      </c>
      <c r="O105" s="753">
        <v>22690</v>
      </c>
      <c r="P105" s="753">
        <f>N105*O105</f>
        <v>6706036760.8000002</v>
      </c>
      <c r="Q105" s="753">
        <v>2503600</v>
      </c>
      <c r="R105" s="753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11"/>
      <c r="K106" s="754"/>
      <c r="L106" s="768"/>
      <c r="M106" s="766"/>
      <c r="N106" s="766"/>
      <c r="O106" s="754"/>
      <c r="P106" s="754"/>
      <c r="Q106" s="754"/>
      <c r="R106" s="754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11"/>
      <c r="K107" s="754"/>
      <c r="L107" s="768"/>
      <c r="M107" s="766"/>
      <c r="N107" s="766"/>
      <c r="O107" s="754"/>
      <c r="P107" s="754"/>
      <c r="Q107" s="754"/>
      <c r="R107" s="754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10"/>
      <c r="K108" s="754"/>
      <c r="L108" s="763"/>
      <c r="M108" s="761"/>
      <c r="N108" s="761"/>
      <c r="O108" s="755"/>
      <c r="P108" s="755"/>
      <c r="Q108" s="755"/>
      <c r="R108" s="755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765">
        <f>SUM(I109:I114)</f>
        <v>443352</v>
      </c>
      <c r="K109" s="754"/>
      <c r="L109" s="767">
        <v>42993</v>
      </c>
      <c r="M109" s="765">
        <v>220</v>
      </c>
      <c r="N109" s="765">
        <f>J109-M109</f>
        <v>443132</v>
      </c>
      <c r="O109" s="753">
        <v>22690</v>
      </c>
      <c r="P109" s="753">
        <f>N109*O109</f>
        <v>10054665080</v>
      </c>
      <c r="Q109" s="753"/>
      <c r="R109" s="753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766"/>
      <c r="K110" s="754"/>
      <c r="L110" s="768"/>
      <c r="M110" s="766"/>
      <c r="N110" s="766"/>
      <c r="O110" s="754"/>
      <c r="P110" s="754"/>
      <c r="Q110" s="754"/>
      <c r="R110" s="754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766"/>
      <c r="K111" s="754"/>
      <c r="L111" s="768"/>
      <c r="M111" s="766"/>
      <c r="N111" s="766"/>
      <c r="O111" s="754"/>
      <c r="P111" s="754"/>
      <c r="Q111" s="754"/>
      <c r="R111" s="754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766"/>
      <c r="K112" s="754"/>
      <c r="L112" s="768"/>
      <c r="M112" s="766"/>
      <c r="N112" s="766"/>
      <c r="O112" s="754"/>
      <c r="P112" s="754"/>
      <c r="Q112" s="754"/>
      <c r="R112" s="754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766"/>
      <c r="K113" s="754"/>
      <c r="L113" s="768"/>
      <c r="M113" s="766"/>
      <c r="N113" s="766"/>
      <c r="O113" s="754"/>
      <c r="P113" s="754"/>
      <c r="Q113" s="754"/>
      <c r="R113" s="754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761"/>
      <c r="K114" s="755"/>
      <c r="L114" s="763"/>
      <c r="M114" s="761"/>
      <c r="N114" s="761"/>
      <c r="O114" s="755"/>
      <c r="P114" s="755"/>
      <c r="Q114" s="755"/>
      <c r="R114" s="755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765">
        <f>SUM(I115:I120)</f>
        <v>443352</v>
      </c>
      <c r="K115" s="753">
        <f>6*51000000+'ZHOUSHAN - CT-2017'!F291+'ZHOUSHAN - CT-2017'!F292</f>
        <v>338865760</v>
      </c>
      <c r="L115" s="767">
        <v>42998</v>
      </c>
      <c r="M115" s="765">
        <v>220</v>
      </c>
      <c r="N115" s="765">
        <f>J115-M115</f>
        <v>443132</v>
      </c>
      <c r="O115" s="753">
        <v>22690</v>
      </c>
      <c r="P115" s="753">
        <f>N115*O115</f>
        <v>10054665080</v>
      </c>
      <c r="Q115" s="753"/>
      <c r="R115" s="753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766"/>
      <c r="K116" s="754"/>
      <c r="L116" s="768"/>
      <c r="M116" s="766"/>
      <c r="N116" s="766"/>
      <c r="O116" s="754"/>
      <c r="P116" s="754"/>
      <c r="Q116" s="754"/>
      <c r="R116" s="754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766"/>
      <c r="K117" s="754"/>
      <c r="L117" s="768"/>
      <c r="M117" s="766"/>
      <c r="N117" s="766"/>
      <c r="O117" s="754"/>
      <c r="P117" s="754"/>
      <c r="Q117" s="754"/>
      <c r="R117" s="754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766"/>
      <c r="K118" s="754"/>
      <c r="L118" s="768"/>
      <c r="M118" s="766"/>
      <c r="N118" s="766"/>
      <c r="O118" s="754"/>
      <c r="P118" s="754"/>
      <c r="Q118" s="754"/>
      <c r="R118" s="754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766"/>
      <c r="K119" s="754"/>
      <c r="L119" s="768"/>
      <c r="M119" s="766"/>
      <c r="N119" s="766"/>
      <c r="O119" s="754"/>
      <c r="P119" s="754"/>
      <c r="Q119" s="754"/>
      <c r="R119" s="754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761"/>
      <c r="K120" s="755"/>
      <c r="L120" s="763"/>
      <c r="M120" s="761"/>
      <c r="N120" s="761"/>
      <c r="O120" s="755"/>
      <c r="P120" s="755"/>
      <c r="Q120" s="755"/>
      <c r="R120" s="755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765">
        <f>SUM(I121:I126)</f>
        <v>443352</v>
      </c>
      <c r="K121" s="753">
        <f>18*53000000+'ZHOUSHAN - CT-2017'!F356</f>
        <v>1012770140</v>
      </c>
      <c r="L121" s="767">
        <v>43033</v>
      </c>
      <c r="M121" s="765">
        <v>17.73</v>
      </c>
      <c r="N121" s="765">
        <f>J121-M121</f>
        <v>443334.27</v>
      </c>
      <c r="O121" s="753">
        <v>22690</v>
      </c>
      <c r="P121" s="753">
        <f>N121*O121</f>
        <v>10059254586.300001</v>
      </c>
      <c r="Q121" s="753">
        <v>2503600</v>
      </c>
      <c r="R121" s="753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766"/>
      <c r="K122" s="754"/>
      <c r="L122" s="768"/>
      <c r="M122" s="766"/>
      <c r="N122" s="766"/>
      <c r="O122" s="754"/>
      <c r="P122" s="754"/>
      <c r="Q122" s="754"/>
      <c r="R122" s="754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766"/>
      <c r="K123" s="754"/>
      <c r="L123" s="768"/>
      <c r="M123" s="766"/>
      <c r="N123" s="766"/>
      <c r="O123" s="754"/>
      <c r="P123" s="754"/>
      <c r="Q123" s="754"/>
      <c r="R123" s="754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766"/>
      <c r="K124" s="754"/>
      <c r="L124" s="768"/>
      <c r="M124" s="766"/>
      <c r="N124" s="766"/>
      <c r="O124" s="754"/>
      <c r="P124" s="754"/>
      <c r="Q124" s="754"/>
      <c r="R124" s="754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766"/>
      <c r="K125" s="754"/>
      <c r="L125" s="768"/>
      <c r="M125" s="766"/>
      <c r="N125" s="766"/>
      <c r="O125" s="754"/>
      <c r="P125" s="754"/>
      <c r="Q125" s="754"/>
      <c r="R125" s="754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761"/>
      <c r="K126" s="754"/>
      <c r="L126" s="763"/>
      <c r="M126" s="761"/>
      <c r="N126" s="761"/>
      <c r="O126" s="755"/>
      <c r="P126" s="755"/>
      <c r="Q126" s="755"/>
      <c r="R126" s="755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765">
        <f>SUM(I127:I132)</f>
        <v>427518</v>
      </c>
      <c r="K127" s="754"/>
      <c r="L127" s="767">
        <v>43038</v>
      </c>
      <c r="M127" s="765">
        <v>17.63</v>
      </c>
      <c r="N127" s="765">
        <f>J127-M127</f>
        <v>427500.37</v>
      </c>
      <c r="O127" s="753">
        <v>22680</v>
      </c>
      <c r="P127" s="753">
        <f>N127*O127</f>
        <v>9695708391.6000004</v>
      </c>
      <c r="Q127" s="753">
        <v>2502500</v>
      </c>
      <c r="R127" s="753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766"/>
      <c r="K128" s="754"/>
      <c r="L128" s="768"/>
      <c r="M128" s="766"/>
      <c r="N128" s="766"/>
      <c r="O128" s="754"/>
      <c r="P128" s="754"/>
      <c r="Q128" s="754"/>
      <c r="R128" s="754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766"/>
      <c r="K129" s="754"/>
      <c r="L129" s="768"/>
      <c r="M129" s="766"/>
      <c r="N129" s="766"/>
      <c r="O129" s="754"/>
      <c r="P129" s="754"/>
      <c r="Q129" s="754"/>
      <c r="R129" s="754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766"/>
      <c r="K130" s="754"/>
      <c r="L130" s="768"/>
      <c r="M130" s="766"/>
      <c r="N130" s="766"/>
      <c r="O130" s="754"/>
      <c r="P130" s="754"/>
      <c r="Q130" s="754"/>
      <c r="R130" s="754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766"/>
      <c r="K131" s="754"/>
      <c r="L131" s="768"/>
      <c r="M131" s="766"/>
      <c r="N131" s="766"/>
      <c r="O131" s="754"/>
      <c r="P131" s="754"/>
      <c r="Q131" s="754"/>
      <c r="R131" s="754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761"/>
      <c r="K132" s="754"/>
      <c r="L132" s="763"/>
      <c r="M132" s="761"/>
      <c r="N132" s="761"/>
      <c r="O132" s="755"/>
      <c r="P132" s="755"/>
      <c r="Q132" s="755"/>
      <c r="R132" s="755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765">
        <f>SUM(I133:I138)</f>
        <v>427518</v>
      </c>
      <c r="K133" s="754"/>
      <c r="L133" s="767">
        <v>43045</v>
      </c>
      <c r="M133" s="765">
        <f>J133+J139-N133</f>
        <v>17.439999999944121</v>
      </c>
      <c r="N133" s="765">
        <v>562089.56000000006</v>
      </c>
      <c r="O133" s="753">
        <v>22680</v>
      </c>
      <c r="P133" s="753">
        <f>N133*O133</f>
        <v>12748191220.800001</v>
      </c>
      <c r="Q133" s="753">
        <v>2502500</v>
      </c>
      <c r="R133" s="753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766"/>
      <c r="K134" s="754"/>
      <c r="L134" s="768"/>
      <c r="M134" s="766"/>
      <c r="N134" s="766"/>
      <c r="O134" s="754"/>
      <c r="P134" s="754"/>
      <c r="Q134" s="754"/>
      <c r="R134" s="754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766"/>
      <c r="K135" s="754"/>
      <c r="L135" s="768"/>
      <c r="M135" s="766"/>
      <c r="N135" s="766"/>
      <c r="O135" s="754"/>
      <c r="P135" s="754"/>
      <c r="Q135" s="754"/>
      <c r="R135" s="754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766"/>
      <c r="K136" s="754"/>
      <c r="L136" s="768"/>
      <c r="M136" s="766"/>
      <c r="N136" s="766"/>
      <c r="O136" s="754"/>
      <c r="P136" s="754"/>
      <c r="Q136" s="754"/>
      <c r="R136" s="754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766"/>
      <c r="K137" s="754"/>
      <c r="L137" s="768"/>
      <c r="M137" s="766"/>
      <c r="N137" s="766"/>
      <c r="O137" s="754"/>
      <c r="P137" s="754"/>
      <c r="Q137" s="754"/>
      <c r="R137" s="754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761"/>
      <c r="K138" s="755"/>
      <c r="L138" s="768"/>
      <c r="M138" s="766"/>
      <c r="N138" s="766"/>
      <c r="O138" s="754"/>
      <c r="P138" s="754"/>
      <c r="Q138" s="754"/>
      <c r="R138" s="754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765">
        <f>SUM(I139:I140)</f>
        <v>134589</v>
      </c>
      <c r="K139" s="753">
        <f>53000000*4</f>
        <v>212000000</v>
      </c>
      <c r="L139" s="768"/>
      <c r="M139" s="766"/>
      <c r="N139" s="766"/>
      <c r="O139" s="754"/>
      <c r="P139" s="754"/>
      <c r="Q139" s="754"/>
      <c r="R139" s="754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761"/>
      <c r="K140" s="754"/>
      <c r="L140" s="763"/>
      <c r="M140" s="761"/>
      <c r="N140" s="761"/>
      <c r="O140" s="755"/>
      <c r="P140" s="755"/>
      <c r="Q140" s="755"/>
      <c r="R140" s="755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765">
        <f>SUM(I141:I142)</f>
        <v>134589</v>
      </c>
      <c r="K141" s="662"/>
      <c r="L141" s="767">
        <v>43049</v>
      </c>
      <c r="M141" s="765">
        <f>J141+J143-N141</f>
        <v>17.380000000004657</v>
      </c>
      <c r="N141" s="765">
        <v>517754.42</v>
      </c>
      <c r="O141" s="753">
        <v>22680</v>
      </c>
      <c r="P141" s="753">
        <f>N141*O141</f>
        <v>11742670245.6</v>
      </c>
      <c r="Q141" s="753">
        <v>2502500</v>
      </c>
      <c r="R141" s="753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761"/>
      <c r="K142" s="663"/>
      <c r="L142" s="768"/>
      <c r="M142" s="766"/>
      <c r="N142" s="766"/>
      <c r="O142" s="754"/>
      <c r="P142" s="754"/>
      <c r="Q142" s="754"/>
      <c r="R142" s="754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765">
        <f>SUM(I143:I148)</f>
        <v>383182.8</v>
      </c>
      <c r="K143" s="753">
        <f>53000000*12</f>
        <v>636000000</v>
      </c>
      <c r="L143" s="768"/>
      <c r="M143" s="766"/>
      <c r="N143" s="766"/>
      <c r="O143" s="754"/>
      <c r="P143" s="754"/>
      <c r="Q143" s="754"/>
      <c r="R143" s="754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766"/>
      <c r="K144" s="754"/>
      <c r="L144" s="768"/>
      <c r="M144" s="766"/>
      <c r="N144" s="766"/>
      <c r="O144" s="754"/>
      <c r="P144" s="754"/>
      <c r="Q144" s="754"/>
      <c r="R144" s="754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766"/>
      <c r="K145" s="754"/>
      <c r="L145" s="768"/>
      <c r="M145" s="766"/>
      <c r="N145" s="766"/>
      <c r="O145" s="754"/>
      <c r="P145" s="754"/>
      <c r="Q145" s="754"/>
      <c r="R145" s="754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766"/>
      <c r="K146" s="754"/>
      <c r="L146" s="768"/>
      <c r="M146" s="766"/>
      <c r="N146" s="766"/>
      <c r="O146" s="754"/>
      <c r="P146" s="754"/>
      <c r="Q146" s="754"/>
      <c r="R146" s="754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766"/>
      <c r="K147" s="754"/>
      <c r="L147" s="768"/>
      <c r="M147" s="766"/>
      <c r="N147" s="766"/>
      <c r="O147" s="754"/>
      <c r="P147" s="754"/>
      <c r="Q147" s="754"/>
      <c r="R147" s="754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761"/>
      <c r="K148" s="754"/>
      <c r="L148" s="763"/>
      <c r="M148" s="761"/>
      <c r="N148" s="761"/>
      <c r="O148" s="755"/>
      <c r="P148" s="755"/>
      <c r="Q148" s="755"/>
      <c r="R148" s="755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8">
        <f>G149*H149</f>
        <v>63863.799999999996</v>
      </c>
      <c r="J149" s="809">
        <f>SUM(I149:I150)</f>
        <v>127727.59999999999</v>
      </c>
      <c r="K149" s="818">
        <f>53000000*2</f>
        <v>106000000</v>
      </c>
      <c r="L149" s="767">
        <v>43055</v>
      </c>
      <c r="M149" s="765">
        <f>SUM(J149:J156)-N149</f>
        <v>17.46999999997206</v>
      </c>
      <c r="N149" s="765">
        <v>510892.93</v>
      </c>
      <c r="O149" s="753">
        <v>22680</v>
      </c>
      <c r="P149" s="753">
        <f>N149*O149</f>
        <v>11587051652.4</v>
      </c>
      <c r="Q149" s="753">
        <v>2502500</v>
      </c>
      <c r="R149" s="753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8">
        <f>G150*H150</f>
        <v>63863.799999999996</v>
      </c>
      <c r="J150" s="810"/>
      <c r="K150" s="819"/>
      <c r="L150" s="768"/>
      <c r="M150" s="766"/>
      <c r="N150" s="766"/>
      <c r="O150" s="754"/>
      <c r="P150" s="754"/>
      <c r="Q150" s="754"/>
      <c r="R150" s="754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765">
        <f>SUM(I151:I152)</f>
        <v>127727.59999999999</v>
      </c>
      <c r="K151" s="662"/>
      <c r="L151" s="768"/>
      <c r="M151" s="766"/>
      <c r="N151" s="766"/>
      <c r="O151" s="754"/>
      <c r="P151" s="754"/>
      <c r="Q151" s="754"/>
      <c r="R151" s="754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761"/>
      <c r="K152" s="662"/>
      <c r="L152" s="768"/>
      <c r="M152" s="766"/>
      <c r="N152" s="766"/>
      <c r="O152" s="754"/>
      <c r="P152" s="754"/>
      <c r="Q152" s="754"/>
      <c r="R152" s="754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765">
        <f>SUM(I153:I156)</f>
        <v>255455.19999999998</v>
      </c>
      <c r="K153" s="662"/>
      <c r="L153" s="768"/>
      <c r="M153" s="766"/>
      <c r="N153" s="766"/>
      <c r="O153" s="754"/>
      <c r="P153" s="754"/>
      <c r="Q153" s="754"/>
      <c r="R153" s="754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766"/>
      <c r="K154" s="662"/>
      <c r="L154" s="768"/>
      <c r="M154" s="766"/>
      <c r="N154" s="766"/>
      <c r="O154" s="754"/>
      <c r="P154" s="754"/>
      <c r="Q154" s="754"/>
      <c r="R154" s="754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766"/>
      <c r="K155" s="662"/>
      <c r="L155" s="768"/>
      <c r="M155" s="766"/>
      <c r="N155" s="766"/>
      <c r="O155" s="754"/>
      <c r="P155" s="754"/>
      <c r="Q155" s="754"/>
      <c r="R155" s="754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761"/>
      <c r="K156" s="663"/>
      <c r="L156" s="763"/>
      <c r="M156" s="761"/>
      <c r="N156" s="761"/>
      <c r="O156" s="755"/>
      <c r="P156" s="755"/>
      <c r="Q156" s="755"/>
      <c r="R156" s="755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765">
        <f>SUM(I157:I162)</f>
        <v>387933.00000000006</v>
      </c>
      <c r="K157" s="753">
        <f>53000000*12</f>
        <v>636000000</v>
      </c>
      <c r="L157" s="767">
        <v>43066</v>
      </c>
      <c r="M157" s="765">
        <v>220</v>
      </c>
      <c r="N157" s="765">
        <f>J157-M157</f>
        <v>387713.00000000006</v>
      </c>
      <c r="O157" s="753">
        <v>22690</v>
      </c>
      <c r="P157" s="753">
        <f>N157*O157</f>
        <v>8797207970.0000019</v>
      </c>
      <c r="Q157" s="753"/>
      <c r="R157" s="753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766"/>
      <c r="K158" s="754"/>
      <c r="L158" s="768"/>
      <c r="M158" s="766"/>
      <c r="N158" s="766"/>
      <c r="O158" s="754"/>
      <c r="P158" s="754"/>
      <c r="Q158" s="754"/>
      <c r="R158" s="754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766"/>
      <c r="K159" s="754"/>
      <c r="L159" s="768"/>
      <c r="M159" s="766"/>
      <c r="N159" s="766"/>
      <c r="O159" s="754"/>
      <c r="P159" s="754"/>
      <c r="Q159" s="754"/>
      <c r="R159" s="754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766"/>
      <c r="K160" s="754"/>
      <c r="L160" s="768"/>
      <c r="M160" s="766"/>
      <c r="N160" s="766"/>
      <c r="O160" s="754"/>
      <c r="P160" s="754"/>
      <c r="Q160" s="754"/>
      <c r="R160" s="754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766"/>
      <c r="K161" s="754"/>
      <c r="L161" s="768"/>
      <c r="M161" s="766"/>
      <c r="N161" s="766"/>
      <c r="O161" s="754"/>
      <c r="P161" s="754"/>
      <c r="Q161" s="754"/>
      <c r="R161" s="754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761"/>
      <c r="K162" s="754"/>
      <c r="L162" s="763"/>
      <c r="M162" s="761"/>
      <c r="N162" s="761"/>
      <c r="O162" s="755"/>
      <c r="P162" s="755"/>
      <c r="Q162" s="755"/>
      <c r="R162" s="755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765">
        <f>SUM(I163:I168)</f>
        <v>387933.00000000006</v>
      </c>
      <c r="K163" s="754"/>
      <c r="L163" s="767">
        <v>43073</v>
      </c>
      <c r="M163" s="765">
        <v>220</v>
      </c>
      <c r="N163" s="765">
        <f>J163-M163</f>
        <v>387713.00000000006</v>
      </c>
      <c r="O163" s="753">
        <v>22695</v>
      </c>
      <c r="P163" s="753">
        <f>N163*O163</f>
        <v>8799146535.0000019</v>
      </c>
      <c r="Q163" s="753"/>
      <c r="R163" s="753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766"/>
      <c r="K164" s="754"/>
      <c r="L164" s="768"/>
      <c r="M164" s="766"/>
      <c r="N164" s="766"/>
      <c r="O164" s="754"/>
      <c r="P164" s="754"/>
      <c r="Q164" s="754"/>
      <c r="R164" s="754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766"/>
      <c r="K165" s="754"/>
      <c r="L165" s="768"/>
      <c r="M165" s="766"/>
      <c r="N165" s="766"/>
      <c r="O165" s="754"/>
      <c r="P165" s="754"/>
      <c r="Q165" s="754"/>
      <c r="R165" s="754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766"/>
      <c r="K166" s="754"/>
      <c r="L166" s="768"/>
      <c r="M166" s="766"/>
      <c r="N166" s="766"/>
      <c r="O166" s="754"/>
      <c r="P166" s="754"/>
      <c r="Q166" s="754"/>
      <c r="R166" s="754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766"/>
      <c r="K167" s="754"/>
      <c r="L167" s="768"/>
      <c r="M167" s="766"/>
      <c r="N167" s="766"/>
      <c r="O167" s="754"/>
      <c r="P167" s="754"/>
      <c r="Q167" s="754"/>
      <c r="R167" s="754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761"/>
      <c r="K168" s="755"/>
      <c r="L168" s="763"/>
      <c r="M168" s="761"/>
      <c r="N168" s="761"/>
      <c r="O168" s="755"/>
      <c r="P168" s="755"/>
      <c r="Q168" s="755"/>
      <c r="R168" s="755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765">
        <f>SUM(I169:I174)</f>
        <v>361015.2</v>
      </c>
      <c r="K169" s="753">
        <f>53000000*22</f>
        <v>1166000000</v>
      </c>
      <c r="L169" s="767">
        <v>43077</v>
      </c>
      <c r="M169" s="765">
        <v>220</v>
      </c>
      <c r="N169" s="765">
        <f>J169+J175-M169</f>
        <v>721810.4</v>
      </c>
      <c r="O169" s="753">
        <v>22695</v>
      </c>
      <c r="P169" s="753">
        <f>N169*O169</f>
        <v>16381487028</v>
      </c>
      <c r="Q169" s="753"/>
      <c r="R169" s="753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766"/>
      <c r="K170" s="754"/>
      <c r="L170" s="768"/>
      <c r="M170" s="766"/>
      <c r="N170" s="766"/>
      <c r="O170" s="754"/>
      <c r="P170" s="754"/>
      <c r="Q170" s="754"/>
      <c r="R170" s="754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766"/>
      <c r="K171" s="754"/>
      <c r="L171" s="768"/>
      <c r="M171" s="766"/>
      <c r="N171" s="766"/>
      <c r="O171" s="754"/>
      <c r="P171" s="754"/>
      <c r="Q171" s="754"/>
      <c r="R171" s="754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766"/>
      <c r="K172" s="754"/>
      <c r="L172" s="768"/>
      <c r="M172" s="766"/>
      <c r="N172" s="766"/>
      <c r="O172" s="754"/>
      <c r="P172" s="754"/>
      <c r="Q172" s="754"/>
      <c r="R172" s="754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766"/>
      <c r="K173" s="754"/>
      <c r="L173" s="768"/>
      <c r="M173" s="766"/>
      <c r="N173" s="766"/>
      <c r="O173" s="754"/>
      <c r="P173" s="754"/>
      <c r="Q173" s="754"/>
      <c r="R173" s="754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761"/>
      <c r="K174" s="754"/>
      <c r="L174" s="768"/>
      <c r="M174" s="766"/>
      <c r="N174" s="766"/>
      <c r="O174" s="754"/>
      <c r="P174" s="754"/>
      <c r="Q174" s="754"/>
      <c r="R174" s="754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765">
        <f>SUM(I175:I180)</f>
        <v>361015.2</v>
      </c>
      <c r="K175" s="754"/>
      <c r="L175" s="768"/>
      <c r="M175" s="766"/>
      <c r="N175" s="766"/>
      <c r="O175" s="754"/>
      <c r="P175" s="754"/>
      <c r="Q175" s="754"/>
      <c r="R175" s="754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766"/>
      <c r="K176" s="754"/>
      <c r="L176" s="768"/>
      <c r="M176" s="766"/>
      <c r="N176" s="766"/>
      <c r="O176" s="754"/>
      <c r="P176" s="754"/>
      <c r="Q176" s="754"/>
      <c r="R176" s="754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766"/>
      <c r="K177" s="754"/>
      <c r="L177" s="768"/>
      <c r="M177" s="766"/>
      <c r="N177" s="766"/>
      <c r="O177" s="754"/>
      <c r="P177" s="754"/>
      <c r="Q177" s="754"/>
      <c r="R177" s="754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766"/>
      <c r="K178" s="754"/>
      <c r="L178" s="768"/>
      <c r="M178" s="766"/>
      <c r="N178" s="766"/>
      <c r="O178" s="754"/>
      <c r="P178" s="754"/>
      <c r="Q178" s="754"/>
      <c r="R178" s="754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766"/>
      <c r="K179" s="754"/>
      <c r="L179" s="768"/>
      <c r="M179" s="766"/>
      <c r="N179" s="766"/>
      <c r="O179" s="754"/>
      <c r="P179" s="754"/>
      <c r="Q179" s="754"/>
      <c r="R179" s="754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761"/>
      <c r="K180" s="754"/>
      <c r="L180" s="763"/>
      <c r="M180" s="761"/>
      <c r="N180" s="761"/>
      <c r="O180" s="755"/>
      <c r="P180" s="755"/>
      <c r="Q180" s="755"/>
      <c r="R180" s="755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765">
        <f>SUM(I181:I184)</f>
        <v>240338.4</v>
      </c>
      <c r="K181" s="754"/>
      <c r="L181" s="767">
        <v>43073</v>
      </c>
      <c r="M181" s="765"/>
      <c r="N181" s="765">
        <f>J181-M181</f>
        <v>240338.4</v>
      </c>
      <c r="O181" s="753">
        <v>22695</v>
      </c>
      <c r="P181" s="753">
        <f>N181*O181</f>
        <v>5454479988</v>
      </c>
      <c r="Q181" s="753"/>
      <c r="R181" s="753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766"/>
      <c r="K182" s="754"/>
      <c r="L182" s="768"/>
      <c r="M182" s="766"/>
      <c r="N182" s="766"/>
      <c r="O182" s="754"/>
      <c r="P182" s="754"/>
      <c r="Q182" s="754"/>
      <c r="R182" s="754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766"/>
      <c r="K183" s="754"/>
      <c r="L183" s="768"/>
      <c r="M183" s="766"/>
      <c r="N183" s="766"/>
      <c r="O183" s="754"/>
      <c r="P183" s="754"/>
      <c r="Q183" s="754"/>
      <c r="R183" s="754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761"/>
      <c r="K184" s="754"/>
      <c r="L184" s="763"/>
      <c r="M184" s="761"/>
      <c r="N184" s="761"/>
      <c r="O184" s="755"/>
      <c r="P184" s="755"/>
      <c r="Q184" s="755"/>
      <c r="R184" s="755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765">
        <f>SUM(I185:I190)</f>
        <v>367348.8</v>
      </c>
      <c r="K185" s="754"/>
      <c r="L185" s="767">
        <v>43085</v>
      </c>
      <c r="M185" s="765">
        <v>220</v>
      </c>
      <c r="N185" s="765">
        <f>J185+J191-M185</f>
        <v>464771.8</v>
      </c>
      <c r="O185" s="753">
        <v>22965</v>
      </c>
      <c r="P185" s="753">
        <f>N185*O185</f>
        <v>10673484387</v>
      </c>
      <c r="Q185" s="753"/>
      <c r="R185" s="753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766"/>
      <c r="K186" s="754"/>
      <c r="L186" s="768"/>
      <c r="M186" s="766"/>
      <c r="N186" s="766"/>
      <c r="O186" s="754"/>
      <c r="P186" s="754"/>
      <c r="Q186" s="754"/>
      <c r="R186" s="754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766"/>
      <c r="K187" s="754"/>
      <c r="L187" s="768"/>
      <c r="M187" s="766"/>
      <c r="N187" s="766"/>
      <c r="O187" s="754"/>
      <c r="P187" s="754"/>
      <c r="Q187" s="754"/>
      <c r="R187" s="754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766"/>
      <c r="K188" s="754"/>
      <c r="L188" s="768"/>
      <c r="M188" s="766"/>
      <c r="N188" s="766"/>
      <c r="O188" s="754"/>
      <c r="P188" s="754"/>
      <c r="Q188" s="754"/>
      <c r="R188" s="754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766"/>
      <c r="K189" s="754"/>
      <c r="L189" s="768"/>
      <c r="M189" s="766"/>
      <c r="N189" s="766"/>
      <c r="O189" s="754"/>
      <c r="P189" s="754"/>
      <c r="Q189" s="754"/>
      <c r="R189" s="754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761"/>
      <c r="K190" s="755"/>
      <c r="L190" s="768"/>
      <c r="M190" s="766"/>
      <c r="N190" s="766"/>
      <c r="O190" s="754"/>
      <c r="P190" s="754"/>
      <c r="Q190" s="754"/>
      <c r="R190" s="754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5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765">
        <f>SUM(I191:I192)</f>
        <v>97643</v>
      </c>
      <c r="K191" s="753">
        <f>53000000*6</f>
        <v>318000000</v>
      </c>
      <c r="L191" s="768"/>
      <c r="M191" s="766"/>
      <c r="N191" s="766"/>
      <c r="O191" s="754"/>
      <c r="P191" s="754"/>
      <c r="Q191" s="754"/>
      <c r="R191" s="754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7">
        <v>43059</v>
      </c>
      <c r="C192" s="243"/>
      <c r="D192" s="243"/>
      <c r="E192" s="243"/>
      <c r="F192" s="675">
        <v>2030</v>
      </c>
      <c r="G192" s="644">
        <f>F192*13</f>
        <v>26390</v>
      </c>
      <c r="H192" s="676">
        <v>1.85</v>
      </c>
      <c r="I192" s="645">
        <f>G192*H192</f>
        <v>48821.5</v>
      </c>
      <c r="J192" s="761"/>
      <c r="K192" s="754"/>
      <c r="L192" s="763"/>
      <c r="M192" s="761"/>
      <c r="N192" s="761"/>
      <c r="O192" s="755"/>
      <c r="P192" s="755"/>
      <c r="Q192" s="755"/>
      <c r="R192" s="755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5">
        <v>43042</v>
      </c>
      <c r="C193" s="243"/>
      <c r="D193" s="243"/>
      <c r="E193" s="243"/>
      <c r="F193" s="691">
        <v>2030</v>
      </c>
      <c r="G193" s="691">
        <f t="shared" si="34"/>
        <v>26390</v>
      </c>
      <c r="H193" s="694">
        <v>2.3199999999999998</v>
      </c>
      <c r="I193" s="693">
        <f t="shared" si="35"/>
        <v>61224.799999999996</v>
      </c>
      <c r="J193" s="765">
        <f>SUM(I193:I196)</f>
        <v>244899.19999999998</v>
      </c>
      <c r="K193" s="754"/>
      <c r="L193" s="767">
        <v>43089</v>
      </c>
      <c r="M193" s="765">
        <v>220</v>
      </c>
      <c r="N193" s="765">
        <f>J193-M193</f>
        <v>244679.19999999998</v>
      </c>
      <c r="O193" s="753"/>
      <c r="P193" s="753">
        <f>N193*O193</f>
        <v>0</v>
      </c>
      <c r="Q193" s="753"/>
      <c r="R193" s="753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5">
        <v>43042</v>
      </c>
      <c r="C194" s="243"/>
      <c r="D194" s="243"/>
      <c r="E194" s="243"/>
      <c r="F194" s="691">
        <v>2030</v>
      </c>
      <c r="G194" s="691">
        <f t="shared" si="34"/>
        <v>26390</v>
      </c>
      <c r="H194" s="694">
        <v>2.3199999999999998</v>
      </c>
      <c r="I194" s="693">
        <f t="shared" si="35"/>
        <v>61224.799999999996</v>
      </c>
      <c r="J194" s="766"/>
      <c r="K194" s="754"/>
      <c r="L194" s="768"/>
      <c r="M194" s="766"/>
      <c r="N194" s="766"/>
      <c r="O194" s="754"/>
      <c r="P194" s="754"/>
      <c r="Q194" s="754"/>
      <c r="R194" s="754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5">
        <v>43042</v>
      </c>
      <c r="C195" s="243"/>
      <c r="D195" s="243"/>
      <c r="E195" s="243"/>
      <c r="F195" s="691">
        <v>2030</v>
      </c>
      <c r="G195" s="691">
        <f t="shared" si="32"/>
        <v>26390</v>
      </c>
      <c r="H195" s="694">
        <v>2.3199999999999998</v>
      </c>
      <c r="I195" s="693">
        <f t="shared" si="33"/>
        <v>61224.799999999996</v>
      </c>
      <c r="J195" s="766"/>
      <c r="K195" s="754"/>
      <c r="L195" s="768"/>
      <c r="M195" s="766"/>
      <c r="N195" s="766"/>
      <c r="O195" s="754"/>
      <c r="P195" s="754"/>
      <c r="Q195" s="754"/>
      <c r="R195" s="754"/>
      <c r="S195" s="692"/>
      <c r="T195" s="692"/>
      <c r="U195" s="692"/>
      <c r="V195" s="144"/>
    </row>
    <row r="196" spans="1:22" s="150" customFormat="1" ht="18" customHeight="1">
      <c r="A196" s="144">
        <v>191</v>
      </c>
      <c r="B196" s="695">
        <v>43042</v>
      </c>
      <c r="C196" s="243"/>
      <c r="D196" s="243"/>
      <c r="E196" s="243"/>
      <c r="F196" s="691">
        <v>2030</v>
      </c>
      <c r="G196" s="691">
        <f t="shared" si="32"/>
        <v>26390</v>
      </c>
      <c r="H196" s="694">
        <v>2.3199999999999998</v>
      </c>
      <c r="I196" s="693">
        <f t="shared" si="33"/>
        <v>61224.799999999996</v>
      </c>
      <c r="J196" s="761"/>
      <c r="K196" s="755"/>
      <c r="L196" s="763"/>
      <c r="M196" s="761"/>
      <c r="N196" s="761"/>
      <c r="O196" s="755"/>
      <c r="P196" s="755"/>
      <c r="Q196" s="755"/>
      <c r="R196" s="755"/>
      <c r="S196" s="692"/>
      <c r="T196" s="692"/>
      <c r="U196" s="692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9">
        <v>2030</v>
      </c>
      <c r="G197" s="679">
        <f t="shared" si="32"/>
        <v>26390</v>
      </c>
      <c r="H197" s="485">
        <v>2.3199999999999998</v>
      </c>
      <c r="I197" s="696">
        <f t="shared" si="33"/>
        <v>61224.799999999996</v>
      </c>
      <c r="J197" s="803">
        <f>SUM(I197:I198)</f>
        <v>122449.59999999999</v>
      </c>
      <c r="K197" s="806">
        <f>53000000*6</f>
        <v>318000000</v>
      </c>
      <c r="L197" s="800">
        <v>43089</v>
      </c>
      <c r="M197" s="803">
        <f>J197-N197</f>
        <v>67.339999999996508</v>
      </c>
      <c r="N197" s="803">
        <v>122382.26</v>
      </c>
      <c r="O197" s="806"/>
      <c r="P197" s="806">
        <f>N197*O197</f>
        <v>0</v>
      </c>
      <c r="Q197" s="806"/>
      <c r="R197" s="806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9">
        <v>2030</v>
      </c>
      <c r="G198" s="679">
        <f t="shared" si="32"/>
        <v>26390</v>
      </c>
      <c r="H198" s="485">
        <v>2.3199999999999998</v>
      </c>
      <c r="I198" s="696">
        <f t="shared" si="33"/>
        <v>61224.799999999996</v>
      </c>
      <c r="J198" s="805"/>
      <c r="K198" s="807"/>
      <c r="L198" s="802"/>
      <c r="M198" s="805"/>
      <c r="N198" s="805"/>
      <c r="O198" s="808"/>
      <c r="P198" s="808"/>
      <c r="Q198" s="808"/>
      <c r="R198" s="808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9">
        <v>2030</v>
      </c>
      <c r="G199" s="679">
        <f t="shared" si="32"/>
        <v>26390</v>
      </c>
      <c r="H199" s="485">
        <v>2.4500000000000002</v>
      </c>
      <c r="I199" s="696">
        <f t="shared" si="33"/>
        <v>64655.500000000007</v>
      </c>
      <c r="J199" s="803">
        <f>SUM(I199:I202)</f>
        <v>258622.00000000003</v>
      </c>
      <c r="K199" s="807"/>
      <c r="L199" s="800">
        <v>43096</v>
      </c>
      <c r="M199" s="803">
        <v>110</v>
      </c>
      <c r="N199" s="803">
        <f>J199-M199</f>
        <v>258512.00000000003</v>
      </c>
      <c r="O199" s="806"/>
      <c r="P199" s="806">
        <f>N199*O199</f>
        <v>0</v>
      </c>
      <c r="Q199" s="806"/>
      <c r="R199" s="806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9">
        <v>2030</v>
      </c>
      <c r="G200" s="679">
        <f t="shared" si="32"/>
        <v>26390</v>
      </c>
      <c r="H200" s="485">
        <v>2.4500000000000002</v>
      </c>
      <c r="I200" s="696">
        <f t="shared" si="33"/>
        <v>64655.500000000007</v>
      </c>
      <c r="J200" s="804"/>
      <c r="K200" s="807"/>
      <c r="L200" s="801"/>
      <c r="M200" s="804"/>
      <c r="N200" s="804"/>
      <c r="O200" s="807"/>
      <c r="P200" s="807"/>
      <c r="Q200" s="807"/>
      <c r="R200" s="807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9">
        <v>2030</v>
      </c>
      <c r="G201" s="679">
        <f t="shared" si="32"/>
        <v>26390</v>
      </c>
      <c r="H201" s="485">
        <v>2.4500000000000002</v>
      </c>
      <c r="I201" s="696">
        <f t="shared" si="33"/>
        <v>64655.500000000007</v>
      </c>
      <c r="J201" s="804"/>
      <c r="K201" s="807"/>
      <c r="L201" s="801"/>
      <c r="M201" s="804"/>
      <c r="N201" s="804"/>
      <c r="O201" s="807"/>
      <c r="P201" s="807"/>
      <c r="Q201" s="807"/>
      <c r="R201" s="807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9">
        <v>2030</v>
      </c>
      <c r="G202" s="679">
        <f t="shared" si="32"/>
        <v>26390</v>
      </c>
      <c r="H202" s="485">
        <v>2.4500000000000002</v>
      </c>
      <c r="I202" s="696">
        <f t="shared" si="33"/>
        <v>64655.500000000007</v>
      </c>
      <c r="J202" s="805"/>
      <c r="K202" s="808"/>
      <c r="L202" s="802"/>
      <c r="M202" s="805"/>
      <c r="N202" s="805"/>
      <c r="O202" s="808"/>
      <c r="P202" s="808"/>
      <c r="Q202" s="808"/>
      <c r="R202" s="808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9">
        <f t="shared" si="32"/>
        <v>26390</v>
      </c>
      <c r="H203" s="485">
        <v>1.86</v>
      </c>
      <c r="I203" s="696">
        <f t="shared" si="33"/>
        <v>49085.4</v>
      </c>
      <c r="J203" s="803">
        <f>SUM(I203:I204)</f>
        <v>98170.8</v>
      </c>
      <c r="K203" s="806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9">
        <f t="shared" si="32"/>
        <v>26390</v>
      </c>
      <c r="H204" s="485">
        <v>1.86</v>
      </c>
      <c r="I204" s="696">
        <f t="shared" si="33"/>
        <v>49085.4</v>
      </c>
      <c r="J204" s="805"/>
      <c r="K204" s="808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769" t="s">
        <v>19</v>
      </c>
      <c r="B218" s="770"/>
      <c r="C218" s="770"/>
      <c r="D218" s="770"/>
      <c r="E218" s="771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756" t="s">
        <v>463</v>
      </c>
      <c r="Q220" s="756"/>
      <c r="R220" s="756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- 2017'!N70</f>
        <v>15928363.970000001</v>
      </c>
      <c r="V223" s="307"/>
    </row>
  </sheetData>
  <autoFilter ref="A3:V216"/>
  <mergeCells count="316"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</mergeCells>
  <pageMargins left="0.16" right="0.16" top="0.11" bottom="0.16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739" zoomScale="90" zoomScaleNormal="90" workbookViewId="0">
      <selection activeCell="A746" sqref="A746:G757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851" t="s">
        <v>798</v>
      </c>
      <c r="D233" s="852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853">
        <v>240000000</v>
      </c>
      <c r="D234" s="854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855">
        <v>9500000000</v>
      </c>
      <c r="D235" s="856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855">
        <v>120000000</v>
      </c>
      <c r="D236" s="856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855"/>
      <c r="D237" s="856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855"/>
      <c r="D238" s="856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855"/>
      <c r="D239" s="856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857"/>
      <c r="D245" s="858"/>
      <c r="E245" s="258"/>
      <c r="F245" s="478"/>
    </row>
    <row r="246" spans="1:19">
      <c r="A246" s="376"/>
      <c r="B246" s="376" t="s">
        <v>57</v>
      </c>
      <c r="C246" s="849">
        <f>SUM(C234:C245)</f>
        <v>9860000000</v>
      </c>
      <c r="D246" s="850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43" t="s">
        <v>0</v>
      </c>
      <c r="B286" s="843" t="s">
        <v>21</v>
      </c>
      <c r="C286" s="838" t="s">
        <v>50</v>
      </c>
      <c r="D286" s="837" t="s">
        <v>51</v>
      </c>
      <c r="E286" s="837" t="s">
        <v>9</v>
      </c>
      <c r="F286" s="837" t="s">
        <v>117</v>
      </c>
      <c r="G286" s="837" t="s">
        <v>52</v>
      </c>
      <c r="I286" s="843" t="s">
        <v>0</v>
      </c>
      <c r="J286" s="843" t="s">
        <v>30</v>
      </c>
      <c r="K286" s="843" t="s">
        <v>31</v>
      </c>
      <c r="L286" s="843" t="s">
        <v>103</v>
      </c>
      <c r="M286" s="843" t="s">
        <v>32</v>
      </c>
      <c r="N286" s="843" t="s">
        <v>573</v>
      </c>
      <c r="O286" s="841" t="s">
        <v>83</v>
      </c>
      <c r="P286" s="842"/>
      <c r="Q286" s="839" t="s">
        <v>33</v>
      </c>
      <c r="R286" s="837" t="s">
        <v>106</v>
      </c>
      <c r="S286" s="837" t="s">
        <v>9</v>
      </c>
      <c r="T286" s="837" t="s">
        <v>82</v>
      </c>
    </row>
    <row r="287" spans="1:20" ht="25.5" customHeight="1">
      <c r="A287" s="843"/>
      <c r="B287" s="843"/>
      <c r="C287" s="838"/>
      <c r="D287" s="837"/>
      <c r="E287" s="837"/>
      <c r="F287" s="837"/>
      <c r="G287" s="837"/>
      <c r="I287" s="843"/>
      <c r="J287" s="843"/>
      <c r="K287" s="843"/>
      <c r="L287" s="843"/>
      <c r="M287" s="843"/>
      <c r="N287" s="843"/>
      <c r="O287" s="509" t="s">
        <v>846</v>
      </c>
      <c r="P287" s="509" t="s">
        <v>847</v>
      </c>
      <c r="Q287" s="840"/>
      <c r="R287" s="837"/>
      <c r="S287" s="837"/>
      <c r="T287" s="837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848">
        <f>O346-P346</f>
        <v>16295</v>
      </c>
      <c r="N347" s="848"/>
      <c r="O347" s="848"/>
      <c r="P347" s="848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43" t="s">
        <v>0</v>
      </c>
      <c r="B350" s="843" t="s">
        <v>21</v>
      </c>
      <c r="C350" s="838" t="s">
        <v>50</v>
      </c>
      <c r="D350" s="837" t="s">
        <v>51</v>
      </c>
      <c r="E350" s="837" t="s">
        <v>9</v>
      </c>
      <c r="F350" s="837" t="s">
        <v>117</v>
      </c>
      <c r="G350" s="837" t="s">
        <v>52</v>
      </c>
      <c r="I350" s="843" t="s">
        <v>0</v>
      </c>
      <c r="J350" s="843" t="s">
        <v>30</v>
      </c>
      <c r="K350" s="843" t="s">
        <v>31</v>
      </c>
      <c r="L350" s="843" t="s">
        <v>103</v>
      </c>
      <c r="M350" s="843" t="s">
        <v>32</v>
      </c>
      <c r="N350" s="843" t="s">
        <v>573</v>
      </c>
      <c r="O350" s="841" t="s">
        <v>83</v>
      </c>
      <c r="P350" s="842"/>
      <c r="Q350" s="839" t="s">
        <v>33</v>
      </c>
      <c r="R350" s="837" t="s">
        <v>106</v>
      </c>
      <c r="S350" s="837" t="s">
        <v>9</v>
      </c>
      <c r="T350" s="837" t="s">
        <v>82</v>
      </c>
    </row>
    <row r="351" spans="1:20" ht="27.75" customHeight="1">
      <c r="A351" s="843"/>
      <c r="B351" s="843"/>
      <c r="C351" s="838"/>
      <c r="D351" s="837"/>
      <c r="E351" s="837"/>
      <c r="F351" s="837"/>
      <c r="G351" s="837"/>
      <c r="I351" s="843"/>
      <c r="J351" s="843"/>
      <c r="K351" s="843"/>
      <c r="L351" s="843"/>
      <c r="M351" s="843"/>
      <c r="N351" s="843"/>
      <c r="O351" s="509" t="s">
        <v>846</v>
      </c>
      <c r="P351" s="509" t="s">
        <v>847</v>
      </c>
      <c r="Q351" s="840"/>
      <c r="R351" s="837"/>
      <c r="S351" s="837"/>
      <c r="T351" s="837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851" t="s">
        <v>798</v>
      </c>
      <c r="D370" s="852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855">
        <v>2130000000</v>
      </c>
      <c r="D371" s="856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855">
        <v>4900000000</v>
      </c>
      <c r="D372" s="856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855"/>
      <c r="D373" s="856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855"/>
      <c r="D374" s="856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849">
        <f>SUM(C371:C374)</f>
        <v>7030000000</v>
      </c>
      <c r="D375" s="850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848">
        <f>O397-P397</f>
        <v>1020</v>
      </c>
      <c r="N398" s="848"/>
      <c r="O398" s="848"/>
      <c r="P398" s="848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43" t="s">
        <v>0</v>
      </c>
      <c r="B400" s="843" t="s">
        <v>21</v>
      </c>
      <c r="C400" s="838" t="s">
        <v>50</v>
      </c>
      <c r="D400" s="837" t="s">
        <v>51</v>
      </c>
      <c r="E400" s="837" t="s">
        <v>9</v>
      </c>
      <c r="F400" s="837" t="s">
        <v>117</v>
      </c>
      <c r="G400" s="837" t="s">
        <v>52</v>
      </c>
      <c r="I400" s="843" t="s">
        <v>0</v>
      </c>
      <c r="J400" s="843" t="s">
        <v>30</v>
      </c>
      <c r="K400" s="843" t="s">
        <v>31</v>
      </c>
      <c r="L400" s="843" t="s">
        <v>103</v>
      </c>
      <c r="M400" s="843" t="s">
        <v>32</v>
      </c>
      <c r="N400" s="843" t="s">
        <v>573</v>
      </c>
      <c r="O400" s="841" t="s">
        <v>83</v>
      </c>
      <c r="P400" s="842"/>
      <c r="Q400" s="839" t="s">
        <v>33</v>
      </c>
      <c r="R400" s="837" t="s">
        <v>106</v>
      </c>
      <c r="S400" s="837" t="s">
        <v>9</v>
      </c>
      <c r="T400" s="837" t="s">
        <v>82</v>
      </c>
    </row>
    <row r="401" spans="1:20" ht="20.25" customHeight="1">
      <c r="A401" s="843"/>
      <c r="B401" s="843"/>
      <c r="C401" s="838"/>
      <c r="D401" s="837"/>
      <c r="E401" s="837"/>
      <c r="F401" s="837"/>
      <c r="G401" s="837"/>
      <c r="I401" s="843"/>
      <c r="J401" s="843"/>
      <c r="K401" s="843"/>
      <c r="L401" s="843"/>
      <c r="M401" s="843"/>
      <c r="N401" s="843"/>
      <c r="O401" s="533" t="s">
        <v>846</v>
      </c>
      <c r="P401" s="533" t="s">
        <v>847</v>
      </c>
      <c r="Q401" s="840"/>
      <c r="R401" s="837"/>
      <c r="S401" s="837"/>
      <c r="T401" s="837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848">
        <f>O409-P409</f>
        <v>1020</v>
      </c>
      <c r="N410" s="848"/>
      <c r="O410" s="848"/>
      <c r="P410" s="848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43" t="s">
        <v>0</v>
      </c>
      <c r="B416" s="843" t="s">
        <v>21</v>
      </c>
      <c r="C416" s="838" t="s">
        <v>50</v>
      </c>
      <c r="D416" s="837" t="s">
        <v>51</v>
      </c>
      <c r="E416" s="837" t="s">
        <v>9</v>
      </c>
      <c r="F416" s="837" t="s">
        <v>117</v>
      </c>
      <c r="G416" s="837" t="s">
        <v>52</v>
      </c>
    </row>
    <row r="417" spans="1:7">
      <c r="A417" s="843"/>
      <c r="B417" s="843"/>
      <c r="C417" s="838"/>
      <c r="D417" s="837"/>
      <c r="E417" s="837"/>
      <c r="F417" s="837"/>
      <c r="G417" s="837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43" t="s">
        <v>0</v>
      </c>
      <c r="B434" s="843" t="s">
        <v>21</v>
      </c>
      <c r="C434" s="838" t="s">
        <v>50</v>
      </c>
      <c r="D434" s="837" t="s">
        <v>51</v>
      </c>
      <c r="E434" s="837" t="s">
        <v>9</v>
      </c>
      <c r="F434" s="837" t="s">
        <v>117</v>
      </c>
      <c r="G434" s="837" t="s">
        <v>52</v>
      </c>
    </row>
    <row r="435" spans="1:7">
      <c r="A435" s="843"/>
      <c r="B435" s="843"/>
      <c r="C435" s="838"/>
      <c r="D435" s="837"/>
      <c r="E435" s="837"/>
      <c r="F435" s="837"/>
      <c r="G435" s="837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43" t="s">
        <v>0</v>
      </c>
      <c r="B448" s="843" t="s">
        <v>21</v>
      </c>
      <c r="C448" s="838" t="s">
        <v>50</v>
      </c>
      <c r="D448" s="837" t="s">
        <v>51</v>
      </c>
      <c r="E448" s="837" t="s">
        <v>9</v>
      </c>
      <c r="F448" s="837" t="s">
        <v>117</v>
      </c>
      <c r="G448" s="837" t="s">
        <v>52</v>
      </c>
    </row>
    <row r="449" spans="1:7">
      <c r="A449" s="843"/>
      <c r="B449" s="843"/>
      <c r="C449" s="838"/>
      <c r="D449" s="837"/>
      <c r="E449" s="837"/>
      <c r="F449" s="837"/>
      <c r="G449" s="837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43" t="s">
        <v>0</v>
      </c>
      <c r="B463" s="843" t="s">
        <v>21</v>
      </c>
      <c r="C463" s="838" t="s">
        <v>50</v>
      </c>
      <c r="D463" s="837" t="s">
        <v>51</v>
      </c>
      <c r="E463" s="837" t="s">
        <v>9</v>
      </c>
      <c r="F463" s="837" t="s">
        <v>117</v>
      </c>
      <c r="G463" s="837" t="s">
        <v>52</v>
      </c>
    </row>
    <row r="464" spans="1:7">
      <c r="A464" s="843"/>
      <c r="B464" s="843"/>
      <c r="C464" s="838"/>
      <c r="D464" s="837"/>
      <c r="E464" s="837"/>
      <c r="F464" s="837"/>
      <c r="G464" s="837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43" t="s">
        <v>0</v>
      </c>
      <c r="B480" s="843" t="s">
        <v>21</v>
      </c>
      <c r="C480" s="838" t="s">
        <v>50</v>
      </c>
      <c r="D480" s="837" t="s">
        <v>51</v>
      </c>
      <c r="E480" s="837" t="s">
        <v>9</v>
      </c>
      <c r="F480" s="837" t="s">
        <v>117</v>
      </c>
      <c r="G480" s="837" t="s">
        <v>52</v>
      </c>
    </row>
    <row r="481" spans="1:7">
      <c r="A481" s="843"/>
      <c r="B481" s="843"/>
      <c r="C481" s="838"/>
      <c r="D481" s="837"/>
      <c r="E481" s="837"/>
      <c r="F481" s="837"/>
      <c r="G481" s="837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43" t="s">
        <v>0</v>
      </c>
      <c r="B496" s="843" t="s">
        <v>21</v>
      </c>
      <c r="C496" s="838" t="s">
        <v>50</v>
      </c>
      <c r="D496" s="837" t="s">
        <v>51</v>
      </c>
      <c r="E496" s="837" t="s">
        <v>9</v>
      </c>
      <c r="F496" s="837" t="s">
        <v>117</v>
      </c>
      <c r="G496" s="837" t="s">
        <v>52</v>
      </c>
    </row>
    <row r="497" spans="1:7">
      <c r="A497" s="843"/>
      <c r="B497" s="843"/>
      <c r="C497" s="838"/>
      <c r="D497" s="837"/>
      <c r="E497" s="837"/>
      <c r="F497" s="837"/>
      <c r="G497" s="837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846" t="s">
        <v>0</v>
      </c>
      <c r="B516" s="846" t="s">
        <v>21</v>
      </c>
      <c r="C516" s="839" t="s">
        <v>50</v>
      </c>
      <c r="D516" s="844" t="s">
        <v>51</v>
      </c>
      <c r="E516" s="844" t="s">
        <v>9</v>
      </c>
      <c r="F516" s="844" t="s">
        <v>117</v>
      </c>
      <c r="G516" s="844" t="s">
        <v>52</v>
      </c>
      <c r="I516" s="846" t="s">
        <v>0</v>
      </c>
      <c r="J516" s="846" t="s">
        <v>30</v>
      </c>
      <c r="K516" s="846" t="s">
        <v>31</v>
      </c>
      <c r="L516" s="846" t="s">
        <v>103</v>
      </c>
      <c r="M516" s="846" t="s">
        <v>32</v>
      </c>
      <c r="N516" s="846" t="s">
        <v>573</v>
      </c>
      <c r="O516" s="841" t="s">
        <v>83</v>
      </c>
      <c r="P516" s="842"/>
      <c r="Q516" s="839" t="s">
        <v>33</v>
      </c>
      <c r="R516" s="844" t="s">
        <v>106</v>
      </c>
      <c r="S516" s="844" t="s">
        <v>9</v>
      </c>
      <c r="T516" s="844" t="s">
        <v>82</v>
      </c>
    </row>
    <row r="517" spans="1:20" ht="21.75" customHeight="1">
      <c r="A517" s="847"/>
      <c r="B517" s="847"/>
      <c r="C517" s="840"/>
      <c r="D517" s="845"/>
      <c r="E517" s="845"/>
      <c r="F517" s="845"/>
      <c r="G517" s="845"/>
      <c r="I517" s="847"/>
      <c r="J517" s="847"/>
      <c r="K517" s="847"/>
      <c r="L517" s="847"/>
      <c r="M517" s="847"/>
      <c r="N517" s="847"/>
      <c r="O517" s="734" t="s">
        <v>846</v>
      </c>
      <c r="P517" s="734" t="s">
        <v>847</v>
      </c>
      <c r="Q517" s="840"/>
      <c r="R517" s="845"/>
      <c r="S517" s="845"/>
      <c r="T517" s="845"/>
    </row>
    <row r="518" spans="1:20">
      <c r="A518" s="711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11" t="s">
        <v>787</v>
      </c>
      <c r="M518" s="711">
        <f t="shared" ref="M518:M521" si="159">IF(K518&lt;&gt;"",K518-J518+1,"")</f>
        <v>35</v>
      </c>
      <c r="N518" s="711">
        <f t="shared" ref="N518:N521" si="160">IF(M518&lt;&gt;"",M518,"")</f>
        <v>35</v>
      </c>
      <c r="O518" s="732">
        <v>5</v>
      </c>
      <c r="P518" s="732">
        <f t="shared" ref="P518:P521" si="161">IF(K518&lt;&gt;"",O518,0)</f>
        <v>5</v>
      </c>
      <c r="Q518" s="733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11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11" t="s">
        <v>87</v>
      </c>
      <c r="M519" s="711">
        <f t="shared" si="159"/>
        <v>34</v>
      </c>
      <c r="N519" s="711">
        <f t="shared" si="160"/>
        <v>34</v>
      </c>
      <c r="O519" s="732">
        <v>575</v>
      </c>
      <c r="P519" s="732">
        <f t="shared" si="161"/>
        <v>575</v>
      </c>
      <c r="Q519" s="733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11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11" t="s">
        <v>875</v>
      </c>
      <c r="M520" s="711">
        <f t="shared" si="159"/>
        <v>34</v>
      </c>
      <c r="N520" s="711">
        <f t="shared" si="160"/>
        <v>34</v>
      </c>
      <c r="O520" s="732">
        <v>440</v>
      </c>
      <c r="P520" s="732">
        <f t="shared" si="161"/>
        <v>440</v>
      </c>
      <c r="Q520" s="733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11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11" t="s">
        <v>787</v>
      </c>
      <c r="M521" s="711">
        <f t="shared" si="159"/>
        <v>11</v>
      </c>
      <c r="N521" s="711">
        <f t="shared" si="160"/>
        <v>11</v>
      </c>
      <c r="O521" s="732">
        <v>272</v>
      </c>
      <c r="P521" s="732">
        <f t="shared" si="161"/>
        <v>272</v>
      </c>
      <c r="Q521" s="733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848">
        <f>O571-P571</f>
        <v>8120</v>
      </c>
      <c r="N572" s="848"/>
      <c r="O572" s="848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43" t="s">
        <v>0</v>
      </c>
      <c r="B575" s="843" t="s">
        <v>21</v>
      </c>
      <c r="C575" s="838" t="s">
        <v>50</v>
      </c>
      <c r="D575" s="837" t="s">
        <v>51</v>
      </c>
      <c r="E575" s="837" t="s">
        <v>9</v>
      </c>
      <c r="F575" s="837" t="s">
        <v>117</v>
      </c>
      <c r="G575" s="837" t="s">
        <v>52</v>
      </c>
      <c r="I575" s="843" t="s">
        <v>0</v>
      </c>
      <c r="J575" s="843" t="s">
        <v>30</v>
      </c>
      <c r="K575" s="843" t="s">
        <v>31</v>
      </c>
      <c r="L575" s="843" t="s">
        <v>103</v>
      </c>
      <c r="M575" s="843" t="s">
        <v>32</v>
      </c>
      <c r="N575" s="843" t="s">
        <v>573</v>
      </c>
      <c r="O575" s="841" t="s">
        <v>83</v>
      </c>
      <c r="P575" s="842"/>
      <c r="Q575" s="839" t="s">
        <v>33</v>
      </c>
      <c r="R575" s="837" t="s">
        <v>106</v>
      </c>
      <c r="S575" s="837" t="s">
        <v>9</v>
      </c>
      <c r="T575" s="837" t="s">
        <v>82</v>
      </c>
    </row>
    <row r="576" spans="1:20" ht="21" customHeight="1">
      <c r="A576" s="843"/>
      <c r="B576" s="843"/>
      <c r="C576" s="838"/>
      <c r="D576" s="837"/>
      <c r="E576" s="837"/>
      <c r="F576" s="837"/>
      <c r="G576" s="837"/>
      <c r="I576" s="843"/>
      <c r="J576" s="843"/>
      <c r="K576" s="843"/>
      <c r="L576" s="843"/>
      <c r="M576" s="843"/>
      <c r="N576" s="843"/>
      <c r="O576" s="639" t="s">
        <v>846</v>
      </c>
      <c r="P576" s="639" t="s">
        <v>847</v>
      </c>
      <c r="Q576" s="840"/>
      <c r="R576" s="837"/>
      <c r="S576" s="837"/>
      <c r="T576" s="837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848">
        <f>O582-P582</f>
        <v>0</v>
      </c>
      <c r="N583" s="848"/>
      <c r="O583" s="848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43" t="s">
        <v>0</v>
      </c>
      <c r="B592" s="843" t="s">
        <v>21</v>
      </c>
      <c r="C592" s="838" t="s">
        <v>50</v>
      </c>
      <c r="D592" s="837" t="s">
        <v>51</v>
      </c>
      <c r="E592" s="837" t="s">
        <v>9</v>
      </c>
      <c r="F592" s="837" t="s">
        <v>117</v>
      </c>
      <c r="G592" s="837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43"/>
      <c r="B593" s="843"/>
      <c r="C593" s="838"/>
      <c r="D593" s="837"/>
      <c r="E593" s="837"/>
      <c r="F593" s="837"/>
      <c r="G593" s="837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43" t="s">
        <v>0</v>
      </c>
      <c r="B610" s="843" t="s">
        <v>21</v>
      </c>
      <c r="C610" s="838" t="s">
        <v>50</v>
      </c>
      <c r="D610" s="837" t="s">
        <v>51</v>
      </c>
      <c r="E610" s="837" t="s">
        <v>9</v>
      </c>
      <c r="F610" s="837" t="s">
        <v>117</v>
      </c>
      <c r="G610" s="837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43"/>
      <c r="B611" s="843"/>
      <c r="C611" s="838"/>
      <c r="D611" s="837"/>
      <c r="E611" s="837"/>
      <c r="F611" s="837"/>
      <c r="G611" s="837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43" t="s">
        <v>0</v>
      </c>
      <c r="B628" s="843" t="s">
        <v>21</v>
      </c>
      <c r="C628" s="838" t="s">
        <v>50</v>
      </c>
      <c r="D628" s="837" t="s">
        <v>51</v>
      </c>
      <c r="E628" s="837" t="s">
        <v>9</v>
      </c>
      <c r="F628" s="837" t="s">
        <v>117</v>
      </c>
      <c r="G628" s="837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43"/>
      <c r="B629" s="843"/>
      <c r="C629" s="838"/>
      <c r="D629" s="837"/>
      <c r="E629" s="837"/>
      <c r="F629" s="837"/>
      <c r="G629" s="837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43" t="s">
        <v>0</v>
      </c>
      <c r="B643" s="843" t="s">
        <v>21</v>
      </c>
      <c r="C643" s="838" t="s">
        <v>50</v>
      </c>
      <c r="D643" s="837" t="s">
        <v>51</v>
      </c>
      <c r="E643" s="837" t="s">
        <v>9</v>
      </c>
      <c r="F643" s="837" t="s">
        <v>117</v>
      </c>
      <c r="G643" s="837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43"/>
      <c r="B644" s="843"/>
      <c r="C644" s="838"/>
      <c r="D644" s="837"/>
      <c r="E644" s="837"/>
      <c r="F644" s="837"/>
      <c r="G644" s="837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43" t="s">
        <v>0</v>
      </c>
      <c r="B656" s="843" t="s">
        <v>21</v>
      </c>
      <c r="C656" s="838" t="s">
        <v>50</v>
      </c>
      <c r="D656" s="837" t="s">
        <v>51</v>
      </c>
      <c r="E656" s="837" t="s">
        <v>9</v>
      </c>
      <c r="F656" s="837" t="s">
        <v>117</v>
      </c>
      <c r="G656" s="837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43"/>
      <c r="B657" s="843"/>
      <c r="C657" s="838"/>
      <c r="D657" s="837"/>
      <c r="E657" s="837"/>
      <c r="F657" s="837"/>
      <c r="G657" s="837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43" t="s">
        <v>0</v>
      </c>
      <c r="B672" s="843" t="s">
        <v>21</v>
      </c>
      <c r="C672" s="838" t="s">
        <v>50</v>
      </c>
      <c r="D672" s="837" t="s">
        <v>51</v>
      </c>
      <c r="E672" s="837" t="s">
        <v>9</v>
      </c>
      <c r="F672" s="837" t="s">
        <v>117</v>
      </c>
      <c r="G672" s="837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43"/>
      <c r="B673" s="843"/>
      <c r="C673" s="838"/>
      <c r="D673" s="837"/>
      <c r="E673" s="837"/>
      <c r="F673" s="837"/>
      <c r="G673" s="837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80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80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80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80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43" t="s">
        <v>0</v>
      </c>
      <c r="B686" s="843" t="s">
        <v>21</v>
      </c>
      <c r="C686" s="838" t="s">
        <v>50</v>
      </c>
      <c r="D686" s="837" t="s">
        <v>51</v>
      </c>
      <c r="E686" s="837" t="s">
        <v>9</v>
      </c>
      <c r="F686" s="837" t="s">
        <v>117</v>
      </c>
      <c r="G686" s="837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43"/>
      <c r="B687" s="843"/>
      <c r="C687" s="838"/>
      <c r="D687" s="837"/>
      <c r="E687" s="837"/>
      <c r="F687" s="837"/>
      <c r="G687" s="837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90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90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90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90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90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90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90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90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43" t="s">
        <v>0</v>
      </c>
      <c r="B703" s="843" t="s">
        <v>21</v>
      </c>
      <c r="C703" s="838" t="s">
        <v>50</v>
      </c>
      <c r="D703" s="837" t="s">
        <v>51</v>
      </c>
      <c r="E703" s="837" t="s">
        <v>9</v>
      </c>
      <c r="F703" s="837" t="s">
        <v>117</v>
      </c>
      <c r="G703" s="837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43"/>
      <c r="B704" s="843"/>
      <c r="C704" s="838"/>
      <c r="D704" s="837"/>
      <c r="E704" s="837"/>
      <c r="F704" s="837"/>
      <c r="G704" s="837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4">
        <v>1</v>
      </c>
      <c r="B705" s="264" t="s">
        <v>1176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4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4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4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4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43" t="s">
        <v>0</v>
      </c>
      <c r="B717" s="843" t="s">
        <v>21</v>
      </c>
      <c r="C717" s="838" t="s">
        <v>50</v>
      </c>
      <c r="D717" s="837" t="s">
        <v>51</v>
      </c>
      <c r="E717" s="837" t="s">
        <v>9</v>
      </c>
      <c r="F717" s="837" t="s">
        <v>117</v>
      </c>
      <c r="G717" s="837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43"/>
      <c r="B718" s="843"/>
      <c r="C718" s="838"/>
      <c r="D718" s="837"/>
      <c r="E718" s="837"/>
      <c r="F718" s="837"/>
      <c r="G718" s="837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11">
        <v>1</v>
      </c>
      <c r="B719" s="264" t="s">
        <v>1182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11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11">
        <v>2</v>
      </c>
      <c r="B721" s="264" t="s">
        <v>1182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11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11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11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11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43" t="s">
        <v>0</v>
      </c>
      <c r="B732" s="843" t="s">
        <v>21</v>
      </c>
      <c r="C732" s="838" t="s">
        <v>50</v>
      </c>
      <c r="D732" s="837" t="s">
        <v>51</v>
      </c>
      <c r="E732" s="837" t="s">
        <v>9</v>
      </c>
      <c r="F732" s="837" t="s">
        <v>117</v>
      </c>
      <c r="G732" s="837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43"/>
      <c r="B733" s="843"/>
      <c r="C733" s="838"/>
      <c r="D733" s="837"/>
      <c r="E733" s="837"/>
      <c r="F733" s="837"/>
      <c r="G733" s="837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11">
        <v>1</v>
      </c>
      <c r="B734" s="264" t="s">
        <v>1186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11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11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43" t="s">
        <v>0</v>
      </c>
      <c r="B747" s="843" t="s">
        <v>21</v>
      </c>
      <c r="C747" s="838" t="s">
        <v>50</v>
      </c>
      <c r="D747" s="837" t="s">
        <v>51</v>
      </c>
      <c r="E747" s="837" t="s">
        <v>9</v>
      </c>
      <c r="F747" s="837" t="s">
        <v>117</v>
      </c>
      <c r="G747" s="837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43"/>
      <c r="B748" s="843"/>
      <c r="C748" s="838"/>
      <c r="D748" s="837"/>
      <c r="E748" s="837"/>
      <c r="F748" s="837"/>
      <c r="G748" s="837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11">
        <v>1</v>
      </c>
      <c r="B749" s="264" t="s">
        <v>1197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11">
        <v>2</v>
      </c>
      <c r="B750" s="256" t="s">
        <v>1198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11">
        <v>3</v>
      </c>
      <c r="B751" s="256" t="s">
        <v>1199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11">
        <v>4</v>
      </c>
      <c r="B752" s="256" t="s">
        <v>1200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</mergeCells>
  <pageMargins left="0.16" right="0" top="0.44" bottom="0.16" header="0.16" footer="0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60"/>
  <sheetViews>
    <sheetView topLeftCell="A19" zoomScale="90" zoomScaleNormal="90" workbookViewId="0">
      <selection activeCell="L53" sqref="L53"/>
    </sheetView>
  </sheetViews>
  <sheetFormatPr defaultColWidth="9.140625" defaultRowHeight="12.75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14.85546875" customWidth="1"/>
    <col min="15" max="15" width="15" bestFit="1" customWidth="1"/>
  </cols>
  <sheetData>
    <row r="1" spans="1:13" s="335" customFormat="1" ht="15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</row>
    <row r="2" spans="1:13" s="335" customFormat="1" ht="15" customHeight="1">
      <c r="A2" s="559"/>
      <c r="B2" s="843" t="s">
        <v>0</v>
      </c>
      <c r="C2" s="843" t="s">
        <v>30</v>
      </c>
      <c r="D2" s="843" t="s">
        <v>31</v>
      </c>
      <c r="E2" s="843" t="s">
        <v>725</v>
      </c>
      <c r="F2" s="843" t="s">
        <v>103</v>
      </c>
      <c r="G2" s="843" t="s">
        <v>32</v>
      </c>
      <c r="H2" s="859" t="s">
        <v>83</v>
      </c>
      <c r="I2" s="860"/>
      <c r="J2" s="839" t="s">
        <v>33</v>
      </c>
      <c r="K2" s="837" t="s">
        <v>106</v>
      </c>
      <c r="L2" s="837" t="s">
        <v>9</v>
      </c>
      <c r="M2" s="559"/>
    </row>
    <row r="3" spans="1:13" s="335" customFormat="1" ht="15">
      <c r="A3" s="559"/>
      <c r="B3" s="843"/>
      <c r="C3" s="843"/>
      <c r="D3" s="843"/>
      <c r="E3" s="843"/>
      <c r="F3" s="843"/>
      <c r="G3" s="843"/>
      <c r="H3" s="861"/>
      <c r="I3" s="862"/>
      <c r="J3" s="840"/>
      <c r="K3" s="837"/>
      <c r="L3" s="837"/>
      <c r="M3" s="559"/>
    </row>
    <row r="4" spans="1:13" s="335" customFormat="1" ht="15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</row>
    <row r="5" spans="1:13" s="335" customFormat="1" ht="15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</row>
    <row r="6" spans="1:13" s="335" customFormat="1" ht="15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</row>
    <row r="7" spans="1:13" s="335" customFormat="1" ht="15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</row>
    <row r="8" spans="1:13" s="335" customFormat="1" ht="15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</row>
    <row r="9" spans="1:13" s="335" customFormat="1" ht="7.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</row>
    <row r="10" spans="1:13" s="335" customFormat="1" ht="15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</row>
    <row r="11" spans="1:13" s="335" customFormat="1" ht="15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</row>
    <row r="12" spans="1:13" s="335" customFormat="1" ht="6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</row>
    <row r="13" spans="1:13" s="335" customFormat="1" ht="15">
      <c r="A13" s="559"/>
      <c r="B13" s="560"/>
      <c r="C13" s="681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</row>
    <row r="14" spans="1:13" s="335" customFormat="1" ht="15">
      <c r="A14" s="559"/>
      <c r="B14" s="334"/>
      <c r="C14" s="352" t="s">
        <v>1181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</row>
    <row r="15" spans="1:13" s="335" customFormat="1" ht="21.75" customHeight="1">
      <c r="A15" s="559"/>
      <c r="B15" s="843" t="s">
        <v>0</v>
      </c>
      <c r="C15" s="843" t="s">
        <v>30</v>
      </c>
      <c r="D15" s="843" t="s">
        <v>31</v>
      </c>
      <c r="E15" s="843" t="s">
        <v>725</v>
      </c>
      <c r="F15" s="843" t="s">
        <v>103</v>
      </c>
      <c r="G15" s="843" t="s">
        <v>32</v>
      </c>
      <c r="H15" s="859" t="s">
        <v>83</v>
      </c>
      <c r="I15" s="860"/>
      <c r="J15" s="839" t="s">
        <v>33</v>
      </c>
      <c r="K15" s="837" t="s">
        <v>106</v>
      </c>
      <c r="L15" s="837" t="s">
        <v>9</v>
      </c>
      <c r="M15" s="559"/>
    </row>
    <row r="16" spans="1:13" s="335" customFormat="1" ht="15" customHeight="1">
      <c r="A16" s="559"/>
      <c r="B16" s="843"/>
      <c r="C16" s="843"/>
      <c r="D16" s="843"/>
      <c r="E16" s="843"/>
      <c r="F16" s="843"/>
      <c r="G16" s="843"/>
      <c r="H16" s="861"/>
      <c r="I16" s="862"/>
      <c r="J16" s="840"/>
      <c r="K16" s="837"/>
      <c r="L16" s="837"/>
      <c r="M16" s="559"/>
    </row>
    <row r="17" spans="1:13" s="335" customFormat="1" ht="15" customHeight="1">
      <c r="A17" s="559"/>
      <c r="B17" s="489">
        <v>1</v>
      </c>
      <c r="C17" s="355">
        <v>42972</v>
      </c>
      <c r="D17" s="355">
        <v>43069</v>
      </c>
      <c r="E17" s="513"/>
      <c r="F17" s="864" t="s">
        <v>1194</v>
      </c>
      <c r="G17" s="708">
        <f>IF(D17&lt;&gt;"",D17-C17+1,IF(E17&lt;&gt;"",E17-C17+1,""))</f>
        <v>98</v>
      </c>
      <c r="H17" s="705">
        <f>13038-H26-SUM(H27:H31)</f>
        <v>497</v>
      </c>
      <c r="I17" s="705">
        <f t="shared" ref="I17" si="6">IF(D17&lt;&gt;"",H17,0)</f>
        <v>497</v>
      </c>
      <c r="J17" s="706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</row>
    <row r="18" spans="1:13" s="335" customFormat="1" ht="15" customHeight="1">
      <c r="A18" s="559"/>
      <c r="B18" s="489">
        <v>2</v>
      </c>
      <c r="C18" s="355">
        <v>42973</v>
      </c>
      <c r="D18" s="355">
        <v>43069</v>
      </c>
      <c r="E18" s="513"/>
      <c r="F18" s="865"/>
      <c r="G18" s="708">
        <f>IF(D18&lt;&gt;"",D18-C18+1,IF(E18&lt;&gt;"",E18-C18+1,""))</f>
        <v>97</v>
      </c>
      <c r="H18" s="705">
        <v>1000</v>
      </c>
      <c r="I18" s="705">
        <f t="shared" ref="I18:I35" si="9">IF(D18&lt;&gt;"",H18,0)</f>
        <v>1000</v>
      </c>
      <c r="J18" s="706">
        <f t="shared" ref="J18" si="10">H18*13</f>
        <v>13000</v>
      </c>
      <c r="K18" s="357">
        <f t="shared" ref="K18" si="11">IF(G18&lt;&gt;"",20000,0)</f>
        <v>20000</v>
      </c>
      <c r="L18" s="357">
        <f>IF(G18&lt;&gt;"",K18*J18*G18/1000,"")</f>
        <v>25220000</v>
      </c>
      <c r="M18" s="559"/>
    </row>
    <row r="19" spans="1:13" s="335" customFormat="1" ht="15" customHeight="1">
      <c r="A19" s="559"/>
      <c r="B19" s="489">
        <v>3</v>
      </c>
      <c r="C19" s="355">
        <v>42974</v>
      </c>
      <c r="D19" s="355">
        <v>43069</v>
      </c>
      <c r="E19" s="513"/>
      <c r="F19" s="865"/>
      <c r="G19" s="708">
        <f t="shared" ref="G19:G20" si="12">IF(D19&lt;&gt;"",D19-C19+1,IF(E19&lt;&gt;"",E19-C19+1,""))</f>
        <v>96</v>
      </c>
      <c r="H19" s="705">
        <v>1441</v>
      </c>
      <c r="I19" s="705">
        <f t="shared" si="9"/>
        <v>1441</v>
      </c>
      <c r="J19" s="706">
        <f t="shared" si="7"/>
        <v>18733</v>
      </c>
      <c r="K19" s="357">
        <f t="shared" si="8"/>
        <v>20000</v>
      </c>
      <c r="L19" s="357">
        <f t="shared" ref="L19:L20" si="13">IF(G19&lt;&gt;"",K19*J19*G19/1000,"")</f>
        <v>35967360</v>
      </c>
      <c r="M19" s="559"/>
    </row>
    <row r="20" spans="1:13" s="335" customFormat="1" ht="15" customHeight="1">
      <c r="A20" s="559"/>
      <c r="B20" s="489">
        <v>4</v>
      </c>
      <c r="C20" s="355">
        <v>42975</v>
      </c>
      <c r="D20" s="355">
        <v>43069</v>
      </c>
      <c r="E20" s="513"/>
      <c r="F20" s="865"/>
      <c r="G20" s="708">
        <f t="shared" si="12"/>
        <v>95</v>
      </c>
      <c r="H20" s="705">
        <v>1122</v>
      </c>
      <c r="I20" s="705">
        <f t="shared" si="9"/>
        <v>1122</v>
      </c>
      <c r="J20" s="706">
        <f t="shared" si="7"/>
        <v>14586</v>
      </c>
      <c r="K20" s="357">
        <f t="shared" si="8"/>
        <v>20000</v>
      </c>
      <c r="L20" s="357">
        <f t="shared" si="13"/>
        <v>27713400</v>
      </c>
      <c r="M20" s="559"/>
    </row>
    <row r="21" spans="1:13" s="335" customFormat="1" ht="15" customHeight="1">
      <c r="A21" s="559"/>
      <c r="B21" s="489">
        <v>5</v>
      </c>
      <c r="C21" s="355">
        <v>42975</v>
      </c>
      <c r="D21" s="355">
        <v>43083</v>
      </c>
      <c r="E21" s="513"/>
      <c r="F21" s="865"/>
      <c r="G21" s="708">
        <f t="shared" ref="G21" si="14">IF(D21&lt;&gt;"",D21-C21+1,IF(E21&lt;&gt;"",E21-C21+1,""))</f>
        <v>109</v>
      </c>
      <c r="H21" s="705">
        <f>1173-H20</f>
        <v>51</v>
      </c>
      <c r="I21" s="705">
        <f t="shared" ref="I21" si="15">IF(D21&lt;&gt;"",H21,0)</f>
        <v>51</v>
      </c>
      <c r="J21" s="706">
        <f t="shared" ref="J21" si="16">H21*13</f>
        <v>663</v>
      </c>
      <c r="K21" s="357">
        <f t="shared" ref="K21" si="17">IF(G21&lt;&gt;"",20000,0)</f>
        <v>20000</v>
      </c>
      <c r="L21" s="357">
        <f t="shared" ref="L21" si="18">IF(G21&lt;&gt;"",K21*J21*G21/1000,"")</f>
        <v>1445340</v>
      </c>
      <c r="M21" s="559"/>
    </row>
    <row r="22" spans="1:13" s="335" customFormat="1" ht="15" customHeight="1">
      <c r="A22" s="559"/>
      <c r="B22" s="489">
        <v>6</v>
      </c>
      <c r="C22" s="355">
        <v>42978</v>
      </c>
      <c r="D22" s="355">
        <v>43083</v>
      </c>
      <c r="E22" s="513"/>
      <c r="F22" s="865"/>
      <c r="G22" s="708">
        <f t="shared" ref="G22:G23" si="19">IF(D22&lt;&gt;"",D22-C22+1,IF(E22&lt;&gt;"",E22-C22+1,""))</f>
        <v>106</v>
      </c>
      <c r="H22" s="705">
        <v>1446</v>
      </c>
      <c r="I22" s="705">
        <f t="shared" si="9"/>
        <v>1446</v>
      </c>
      <c r="J22" s="706">
        <f t="shared" ref="J22:J23" si="20">H22*13</f>
        <v>18798</v>
      </c>
      <c r="K22" s="357">
        <f t="shared" ref="K22:K23" si="21">IF(G22&lt;&gt;"",20000,0)</f>
        <v>20000</v>
      </c>
      <c r="L22" s="357">
        <f t="shared" ref="L22:L23" si="22">IF(G22&lt;&gt;"",K22*J22*G22/1000,"")</f>
        <v>39851760</v>
      </c>
      <c r="M22" s="559"/>
    </row>
    <row r="23" spans="1:13" s="335" customFormat="1" ht="15" customHeight="1">
      <c r="A23" s="559"/>
      <c r="B23" s="489">
        <v>7</v>
      </c>
      <c r="C23" s="355">
        <v>42979</v>
      </c>
      <c r="D23" s="355">
        <v>43083</v>
      </c>
      <c r="E23" s="513"/>
      <c r="F23" s="866"/>
      <c r="G23" s="708">
        <f t="shared" si="19"/>
        <v>105</v>
      </c>
      <c r="H23" s="705">
        <f>533+42</f>
        <v>575</v>
      </c>
      <c r="I23" s="705">
        <f t="shared" ref="I23" si="23">IF(D23&lt;&gt;"",H23,0)</f>
        <v>575</v>
      </c>
      <c r="J23" s="706">
        <f t="shared" si="20"/>
        <v>7475</v>
      </c>
      <c r="K23" s="357">
        <f t="shared" si="21"/>
        <v>20000</v>
      </c>
      <c r="L23" s="357">
        <f t="shared" si="22"/>
        <v>15697500</v>
      </c>
      <c r="M23" s="559"/>
    </row>
    <row r="24" spans="1:13" s="335" customFormat="1" ht="15" customHeight="1">
      <c r="A24" s="559"/>
      <c r="B24" s="719">
        <v>8</v>
      </c>
      <c r="C24" s="720">
        <v>42979</v>
      </c>
      <c r="D24" s="720">
        <v>43083</v>
      </c>
      <c r="E24" s="721"/>
      <c r="F24" s="722" t="s">
        <v>1170</v>
      </c>
      <c r="G24" s="723">
        <f t="shared" ref="G24:G33" si="24">IF(D24&lt;&gt;"",D24-C24+1,IF(E24&lt;&gt;"",E24-C24+1,""))</f>
        <v>105</v>
      </c>
      <c r="H24" s="715">
        <f>3158-H32-H23</f>
        <v>553</v>
      </c>
      <c r="I24" s="715">
        <f t="shared" si="9"/>
        <v>553</v>
      </c>
      <c r="J24" s="608">
        <f t="shared" si="7"/>
        <v>7189</v>
      </c>
      <c r="K24" s="724">
        <f t="shared" si="8"/>
        <v>20000</v>
      </c>
      <c r="L24" s="724">
        <f t="shared" ref="L24:L30" si="25">IF(G24&lt;&gt;"",K24*J24*G24/1000,"")</f>
        <v>15096900</v>
      </c>
      <c r="M24" s="559"/>
    </row>
    <row r="25" spans="1:13" s="335" customFormat="1" ht="15" customHeight="1">
      <c r="A25" s="559"/>
      <c r="B25" s="489">
        <v>9</v>
      </c>
      <c r="C25" s="355">
        <v>42989</v>
      </c>
      <c r="D25" s="355">
        <v>42997</v>
      </c>
      <c r="E25" s="513"/>
      <c r="F25" s="718" t="s">
        <v>1171</v>
      </c>
      <c r="G25" s="708">
        <f t="shared" ref="G25" si="26">IF(D25&lt;&gt;"",D25-C25+1,IF(E25&lt;&gt;"",E25-C25+1,""))</f>
        <v>9</v>
      </c>
      <c r="H25" s="705">
        <v>1550</v>
      </c>
      <c r="I25" s="705">
        <f t="shared" ref="I25" si="27">IF(D25&lt;&gt;"",H25,0)</f>
        <v>1550</v>
      </c>
      <c r="J25" s="706">
        <f t="shared" ref="J25" si="28">H25*13</f>
        <v>20150</v>
      </c>
      <c r="K25" s="357">
        <f t="shared" ref="K25" si="29">IF(G25&lt;&gt;"",20000,0)</f>
        <v>20000</v>
      </c>
      <c r="L25" s="357">
        <f t="shared" ref="L25" si="30">IF(G25&lt;&gt;"",K25*J25*G25/1000,"")</f>
        <v>3627000</v>
      </c>
      <c r="M25" s="559"/>
    </row>
    <row r="26" spans="1:13" s="335" customFormat="1" ht="15" customHeight="1">
      <c r="A26" s="559"/>
      <c r="B26" s="489">
        <v>10</v>
      </c>
      <c r="C26" s="355">
        <v>42972</v>
      </c>
      <c r="D26" s="355">
        <v>42985</v>
      </c>
      <c r="E26" s="513"/>
      <c r="F26" s="707" t="s">
        <v>1196</v>
      </c>
      <c r="G26" s="708">
        <f>IF(D26&lt;&gt;"",D26-C26+1,IF(E26&lt;&gt;"",E26-C26+1,""))</f>
        <v>14</v>
      </c>
      <c r="H26" s="705">
        <f>4620+400</f>
        <v>5020</v>
      </c>
      <c r="I26" s="705">
        <f t="shared" ref="I26" si="31">IF(D26&lt;&gt;"",H26,0)</f>
        <v>5020</v>
      </c>
      <c r="J26" s="706">
        <f t="shared" ref="J26" si="32">H26*13</f>
        <v>65260</v>
      </c>
      <c r="K26" s="357">
        <f t="shared" ref="K26" si="33">IF(G26&lt;&gt;"",20000,0)</f>
        <v>20000</v>
      </c>
      <c r="L26" s="357">
        <f>IF(G26&lt;&gt;"",K26*J26*G26/1000,"")</f>
        <v>18272800</v>
      </c>
      <c r="M26" s="559"/>
    </row>
    <row r="27" spans="1:13" s="335" customFormat="1" ht="15" customHeight="1">
      <c r="A27" s="559"/>
      <c r="B27" s="489">
        <v>11</v>
      </c>
      <c r="C27" s="355">
        <v>42972</v>
      </c>
      <c r="D27" s="355">
        <v>43029</v>
      </c>
      <c r="E27" s="513"/>
      <c r="F27" s="707" t="s">
        <v>1171</v>
      </c>
      <c r="G27" s="708">
        <f t="shared" ref="G27" si="34">IF(D27&lt;&gt;"",D27-C27+1,IF(E27&lt;&gt;"",E27-C27+1,""))</f>
        <v>58</v>
      </c>
      <c r="H27" s="705">
        <v>3109</v>
      </c>
      <c r="I27" s="705">
        <f t="shared" si="9"/>
        <v>3109</v>
      </c>
      <c r="J27" s="706">
        <f t="shared" ref="J27" si="35">H27*13</f>
        <v>40417</v>
      </c>
      <c r="K27" s="357">
        <f t="shared" ref="K27" si="36">IF(G27&lt;&gt;"",20000,0)</f>
        <v>20000</v>
      </c>
      <c r="L27" s="357">
        <f t="shared" ref="L27" si="37">IF(G27&lt;&gt;"",K27*J27*G27/1000,"")</f>
        <v>46883720</v>
      </c>
      <c r="M27" s="559"/>
    </row>
    <row r="28" spans="1:13" s="335" customFormat="1" ht="15" customHeight="1">
      <c r="A28" s="559"/>
      <c r="B28" s="719">
        <v>12</v>
      </c>
      <c r="C28" s="720">
        <v>42972</v>
      </c>
      <c r="D28" s="720">
        <v>43002</v>
      </c>
      <c r="E28" s="721"/>
      <c r="F28" s="722" t="s">
        <v>1172</v>
      </c>
      <c r="G28" s="723">
        <f t="shared" si="24"/>
        <v>31</v>
      </c>
      <c r="H28" s="731">
        <v>10</v>
      </c>
      <c r="I28" s="731">
        <f t="shared" si="9"/>
        <v>10</v>
      </c>
      <c r="J28" s="608">
        <f t="shared" si="7"/>
        <v>130</v>
      </c>
      <c r="K28" s="724">
        <f t="shared" si="8"/>
        <v>20000</v>
      </c>
      <c r="L28" s="724">
        <f t="shared" si="25"/>
        <v>80600</v>
      </c>
      <c r="M28" s="559"/>
    </row>
    <row r="29" spans="1:13" s="335" customFormat="1" ht="15" customHeight="1">
      <c r="A29" s="559"/>
      <c r="B29" s="489">
        <v>13</v>
      </c>
      <c r="C29" s="355">
        <v>42972</v>
      </c>
      <c r="D29" s="355">
        <v>43019</v>
      </c>
      <c r="E29" s="513"/>
      <c r="F29" s="867" t="s">
        <v>1173</v>
      </c>
      <c r="G29" s="708">
        <f t="shared" si="24"/>
        <v>48</v>
      </c>
      <c r="H29" s="705">
        <v>2030</v>
      </c>
      <c r="I29" s="705">
        <f t="shared" si="9"/>
        <v>2030</v>
      </c>
      <c r="J29" s="706">
        <f t="shared" si="7"/>
        <v>26390</v>
      </c>
      <c r="K29" s="357">
        <f t="shared" si="8"/>
        <v>20000</v>
      </c>
      <c r="L29" s="357">
        <f t="shared" si="25"/>
        <v>25334400</v>
      </c>
      <c r="M29" s="559"/>
    </row>
    <row r="30" spans="1:13" s="335" customFormat="1" ht="15" customHeight="1">
      <c r="A30" s="559"/>
      <c r="B30" s="489">
        <v>14</v>
      </c>
      <c r="C30" s="355">
        <v>42972</v>
      </c>
      <c r="D30" s="355">
        <v>43020</v>
      </c>
      <c r="E30" s="513"/>
      <c r="F30" s="865"/>
      <c r="G30" s="708">
        <f t="shared" si="24"/>
        <v>49</v>
      </c>
      <c r="H30" s="705">
        <v>2030</v>
      </c>
      <c r="I30" s="705">
        <f t="shared" si="9"/>
        <v>2030</v>
      </c>
      <c r="J30" s="706">
        <f t="shared" si="7"/>
        <v>26390</v>
      </c>
      <c r="K30" s="357">
        <f t="shared" si="8"/>
        <v>20000</v>
      </c>
      <c r="L30" s="357">
        <f t="shared" si="25"/>
        <v>25862200</v>
      </c>
      <c r="M30" s="559"/>
    </row>
    <row r="31" spans="1:13" s="335" customFormat="1" ht="15" customHeight="1">
      <c r="A31" s="559"/>
      <c r="B31" s="719">
        <v>15</v>
      </c>
      <c r="C31" s="720">
        <v>42972</v>
      </c>
      <c r="D31" s="720">
        <v>43064</v>
      </c>
      <c r="E31" s="721"/>
      <c r="F31" s="865"/>
      <c r="G31" s="723">
        <f t="shared" si="24"/>
        <v>93</v>
      </c>
      <c r="H31" s="715">
        <v>342</v>
      </c>
      <c r="I31" s="715">
        <f t="shared" si="9"/>
        <v>342</v>
      </c>
      <c r="J31" s="608">
        <f t="shared" ref="J31:J33" si="38">H31*13</f>
        <v>4446</v>
      </c>
      <c r="K31" s="724">
        <f t="shared" ref="K31" si="39">IF(G31&lt;&gt;"",20000,0)</f>
        <v>20000</v>
      </c>
      <c r="L31" s="724">
        <f t="shared" ref="L31:L33" si="40">IF(G31&lt;&gt;"",K31*J31*G31/1000,"")</f>
        <v>8269560</v>
      </c>
      <c r="M31" s="559"/>
    </row>
    <row r="32" spans="1:13" s="335" customFormat="1" ht="15" customHeight="1">
      <c r="A32" s="559"/>
      <c r="B32" s="489">
        <v>16</v>
      </c>
      <c r="C32" s="355">
        <v>42979</v>
      </c>
      <c r="D32" s="355">
        <v>43055</v>
      </c>
      <c r="E32" s="513"/>
      <c r="F32" s="866"/>
      <c r="G32" s="708">
        <f t="shared" ref="G32" si="41">IF(D32&lt;&gt;"",D32-C32+1,IF(E32&lt;&gt;"",E32-C32+1,""))</f>
        <v>77</v>
      </c>
      <c r="H32" s="705">
        <v>2030</v>
      </c>
      <c r="I32" s="705">
        <f t="shared" ref="I32" si="42">IF(D32&lt;&gt;"",H32,0)</f>
        <v>2030</v>
      </c>
      <c r="J32" s="706">
        <f t="shared" ref="J32" si="43">H32*13</f>
        <v>26390</v>
      </c>
      <c r="K32" s="357">
        <f t="shared" ref="K32" si="44">IF(G32&lt;&gt;"",20000,0)</f>
        <v>20000</v>
      </c>
      <c r="L32" s="357">
        <f t="shared" ref="L32" si="45">IF(G32&lt;&gt;"",K32*J32*G32/1000,"")</f>
        <v>40640600</v>
      </c>
      <c r="M32" s="559"/>
    </row>
    <row r="33" spans="1:13" s="335" customFormat="1" ht="15" customHeight="1">
      <c r="A33" s="559"/>
      <c r="B33" s="489">
        <v>17</v>
      </c>
      <c r="C33" s="355">
        <v>43019</v>
      </c>
      <c r="D33" s="355">
        <v>43055</v>
      </c>
      <c r="E33" s="513"/>
      <c r="F33" s="867" t="s">
        <v>1195</v>
      </c>
      <c r="G33" s="708">
        <f t="shared" si="24"/>
        <v>37</v>
      </c>
      <c r="H33" s="705">
        <v>2030</v>
      </c>
      <c r="I33" s="705">
        <f t="shared" si="9"/>
        <v>2030</v>
      </c>
      <c r="J33" s="706">
        <f t="shared" si="38"/>
        <v>26390</v>
      </c>
      <c r="K33" s="357">
        <f t="shared" ref="K33:K35" si="46">IF(G33&lt;&gt;"",14000,0)</f>
        <v>14000</v>
      </c>
      <c r="L33" s="357">
        <f t="shared" si="40"/>
        <v>13670020</v>
      </c>
      <c r="M33" s="559"/>
    </row>
    <row r="34" spans="1:13" s="335" customFormat="1" ht="15" customHeight="1">
      <c r="A34" s="559"/>
      <c r="B34" s="489">
        <v>18</v>
      </c>
      <c r="C34" s="355">
        <v>43020</v>
      </c>
      <c r="D34" s="355">
        <v>43055</v>
      </c>
      <c r="E34" s="513"/>
      <c r="F34" s="865"/>
      <c r="G34" s="708">
        <f>IF(D34&lt;&gt;"",D34-C34+1,IF(E34&lt;&gt;"",E34-C34+1,""))</f>
        <v>36</v>
      </c>
      <c r="H34" s="705">
        <v>2030</v>
      </c>
      <c r="I34" s="705">
        <f t="shared" si="9"/>
        <v>2030</v>
      </c>
      <c r="J34" s="706">
        <f>H34*13</f>
        <v>26390</v>
      </c>
      <c r="K34" s="357">
        <f t="shared" si="46"/>
        <v>14000</v>
      </c>
      <c r="L34" s="357">
        <f>IF(G34&lt;&gt;"",K34*J34*G34/1000,"")</f>
        <v>13300560</v>
      </c>
      <c r="M34" s="559"/>
    </row>
    <row r="35" spans="1:13" s="335" customFormat="1" ht="15" customHeight="1">
      <c r="A35" s="559"/>
      <c r="B35" s="489">
        <v>19</v>
      </c>
      <c r="C35" s="355">
        <v>43055</v>
      </c>
      <c r="D35" s="355">
        <v>43083</v>
      </c>
      <c r="E35" s="513"/>
      <c r="F35" s="865"/>
      <c r="G35" s="708">
        <f>IF(D35&lt;&gt;"",D35-C35+1,IF(E35&lt;&gt;"",E35-C35+1,""))</f>
        <v>29</v>
      </c>
      <c r="H35" s="705">
        <v>2030</v>
      </c>
      <c r="I35" s="705">
        <f t="shared" si="9"/>
        <v>2030</v>
      </c>
      <c r="J35" s="706">
        <f>H35*13</f>
        <v>26390</v>
      </c>
      <c r="K35" s="357">
        <f t="shared" si="46"/>
        <v>14000</v>
      </c>
      <c r="L35" s="357">
        <f>IF(G35&lt;&gt;"",K35*J35*G35/1000,"")</f>
        <v>10714340</v>
      </c>
      <c r="M35" s="559"/>
    </row>
    <row r="36" spans="1:13" s="335" customFormat="1" ht="4.5" customHeight="1">
      <c r="A36" s="559"/>
      <c r="B36" s="489"/>
      <c r="C36" s="355"/>
      <c r="D36" s="355"/>
      <c r="E36" s="513"/>
      <c r="F36" s="707"/>
      <c r="G36" s="708"/>
      <c r="H36" s="705"/>
      <c r="I36" s="705"/>
      <c r="J36" s="706"/>
      <c r="K36" s="357"/>
      <c r="L36" s="357"/>
      <c r="M36" s="559"/>
    </row>
    <row r="37" spans="1:13" s="335" customFormat="1" ht="15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</row>
    <row r="38" spans="1:13" s="335" customFormat="1" ht="6.7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</row>
    <row r="39" spans="1:13" s="534" customFormat="1" ht="12" customHeight="1">
      <c r="A39" s="560"/>
      <c r="B39" s="629"/>
      <c r="C39" s="629"/>
      <c r="D39" s="629"/>
      <c r="E39" s="629" t="s">
        <v>1022</v>
      </c>
      <c r="F39" s="629"/>
      <c r="G39" s="629"/>
      <c r="H39" s="863">
        <f>H37-I37</f>
        <v>0</v>
      </c>
      <c r="I39" s="863"/>
      <c r="J39" s="630"/>
      <c r="K39" s="630"/>
      <c r="L39" s="631"/>
      <c r="M39" s="560"/>
    </row>
    <row r="40" spans="1:13" s="335" customFormat="1" ht="15">
      <c r="A40" s="559"/>
      <c r="B40" s="334"/>
      <c r="C40" s="334"/>
      <c r="D40" s="334"/>
      <c r="E40" s="334"/>
      <c r="G40" s="514"/>
      <c r="H40" s="628" t="s">
        <v>899</v>
      </c>
      <c r="I40" s="628"/>
      <c r="L40" s="537">
        <f>(J37-J10)*15</f>
        <v>3092310</v>
      </c>
      <c r="M40" s="559"/>
    </row>
    <row r="41" spans="1:13" s="335" customFormat="1" ht="15">
      <c r="A41" s="559"/>
      <c r="B41" s="334"/>
      <c r="C41" s="334"/>
      <c r="D41" s="334"/>
      <c r="E41" s="334"/>
      <c r="G41" s="582"/>
      <c r="H41" s="582" t="s">
        <v>1160</v>
      </c>
      <c r="I41" s="560"/>
      <c r="J41" s="560"/>
      <c r="K41" s="560"/>
      <c r="L41" s="688">
        <f>(8*3*200000+4000000)*2</f>
        <v>17600000</v>
      </c>
      <c r="M41" s="559"/>
    </row>
    <row r="42" spans="1:13" s="335" customFormat="1" ht="15">
      <c r="A42" s="559"/>
      <c r="B42" s="334"/>
      <c r="C42" s="334"/>
      <c r="D42" s="334"/>
      <c r="E42" s="334"/>
      <c r="G42" s="582"/>
      <c r="H42" s="582" t="s">
        <v>1163</v>
      </c>
      <c r="I42" s="560"/>
      <c r="J42" s="560"/>
      <c r="K42" s="560"/>
      <c r="L42" s="688">
        <f>(120*8500)*2</f>
        <v>2040000</v>
      </c>
      <c r="M42" s="559"/>
    </row>
    <row r="43" spans="1:13" s="335" customFormat="1" ht="15">
      <c r="A43" s="559"/>
      <c r="B43" s="334"/>
      <c r="C43" s="334"/>
      <c r="D43" s="334"/>
      <c r="E43" s="334"/>
      <c r="G43" s="582"/>
      <c r="H43" s="582" t="s">
        <v>1161</v>
      </c>
      <c r="I43" s="560"/>
      <c r="J43" s="560"/>
      <c r="K43" s="560"/>
      <c r="L43" s="688">
        <v>2200000000</v>
      </c>
      <c r="M43" s="559"/>
    </row>
    <row r="44" spans="1:13" s="335" customFormat="1" ht="15">
      <c r="A44" s="559"/>
      <c r="B44" s="334"/>
      <c r="C44" s="334"/>
      <c r="D44" s="334"/>
      <c r="E44" s="334"/>
      <c r="F44" s="352"/>
      <c r="G44" s="582"/>
      <c r="H44" s="689" t="s">
        <v>1162</v>
      </c>
      <c r="I44" s="560"/>
      <c r="J44" s="560"/>
      <c r="K44" s="560"/>
      <c r="L44" s="688">
        <v>2000000000</v>
      </c>
      <c r="M44" s="559"/>
    </row>
    <row r="45" spans="1:13" s="335" customFormat="1" ht="15">
      <c r="A45" s="559"/>
      <c r="B45" s="334"/>
      <c r="C45" s="334"/>
      <c r="D45" s="334"/>
      <c r="E45" s="334"/>
      <c r="F45" s="352"/>
      <c r="G45" s="582"/>
      <c r="H45" s="689" t="s">
        <v>1169</v>
      </c>
      <c r="I45" s="560"/>
      <c r="J45" s="560"/>
      <c r="K45" s="560"/>
      <c r="L45" s="688">
        <v>800000000</v>
      </c>
      <c r="M45" s="559"/>
    </row>
    <row r="46" spans="1:13" s="335" customFormat="1" ht="15">
      <c r="A46" s="559"/>
      <c r="B46" s="334"/>
      <c r="C46" s="334"/>
      <c r="D46" s="334"/>
      <c r="E46" s="334"/>
      <c r="F46" s="352"/>
      <c r="G46" s="582"/>
      <c r="H46" s="689" t="s">
        <v>1201</v>
      </c>
      <c r="I46" s="560"/>
      <c r="J46" s="560"/>
      <c r="K46" s="560"/>
      <c r="L46" s="688">
        <v>2000000000</v>
      </c>
      <c r="M46" s="559"/>
    </row>
    <row r="47" spans="1:13" s="335" customFormat="1" ht="15">
      <c r="A47" s="559"/>
      <c r="B47" s="334"/>
      <c r="C47" s="334"/>
      <c r="D47" s="334"/>
      <c r="E47" s="334"/>
      <c r="F47" s="352"/>
      <c r="G47" s="582"/>
      <c r="H47" s="689" t="s">
        <v>1215</v>
      </c>
      <c r="I47" s="560"/>
      <c r="J47" s="560"/>
      <c r="K47" s="560"/>
      <c r="L47" s="688">
        <v>2300000000</v>
      </c>
      <c r="M47" s="559"/>
    </row>
    <row r="48" spans="1:13" s="335" customFormat="1" ht="15">
      <c r="A48" s="559"/>
      <c r="B48" s="334"/>
      <c r="C48" s="334"/>
      <c r="D48" s="334"/>
      <c r="E48" s="334"/>
      <c r="F48" s="352"/>
      <c r="G48" s="582"/>
      <c r="H48" s="689" t="s">
        <v>1221</v>
      </c>
      <c r="I48" s="560"/>
      <c r="J48" s="560"/>
      <c r="K48" s="560"/>
      <c r="L48" s="688">
        <v>2000000000</v>
      </c>
      <c r="M48" s="559"/>
    </row>
    <row r="49" spans="1:13" s="335" customFormat="1" ht="3" customHeight="1">
      <c r="A49" s="559"/>
      <c r="B49" s="334"/>
      <c r="C49" s="334"/>
      <c r="D49" s="334"/>
      <c r="E49" s="334"/>
      <c r="F49" s="334"/>
      <c r="G49" s="334"/>
      <c r="H49" s="334"/>
      <c r="I49" s="334"/>
      <c r="L49" s="558"/>
      <c r="M49" s="559"/>
    </row>
    <row r="50" spans="1:13" s="335" customFormat="1" ht="15">
      <c r="A50" s="559"/>
      <c r="B50" s="560"/>
      <c r="C50" s="560"/>
      <c r="D50" s="560"/>
      <c r="E50" s="560"/>
      <c r="F50" s="560"/>
      <c r="G50" s="560"/>
      <c r="H50" s="560" t="s">
        <v>900</v>
      </c>
      <c r="I50" s="560"/>
      <c r="J50" s="560"/>
      <c r="K50" s="560"/>
      <c r="L50" s="561">
        <f>L37+SUM(L40:L49)</f>
        <v>11703043930</v>
      </c>
      <c r="M50" s="559"/>
    </row>
    <row r="51" spans="1:13" s="682" customFormat="1" ht="14.25">
      <c r="A51" s="681"/>
      <c r="B51" s="681"/>
      <c r="C51" s="681"/>
      <c r="D51" s="681"/>
      <c r="E51" s="681"/>
      <c r="F51" s="681"/>
      <c r="G51" s="681"/>
      <c r="H51" s="681" t="s">
        <v>1155</v>
      </c>
      <c r="I51" s="681"/>
      <c r="J51" s="681"/>
      <c r="K51" s="681"/>
      <c r="L51" s="683">
        <v>100000000</v>
      </c>
      <c r="M51" s="681"/>
    </row>
    <row r="52" spans="1:13" s="682" customFormat="1" ht="14.25">
      <c r="A52" s="681"/>
      <c r="B52" s="681"/>
      <c r="C52" s="681"/>
      <c r="D52" s="681"/>
      <c r="E52" s="681"/>
      <c r="G52" s="687" t="s">
        <v>1192</v>
      </c>
      <c r="H52" s="687"/>
      <c r="I52" s="681"/>
      <c r="J52" s="681"/>
      <c r="K52" s="681"/>
      <c r="L52" s="683">
        <f>105560*48000</f>
        <v>5066880000</v>
      </c>
      <c r="M52" s="681"/>
    </row>
    <row r="53" spans="1:13" s="682" customFormat="1" ht="14.25">
      <c r="A53" s="681"/>
      <c r="B53" s="681"/>
      <c r="C53" s="681"/>
      <c r="D53" s="681"/>
      <c r="E53" s="681"/>
      <c r="G53" s="687" t="s">
        <v>1175</v>
      </c>
      <c r="H53" s="687"/>
      <c r="I53" s="681"/>
      <c r="J53" s="681"/>
      <c r="K53" s="681"/>
      <c r="L53" s="683">
        <f>52780*48500</f>
        <v>2559830000</v>
      </c>
      <c r="M53" s="681"/>
    </row>
    <row r="54" spans="1:13" s="682" customFormat="1" ht="14.25">
      <c r="A54" s="681"/>
      <c r="B54" s="681"/>
      <c r="C54" s="681"/>
      <c r="D54" s="681"/>
      <c r="E54" s="681"/>
      <c r="G54" s="687" t="s">
        <v>1174</v>
      </c>
      <c r="H54" s="687"/>
      <c r="I54" s="681"/>
      <c r="J54" s="681"/>
      <c r="K54" s="681"/>
      <c r="L54" s="683">
        <f>895*13*48500</f>
        <v>564297500</v>
      </c>
      <c r="M54" s="681"/>
    </row>
    <row r="55" spans="1:13" ht="14.25">
      <c r="F55" s="687" t="s">
        <v>1202</v>
      </c>
      <c r="G55" s="687"/>
      <c r="L55" s="683">
        <f>350*13*48500</f>
        <v>220675000</v>
      </c>
    </row>
    <row r="56" spans="1:13" ht="14.25">
      <c r="F56" s="687" t="s">
        <v>1203</v>
      </c>
      <c r="L56" s="683">
        <f>1984*13*48500</f>
        <v>1250912000</v>
      </c>
    </row>
    <row r="57" spans="1:13" ht="14.25">
      <c r="F57" s="687" t="s">
        <v>1214</v>
      </c>
      <c r="L57" s="683">
        <f>10*13*48500</f>
        <v>6305000</v>
      </c>
    </row>
    <row r="58" spans="1:13" ht="14.25">
      <c r="F58" s="687" t="s">
        <v>1213</v>
      </c>
      <c r="L58" s="683">
        <f>4000*13*48500</f>
        <v>2522000000</v>
      </c>
    </row>
    <row r="59" spans="1:13" ht="3" customHeight="1">
      <c r="L59" s="737"/>
    </row>
    <row r="60" spans="1:13" ht="14.25" customHeight="1">
      <c r="H60" s="560" t="s">
        <v>1204</v>
      </c>
      <c r="L60" s="561">
        <f>SUM(L51:L59)-L50</f>
        <v>587855570</v>
      </c>
    </row>
  </sheetData>
  <mergeCells count="24">
    <mergeCell ref="J15:J16"/>
    <mergeCell ref="K15:K16"/>
    <mergeCell ref="L15:L16"/>
    <mergeCell ref="E15:E16"/>
    <mergeCell ref="H39:I39"/>
    <mergeCell ref="H15:I16"/>
    <mergeCell ref="F17:F23"/>
    <mergeCell ref="F29:F32"/>
    <mergeCell ref="F33:F35"/>
    <mergeCell ref="J2:J3"/>
    <mergeCell ref="K2:K3"/>
    <mergeCell ref="L2:L3"/>
    <mergeCell ref="B2:B3"/>
    <mergeCell ref="C2:C3"/>
    <mergeCell ref="D2:D3"/>
    <mergeCell ref="F2:F3"/>
    <mergeCell ref="G2:G3"/>
    <mergeCell ref="H2:I3"/>
    <mergeCell ref="E2:E3"/>
    <mergeCell ref="B15:B16"/>
    <mergeCell ref="C15:C16"/>
    <mergeCell ref="D15:D16"/>
    <mergeCell ref="F15:F16"/>
    <mergeCell ref="G15:G16"/>
  </mergeCells>
  <pageMargins left="0.16" right="0.16" top="0.27" bottom="0.16" header="0.16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75"/>
  <sheetViews>
    <sheetView zoomScale="90" zoomScaleNormal="90" workbookViewId="0">
      <pane xSplit="5" ySplit="3" topLeftCell="F50" activePane="bottomRight" state="frozen"/>
      <selection activeCell="V99" sqref="V99"/>
      <selection pane="topRight" activeCell="V99" sqref="V99"/>
      <selection pane="bottomLeft" activeCell="V99" sqref="V99"/>
      <selection pane="bottomRight" activeCell="I36" sqref="I36:I39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759" t="s">
        <v>0</v>
      </c>
      <c r="B2" s="759" t="s">
        <v>1</v>
      </c>
      <c r="C2" s="760" t="s">
        <v>2</v>
      </c>
      <c r="D2" s="760"/>
      <c r="E2" s="760"/>
      <c r="F2" s="760" t="s">
        <v>464</v>
      </c>
      <c r="G2" s="760"/>
      <c r="H2" s="760"/>
      <c r="I2" s="760"/>
      <c r="J2" s="820" t="s">
        <v>452</v>
      </c>
      <c r="K2" s="820" t="s">
        <v>893</v>
      </c>
      <c r="L2" s="760" t="s">
        <v>3</v>
      </c>
      <c r="M2" s="760"/>
      <c r="N2" s="760"/>
      <c r="O2" s="760"/>
      <c r="P2" s="760"/>
      <c r="Q2" s="759" t="s">
        <v>451</v>
      </c>
      <c r="R2" s="759"/>
      <c r="S2" s="759"/>
      <c r="T2" s="820" t="s">
        <v>82</v>
      </c>
    </row>
    <row r="3" spans="1:20" s="143" customFormat="1" ht="42" customHeight="1">
      <c r="A3" s="759"/>
      <c r="B3" s="759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21"/>
      <c r="K3" s="821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21"/>
    </row>
    <row r="4" spans="1:20" s="150" customFormat="1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8" si="0">F4*13</f>
        <v>26390</v>
      </c>
      <c r="H4" s="544">
        <v>2.2000000000000002</v>
      </c>
      <c r="I4" s="543">
        <f t="shared" ref="I4:I68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s="150" customFormat="1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6" si="2">71000000</f>
        <v>71000000</v>
      </c>
      <c r="K5" s="310">
        <v>2880000</v>
      </c>
      <c r="L5" s="767">
        <v>43001</v>
      </c>
      <c r="M5" s="765">
        <v>56.5</v>
      </c>
      <c r="N5" s="765">
        <f>SUM(I5:I7)-M5</f>
        <v>174117.50000000003</v>
      </c>
      <c r="O5" s="753">
        <v>22690</v>
      </c>
      <c r="P5" s="753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s="150" customFormat="1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768"/>
      <c r="M6" s="766"/>
      <c r="N6" s="766"/>
      <c r="O6" s="754"/>
      <c r="P6" s="754"/>
      <c r="Q6" s="256" t="s">
        <v>923</v>
      </c>
      <c r="R6" s="254">
        <v>686950</v>
      </c>
      <c r="S6" s="255">
        <v>1249000000</v>
      </c>
      <c r="T6" s="144"/>
    </row>
    <row r="7" spans="1:20" s="150" customFormat="1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763"/>
      <c r="M7" s="761"/>
      <c r="N7" s="761"/>
      <c r="O7" s="755"/>
      <c r="P7" s="755"/>
      <c r="Q7" s="256" t="s">
        <v>924</v>
      </c>
      <c r="R7" s="254">
        <v>330000</v>
      </c>
      <c r="S7" s="255">
        <v>1000000000</v>
      </c>
      <c r="T7" s="343"/>
    </row>
    <row r="8" spans="1:20" s="150" customFormat="1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765">
        <v>2.2000000000000002</v>
      </c>
      <c r="I8" s="765">
        <f>SUM(G8:G10)*H8</f>
        <v>174174</v>
      </c>
      <c r="J8" s="753">
        <f>71000000*3</f>
        <v>213000000</v>
      </c>
      <c r="K8" s="753">
        <f>2880000*3</f>
        <v>8640000</v>
      </c>
      <c r="L8" s="767">
        <v>43004</v>
      </c>
      <c r="M8" s="765">
        <v>56.5</v>
      </c>
      <c r="N8" s="765">
        <f>SUM(I8:I10)-M8</f>
        <v>174117.5</v>
      </c>
      <c r="O8" s="753">
        <v>22690</v>
      </c>
      <c r="P8" s="753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s="150" customFormat="1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766"/>
      <c r="I9" s="766"/>
      <c r="J9" s="754"/>
      <c r="K9" s="754"/>
      <c r="L9" s="768"/>
      <c r="M9" s="766"/>
      <c r="N9" s="766"/>
      <c r="O9" s="754"/>
      <c r="P9" s="754"/>
      <c r="Q9" s="256" t="s">
        <v>406</v>
      </c>
      <c r="R9" s="254">
        <v>550000</v>
      </c>
      <c r="S9" s="255">
        <v>1265340000</v>
      </c>
      <c r="T9" s="144"/>
    </row>
    <row r="10" spans="1:20" s="150" customFormat="1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761"/>
      <c r="I10" s="761"/>
      <c r="J10" s="755"/>
      <c r="K10" s="755"/>
      <c r="L10" s="763"/>
      <c r="M10" s="761"/>
      <c r="N10" s="761"/>
      <c r="O10" s="755"/>
      <c r="P10" s="755"/>
      <c r="Q10" s="256" t="s">
        <v>394</v>
      </c>
      <c r="R10" s="254">
        <v>511830</v>
      </c>
      <c r="S10" s="255">
        <v>930600000</v>
      </c>
      <c r="T10" s="144"/>
    </row>
    <row r="11" spans="1:20" s="150" customFormat="1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765">
        <v>2.2000000000000002</v>
      </c>
      <c r="I11" s="765">
        <f>SUM(G11:G13)*H11</f>
        <v>174174</v>
      </c>
      <c r="J11" s="753">
        <f>68000000*1+71000000*2</f>
        <v>210000000</v>
      </c>
      <c r="K11" s="753">
        <f>2880000*3</f>
        <v>8640000</v>
      </c>
      <c r="L11" s="767">
        <v>43012</v>
      </c>
      <c r="M11" s="765">
        <v>56.5</v>
      </c>
      <c r="N11" s="765">
        <f>SUM(I11:I13)-M11</f>
        <v>174117.5</v>
      </c>
      <c r="O11" s="753">
        <v>22690</v>
      </c>
      <c r="P11" s="753">
        <f>N11*O11</f>
        <v>3950726075</v>
      </c>
      <c r="Q11" s="253"/>
      <c r="R11" s="254"/>
      <c r="S11" s="255"/>
      <c r="T11" s="144"/>
    </row>
    <row r="12" spans="1:20" s="150" customFormat="1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766"/>
      <c r="I12" s="766"/>
      <c r="J12" s="754"/>
      <c r="K12" s="754"/>
      <c r="L12" s="768"/>
      <c r="M12" s="766"/>
      <c r="N12" s="766"/>
      <c r="O12" s="754"/>
      <c r="P12" s="754"/>
      <c r="Q12" s="253"/>
      <c r="R12" s="254"/>
      <c r="S12" s="255"/>
      <c r="T12" s="144"/>
    </row>
    <row r="13" spans="1:20" s="150" customFormat="1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761"/>
      <c r="I13" s="761"/>
      <c r="J13" s="755"/>
      <c r="K13" s="755"/>
      <c r="L13" s="763"/>
      <c r="M13" s="761"/>
      <c r="N13" s="761"/>
      <c r="O13" s="755"/>
      <c r="P13" s="755"/>
      <c r="Q13" s="253"/>
      <c r="R13" s="254"/>
      <c r="S13" s="255"/>
      <c r="T13" s="144"/>
    </row>
    <row r="14" spans="1:20" s="150" customFormat="1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765">
        <v>2.2000000000000002</v>
      </c>
      <c r="I14" s="765">
        <f>SUM(G14:G16)*H14</f>
        <v>174174</v>
      </c>
      <c r="J14" s="753">
        <f t="shared" ref="J14" si="4">68000000*3</f>
        <v>204000000</v>
      </c>
      <c r="K14" s="753">
        <f>2880000*3</f>
        <v>8640000</v>
      </c>
      <c r="L14" s="767">
        <v>43027</v>
      </c>
      <c r="M14" s="765">
        <v>56.5</v>
      </c>
      <c r="N14" s="765">
        <f>SUM(I14:I16)-M14</f>
        <v>174117.5</v>
      </c>
      <c r="O14" s="753">
        <v>22680</v>
      </c>
      <c r="P14" s="753">
        <f>N14*O14</f>
        <v>3948984900</v>
      </c>
      <c r="Q14" s="253"/>
      <c r="R14" s="254"/>
      <c r="S14" s="255"/>
      <c r="T14" s="144"/>
    </row>
    <row r="15" spans="1:20" s="150" customFormat="1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766"/>
      <c r="I15" s="766"/>
      <c r="J15" s="754"/>
      <c r="K15" s="754"/>
      <c r="L15" s="768"/>
      <c r="M15" s="766"/>
      <c r="N15" s="766"/>
      <c r="O15" s="754"/>
      <c r="P15" s="754"/>
      <c r="Q15" s="540"/>
      <c r="R15" s="540"/>
      <c r="S15" s="540"/>
      <c r="T15" s="144"/>
    </row>
    <row r="16" spans="1:20" s="150" customFormat="1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761"/>
      <c r="I16" s="761"/>
      <c r="J16" s="755"/>
      <c r="K16" s="755"/>
      <c r="L16" s="763"/>
      <c r="M16" s="761"/>
      <c r="N16" s="761"/>
      <c r="O16" s="755"/>
      <c r="P16" s="755"/>
      <c r="Q16" s="540"/>
      <c r="R16" s="540"/>
      <c r="S16" s="540"/>
      <c r="T16" s="144"/>
    </row>
    <row r="17" spans="1:20" s="150" customFormat="1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765">
        <v>2.2000000000000002</v>
      </c>
      <c r="I17" s="765">
        <f>SUM(G17:G19)*H17</f>
        <v>174174</v>
      </c>
      <c r="J17" s="753">
        <f t="shared" ref="J17" si="5">68000000*3</f>
        <v>204000000</v>
      </c>
      <c r="K17" s="753">
        <f>2880000*3</f>
        <v>8640000</v>
      </c>
      <c r="L17" s="767">
        <v>43046</v>
      </c>
      <c r="M17" s="765">
        <v>56.5</v>
      </c>
      <c r="N17" s="765">
        <f>SUM(I17:I19)-M17</f>
        <v>174117.5</v>
      </c>
      <c r="O17" s="753">
        <v>22680</v>
      </c>
      <c r="P17" s="753">
        <f>N17*O17</f>
        <v>3948984900</v>
      </c>
      <c r="Q17" s="253"/>
      <c r="R17" s="254"/>
      <c r="S17" s="255"/>
      <c r="T17" s="144"/>
    </row>
    <row r="18" spans="1:20" s="150" customFormat="1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766"/>
      <c r="I18" s="766"/>
      <c r="J18" s="754"/>
      <c r="K18" s="754"/>
      <c r="L18" s="768"/>
      <c r="M18" s="766"/>
      <c r="N18" s="766"/>
      <c r="O18" s="754"/>
      <c r="P18" s="754"/>
      <c r="Q18" s="253"/>
      <c r="R18" s="254"/>
      <c r="S18" s="255"/>
      <c r="T18" s="144"/>
    </row>
    <row r="19" spans="1:20" s="150" customFormat="1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761"/>
      <c r="I19" s="761"/>
      <c r="J19" s="755"/>
      <c r="K19" s="755"/>
      <c r="L19" s="763"/>
      <c r="M19" s="761"/>
      <c r="N19" s="761"/>
      <c r="O19" s="755"/>
      <c r="P19" s="755"/>
      <c r="Q19" s="253"/>
      <c r="R19" s="254"/>
      <c r="S19" s="255"/>
      <c r="T19" s="144"/>
    </row>
    <row r="20" spans="1:20" s="150" customFormat="1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765">
        <v>2.2000000000000002</v>
      </c>
      <c r="I20" s="765">
        <f>SUM(G20:G22)*H20</f>
        <v>174174</v>
      </c>
      <c r="J20" s="753">
        <f t="shared" ref="J20" si="6">68000000*3</f>
        <v>204000000</v>
      </c>
      <c r="K20" s="753">
        <f>2880000*3</f>
        <v>8640000</v>
      </c>
      <c r="L20" s="767">
        <v>43073</v>
      </c>
      <c r="M20" s="765">
        <v>56.5</v>
      </c>
      <c r="N20" s="765">
        <f>SUM(I20:I22)-M20</f>
        <v>174117.5</v>
      </c>
      <c r="O20" s="753">
        <v>22690</v>
      </c>
      <c r="P20" s="753">
        <f>N20*O20</f>
        <v>3950726075</v>
      </c>
      <c r="Q20" s="253"/>
      <c r="R20" s="254"/>
      <c r="S20" s="255"/>
      <c r="T20" s="144"/>
    </row>
    <row r="21" spans="1:20" s="150" customFormat="1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766"/>
      <c r="I21" s="766"/>
      <c r="J21" s="754"/>
      <c r="K21" s="754"/>
      <c r="L21" s="768"/>
      <c r="M21" s="766"/>
      <c r="N21" s="766"/>
      <c r="O21" s="754"/>
      <c r="P21" s="754"/>
      <c r="Q21" s="253"/>
      <c r="R21" s="254"/>
      <c r="S21" s="255"/>
      <c r="T21" s="144"/>
    </row>
    <row r="22" spans="1:20" s="150" customFormat="1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761"/>
      <c r="I22" s="761"/>
      <c r="J22" s="755"/>
      <c r="K22" s="755"/>
      <c r="L22" s="763"/>
      <c r="M22" s="761"/>
      <c r="N22" s="761"/>
      <c r="O22" s="755"/>
      <c r="P22" s="755"/>
      <c r="Q22" s="253"/>
      <c r="R22" s="254"/>
      <c r="S22" s="255"/>
      <c r="T22" s="144"/>
    </row>
    <row r="23" spans="1:20" s="150" customFormat="1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765">
        <v>2</v>
      </c>
      <c r="I23" s="765">
        <f>SUM(G23:G25)*H23</f>
        <v>158340</v>
      </c>
      <c r="J23" s="753">
        <f t="shared" ref="J23" si="7">68000000*3</f>
        <v>204000000</v>
      </c>
      <c r="K23" s="753">
        <f>2880000*3</f>
        <v>8640000</v>
      </c>
      <c r="L23" s="767">
        <v>43077</v>
      </c>
      <c r="M23" s="765">
        <v>56.5</v>
      </c>
      <c r="N23" s="765">
        <f>SUM(I23:I25)-M23</f>
        <v>158283.5</v>
      </c>
      <c r="O23" s="753">
        <v>22690</v>
      </c>
      <c r="P23" s="753">
        <f>N23*O23</f>
        <v>3591452615</v>
      </c>
      <c r="Q23" s="540"/>
      <c r="R23" s="540"/>
      <c r="S23" s="540"/>
      <c r="T23" s="144"/>
    </row>
    <row r="24" spans="1:20" s="150" customFormat="1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766"/>
      <c r="I24" s="766"/>
      <c r="J24" s="754"/>
      <c r="K24" s="754"/>
      <c r="L24" s="768"/>
      <c r="M24" s="766"/>
      <c r="N24" s="766"/>
      <c r="O24" s="754"/>
      <c r="P24" s="754"/>
      <c r="Q24" s="540"/>
      <c r="R24" s="540"/>
      <c r="S24" s="540"/>
      <c r="T24" s="144"/>
    </row>
    <row r="25" spans="1:20" s="150" customFormat="1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761"/>
      <c r="I25" s="761"/>
      <c r="J25" s="755"/>
      <c r="K25" s="755"/>
      <c r="L25" s="763"/>
      <c r="M25" s="761"/>
      <c r="N25" s="761"/>
      <c r="O25" s="755"/>
      <c r="P25" s="755"/>
      <c r="Q25" s="253"/>
      <c r="R25" s="254"/>
      <c r="S25" s="255"/>
      <c r="T25" s="144"/>
    </row>
    <row r="26" spans="1:20" s="426" customFormat="1" ht="18" customHeight="1">
      <c r="A26" s="416">
        <v>5</v>
      </c>
      <c r="B26" s="417">
        <v>42983</v>
      </c>
      <c r="C26" s="418"/>
      <c r="D26" s="418"/>
      <c r="E26" s="418"/>
      <c r="F26" s="709">
        <v>2030</v>
      </c>
      <c r="G26" s="709">
        <f>F26*13</f>
        <v>26390</v>
      </c>
      <c r="H26" s="421">
        <v>2.2000000000000002</v>
      </c>
      <c r="I26" s="710">
        <f>G26*H26</f>
        <v>58058.000000000007</v>
      </c>
      <c r="J26" s="712">
        <f t="shared" si="2"/>
        <v>71000000</v>
      </c>
      <c r="K26" s="712">
        <v>2880000</v>
      </c>
      <c r="L26" s="869">
        <v>43088</v>
      </c>
      <c r="M26" s="809">
        <v>56.5</v>
      </c>
      <c r="N26" s="809">
        <f>SUM(I26:I30)-M26</f>
        <v>264977.5</v>
      </c>
      <c r="O26" s="818">
        <v>22690</v>
      </c>
      <c r="P26" s="818">
        <f>N26*O26</f>
        <v>6012339475</v>
      </c>
      <c r="Q26" s="610"/>
      <c r="R26" s="610"/>
      <c r="S26" s="610"/>
      <c r="T26" s="416"/>
    </row>
    <row r="27" spans="1:20" s="150" customFormat="1" ht="18" customHeight="1">
      <c r="A27" s="144">
        <v>24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765">
        <v>2</v>
      </c>
      <c r="I27" s="765">
        <f>SUM(G27:G29)*H27</f>
        <v>158340</v>
      </c>
      <c r="J27" s="753">
        <f t="shared" ref="J27" si="8">68000000*3</f>
        <v>204000000</v>
      </c>
      <c r="K27" s="753">
        <f>2880000*3</f>
        <v>8640000</v>
      </c>
      <c r="L27" s="870"/>
      <c r="M27" s="811"/>
      <c r="N27" s="811"/>
      <c r="O27" s="868"/>
      <c r="P27" s="868"/>
      <c r="Q27" s="253"/>
      <c r="R27" s="254"/>
      <c r="S27" s="255"/>
      <c r="T27" s="144"/>
    </row>
    <row r="28" spans="1:20" s="150" customFormat="1" ht="18.75" customHeight="1">
      <c r="A28" s="144">
        <v>25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766"/>
      <c r="I28" s="766"/>
      <c r="J28" s="754"/>
      <c r="K28" s="754"/>
      <c r="L28" s="870"/>
      <c r="M28" s="811"/>
      <c r="N28" s="811"/>
      <c r="O28" s="868"/>
      <c r="P28" s="868"/>
      <c r="Q28" s="253"/>
      <c r="R28" s="254"/>
      <c r="S28" s="255"/>
      <c r="T28" s="144"/>
    </row>
    <row r="29" spans="1:20" s="150" customFormat="1" ht="18.75" customHeight="1">
      <c r="A29" s="144">
        <v>26</v>
      </c>
      <c r="B29" s="623">
        <v>43010</v>
      </c>
      <c r="C29" s="243"/>
      <c r="D29" s="243"/>
      <c r="E29" s="243"/>
      <c r="F29" s="601">
        <v>2030</v>
      </c>
      <c r="G29" s="539">
        <f t="shared" si="0"/>
        <v>26390</v>
      </c>
      <c r="H29" s="761"/>
      <c r="I29" s="761"/>
      <c r="J29" s="755"/>
      <c r="K29" s="755"/>
      <c r="L29" s="870"/>
      <c r="M29" s="811"/>
      <c r="N29" s="811"/>
      <c r="O29" s="868"/>
      <c r="P29" s="868"/>
      <c r="Q29" s="253"/>
      <c r="R29" s="254"/>
      <c r="S29" s="255"/>
      <c r="T29" s="144"/>
    </row>
    <row r="30" spans="1:20" s="426" customFormat="1" ht="18" customHeight="1">
      <c r="A30" s="144">
        <v>27</v>
      </c>
      <c r="B30" s="417">
        <v>43026</v>
      </c>
      <c r="C30" s="418"/>
      <c r="D30" s="418"/>
      <c r="E30" s="418"/>
      <c r="F30" s="709">
        <v>1930</v>
      </c>
      <c r="G30" s="709">
        <f>F30*14</f>
        <v>27020</v>
      </c>
      <c r="H30" s="421">
        <v>1.8</v>
      </c>
      <c r="I30" s="710">
        <f>G30*H30</f>
        <v>48636</v>
      </c>
      <c r="J30" s="818">
        <f>68000000*4</f>
        <v>272000000</v>
      </c>
      <c r="K30" s="818">
        <f>2880000*4</f>
        <v>11520000</v>
      </c>
      <c r="L30" s="871"/>
      <c r="M30" s="810"/>
      <c r="N30" s="810"/>
      <c r="O30" s="819"/>
      <c r="P30" s="819"/>
      <c r="Q30" s="610"/>
      <c r="R30" s="610"/>
      <c r="S30" s="610"/>
      <c r="T30" s="416"/>
    </row>
    <row r="31" spans="1:20" s="426" customFormat="1" ht="18.75" customHeight="1">
      <c r="A31" s="144">
        <v>28</v>
      </c>
      <c r="B31" s="417">
        <v>43026</v>
      </c>
      <c r="C31" s="418"/>
      <c r="D31" s="418"/>
      <c r="E31" s="418"/>
      <c r="F31" s="709">
        <v>2030</v>
      </c>
      <c r="G31" s="709">
        <f t="shared" si="0"/>
        <v>26390</v>
      </c>
      <c r="H31" s="809">
        <v>2</v>
      </c>
      <c r="I31" s="809">
        <f>SUM(G31:G33)*H31</f>
        <v>158340</v>
      </c>
      <c r="J31" s="868"/>
      <c r="K31" s="868"/>
      <c r="L31" s="767">
        <v>43095</v>
      </c>
      <c r="M31" s="765">
        <v>56.5</v>
      </c>
      <c r="N31" s="765">
        <f>SUM(I31:I33)-M31</f>
        <v>158283.5</v>
      </c>
      <c r="O31" s="753">
        <v>22685</v>
      </c>
      <c r="P31" s="753">
        <f>N31*O31</f>
        <v>3590661197.5</v>
      </c>
      <c r="Q31" s="614"/>
      <c r="R31" s="424"/>
      <c r="S31" s="425"/>
      <c r="T31" s="416"/>
    </row>
    <row r="32" spans="1:20" s="426" customFormat="1" ht="18.75" customHeight="1">
      <c r="A32" s="144">
        <v>29</v>
      </c>
      <c r="B32" s="417">
        <v>43026</v>
      </c>
      <c r="C32" s="418"/>
      <c r="D32" s="418"/>
      <c r="E32" s="418"/>
      <c r="F32" s="709">
        <v>2030</v>
      </c>
      <c r="G32" s="709">
        <f t="shared" si="0"/>
        <v>26390</v>
      </c>
      <c r="H32" s="811"/>
      <c r="I32" s="811"/>
      <c r="J32" s="868"/>
      <c r="K32" s="868"/>
      <c r="L32" s="768"/>
      <c r="M32" s="766"/>
      <c r="N32" s="766"/>
      <c r="O32" s="754"/>
      <c r="P32" s="754"/>
      <c r="Q32" s="614"/>
      <c r="R32" s="424"/>
      <c r="S32" s="425"/>
      <c r="T32" s="416"/>
    </row>
    <row r="33" spans="1:20" s="426" customFormat="1" ht="18" customHeight="1">
      <c r="A33" s="144">
        <v>30</v>
      </c>
      <c r="B33" s="417">
        <v>43026</v>
      </c>
      <c r="C33" s="418"/>
      <c r="D33" s="418"/>
      <c r="E33" s="418"/>
      <c r="F33" s="709">
        <v>2030</v>
      </c>
      <c r="G33" s="709">
        <f t="shared" si="0"/>
        <v>26390</v>
      </c>
      <c r="H33" s="810"/>
      <c r="I33" s="810"/>
      <c r="J33" s="819"/>
      <c r="K33" s="819"/>
      <c r="L33" s="763"/>
      <c r="M33" s="761"/>
      <c r="N33" s="761"/>
      <c r="O33" s="755"/>
      <c r="P33" s="755"/>
      <c r="Q33" s="610"/>
      <c r="R33" s="610"/>
      <c r="S33" s="610"/>
      <c r="T33" s="416"/>
    </row>
    <row r="34" spans="1:20" s="426" customFormat="1" ht="18" customHeight="1">
      <c r="A34" s="144">
        <v>31</v>
      </c>
      <c r="B34" s="417">
        <v>43056</v>
      </c>
      <c r="C34" s="418"/>
      <c r="D34" s="418"/>
      <c r="E34" s="418"/>
      <c r="F34" s="709">
        <v>2030</v>
      </c>
      <c r="G34" s="709">
        <f t="shared" ref="G34:G37" si="9">F34*13</f>
        <v>26390</v>
      </c>
      <c r="H34" s="809">
        <v>2</v>
      </c>
      <c r="I34" s="809">
        <f>(G34+G35)*H34</f>
        <v>105560</v>
      </c>
      <c r="J34" s="753">
        <f>68000000*4</f>
        <v>272000000</v>
      </c>
      <c r="K34" s="753">
        <f>2880000*4</f>
        <v>11520000</v>
      </c>
      <c r="L34" s="869">
        <v>43066</v>
      </c>
      <c r="M34" s="809">
        <f>I34-N34</f>
        <v>56.5</v>
      </c>
      <c r="N34" s="809">
        <v>105503.5</v>
      </c>
      <c r="O34" s="818">
        <v>22690</v>
      </c>
      <c r="P34" s="818">
        <f>N34*O34</f>
        <v>2393874415</v>
      </c>
      <c r="Q34" s="614"/>
      <c r="R34" s="424"/>
      <c r="S34" s="425"/>
      <c r="T34" s="416"/>
    </row>
    <row r="35" spans="1:20" s="426" customFormat="1" ht="18" customHeight="1">
      <c r="A35" s="144">
        <v>32</v>
      </c>
      <c r="B35" s="417">
        <v>43056</v>
      </c>
      <c r="C35" s="418"/>
      <c r="D35" s="418"/>
      <c r="E35" s="418"/>
      <c r="F35" s="709">
        <v>2030</v>
      </c>
      <c r="G35" s="709">
        <f t="shared" si="9"/>
        <v>26390</v>
      </c>
      <c r="H35" s="810"/>
      <c r="I35" s="810">
        <f t="shared" si="1"/>
        <v>0</v>
      </c>
      <c r="J35" s="754"/>
      <c r="K35" s="754"/>
      <c r="L35" s="871"/>
      <c r="M35" s="810"/>
      <c r="N35" s="810"/>
      <c r="O35" s="819"/>
      <c r="P35" s="819"/>
      <c r="Q35" s="614"/>
      <c r="R35" s="424"/>
      <c r="S35" s="425"/>
      <c r="T35" s="416"/>
    </row>
    <row r="36" spans="1:20" s="150" customFormat="1" ht="18.75" customHeight="1">
      <c r="A36" s="144">
        <v>33</v>
      </c>
      <c r="B36" s="673">
        <v>43070</v>
      </c>
      <c r="C36" s="243"/>
      <c r="D36" s="243"/>
      <c r="E36" s="243"/>
      <c r="F36" s="684">
        <v>2030</v>
      </c>
      <c r="G36" s="669">
        <f t="shared" si="9"/>
        <v>26390</v>
      </c>
      <c r="H36" s="765">
        <v>2</v>
      </c>
      <c r="I36" s="765">
        <f>(G36+G37)*H36</f>
        <v>105560</v>
      </c>
      <c r="J36" s="754"/>
      <c r="K36" s="754"/>
      <c r="L36" s="767">
        <v>43129</v>
      </c>
      <c r="M36" s="765">
        <v>56.5</v>
      </c>
      <c r="N36" s="765">
        <f>I36+I38-M36</f>
        <v>202775.5</v>
      </c>
      <c r="O36" s="753">
        <v>22685</v>
      </c>
      <c r="P36" s="753">
        <f>N36*O36</f>
        <v>4599962217.5</v>
      </c>
      <c r="Q36" s="253"/>
      <c r="R36" s="254"/>
      <c r="S36" s="255"/>
      <c r="T36" s="144"/>
    </row>
    <row r="37" spans="1:20" s="150" customFormat="1" ht="18.75" customHeight="1">
      <c r="A37" s="144">
        <v>34</v>
      </c>
      <c r="B37" s="685">
        <v>43070</v>
      </c>
      <c r="C37" s="243"/>
      <c r="D37" s="243"/>
      <c r="E37" s="243"/>
      <c r="F37" s="684">
        <v>2030</v>
      </c>
      <c r="G37" s="669">
        <f t="shared" si="9"/>
        <v>26390</v>
      </c>
      <c r="H37" s="761"/>
      <c r="I37" s="761">
        <f t="shared" ref="I37" si="10">G37*H37</f>
        <v>0</v>
      </c>
      <c r="J37" s="755"/>
      <c r="K37" s="755"/>
      <c r="L37" s="768"/>
      <c r="M37" s="766"/>
      <c r="N37" s="766"/>
      <c r="O37" s="754"/>
      <c r="P37" s="754"/>
      <c r="Q37" s="253"/>
      <c r="R37" s="254"/>
      <c r="S37" s="255"/>
      <c r="T37" s="144"/>
    </row>
    <row r="38" spans="1:20" s="150" customFormat="1" ht="18.75" customHeight="1">
      <c r="A38" s="144">
        <v>35</v>
      </c>
      <c r="B38" s="673">
        <v>43077</v>
      </c>
      <c r="C38" s="243"/>
      <c r="D38" s="243"/>
      <c r="E38" s="243"/>
      <c r="F38" s="697">
        <v>1930</v>
      </c>
      <c r="G38" s="669">
        <f>F38*14</f>
        <v>27020</v>
      </c>
      <c r="H38" s="765">
        <v>1.8</v>
      </c>
      <c r="I38" s="765">
        <f>(G38+G39)*H38</f>
        <v>97272</v>
      </c>
      <c r="J38" s="310"/>
      <c r="K38" s="310"/>
      <c r="L38" s="768"/>
      <c r="M38" s="766"/>
      <c r="N38" s="766"/>
      <c r="O38" s="754"/>
      <c r="P38" s="754"/>
      <c r="Q38" s="253"/>
      <c r="R38" s="254"/>
      <c r="S38" s="255"/>
      <c r="T38" s="144"/>
    </row>
    <row r="39" spans="1:20" s="150" customFormat="1" ht="18.75" customHeight="1">
      <c r="A39" s="144">
        <v>36</v>
      </c>
      <c r="B39" s="698">
        <v>43077</v>
      </c>
      <c r="C39" s="243"/>
      <c r="D39" s="243"/>
      <c r="E39" s="243"/>
      <c r="F39" s="697">
        <v>1930</v>
      </c>
      <c r="G39" s="697">
        <f>F39*14</f>
        <v>27020</v>
      </c>
      <c r="H39" s="761"/>
      <c r="I39" s="761">
        <f t="shared" ref="I39" si="11">G39*H39</f>
        <v>0</v>
      </c>
      <c r="J39" s="310"/>
      <c r="K39" s="310"/>
      <c r="L39" s="763"/>
      <c r="M39" s="761"/>
      <c r="N39" s="761"/>
      <c r="O39" s="755"/>
      <c r="P39" s="755"/>
      <c r="Q39" s="253"/>
      <c r="R39" s="254"/>
      <c r="S39" s="255"/>
      <c r="T39" s="144"/>
    </row>
    <row r="40" spans="1:20" s="150" customFormat="1" ht="18" customHeight="1">
      <c r="A40" s="144">
        <v>37</v>
      </c>
      <c r="B40" s="698">
        <v>43077</v>
      </c>
      <c r="C40" s="243"/>
      <c r="D40" s="243"/>
      <c r="E40" s="243"/>
      <c r="F40" s="697">
        <v>2030</v>
      </c>
      <c r="G40" s="669">
        <f t="shared" ref="G40:G62" si="12">F40*13</f>
        <v>26390</v>
      </c>
      <c r="H40" s="765">
        <v>1.8</v>
      </c>
      <c r="I40" s="765">
        <f>SUM(G40:G42)*H40</f>
        <v>142506</v>
      </c>
      <c r="J40" s="310"/>
      <c r="K40" s="310"/>
      <c r="L40" s="767">
        <v>43097</v>
      </c>
      <c r="M40" s="765">
        <v>56.5</v>
      </c>
      <c r="N40" s="765">
        <f>SUM(I40:I42)-M40</f>
        <v>142449.5</v>
      </c>
      <c r="O40" s="753">
        <v>22685</v>
      </c>
      <c r="P40" s="753">
        <f>N40*O40</f>
        <v>3231466907.5</v>
      </c>
      <c r="Q40" s="253"/>
      <c r="R40" s="254"/>
      <c r="S40" s="255"/>
      <c r="T40" s="144"/>
    </row>
    <row r="41" spans="1:20" s="150" customFormat="1" ht="18" customHeight="1">
      <c r="A41" s="144">
        <v>38</v>
      </c>
      <c r="B41" s="698">
        <v>43077</v>
      </c>
      <c r="C41" s="243"/>
      <c r="D41" s="243"/>
      <c r="E41" s="243"/>
      <c r="F41" s="697">
        <v>2030</v>
      </c>
      <c r="G41" s="669">
        <f t="shared" si="12"/>
        <v>26390</v>
      </c>
      <c r="H41" s="766"/>
      <c r="I41" s="766"/>
      <c r="J41" s="310"/>
      <c r="K41" s="310"/>
      <c r="L41" s="768"/>
      <c r="M41" s="766"/>
      <c r="N41" s="766"/>
      <c r="O41" s="754"/>
      <c r="P41" s="754"/>
      <c r="Q41" s="253"/>
      <c r="R41" s="254"/>
      <c r="S41" s="255"/>
      <c r="T41" s="144"/>
    </row>
    <row r="42" spans="1:20" s="150" customFormat="1" ht="18.75" customHeight="1">
      <c r="A42" s="144">
        <v>39</v>
      </c>
      <c r="B42" s="698">
        <v>43077</v>
      </c>
      <c r="C42" s="243"/>
      <c r="D42" s="243"/>
      <c r="E42" s="243"/>
      <c r="F42" s="697">
        <v>2030</v>
      </c>
      <c r="G42" s="669">
        <f t="shared" si="12"/>
        <v>26390</v>
      </c>
      <c r="H42" s="761"/>
      <c r="I42" s="761"/>
      <c r="J42" s="310"/>
      <c r="K42" s="310"/>
      <c r="L42" s="763"/>
      <c r="M42" s="761"/>
      <c r="N42" s="761"/>
      <c r="O42" s="755"/>
      <c r="P42" s="755"/>
      <c r="Q42" s="253"/>
      <c r="R42" s="254"/>
      <c r="S42" s="255"/>
      <c r="T42" s="144"/>
    </row>
    <row r="43" spans="1:20" s="150" customFormat="1" ht="18.75" customHeight="1">
      <c r="A43" s="144">
        <v>40</v>
      </c>
      <c r="B43" s="698">
        <v>43078</v>
      </c>
      <c r="C43" s="243"/>
      <c r="D43" s="243"/>
      <c r="E43" s="243"/>
      <c r="F43" s="697">
        <v>2030</v>
      </c>
      <c r="G43" s="669">
        <f t="shared" si="12"/>
        <v>26390</v>
      </c>
      <c r="H43" s="765">
        <v>1.8</v>
      </c>
      <c r="I43" s="765">
        <f>SUM(G43:G45)*H43</f>
        <v>142506</v>
      </c>
      <c r="J43" s="310"/>
      <c r="K43" s="310"/>
      <c r="L43" s="767">
        <v>43111</v>
      </c>
      <c r="M43" s="765">
        <v>56.5</v>
      </c>
      <c r="N43" s="765">
        <f>SUM(I43:I45)-M43</f>
        <v>142449.5</v>
      </c>
      <c r="O43" s="753">
        <v>22685</v>
      </c>
      <c r="P43" s="753">
        <f>N43*O43</f>
        <v>3231466907.5</v>
      </c>
      <c r="Q43" s="253"/>
      <c r="R43" s="254"/>
      <c r="S43" s="255"/>
      <c r="T43" s="144"/>
    </row>
    <row r="44" spans="1:20" s="150" customFormat="1" ht="18.75" customHeight="1">
      <c r="A44" s="144">
        <v>41</v>
      </c>
      <c r="B44" s="703">
        <v>43078</v>
      </c>
      <c r="C44" s="243"/>
      <c r="D44" s="243"/>
      <c r="E44" s="243"/>
      <c r="F44" s="697">
        <v>2030</v>
      </c>
      <c r="G44" s="669">
        <f t="shared" si="12"/>
        <v>26390</v>
      </c>
      <c r="H44" s="766"/>
      <c r="I44" s="766"/>
      <c r="J44" s="310"/>
      <c r="K44" s="310"/>
      <c r="L44" s="768"/>
      <c r="M44" s="766"/>
      <c r="N44" s="766"/>
      <c r="O44" s="754"/>
      <c r="P44" s="754"/>
      <c r="Q44" s="253"/>
      <c r="R44" s="254"/>
      <c r="S44" s="255"/>
      <c r="T44" s="144"/>
    </row>
    <row r="45" spans="1:20" s="150" customFormat="1" ht="18.75" customHeight="1">
      <c r="A45" s="144">
        <v>42</v>
      </c>
      <c r="B45" s="703">
        <v>43078</v>
      </c>
      <c r="C45" s="243"/>
      <c r="D45" s="243"/>
      <c r="E45" s="243"/>
      <c r="F45" s="697">
        <v>2030</v>
      </c>
      <c r="G45" s="669">
        <f t="shared" si="12"/>
        <v>26390</v>
      </c>
      <c r="H45" s="761"/>
      <c r="I45" s="761"/>
      <c r="J45" s="310"/>
      <c r="K45" s="310"/>
      <c r="L45" s="763"/>
      <c r="M45" s="761"/>
      <c r="N45" s="761"/>
      <c r="O45" s="755"/>
      <c r="P45" s="755"/>
      <c r="Q45" s="253"/>
      <c r="R45" s="254"/>
      <c r="S45" s="255"/>
      <c r="T45" s="144"/>
    </row>
    <row r="46" spans="1:20" s="150" customFormat="1" ht="18" customHeight="1">
      <c r="A46" s="144">
        <v>43</v>
      </c>
      <c r="B46" s="730">
        <v>43084</v>
      </c>
      <c r="C46" s="243"/>
      <c r="D46" s="243"/>
      <c r="E46" s="243"/>
      <c r="F46" s="729">
        <v>2030</v>
      </c>
      <c r="G46" s="729">
        <f t="shared" si="12"/>
        <v>26390</v>
      </c>
      <c r="H46" s="765">
        <v>1.8</v>
      </c>
      <c r="I46" s="765">
        <f>SUM(G46:G50)*H46</f>
        <v>237510</v>
      </c>
      <c r="J46" s="310"/>
      <c r="K46" s="310"/>
      <c r="L46" s="308"/>
      <c r="M46" s="309"/>
      <c r="N46" s="309"/>
      <c r="O46" s="310"/>
      <c r="P46" s="310"/>
      <c r="Q46" s="253"/>
      <c r="R46" s="254"/>
      <c r="S46" s="255"/>
      <c r="T46" s="144"/>
    </row>
    <row r="47" spans="1:20" s="150" customFormat="1" ht="18" customHeight="1">
      <c r="A47" s="144">
        <v>44</v>
      </c>
      <c r="B47" s="730">
        <v>43084</v>
      </c>
      <c r="C47" s="243"/>
      <c r="D47" s="243"/>
      <c r="E47" s="243"/>
      <c r="F47" s="729">
        <v>2030</v>
      </c>
      <c r="G47" s="729">
        <f t="shared" ref="G47:G48" si="13">F47*13</f>
        <v>26390</v>
      </c>
      <c r="H47" s="766"/>
      <c r="I47" s="766"/>
      <c r="J47" s="310"/>
      <c r="K47" s="310"/>
      <c r="L47" s="308"/>
      <c r="M47" s="309"/>
      <c r="N47" s="309"/>
      <c r="O47" s="310"/>
      <c r="P47" s="310"/>
      <c r="Q47" s="253"/>
      <c r="R47" s="254"/>
      <c r="S47" s="255"/>
      <c r="T47" s="144"/>
    </row>
    <row r="48" spans="1:20" s="150" customFormat="1" ht="18" customHeight="1">
      <c r="A48" s="144">
        <v>45</v>
      </c>
      <c r="B48" s="730">
        <v>43084</v>
      </c>
      <c r="C48" s="243"/>
      <c r="D48" s="243"/>
      <c r="E48" s="243"/>
      <c r="F48" s="729">
        <v>2030</v>
      </c>
      <c r="G48" s="729">
        <f t="shared" si="13"/>
        <v>26390</v>
      </c>
      <c r="H48" s="766"/>
      <c r="I48" s="766"/>
      <c r="J48" s="310"/>
      <c r="K48" s="310"/>
      <c r="L48" s="308"/>
      <c r="M48" s="309"/>
      <c r="N48" s="309"/>
      <c r="O48" s="310"/>
      <c r="P48" s="310"/>
      <c r="Q48" s="253"/>
      <c r="R48" s="254"/>
      <c r="S48" s="255"/>
      <c r="T48" s="144"/>
    </row>
    <row r="49" spans="1:20" s="150" customFormat="1" ht="18" customHeight="1">
      <c r="A49" s="144">
        <v>46</v>
      </c>
      <c r="B49" s="730">
        <v>43084</v>
      </c>
      <c r="C49" s="243"/>
      <c r="D49" s="243"/>
      <c r="E49" s="243"/>
      <c r="F49" s="729">
        <v>2030</v>
      </c>
      <c r="G49" s="729">
        <f t="shared" si="12"/>
        <v>26390</v>
      </c>
      <c r="H49" s="766"/>
      <c r="I49" s="766"/>
      <c r="J49" s="310"/>
      <c r="K49" s="310"/>
      <c r="L49" s="308"/>
      <c r="M49" s="309"/>
      <c r="N49" s="309"/>
      <c r="O49" s="310"/>
      <c r="P49" s="310"/>
      <c r="Q49" s="253"/>
      <c r="R49" s="254"/>
      <c r="S49" s="255"/>
      <c r="T49" s="144"/>
    </row>
    <row r="50" spans="1:20" s="150" customFormat="1" ht="18" customHeight="1">
      <c r="A50" s="144">
        <v>47</v>
      </c>
      <c r="B50" s="730">
        <v>43084</v>
      </c>
      <c r="C50" s="243"/>
      <c r="D50" s="243"/>
      <c r="E50" s="243"/>
      <c r="F50" s="729">
        <v>2030</v>
      </c>
      <c r="G50" s="729">
        <f t="shared" si="12"/>
        <v>26390</v>
      </c>
      <c r="H50" s="761"/>
      <c r="I50" s="761"/>
      <c r="J50" s="310"/>
      <c r="K50" s="310"/>
      <c r="L50" s="308"/>
      <c r="M50" s="309"/>
      <c r="N50" s="309"/>
      <c r="O50" s="310"/>
      <c r="P50" s="310"/>
      <c r="Q50" s="253"/>
      <c r="R50" s="254"/>
      <c r="S50" s="255"/>
      <c r="T50" s="144"/>
    </row>
    <row r="51" spans="1:20" s="150" customFormat="1" ht="18" customHeight="1">
      <c r="A51" s="144">
        <v>48</v>
      </c>
      <c r="B51" s="703">
        <v>43095</v>
      </c>
      <c r="C51" s="243"/>
      <c r="D51" s="243"/>
      <c r="E51" s="243"/>
      <c r="F51" s="713">
        <v>2030</v>
      </c>
      <c r="G51" s="699">
        <f t="shared" ref="G51:G56" si="14">F51*13</f>
        <v>26390</v>
      </c>
      <c r="H51" s="702">
        <v>1.8</v>
      </c>
      <c r="I51" s="701">
        <f t="shared" ref="I51:I55" si="15">G51*H51</f>
        <v>47502</v>
      </c>
      <c r="J51" s="310"/>
      <c r="K51" s="310"/>
      <c r="L51" s="308"/>
      <c r="M51" s="309"/>
      <c r="N51" s="309"/>
      <c r="O51" s="310"/>
      <c r="P51" s="310"/>
      <c r="Q51" s="253"/>
      <c r="R51" s="254"/>
      <c r="S51" s="255"/>
      <c r="T51" s="144"/>
    </row>
    <row r="52" spans="1:20" s="150" customFormat="1" ht="18" customHeight="1">
      <c r="A52" s="144">
        <v>49</v>
      </c>
      <c r="B52" s="714">
        <v>43095</v>
      </c>
      <c r="C52" s="243"/>
      <c r="D52" s="243"/>
      <c r="E52" s="243"/>
      <c r="F52" s="713">
        <v>2030</v>
      </c>
      <c r="G52" s="699">
        <f t="shared" si="14"/>
        <v>26390</v>
      </c>
      <c r="H52" s="702">
        <v>2</v>
      </c>
      <c r="I52" s="701">
        <f t="shared" si="15"/>
        <v>52780</v>
      </c>
      <c r="J52" s="310"/>
      <c r="K52" s="310"/>
      <c r="L52" s="308"/>
      <c r="M52" s="309"/>
      <c r="N52" s="309"/>
      <c r="O52" s="310"/>
      <c r="P52" s="310"/>
      <c r="Q52" s="253"/>
      <c r="R52" s="254"/>
      <c r="S52" s="255"/>
      <c r="T52" s="144"/>
    </row>
    <row r="53" spans="1:20" s="150" customFormat="1" ht="18.75" customHeight="1">
      <c r="A53" s="144">
        <v>50</v>
      </c>
      <c r="B53" s="703">
        <v>43099</v>
      </c>
      <c r="C53" s="243"/>
      <c r="D53" s="243"/>
      <c r="E53" s="243"/>
      <c r="F53" s="735">
        <v>2030</v>
      </c>
      <c r="G53" s="699">
        <f t="shared" si="14"/>
        <v>26390</v>
      </c>
      <c r="H53" s="765">
        <v>2</v>
      </c>
      <c r="I53" s="765">
        <f>(G53+G54)*H53</f>
        <v>105560</v>
      </c>
      <c r="J53" s="310"/>
      <c r="K53" s="310"/>
      <c r="L53" s="308"/>
      <c r="M53" s="309"/>
      <c r="N53" s="309"/>
      <c r="O53" s="310"/>
      <c r="P53" s="310"/>
      <c r="Q53" s="253"/>
      <c r="R53" s="254"/>
      <c r="S53" s="255"/>
      <c r="T53" s="144"/>
    </row>
    <row r="54" spans="1:20" s="150" customFormat="1" ht="18.75" customHeight="1">
      <c r="A54" s="144">
        <v>51</v>
      </c>
      <c r="B54" s="736">
        <v>43099</v>
      </c>
      <c r="C54" s="243"/>
      <c r="D54" s="243"/>
      <c r="E54" s="243"/>
      <c r="F54" s="735">
        <v>2030</v>
      </c>
      <c r="G54" s="699">
        <f t="shared" si="14"/>
        <v>26390</v>
      </c>
      <c r="H54" s="761"/>
      <c r="I54" s="761"/>
      <c r="J54" s="310"/>
      <c r="K54" s="310"/>
      <c r="L54" s="308"/>
      <c r="M54" s="309"/>
      <c r="N54" s="309"/>
      <c r="O54" s="310"/>
      <c r="P54" s="310"/>
      <c r="Q54" s="253"/>
      <c r="R54" s="254"/>
      <c r="S54" s="255"/>
      <c r="T54" s="144"/>
    </row>
    <row r="55" spans="1:20" s="150" customFormat="1" ht="18.75" customHeight="1">
      <c r="A55" s="144">
        <v>52</v>
      </c>
      <c r="B55" s="703">
        <v>43119</v>
      </c>
      <c r="C55" s="243"/>
      <c r="D55" s="243"/>
      <c r="E55" s="243"/>
      <c r="F55" s="700">
        <v>2030</v>
      </c>
      <c r="G55" s="699">
        <f t="shared" si="14"/>
        <v>26390</v>
      </c>
      <c r="H55" s="702">
        <v>1.8</v>
      </c>
      <c r="I55" s="701">
        <f t="shared" si="15"/>
        <v>47502</v>
      </c>
      <c r="J55" s="310"/>
      <c r="K55" s="310"/>
      <c r="L55" s="308"/>
      <c r="M55" s="309"/>
      <c r="N55" s="309"/>
      <c r="O55" s="310"/>
      <c r="P55" s="310"/>
      <c r="Q55" s="253"/>
      <c r="R55" s="254"/>
      <c r="S55" s="255"/>
      <c r="T55" s="144"/>
    </row>
    <row r="56" spans="1:20" s="150" customFormat="1" ht="18.75" customHeight="1">
      <c r="A56" s="144">
        <v>53</v>
      </c>
      <c r="B56" s="750">
        <v>43120</v>
      </c>
      <c r="C56" s="243"/>
      <c r="D56" s="243"/>
      <c r="E56" s="243"/>
      <c r="F56" s="749">
        <v>2030</v>
      </c>
      <c r="G56" s="699">
        <f t="shared" si="14"/>
        <v>26390</v>
      </c>
      <c r="H56" s="765">
        <v>2</v>
      </c>
      <c r="I56" s="765">
        <f>(G56+G57)*H56</f>
        <v>105560</v>
      </c>
      <c r="J56" s="310"/>
      <c r="K56" s="310"/>
      <c r="L56" s="308"/>
      <c r="M56" s="309"/>
      <c r="N56" s="309"/>
      <c r="O56" s="310"/>
      <c r="P56" s="310"/>
      <c r="Q56" s="253"/>
      <c r="R56" s="254"/>
      <c r="S56" s="255"/>
      <c r="T56" s="144"/>
    </row>
    <row r="57" spans="1:20" s="150" customFormat="1" ht="18" customHeight="1">
      <c r="A57" s="144">
        <v>54</v>
      </c>
      <c r="B57" s="750">
        <v>43120</v>
      </c>
      <c r="C57" s="243"/>
      <c r="D57" s="243"/>
      <c r="E57" s="243"/>
      <c r="F57" s="749">
        <v>2030</v>
      </c>
      <c r="G57" s="699">
        <f t="shared" si="12"/>
        <v>26390</v>
      </c>
      <c r="H57" s="761"/>
      <c r="I57" s="761"/>
      <c r="J57" s="310"/>
      <c r="K57" s="310"/>
      <c r="L57" s="308"/>
      <c r="M57" s="309"/>
      <c r="N57" s="309"/>
      <c r="O57" s="310"/>
      <c r="P57" s="310"/>
      <c r="Q57" s="253"/>
      <c r="R57" s="254"/>
      <c r="S57" s="255"/>
      <c r="T57" s="144"/>
    </row>
    <row r="58" spans="1:20" s="150" customFormat="1" ht="18" customHeight="1">
      <c r="A58" s="144">
        <v>55</v>
      </c>
      <c r="B58" s="703"/>
      <c r="C58" s="243"/>
      <c r="D58" s="243"/>
      <c r="E58" s="243"/>
      <c r="F58" s="700"/>
      <c r="G58" s="699">
        <f t="shared" si="12"/>
        <v>0</v>
      </c>
      <c r="H58" s="702"/>
      <c r="I58" s="701">
        <f t="shared" ref="I58:I62" si="16">G58*H58</f>
        <v>0</v>
      </c>
      <c r="J58" s="310"/>
      <c r="K58" s="310"/>
      <c r="L58" s="308"/>
      <c r="M58" s="309"/>
      <c r="N58" s="309"/>
      <c r="O58" s="310"/>
      <c r="P58" s="310"/>
      <c r="Q58" s="253"/>
      <c r="R58" s="254"/>
      <c r="S58" s="255"/>
      <c r="T58" s="144"/>
    </row>
    <row r="59" spans="1:20" s="150" customFormat="1" ht="18.75" customHeight="1">
      <c r="A59" s="144">
        <v>56</v>
      </c>
      <c r="B59" s="703"/>
      <c r="C59" s="243"/>
      <c r="D59" s="243"/>
      <c r="E59" s="243"/>
      <c r="F59" s="700"/>
      <c r="G59" s="699">
        <f t="shared" si="12"/>
        <v>0</v>
      </c>
      <c r="H59" s="702"/>
      <c r="I59" s="701">
        <f t="shared" si="16"/>
        <v>0</v>
      </c>
      <c r="J59" s="310"/>
      <c r="K59" s="310"/>
      <c r="L59" s="308"/>
      <c r="M59" s="309"/>
      <c r="N59" s="309"/>
      <c r="O59" s="310"/>
      <c r="P59" s="310"/>
      <c r="Q59" s="253"/>
      <c r="R59" s="254"/>
      <c r="S59" s="255"/>
      <c r="T59" s="144"/>
    </row>
    <row r="60" spans="1:20" s="150" customFormat="1" ht="18.75" customHeight="1">
      <c r="A60" s="144">
        <v>57</v>
      </c>
      <c r="B60" s="703"/>
      <c r="C60" s="243"/>
      <c r="D60" s="243"/>
      <c r="E60" s="243"/>
      <c r="F60" s="700"/>
      <c r="G60" s="699">
        <f t="shared" si="12"/>
        <v>0</v>
      </c>
      <c r="H60" s="702"/>
      <c r="I60" s="701">
        <f t="shared" si="16"/>
        <v>0</v>
      </c>
      <c r="J60" s="310"/>
      <c r="K60" s="310"/>
      <c r="L60" s="308"/>
      <c r="M60" s="309"/>
      <c r="N60" s="309"/>
      <c r="O60" s="310"/>
      <c r="P60" s="310"/>
      <c r="Q60" s="253"/>
      <c r="R60" s="254"/>
      <c r="S60" s="255"/>
      <c r="T60" s="144"/>
    </row>
    <row r="61" spans="1:20" s="150" customFormat="1" ht="18.75" customHeight="1">
      <c r="A61" s="144">
        <v>58</v>
      </c>
      <c r="B61" s="703"/>
      <c r="C61" s="243"/>
      <c r="D61" s="243"/>
      <c r="E61" s="243"/>
      <c r="F61" s="700"/>
      <c r="G61" s="699">
        <f t="shared" si="12"/>
        <v>0</v>
      </c>
      <c r="H61" s="702"/>
      <c r="I61" s="701">
        <f t="shared" si="16"/>
        <v>0</v>
      </c>
      <c r="J61" s="310"/>
      <c r="K61" s="310"/>
      <c r="L61" s="308"/>
      <c r="M61" s="309"/>
      <c r="N61" s="309"/>
      <c r="O61" s="310"/>
      <c r="P61" s="310"/>
      <c r="Q61" s="253"/>
      <c r="R61" s="254"/>
      <c r="S61" s="255"/>
      <c r="T61" s="144"/>
    </row>
    <row r="62" spans="1:20" s="150" customFormat="1" ht="18.75" customHeight="1">
      <c r="A62" s="144">
        <v>59</v>
      </c>
      <c r="B62" s="703"/>
      <c r="C62" s="243"/>
      <c r="D62" s="243"/>
      <c r="E62" s="243"/>
      <c r="F62" s="700"/>
      <c r="G62" s="699">
        <f t="shared" si="12"/>
        <v>0</v>
      </c>
      <c r="H62" s="702"/>
      <c r="I62" s="701">
        <f t="shared" si="16"/>
        <v>0</v>
      </c>
      <c r="J62" s="310"/>
      <c r="K62" s="310"/>
      <c r="L62" s="308"/>
      <c r="M62" s="309"/>
      <c r="N62" s="309"/>
      <c r="O62" s="310"/>
      <c r="P62" s="310"/>
      <c r="Q62" s="253"/>
      <c r="R62" s="254"/>
      <c r="S62" s="255"/>
      <c r="T62" s="144"/>
    </row>
    <row r="63" spans="1:20" s="150" customFormat="1" ht="18" customHeight="1">
      <c r="A63" s="144">
        <v>60</v>
      </c>
      <c r="B63" s="545"/>
      <c r="C63" s="243"/>
      <c r="D63" s="243"/>
      <c r="E63" s="243"/>
      <c r="F63" s="540"/>
      <c r="G63" s="539">
        <f t="shared" si="0"/>
        <v>0</v>
      </c>
      <c r="H63" s="544"/>
      <c r="I63" s="543">
        <f t="shared" si="1"/>
        <v>0</v>
      </c>
      <c r="J63" s="310"/>
      <c r="K63" s="310"/>
      <c r="L63" s="308"/>
      <c r="M63" s="309"/>
      <c r="N63" s="309"/>
      <c r="O63" s="310"/>
      <c r="P63" s="310"/>
      <c r="Q63" s="253"/>
      <c r="R63" s="254"/>
      <c r="S63" s="255"/>
      <c r="T63" s="144"/>
    </row>
    <row r="64" spans="1:20" s="150" customFormat="1" ht="18" customHeight="1">
      <c r="A64" s="144">
        <v>61</v>
      </c>
      <c r="B64" s="545"/>
      <c r="C64" s="243"/>
      <c r="D64" s="243"/>
      <c r="E64" s="243"/>
      <c r="F64" s="540"/>
      <c r="G64" s="539">
        <f t="shared" si="0"/>
        <v>0</v>
      </c>
      <c r="H64" s="544"/>
      <c r="I64" s="543">
        <f t="shared" si="1"/>
        <v>0</v>
      </c>
      <c r="J64" s="310"/>
      <c r="K64" s="310"/>
      <c r="L64" s="308"/>
      <c r="M64" s="309"/>
      <c r="N64" s="309"/>
      <c r="O64" s="310"/>
      <c r="P64" s="310"/>
      <c r="Q64" s="253"/>
      <c r="R64" s="254"/>
      <c r="S64" s="255"/>
      <c r="T64" s="144"/>
    </row>
    <row r="65" spans="1:20" s="150" customFormat="1" ht="18.75" customHeight="1">
      <c r="A65" s="144">
        <v>62</v>
      </c>
      <c r="B65" s="673"/>
      <c r="C65" s="243"/>
      <c r="D65" s="243"/>
      <c r="E65" s="243"/>
      <c r="F65" s="671"/>
      <c r="G65" s="669">
        <f t="shared" ref="G65:G66" si="17">F65*13</f>
        <v>0</v>
      </c>
      <c r="H65" s="672"/>
      <c r="I65" s="670">
        <f t="shared" ref="I65:I66" si="18">G65*H65</f>
        <v>0</v>
      </c>
      <c r="J65" s="310"/>
      <c r="K65" s="310"/>
      <c r="L65" s="308"/>
      <c r="M65" s="309"/>
      <c r="N65" s="309"/>
      <c r="O65" s="310"/>
      <c r="P65" s="310"/>
      <c r="Q65" s="253"/>
      <c r="R65" s="254"/>
      <c r="S65" s="255"/>
      <c r="T65" s="144"/>
    </row>
    <row r="66" spans="1:20" s="150" customFormat="1" ht="18.75" customHeight="1">
      <c r="A66" s="144">
        <v>63</v>
      </c>
      <c r="B66" s="673"/>
      <c r="C66" s="243"/>
      <c r="D66" s="243"/>
      <c r="E66" s="243"/>
      <c r="F66" s="671"/>
      <c r="G66" s="669">
        <f t="shared" si="17"/>
        <v>0</v>
      </c>
      <c r="H66" s="672"/>
      <c r="I66" s="670">
        <f t="shared" si="18"/>
        <v>0</v>
      </c>
      <c r="J66" s="310"/>
      <c r="K66" s="310"/>
      <c r="L66" s="308"/>
      <c r="M66" s="309"/>
      <c r="N66" s="309"/>
      <c r="O66" s="310"/>
      <c r="P66" s="310"/>
      <c r="Q66" s="253"/>
      <c r="R66" s="254"/>
      <c r="S66" s="255"/>
      <c r="T66" s="144"/>
    </row>
    <row r="67" spans="1:20" s="150" customFormat="1" ht="18.75" customHeight="1">
      <c r="A67" s="144">
        <v>64</v>
      </c>
      <c r="B67" s="545"/>
      <c r="C67" s="243"/>
      <c r="D67" s="243"/>
      <c r="E67" s="243"/>
      <c r="F67" s="540"/>
      <c r="G67" s="539">
        <f t="shared" si="0"/>
        <v>0</v>
      </c>
      <c r="H67" s="544"/>
      <c r="I67" s="543">
        <f t="shared" si="1"/>
        <v>0</v>
      </c>
      <c r="J67" s="310"/>
      <c r="K67" s="310"/>
      <c r="L67" s="308"/>
      <c r="M67" s="309"/>
      <c r="N67" s="309"/>
      <c r="O67" s="310"/>
      <c r="P67" s="310"/>
      <c r="Q67" s="253"/>
      <c r="R67" s="254"/>
      <c r="S67" s="255"/>
      <c r="T67" s="144"/>
    </row>
    <row r="68" spans="1:20" s="150" customFormat="1" ht="18.75" customHeight="1">
      <c r="A68" s="144">
        <v>65</v>
      </c>
      <c r="B68" s="545"/>
      <c r="C68" s="243"/>
      <c r="D68" s="243"/>
      <c r="E68" s="243"/>
      <c r="F68" s="540"/>
      <c r="G68" s="539">
        <f t="shared" si="0"/>
        <v>0</v>
      </c>
      <c r="H68" s="544"/>
      <c r="I68" s="543">
        <f t="shared" si="1"/>
        <v>0</v>
      </c>
      <c r="J68" s="310"/>
      <c r="K68" s="310"/>
      <c r="L68" s="308"/>
      <c r="M68" s="309"/>
      <c r="N68" s="309"/>
      <c r="O68" s="310"/>
      <c r="P68" s="310"/>
      <c r="Q68" s="253"/>
      <c r="R68" s="254"/>
      <c r="S68" s="255"/>
      <c r="T68" s="144"/>
    </row>
    <row r="69" spans="1:20" s="150" customFormat="1" ht="18.75" customHeight="1">
      <c r="A69" s="249"/>
      <c r="B69" s="547"/>
      <c r="C69" s="148"/>
      <c r="D69" s="148"/>
      <c r="E69" s="148"/>
      <c r="F69" s="538"/>
      <c r="G69" s="538"/>
      <c r="H69" s="546"/>
      <c r="I69" s="546"/>
      <c r="J69" s="312"/>
      <c r="K69" s="312"/>
      <c r="L69" s="311"/>
      <c r="M69" s="311"/>
      <c r="N69" s="312"/>
      <c r="O69" s="312"/>
      <c r="P69" s="312"/>
      <c r="Q69" s="546"/>
      <c r="R69" s="546"/>
      <c r="S69" s="546"/>
      <c r="T69" s="249"/>
    </row>
    <row r="70" spans="1:20" s="305" customFormat="1" ht="18.75" customHeight="1">
      <c r="A70" s="769" t="s">
        <v>19</v>
      </c>
      <c r="B70" s="770"/>
      <c r="C70" s="770"/>
      <c r="D70" s="770"/>
      <c r="E70" s="771"/>
      <c r="F70" s="261">
        <f>SUM(F4:F69)</f>
        <v>109320</v>
      </c>
      <c r="G70" s="261">
        <f>SUM(G4:G69)</f>
        <v>1426950</v>
      </c>
      <c r="H70" s="262"/>
      <c r="I70" s="552">
        <f>SUM(I4:I69)</f>
        <v>2874634</v>
      </c>
      <c r="J70" s="261">
        <f>SUM(J4:J69)</f>
        <v>2342000000</v>
      </c>
      <c r="K70" s="261">
        <f>SUM(K4:K69)</f>
        <v>97920000</v>
      </c>
      <c r="L70" s="262"/>
      <c r="M70" s="262">
        <f>SUM(M4:M69)</f>
        <v>791.00000000000728</v>
      </c>
      <c r="N70" s="262">
        <f>SUM(N4:N69)</f>
        <v>2277429</v>
      </c>
      <c r="O70" s="262"/>
      <c r="P70" s="261">
        <f>SUM(P4:P69)</f>
        <v>51668151870</v>
      </c>
      <c r="Q70" s="261"/>
      <c r="R70" s="261">
        <f>SUM(R4:R69)</f>
        <v>3164972.8</v>
      </c>
      <c r="S70" s="261">
        <f>SUM(S4:S69)</f>
        <v>7729094000</v>
      </c>
      <c r="T70" s="262"/>
    </row>
    <row r="71" spans="1:20" ht="18.75" customHeight="1">
      <c r="B71" s="162"/>
    </row>
    <row r="72" spans="1:20" s="237" customFormat="1" ht="18.75" customHeight="1">
      <c r="J72" s="462"/>
      <c r="K72" s="462"/>
      <c r="L72" s="305"/>
      <c r="M72" s="305"/>
      <c r="N72" s="463">
        <f>I70-N70</f>
        <v>597205</v>
      </c>
      <c r="O72" s="305"/>
      <c r="P72" s="548" t="s">
        <v>463</v>
      </c>
      <c r="Q72" s="259"/>
      <c r="R72" s="259"/>
      <c r="S72" s="259"/>
      <c r="T72" s="541"/>
    </row>
    <row r="73" spans="1:20" ht="18.75" customHeight="1">
      <c r="J73" s="259"/>
      <c r="K73" s="259"/>
      <c r="Q73" s="306"/>
      <c r="R73" s="306"/>
      <c r="S73" s="306"/>
      <c r="T73" s="259"/>
    </row>
    <row r="74" spans="1:20" ht="18" customHeight="1">
      <c r="N74" s="649"/>
      <c r="T74" s="307"/>
    </row>
    <row r="75" spans="1:20" ht="18" customHeight="1">
      <c r="T75" s="307"/>
    </row>
  </sheetData>
  <autoFilter ref="A3:T68"/>
  <mergeCells count="125">
    <mergeCell ref="H56:H57"/>
    <mergeCell ref="I56:I57"/>
    <mergeCell ref="L43:L45"/>
    <mergeCell ref="M43:M45"/>
    <mergeCell ref="N43:N45"/>
    <mergeCell ref="O43:O45"/>
    <mergeCell ref="P43:P45"/>
    <mergeCell ref="O34:O35"/>
    <mergeCell ref="P34:P35"/>
    <mergeCell ref="H34:H35"/>
    <mergeCell ref="I34:I35"/>
    <mergeCell ref="J34:J37"/>
    <mergeCell ref="K34:K37"/>
    <mergeCell ref="M40:M42"/>
    <mergeCell ref="N40:N42"/>
    <mergeCell ref="O40:O42"/>
    <mergeCell ref="H36:H37"/>
    <mergeCell ref="I36:I37"/>
    <mergeCell ref="L34:L35"/>
    <mergeCell ref="M34:M35"/>
    <mergeCell ref="N34:N35"/>
    <mergeCell ref="H46:H50"/>
    <mergeCell ref="I46:I50"/>
    <mergeCell ref="H53:H54"/>
    <mergeCell ref="H43:H45"/>
    <mergeCell ref="I43:I45"/>
    <mergeCell ref="P40:P42"/>
    <mergeCell ref="H31:H33"/>
    <mergeCell ref="I31:I33"/>
    <mergeCell ref="J30:J33"/>
    <mergeCell ref="K30:K33"/>
    <mergeCell ref="L40:L42"/>
    <mergeCell ref="P31:P33"/>
    <mergeCell ref="L26:L30"/>
    <mergeCell ref="M26:M30"/>
    <mergeCell ref="N26:N30"/>
    <mergeCell ref="O26:O30"/>
    <mergeCell ref="P26:P30"/>
    <mergeCell ref="H38:H39"/>
    <mergeCell ref="I38:I39"/>
    <mergeCell ref="H40:H42"/>
    <mergeCell ref="I40:I42"/>
    <mergeCell ref="H27:H29"/>
    <mergeCell ref="I27:I29"/>
    <mergeCell ref="J27:J29"/>
    <mergeCell ref="K27:K29"/>
    <mergeCell ref="M31:M33"/>
    <mergeCell ref="N31:N33"/>
    <mergeCell ref="O31:O33"/>
    <mergeCell ref="L5:L7"/>
    <mergeCell ref="M5:M7"/>
    <mergeCell ref="N5:N7"/>
    <mergeCell ref="O5:O7"/>
    <mergeCell ref="M8:M10"/>
    <mergeCell ref="N8:N10"/>
    <mergeCell ref="O8:O10"/>
    <mergeCell ref="P5:P7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A70:E70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I14:I16"/>
    <mergeCell ref="J14:J16"/>
    <mergeCell ref="K14:K16"/>
    <mergeCell ref="L8:L10"/>
    <mergeCell ref="P8:P10"/>
    <mergeCell ref="I53:I54"/>
    <mergeCell ref="M17:M19"/>
    <mergeCell ref="N17:N19"/>
    <mergeCell ref="O17:O19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P23:P25"/>
    <mergeCell ref="I23:I25"/>
    <mergeCell ref="J23:J25"/>
    <mergeCell ref="K23:K25"/>
    <mergeCell ref="L36:L39"/>
    <mergeCell ref="M36:M39"/>
    <mergeCell ref="N36:N39"/>
    <mergeCell ref="O36:O39"/>
    <mergeCell ref="P36:P39"/>
    <mergeCell ref="L23:L25"/>
    <mergeCell ref="L31:L33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H23:H25"/>
  </mergeCells>
  <pageMargins left="0.16" right="0.16" top="0.11" bottom="0.16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U447"/>
  <sheetViews>
    <sheetView topLeftCell="A172" zoomScale="90" zoomScaleNormal="90" workbookViewId="0">
      <selection activeCell="G192" sqref="G192"/>
    </sheetView>
  </sheetViews>
  <sheetFormatPr defaultColWidth="9.140625" defaultRowHeight="15"/>
  <cols>
    <col min="1" max="1" width="4.28515625" style="335" customWidth="1"/>
    <col min="2" max="2" width="47.5703125" style="335" customWidth="1"/>
    <col min="3" max="3" width="11.85546875" style="340" customWidth="1"/>
    <col min="4" max="4" width="7.85546875" style="341" customWidth="1"/>
    <col min="5" max="5" width="14.28515625" style="341" customWidth="1"/>
    <col min="6" max="6" width="13.85546875" style="335" customWidth="1"/>
    <col min="7" max="7" width="13.7109375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10.140625" style="334" customWidth="1"/>
    <col min="13" max="13" width="7.85546875" style="334" customWidth="1"/>
    <col min="14" max="14" width="7.7109375" style="334" customWidth="1"/>
    <col min="15" max="15" width="7.28515625" style="334" hidden="1" customWidth="1"/>
    <col min="16" max="17" width="8.57031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43" t="s">
        <v>0</v>
      </c>
      <c r="B2" s="843" t="s">
        <v>21</v>
      </c>
      <c r="C2" s="838" t="s">
        <v>50</v>
      </c>
      <c r="D2" s="837" t="s">
        <v>51</v>
      </c>
      <c r="E2" s="837" t="s">
        <v>9</v>
      </c>
      <c r="F2" s="837" t="s">
        <v>117</v>
      </c>
      <c r="G2" s="837" t="s">
        <v>52</v>
      </c>
      <c r="H2" s="559"/>
      <c r="I2" s="843" t="s">
        <v>0</v>
      </c>
      <c r="J2" s="843" t="s">
        <v>30</v>
      </c>
      <c r="K2" s="843" t="s">
        <v>31</v>
      </c>
      <c r="L2" s="843" t="s">
        <v>103</v>
      </c>
      <c r="M2" s="843" t="s">
        <v>32</v>
      </c>
      <c r="N2" s="859" t="s">
        <v>83</v>
      </c>
      <c r="O2" s="860"/>
      <c r="P2" s="839" t="s">
        <v>33</v>
      </c>
      <c r="Q2" s="837" t="s">
        <v>106</v>
      </c>
      <c r="R2" s="837" t="s">
        <v>9</v>
      </c>
      <c r="S2" s="837" t="s">
        <v>82</v>
      </c>
    </row>
    <row r="3" spans="1:21" ht="23.25" customHeight="1">
      <c r="A3" s="843"/>
      <c r="B3" s="843"/>
      <c r="C3" s="838"/>
      <c r="D3" s="837"/>
      <c r="E3" s="837"/>
      <c r="F3" s="837"/>
      <c r="G3" s="837"/>
      <c r="H3" s="559"/>
      <c r="I3" s="843"/>
      <c r="J3" s="843"/>
      <c r="K3" s="843"/>
      <c r="L3" s="843"/>
      <c r="M3" s="843"/>
      <c r="N3" s="861"/>
      <c r="O3" s="862"/>
      <c r="P3" s="840"/>
      <c r="Q3" s="837"/>
      <c r="R3" s="837"/>
      <c r="S3" s="837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872">
        <f>E23</f>
        <v>9221352140</v>
      </c>
      <c r="G26" s="872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872">
        <f>F23</f>
        <v>1455653793.8</v>
      </c>
      <c r="G28" s="872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872">
        <f>G23</f>
        <v>7729094000</v>
      </c>
      <c r="G31" s="872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873"/>
      <c r="G32" s="873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872"/>
      <c r="G33" s="872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872">
        <f>F26-F28-F31</f>
        <v>36604346.199999809</v>
      </c>
      <c r="G34" s="872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848">
        <f>N39-O39</f>
        <v>12190</v>
      </c>
      <c r="N40" s="848"/>
      <c r="O40" s="848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43" t="s">
        <v>0</v>
      </c>
      <c r="J43" s="843" t="s">
        <v>30</v>
      </c>
      <c r="K43" s="843" t="s">
        <v>725</v>
      </c>
      <c r="L43" s="843" t="s">
        <v>103</v>
      </c>
      <c r="M43" s="843" t="s">
        <v>32</v>
      </c>
      <c r="N43" s="859" t="s">
        <v>83</v>
      </c>
      <c r="O43" s="860"/>
      <c r="P43" s="839" t="s">
        <v>33</v>
      </c>
      <c r="Q43" s="837" t="s">
        <v>106</v>
      </c>
      <c r="R43" s="837" t="s">
        <v>9</v>
      </c>
      <c r="S43" s="559"/>
    </row>
    <row r="44" spans="1:21" ht="28.5">
      <c r="A44" s="579" t="s">
        <v>0</v>
      </c>
      <c r="B44" s="579" t="s">
        <v>21</v>
      </c>
      <c r="C44" s="851" t="s">
        <v>798</v>
      </c>
      <c r="D44" s="852"/>
      <c r="E44" s="580" t="s">
        <v>799</v>
      </c>
      <c r="F44" s="580" t="s">
        <v>800</v>
      </c>
      <c r="G44" s="559"/>
      <c r="H44" s="559"/>
      <c r="I44" s="843"/>
      <c r="J44" s="843"/>
      <c r="K44" s="843"/>
      <c r="L44" s="843"/>
      <c r="M44" s="843"/>
      <c r="N44" s="861"/>
      <c r="O44" s="862"/>
      <c r="P44" s="840"/>
      <c r="Q44" s="837"/>
      <c r="R44" s="837"/>
      <c r="S44" s="559"/>
    </row>
    <row r="45" spans="1:21">
      <c r="A45" s="489">
        <v>1</v>
      </c>
      <c r="B45" s="253" t="s">
        <v>801</v>
      </c>
      <c r="C45" s="855">
        <v>3720000000</v>
      </c>
      <c r="D45" s="856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874"/>
      <c r="D46" s="875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874"/>
      <c r="D47" s="875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874"/>
      <c r="D48" s="875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874"/>
      <c r="D49" s="875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855"/>
      <c r="D50" s="856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849">
        <f>SUM(C45:C50)</f>
        <v>3720000000</v>
      </c>
      <c r="D51" s="850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43" t="s">
        <v>0</v>
      </c>
      <c r="B57" s="843" t="s">
        <v>21</v>
      </c>
      <c r="C57" s="838" t="s">
        <v>50</v>
      </c>
      <c r="D57" s="837" t="s">
        <v>51</v>
      </c>
      <c r="E57" s="837" t="s">
        <v>9</v>
      </c>
      <c r="F57" s="837" t="s">
        <v>117</v>
      </c>
      <c r="G57" s="837" t="s">
        <v>52</v>
      </c>
      <c r="H57" s="559"/>
      <c r="I57" s="843" t="s">
        <v>0</v>
      </c>
      <c r="J57" s="843" t="s">
        <v>30</v>
      </c>
      <c r="K57" s="843" t="s">
        <v>31</v>
      </c>
      <c r="L57" s="843" t="s">
        <v>103</v>
      </c>
      <c r="M57" s="843" t="s">
        <v>32</v>
      </c>
      <c r="N57" s="859" t="s">
        <v>83</v>
      </c>
      <c r="O57" s="860"/>
      <c r="P57" s="839" t="s">
        <v>33</v>
      </c>
      <c r="Q57" s="837" t="s">
        <v>106</v>
      </c>
      <c r="R57" s="837" t="s">
        <v>9</v>
      </c>
      <c r="S57" s="559"/>
    </row>
    <row r="58" spans="1:19" ht="22.5" customHeight="1">
      <c r="A58" s="843"/>
      <c r="B58" s="843"/>
      <c r="C58" s="838"/>
      <c r="D58" s="837"/>
      <c r="E58" s="837"/>
      <c r="F58" s="837"/>
      <c r="G58" s="837"/>
      <c r="H58" s="559"/>
      <c r="I58" s="843"/>
      <c r="J58" s="843"/>
      <c r="K58" s="843"/>
      <c r="L58" s="843"/>
      <c r="M58" s="843"/>
      <c r="N58" s="861"/>
      <c r="O58" s="862"/>
      <c r="P58" s="840"/>
      <c r="Q58" s="837"/>
      <c r="R58" s="837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848">
        <f>N70-O70</f>
        <v>10</v>
      </c>
      <c r="N71" s="848"/>
      <c r="O71" s="848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872">
        <f>E70</f>
        <v>3961008060</v>
      </c>
      <c r="G73" s="872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872">
        <f>F70</f>
        <v>462260527</v>
      </c>
      <c r="G75" s="872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872">
        <f>G70</f>
        <v>3498750000</v>
      </c>
      <c r="G77" s="872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873"/>
      <c r="G78" s="873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872"/>
      <c r="G79" s="872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872">
        <f>F73-F75-F77</f>
        <v>-2467</v>
      </c>
      <c r="G80" s="872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43" t="s">
        <v>0</v>
      </c>
      <c r="B82" s="843" t="s">
        <v>21</v>
      </c>
      <c r="C82" s="838" t="s">
        <v>50</v>
      </c>
      <c r="D82" s="837" t="s">
        <v>51</v>
      </c>
      <c r="E82" s="837" t="s">
        <v>9</v>
      </c>
      <c r="F82" s="837" t="s">
        <v>117</v>
      </c>
      <c r="G82" s="837" t="s">
        <v>52</v>
      </c>
      <c r="H82" s="559"/>
      <c r="I82" s="843" t="s">
        <v>0</v>
      </c>
      <c r="J82" s="843" t="s">
        <v>30</v>
      </c>
      <c r="K82" s="843" t="s">
        <v>31</v>
      </c>
      <c r="L82" s="843" t="s">
        <v>103</v>
      </c>
      <c r="M82" s="843" t="s">
        <v>32</v>
      </c>
      <c r="N82" s="859" t="s">
        <v>83</v>
      </c>
      <c r="O82" s="860"/>
      <c r="P82" s="839" t="s">
        <v>33</v>
      </c>
      <c r="Q82" s="837" t="s">
        <v>106</v>
      </c>
      <c r="R82" s="837" t="s">
        <v>9</v>
      </c>
      <c r="S82" s="559"/>
    </row>
    <row r="83" spans="1:19" ht="20.25" customHeight="1">
      <c r="A83" s="843"/>
      <c r="B83" s="843"/>
      <c r="C83" s="838"/>
      <c r="D83" s="837"/>
      <c r="E83" s="837"/>
      <c r="F83" s="837"/>
      <c r="G83" s="837"/>
      <c r="H83" s="559"/>
      <c r="I83" s="843"/>
      <c r="J83" s="843"/>
      <c r="K83" s="843"/>
      <c r="L83" s="843"/>
      <c r="M83" s="843"/>
      <c r="N83" s="861"/>
      <c r="O83" s="862"/>
      <c r="P83" s="840"/>
      <c r="Q83" s="837"/>
      <c r="R83" s="837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848">
        <f>N91-O91</f>
        <v>0</v>
      </c>
      <c r="N92" s="848"/>
      <c r="O92" s="848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872">
        <f>E94</f>
        <v>3950266320</v>
      </c>
      <c r="G97" s="872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872">
        <f>F94</f>
        <v>299803000</v>
      </c>
      <c r="G99" s="872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872">
        <f>G94</f>
        <v>3651800000</v>
      </c>
      <c r="G101" s="872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873"/>
      <c r="G102" s="873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872"/>
      <c r="G103" s="872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872">
        <f>F97-F99-F101</f>
        <v>-1336680</v>
      </c>
      <c r="G104" s="872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843" t="s">
        <v>0</v>
      </c>
      <c r="B108" s="843" t="s">
        <v>21</v>
      </c>
      <c r="C108" s="838" t="s">
        <v>50</v>
      </c>
      <c r="D108" s="837" t="s">
        <v>51</v>
      </c>
      <c r="E108" s="837" t="s">
        <v>9</v>
      </c>
      <c r="F108" s="837" t="s">
        <v>117</v>
      </c>
      <c r="G108" s="837" t="s">
        <v>52</v>
      </c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843"/>
      <c r="B109" s="843"/>
      <c r="C109" s="838"/>
      <c r="D109" s="837"/>
      <c r="E109" s="837"/>
      <c r="F109" s="837"/>
      <c r="G109" s="837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1</v>
      </c>
      <c r="B110" s="264" t="s">
        <v>1133</v>
      </c>
      <c r="C110" s="510">
        <v>174174</v>
      </c>
      <c r="D110" s="511">
        <v>22680</v>
      </c>
      <c r="E110" s="511">
        <f>C110*D110</f>
        <v>3950266320</v>
      </c>
      <c r="F110" s="512"/>
      <c r="G110" s="511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>
        <v>2</v>
      </c>
      <c r="B111" s="253" t="s">
        <v>959</v>
      </c>
      <c r="C111" s="309"/>
      <c r="D111" s="255"/>
      <c r="E111" s="255"/>
      <c r="F111" s="254">
        <f>56.5*1*D110</f>
        <v>1281420</v>
      </c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56">
        <v>9</v>
      </c>
      <c r="B112" s="256" t="s">
        <v>1122</v>
      </c>
      <c r="C112" s="310"/>
      <c r="D112" s="255"/>
      <c r="E112" s="255"/>
      <c r="F112" s="254">
        <v>984900</v>
      </c>
      <c r="G112" s="255"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356"/>
      <c r="B113" s="256"/>
      <c r="C113" s="310"/>
      <c r="D113" s="255"/>
      <c r="E113" s="255"/>
      <c r="F113" s="254"/>
      <c r="G113" s="255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376"/>
      <c r="B114" s="376" t="s">
        <v>57</v>
      </c>
      <c r="C114" s="262">
        <f>SUM(C110:C113)</f>
        <v>174174</v>
      </c>
      <c r="D114" s="262"/>
      <c r="E114" s="261">
        <f>SUM(E110:E113)</f>
        <v>3950266320</v>
      </c>
      <c r="F114" s="261">
        <f>SUM(F110:F113)</f>
        <v>2266320</v>
      </c>
      <c r="G114" s="261">
        <f>SUM(G110:G113)</f>
        <v>3948000000</v>
      </c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/>
      <c r="C115" s="535"/>
      <c r="D115" s="536"/>
      <c r="E115" s="536"/>
      <c r="F115" s="534"/>
      <c r="G115" s="581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82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34"/>
      <c r="B117" s="534" t="s">
        <v>929</v>
      </c>
      <c r="C117" s="535">
        <f>C114</f>
        <v>174174</v>
      </c>
      <c r="D117" s="536"/>
      <c r="E117" s="536"/>
      <c r="F117" s="872">
        <f>E114</f>
        <v>3950266320</v>
      </c>
      <c r="G117" s="872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34"/>
      <c r="B118" s="534"/>
      <c r="C118" s="535"/>
      <c r="D118" s="536"/>
      <c r="E118" s="536"/>
      <c r="F118" s="534"/>
      <c r="G118" s="581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961</v>
      </c>
      <c r="C119" s="583"/>
      <c r="D119" s="583"/>
      <c r="E119" s="583"/>
      <c r="F119" s="872">
        <f>F114</f>
        <v>2266320</v>
      </c>
      <c r="G119" s="872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83"/>
      <c r="B120" s="583"/>
      <c r="C120" s="583"/>
      <c r="D120" s="583"/>
      <c r="E120" s="583"/>
      <c r="F120" s="583"/>
      <c r="G120" s="583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83"/>
      <c r="B121" s="583" t="s">
        <v>960</v>
      </c>
      <c r="C121" s="583"/>
      <c r="D121" s="583"/>
      <c r="E121" s="583"/>
      <c r="F121" s="872">
        <f>G114</f>
        <v>3948000000</v>
      </c>
      <c r="G121" s="872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60"/>
      <c r="B122" s="560"/>
      <c r="C122" s="560"/>
      <c r="D122" s="560"/>
      <c r="E122" s="560"/>
      <c r="F122" s="873"/>
      <c r="G122" s="873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560"/>
      <c r="B123" s="560"/>
      <c r="C123" s="560"/>
      <c r="D123" s="560"/>
      <c r="E123" s="560"/>
      <c r="F123" s="872"/>
      <c r="G123" s="872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559"/>
      <c r="B124" s="560" t="s">
        <v>930</v>
      </c>
      <c r="C124" s="559"/>
      <c r="D124" s="559"/>
      <c r="E124" s="559"/>
      <c r="F124" s="872">
        <f>F117-F119-F121</f>
        <v>0</v>
      </c>
      <c r="G124" s="872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843" t="s">
        <v>0</v>
      </c>
      <c r="B126" s="843" t="s">
        <v>21</v>
      </c>
      <c r="C126" s="838" t="s">
        <v>50</v>
      </c>
      <c r="D126" s="837" t="s">
        <v>51</v>
      </c>
      <c r="E126" s="837" t="s">
        <v>9</v>
      </c>
      <c r="F126" s="837" t="s">
        <v>117</v>
      </c>
      <c r="G126" s="837" t="s">
        <v>52</v>
      </c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843"/>
      <c r="B127" s="843"/>
      <c r="C127" s="838"/>
      <c r="D127" s="837"/>
      <c r="E127" s="837"/>
      <c r="F127" s="837"/>
      <c r="G127" s="837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686">
        <v>1</v>
      </c>
      <c r="B128" s="264" t="s">
        <v>1153</v>
      </c>
      <c r="C128" s="510">
        <v>105560</v>
      </c>
      <c r="D128" s="511">
        <v>22690</v>
      </c>
      <c r="E128" s="511">
        <f>C128*D128</f>
        <v>2395156400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686">
        <v>2</v>
      </c>
      <c r="B129" s="264" t="s">
        <v>1166</v>
      </c>
      <c r="C129" s="510">
        <v>174174</v>
      </c>
      <c r="D129" s="511">
        <v>22690</v>
      </c>
      <c r="E129" s="511">
        <f>C129*D129</f>
        <v>3952008060</v>
      </c>
      <c r="F129" s="512"/>
      <c r="G129" s="511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11">
        <v>3</v>
      </c>
      <c r="B130" s="264" t="s">
        <v>1167</v>
      </c>
      <c r="C130" s="510">
        <f>158283.5+65.5</f>
        <v>158349</v>
      </c>
      <c r="D130" s="511">
        <v>22690</v>
      </c>
      <c r="E130" s="511">
        <f>C130*D130</f>
        <v>3592938810</v>
      </c>
      <c r="F130" s="512"/>
      <c r="G130" s="511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11">
        <v>4</v>
      </c>
      <c r="B131" s="264" t="s">
        <v>1177</v>
      </c>
      <c r="C131" s="510">
        <v>265034</v>
      </c>
      <c r="D131" s="511">
        <v>22690</v>
      </c>
      <c r="E131" s="511">
        <f>C131*D131</f>
        <v>6013621460</v>
      </c>
      <c r="F131" s="512"/>
      <c r="G131" s="511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11">
        <v>5</v>
      </c>
      <c r="B132" s="253" t="s">
        <v>959</v>
      </c>
      <c r="C132" s="309"/>
      <c r="D132" s="255"/>
      <c r="E132" s="255"/>
      <c r="F132" s="254">
        <f>56.5*4*D128</f>
        <v>5127940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11">
        <v>6</v>
      </c>
      <c r="B133" s="253" t="s">
        <v>1168</v>
      </c>
      <c r="C133" s="309"/>
      <c r="D133" s="255"/>
      <c r="E133" s="255"/>
      <c r="F133" s="254">
        <f>68000000*12</f>
        <v>816000000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11">
        <v>7</v>
      </c>
      <c r="B134" s="256" t="s">
        <v>958</v>
      </c>
      <c r="C134" s="263"/>
      <c r="D134" s="258"/>
      <c r="E134" s="258"/>
      <c r="F134" s="254">
        <f>12*2880000</f>
        <v>34560000</v>
      </c>
      <c r="G134" s="255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11">
        <v>8</v>
      </c>
      <c r="B135" s="253" t="s">
        <v>1159</v>
      </c>
      <c r="C135" s="309"/>
      <c r="D135" s="255"/>
      <c r="E135" s="255"/>
      <c r="F135" s="254">
        <f>105560*48500</f>
        <v>5119660000</v>
      </c>
      <c r="G135" s="255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11">
        <v>9</v>
      </c>
      <c r="B136" s="253" t="s">
        <v>1178</v>
      </c>
      <c r="C136" s="309"/>
      <c r="D136" s="255"/>
      <c r="E136" s="255"/>
      <c r="F136" s="254">
        <f>52780*48500</f>
        <v>2559830000</v>
      </c>
      <c r="G136" s="255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11">
        <v>10</v>
      </c>
      <c r="B137" s="256" t="s">
        <v>1158</v>
      </c>
      <c r="C137" s="310"/>
      <c r="D137" s="255"/>
      <c r="E137" s="255"/>
      <c r="F137" s="254">
        <v>550000</v>
      </c>
      <c r="G137" s="255">
        <v>1000000000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11">
        <v>11</v>
      </c>
      <c r="B138" s="256" t="s">
        <v>1179</v>
      </c>
      <c r="C138" s="310"/>
      <c r="D138" s="255"/>
      <c r="E138" s="255"/>
      <c r="F138" s="254">
        <v>770000</v>
      </c>
      <c r="G138" s="255">
        <v>1000000000</v>
      </c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711">
        <v>12</v>
      </c>
      <c r="B139" s="256" t="s">
        <v>1180</v>
      </c>
      <c r="C139" s="310"/>
      <c r="D139" s="255"/>
      <c r="E139" s="255"/>
      <c r="F139" s="254">
        <v>1100000</v>
      </c>
      <c r="G139" s="255">
        <v>1966587000</v>
      </c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711">
        <v>13</v>
      </c>
      <c r="B140" s="256" t="s">
        <v>1183</v>
      </c>
      <c r="C140" s="310"/>
      <c r="D140" s="255"/>
      <c r="E140" s="255"/>
      <c r="F140" s="254">
        <v>2200000</v>
      </c>
      <c r="G140" s="255">
        <v>3000000000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711">
        <v>14</v>
      </c>
      <c r="B141" s="256"/>
      <c r="C141" s="310"/>
      <c r="D141" s="255"/>
      <c r="E141" s="255"/>
      <c r="F141" s="254"/>
      <c r="G141" s="255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686"/>
      <c r="B142" s="256"/>
      <c r="C142" s="310"/>
      <c r="D142" s="255"/>
      <c r="E142" s="255"/>
      <c r="F142" s="254"/>
      <c r="G142" s="255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376"/>
      <c r="B143" s="376" t="s">
        <v>57</v>
      </c>
      <c r="C143" s="262">
        <f>SUM(C128:C142)</f>
        <v>703117</v>
      </c>
      <c r="D143" s="262"/>
      <c r="E143" s="261">
        <f>SUM(E128:E142)</f>
        <v>15953724730</v>
      </c>
      <c r="F143" s="261">
        <f>SUM(F128:F142)</f>
        <v>8539797940</v>
      </c>
      <c r="G143" s="261">
        <f>SUM(G128:G142)</f>
        <v>6966587000</v>
      </c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34"/>
      <c r="B145" s="582"/>
      <c r="C145" s="535"/>
      <c r="D145" s="536"/>
      <c r="E145" s="536"/>
      <c r="F145" s="534"/>
      <c r="G145" s="581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34"/>
      <c r="B146" s="534" t="s">
        <v>929</v>
      </c>
      <c r="C146" s="535">
        <f>C143</f>
        <v>703117</v>
      </c>
      <c r="D146" s="536"/>
      <c r="E146" s="536"/>
      <c r="F146" s="872">
        <f>E143</f>
        <v>15953724730</v>
      </c>
      <c r="G146" s="872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34"/>
      <c r="B147" s="534"/>
      <c r="C147" s="535"/>
      <c r="D147" s="536"/>
      <c r="E147" s="536"/>
      <c r="F147" s="534"/>
      <c r="G147" s="581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83"/>
      <c r="B148" s="583" t="s">
        <v>961</v>
      </c>
      <c r="C148" s="583"/>
      <c r="D148" s="583"/>
      <c r="E148" s="583"/>
      <c r="F148" s="872">
        <f>F143</f>
        <v>8539797940</v>
      </c>
      <c r="G148" s="872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83"/>
      <c r="B149" s="583"/>
      <c r="C149" s="583"/>
      <c r="D149" s="583"/>
      <c r="E149" s="583"/>
      <c r="F149" s="583"/>
      <c r="G149" s="583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83"/>
      <c r="B150" s="583" t="s">
        <v>960</v>
      </c>
      <c r="C150" s="583"/>
      <c r="D150" s="583"/>
      <c r="E150" s="583"/>
      <c r="F150" s="872">
        <f>G143</f>
        <v>6966587000</v>
      </c>
      <c r="G150" s="872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60"/>
      <c r="B151" s="560"/>
      <c r="C151" s="560"/>
      <c r="D151" s="560"/>
      <c r="E151" s="560"/>
      <c r="F151" s="873"/>
      <c r="G151" s="873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560"/>
      <c r="B152" s="560"/>
      <c r="C152" s="560"/>
      <c r="D152" s="560"/>
      <c r="E152" s="560"/>
      <c r="F152" s="872"/>
      <c r="G152" s="872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559"/>
      <c r="B153" s="560" t="s">
        <v>930</v>
      </c>
      <c r="C153" s="559"/>
      <c r="D153" s="559"/>
      <c r="E153" s="559"/>
      <c r="F153" s="872">
        <f>F146-F148-F150</f>
        <v>447339790</v>
      </c>
      <c r="G153" s="872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843" t="s">
        <v>0</v>
      </c>
      <c r="B157" s="843" t="s">
        <v>21</v>
      </c>
      <c r="C157" s="838" t="s">
        <v>50</v>
      </c>
      <c r="D157" s="837" t="s">
        <v>51</v>
      </c>
      <c r="E157" s="837" t="s">
        <v>9</v>
      </c>
      <c r="F157" s="837" t="s">
        <v>117</v>
      </c>
      <c r="G157" s="837" t="s">
        <v>52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843"/>
      <c r="B158" s="843"/>
      <c r="C158" s="838"/>
      <c r="D158" s="837"/>
      <c r="E158" s="837"/>
      <c r="F158" s="837"/>
      <c r="G158" s="837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711">
        <v>1</v>
      </c>
      <c r="B159" s="264" t="s">
        <v>1184</v>
      </c>
      <c r="C159" s="510">
        <v>158340</v>
      </c>
      <c r="D159" s="511">
        <v>22685</v>
      </c>
      <c r="E159" s="511">
        <f>C159*D159</f>
        <v>3591942900</v>
      </c>
      <c r="F159" s="512"/>
      <c r="G159" s="511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711">
        <v>2</v>
      </c>
      <c r="B160" s="253" t="s">
        <v>959</v>
      </c>
      <c r="C160" s="309"/>
      <c r="D160" s="255"/>
      <c r="E160" s="255"/>
      <c r="F160" s="254">
        <f>56.5*D159</f>
        <v>1281702.5</v>
      </c>
      <c r="G160" s="255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711">
        <v>3</v>
      </c>
      <c r="B161" s="256" t="s">
        <v>1185</v>
      </c>
      <c r="C161" s="310"/>
      <c r="D161" s="255"/>
      <c r="E161" s="255"/>
      <c r="F161" s="254">
        <v>1100000</v>
      </c>
      <c r="G161" s="255">
        <v>1370000000</v>
      </c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711">
        <v>4</v>
      </c>
      <c r="B162" s="256" t="s">
        <v>1122</v>
      </c>
      <c r="C162" s="310"/>
      <c r="D162" s="255"/>
      <c r="E162" s="255"/>
      <c r="F162" s="254">
        <v>1100000</v>
      </c>
      <c r="G162" s="255">
        <v>2218461000</v>
      </c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711"/>
      <c r="B163" s="256"/>
      <c r="C163" s="310"/>
      <c r="D163" s="255"/>
      <c r="E163" s="255"/>
      <c r="F163" s="254"/>
      <c r="G163" s="255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376"/>
      <c r="B164" s="376" t="s">
        <v>57</v>
      </c>
      <c r="C164" s="262">
        <f>SUM(C159:C163)</f>
        <v>158340</v>
      </c>
      <c r="D164" s="262"/>
      <c r="E164" s="261">
        <f>SUM(E159:E163)</f>
        <v>3591942900</v>
      </c>
      <c r="F164" s="261">
        <f>SUM(F159:F163)</f>
        <v>3481702.5</v>
      </c>
      <c r="G164" s="261">
        <f>SUM(G159:G163)</f>
        <v>3588461000</v>
      </c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34"/>
      <c r="B165" s="534"/>
      <c r="C165" s="535"/>
      <c r="D165" s="536"/>
      <c r="E165" s="536"/>
      <c r="F165" s="534"/>
      <c r="G165" s="581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34"/>
      <c r="B166" s="582"/>
      <c r="C166" s="535"/>
      <c r="D166" s="536"/>
      <c r="E166" s="536"/>
      <c r="F166" s="534"/>
      <c r="G166" s="581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34"/>
      <c r="B167" s="534" t="s">
        <v>929</v>
      </c>
      <c r="C167" s="535">
        <f>C164</f>
        <v>158340</v>
      </c>
      <c r="D167" s="536"/>
      <c r="E167" s="536"/>
      <c r="F167" s="872">
        <f>E164</f>
        <v>3591942900</v>
      </c>
      <c r="G167" s="872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34"/>
      <c r="B168" s="534"/>
      <c r="C168" s="535"/>
      <c r="D168" s="536"/>
      <c r="E168" s="536"/>
      <c r="F168" s="534"/>
      <c r="G168" s="581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83"/>
      <c r="B169" s="583" t="s">
        <v>961</v>
      </c>
      <c r="C169" s="583"/>
      <c r="D169" s="583"/>
      <c r="E169" s="583"/>
      <c r="F169" s="872">
        <f>F164</f>
        <v>3481702.5</v>
      </c>
      <c r="G169" s="872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83"/>
      <c r="B170" s="583"/>
      <c r="C170" s="583"/>
      <c r="D170" s="583"/>
      <c r="E170" s="583"/>
      <c r="F170" s="583"/>
      <c r="G170" s="583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583"/>
      <c r="B171" s="583" t="s">
        <v>960</v>
      </c>
      <c r="C171" s="583"/>
      <c r="D171" s="583"/>
      <c r="E171" s="583"/>
      <c r="F171" s="872">
        <f>G164</f>
        <v>3588461000</v>
      </c>
      <c r="G171" s="872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560"/>
      <c r="B172" s="560"/>
      <c r="C172" s="560"/>
      <c r="D172" s="560"/>
      <c r="E172" s="560"/>
      <c r="F172" s="873"/>
      <c r="G172" s="873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560"/>
      <c r="B173" s="560"/>
      <c r="C173" s="560"/>
      <c r="D173" s="560"/>
      <c r="E173" s="560"/>
      <c r="F173" s="872"/>
      <c r="G173" s="872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559"/>
      <c r="B174" s="560" t="s">
        <v>930</v>
      </c>
      <c r="C174" s="559"/>
      <c r="D174" s="559"/>
      <c r="E174" s="559"/>
      <c r="F174" s="872">
        <f>F167-F169-F171</f>
        <v>197.5</v>
      </c>
      <c r="G174" s="872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843" t="s">
        <v>0</v>
      </c>
      <c r="B178" s="843" t="s">
        <v>21</v>
      </c>
      <c r="C178" s="838" t="s">
        <v>50</v>
      </c>
      <c r="D178" s="837" t="s">
        <v>51</v>
      </c>
      <c r="E178" s="837" t="s">
        <v>9</v>
      </c>
      <c r="F178" s="837" t="s">
        <v>117</v>
      </c>
      <c r="G178" s="837" t="s">
        <v>52</v>
      </c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843"/>
      <c r="B179" s="843"/>
      <c r="C179" s="838"/>
      <c r="D179" s="837"/>
      <c r="E179" s="837"/>
      <c r="F179" s="837"/>
      <c r="G179" s="837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11">
        <v>1</v>
      </c>
      <c r="B180" s="264" t="s">
        <v>1187</v>
      </c>
      <c r="C180" s="510">
        <v>142506</v>
      </c>
      <c r="D180" s="511">
        <v>22675</v>
      </c>
      <c r="E180" s="511">
        <f>C180*D180</f>
        <v>3231323550</v>
      </c>
      <c r="F180" s="512"/>
      <c r="G180" s="511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11">
        <v>2</v>
      </c>
      <c r="B181" s="264" t="s">
        <v>1205</v>
      </c>
      <c r="C181" s="510">
        <v>142506</v>
      </c>
      <c r="D181" s="511"/>
      <c r="E181" s="511">
        <f>C181*D180</f>
        <v>3231323550</v>
      </c>
      <c r="F181" s="512"/>
      <c r="G181" s="511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11">
        <v>3</v>
      </c>
      <c r="B182" s="264" t="s">
        <v>1216</v>
      </c>
      <c r="C182" s="510">
        <v>202832</v>
      </c>
      <c r="D182" s="511"/>
      <c r="E182" s="511">
        <f>C182*D180</f>
        <v>4599215600</v>
      </c>
      <c r="F182" s="512"/>
      <c r="G182" s="511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11">
        <v>4</v>
      </c>
      <c r="B183" s="253" t="s">
        <v>959</v>
      </c>
      <c r="C183" s="309"/>
      <c r="D183" s="255"/>
      <c r="E183" s="255"/>
      <c r="F183" s="254">
        <f>56.5*D180*3</f>
        <v>3843412.5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11">
        <v>5</v>
      </c>
      <c r="B184" s="253" t="s">
        <v>1207</v>
      </c>
      <c r="C184" s="309"/>
      <c r="D184" s="255"/>
      <c r="E184" s="255"/>
      <c r="F184" s="254">
        <f>68000000*12</f>
        <v>816000000</v>
      </c>
      <c r="G184" s="255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11">
        <v>6</v>
      </c>
      <c r="B185" s="256" t="s">
        <v>958</v>
      </c>
      <c r="C185" s="263"/>
      <c r="D185" s="258"/>
      <c r="E185" s="258"/>
      <c r="F185" s="254">
        <f>9*2880000</f>
        <v>25920000</v>
      </c>
      <c r="G185" s="255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11">
        <v>7</v>
      </c>
      <c r="B186" s="253" t="s">
        <v>1208</v>
      </c>
      <c r="C186" s="309"/>
      <c r="D186" s="255"/>
      <c r="E186" s="255"/>
      <c r="F186" s="254">
        <f>26390*48500</f>
        <v>1279915000</v>
      </c>
      <c r="G186" s="255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11">
        <v>8</v>
      </c>
      <c r="B187" s="253" t="s">
        <v>1209</v>
      </c>
      <c r="C187" s="309"/>
      <c r="D187" s="255"/>
      <c r="E187" s="255"/>
      <c r="F187" s="254">
        <f>26390*49000</f>
        <v>1293110000</v>
      </c>
      <c r="G187" s="255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711">
        <v>9</v>
      </c>
      <c r="B188" s="253" t="s">
        <v>1212</v>
      </c>
      <c r="C188" s="309"/>
      <c r="D188" s="255"/>
      <c r="E188" s="255"/>
      <c r="F188" s="254">
        <f>52780*49500</f>
        <v>2612610000</v>
      </c>
      <c r="G188" s="255"/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711">
        <v>10</v>
      </c>
      <c r="B189" s="256" t="s">
        <v>1219</v>
      </c>
      <c r="C189" s="310"/>
      <c r="D189" s="255"/>
      <c r="E189" s="255"/>
      <c r="F189" s="254">
        <v>1100000</v>
      </c>
      <c r="G189" s="255">
        <v>1900000000</v>
      </c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711">
        <v>11</v>
      </c>
      <c r="B190" s="256" t="s">
        <v>1218</v>
      </c>
      <c r="C190" s="310"/>
      <c r="D190" s="255"/>
      <c r="E190" s="255"/>
      <c r="F190" s="254">
        <v>1100000</v>
      </c>
      <c r="G190" s="255">
        <v>900000000</v>
      </c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711">
        <v>11</v>
      </c>
      <c r="B191" s="256" t="s">
        <v>1220</v>
      </c>
      <c r="C191" s="310"/>
      <c r="D191" s="255"/>
      <c r="E191" s="255"/>
      <c r="F191" s="254">
        <v>1100000</v>
      </c>
      <c r="G191" s="255">
        <v>1000000000</v>
      </c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711"/>
      <c r="B192" s="256"/>
      <c r="C192" s="310"/>
      <c r="D192" s="255"/>
      <c r="E192" s="255"/>
      <c r="F192" s="254"/>
      <c r="G192" s="255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376"/>
      <c r="B193" s="376" t="s">
        <v>57</v>
      </c>
      <c r="C193" s="262">
        <f>SUM(C180:C192)</f>
        <v>487844</v>
      </c>
      <c r="D193" s="262"/>
      <c r="E193" s="261">
        <f>SUM(E180:E192)</f>
        <v>11061862700</v>
      </c>
      <c r="F193" s="261">
        <f>SUM(F180:F192)</f>
        <v>6034698412.5</v>
      </c>
      <c r="G193" s="261">
        <f>SUM(G180:G192)</f>
        <v>3800000000</v>
      </c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34"/>
      <c r="B194" s="534"/>
      <c r="C194" s="535"/>
      <c r="D194" s="536"/>
      <c r="E194" s="536"/>
      <c r="F194" s="534"/>
      <c r="G194" s="581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34"/>
      <c r="B195" s="582"/>
      <c r="C195" s="535"/>
      <c r="D195" s="536"/>
      <c r="E195" s="536"/>
      <c r="F195" s="534"/>
      <c r="G195" s="581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34"/>
      <c r="B196" s="534" t="s">
        <v>929</v>
      </c>
      <c r="C196" s="535">
        <f>C193</f>
        <v>487844</v>
      </c>
      <c r="D196" s="536"/>
      <c r="E196" s="536"/>
      <c r="F196" s="872">
        <f>E193</f>
        <v>11061862700</v>
      </c>
      <c r="G196" s="872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34"/>
      <c r="B197" s="534"/>
      <c r="C197" s="535"/>
      <c r="D197" s="536"/>
      <c r="E197" s="536"/>
      <c r="F197" s="534"/>
      <c r="G197" s="581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83"/>
      <c r="B198" s="583" t="s">
        <v>1193</v>
      </c>
      <c r="C198" s="583"/>
      <c r="D198" s="583"/>
      <c r="E198" s="583"/>
      <c r="F198" s="872">
        <f>F193</f>
        <v>6034698412.5</v>
      </c>
      <c r="G198" s="872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83"/>
      <c r="B199" s="583"/>
      <c r="C199" s="583"/>
      <c r="D199" s="583"/>
      <c r="E199" s="583"/>
      <c r="F199" s="583"/>
      <c r="G199" s="583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83"/>
      <c r="B200" s="583" t="s">
        <v>960</v>
      </c>
      <c r="C200" s="583"/>
      <c r="D200" s="583"/>
      <c r="E200" s="583"/>
      <c r="F200" s="872">
        <f>G193</f>
        <v>3800000000</v>
      </c>
      <c r="G200" s="872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>
      <c r="A201" s="560"/>
      <c r="B201" s="560"/>
      <c r="C201" s="560"/>
      <c r="D201" s="560"/>
      <c r="E201" s="560"/>
      <c r="F201" s="873"/>
      <c r="G201" s="873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</row>
    <row r="202" spans="1:19">
      <c r="A202" s="560"/>
      <c r="B202" s="560"/>
      <c r="C202" s="560"/>
      <c r="D202" s="560"/>
      <c r="E202" s="560"/>
      <c r="F202" s="872"/>
      <c r="G202" s="872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60" t="s">
        <v>1217</v>
      </c>
      <c r="C203" s="559"/>
      <c r="D203" s="559"/>
      <c r="E203" s="559"/>
      <c r="F203" s="872">
        <f>F196-F198-F200</f>
        <v>1227164287.5</v>
      </c>
      <c r="G203" s="872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559"/>
      <c r="B204" s="559"/>
      <c r="C204" s="559"/>
      <c r="D204" s="559"/>
      <c r="E204" s="559"/>
      <c r="F204" s="559"/>
      <c r="G204" s="559"/>
      <c r="H204" s="559"/>
      <c r="I204" s="559"/>
      <c r="J204" s="559"/>
      <c r="K204" s="559"/>
      <c r="L204" s="559"/>
      <c r="M204" s="559"/>
      <c r="N204" s="559"/>
      <c r="O204" s="559"/>
      <c r="P204" s="559"/>
      <c r="Q204" s="559"/>
      <c r="R204" s="559"/>
      <c r="S204" s="559"/>
    </row>
    <row r="205" spans="1:19">
      <c r="A205" s="559"/>
      <c r="B205" s="559"/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  <c r="N205" s="559"/>
      <c r="O205" s="559"/>
      <c r="P205" s="559"/>
      <c r="Q205" s="559"/>
      <c r="R205" s="559"/>
      <c r="S205" s="559"/>
    </row>
    <row r="206" spans="1:19" s="534" customFormat="1" ht="14.25">
      <c r="A206" s="560"/>
      <c r="B206" s="560" t="s">
        <v>1210</v>
      </c>
      <c r="C206" s="751">
        <f>'HUNAM - 2017'!N72</f>
        <v>597205</v>
      </c>
      <c r="D206" s="560" t="s">
        <v>1211</v>
      </c>
      <c r="E206" s="560"/>
      <c r="F206" s="560"/>
      <c r="G206" s="560"/>
      <c r="H206" s="560"/>
      <c r="I206" s="560"/>
      <c r="J206" s="560"/>
      <c r="K206" s="560"/>
      <c r="L206" s="560"/>
      <c r="M206" s="560"/>
      <c r="N206" s="560"/>
      <c r="O206" s="560"/>
      <c r="P206" s="560"/>
      <c r="Q206" s="560"/>
      <c r="R206" s="560"/>
      <c r="S206" s="560"/>
    </row>
    <row r="207" spans="1:19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  <c r="N207" s="559"/>
      <c r="O207" s="559"/>
      <c r="P207" s="559"/>
      <c r="Q207" s="559"/>
      <c r="R207" s="559"/>
      <c r="S207" s="559"/>
    </row>
    <row r="208" spans="1:19">
      <c r="A208" s="559"/>
      <c r="B208" s="559"/>
      <c r="C208" s="559"/>
      <c r="D208" s="559"/>
      <c r="E208" s="559"/>
      <c r="F208" s="559"/>
      <c r="G208" s="559"/>
      <c r="H208" s="559"/>
      <c r="I208" s="559"/>
      <c r="J208" s="559"/>
      <c r="K208" s="559"/>
      <c r="L208" s="559"/>
      <c r="M208" s="559"/>
      <c r="N208" s="559"/>
      <c r="O208" s="559"/>
      <c r="P208" s="559"/>
      <c r="Q208" s="559"/>
      <c r="R208" s="559"/>
      <c r="S208" s="559"/>
    </row>
    <row r="209" spans="1:19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  <c r="N209" s="559"/>
      <c r="O209" s="559"/>
      <c r="P209" s="559"/>
      <c r="Q209" s="559"/>
      <c r="R209" s="559"/>
      <c r="S209" s="559"/>
    </row>
    <row r="210" spans="1:19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  <c r="N210" s="559"/>
      <c r="O210" s="559"/>
      <c r="P210" s="559"/>
      <c r="Q210" s="559"/>
      <c r="R210" s="559"/>
      <c r="S210" s="559"/>
    </row>
    <row r="211" spans="1:19">
      <c r="A211" s="559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59"/>
      <c r="P211" s="559"/>
      <c r="Q211" s="559"/>
      <c r="R211" s="559"/>
      <c r="S211" s="559"/>
    </row>
    <row r="212" spans="1:19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59"/>
      <c r="P212" s="559"/>
      <c r="Q212" s="559"/>
      <c r="R212" s="559"/>
      <c r="S212" s="559"/>
    </row>
    <row r="213" spans="1:19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</row>
    <row r="214" spans="1:19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</row>
    <row r="215" spans="1:19">
      <c r="A215" s="559"/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</row>
    <row r="216" spans="1:19">
      <c r="A216" s="559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</row>
    <row r="219" spans="1:19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</row>
    <row r="220" spans="1:19">
      <c r="A220" s="559"/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</row>
    <row r="221" spans="1:19">
      <c r="A221" s="559"/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</row>
    <row r="222" spans="1:19">
      <c r="A222" s="559"/>
      <c r="B222" s="559"/>
      <c r="C222" s="559"/>
      <c r="D222" s="559"/>
      <c r="E222" s="559"/>
      <c r="F222" s="559"/>
      <c r="G222" s="559"/>
      <c r="H222" s="559"/>
      <c r="I222" s="559"/>
      <c r="J222" s="559"/>
      <c r="K222" s="559"/>
      <c r="L222" s="559"/>
      <c r="M222" s="559"/>
      <c r="N222" s="559"/>
      <c r="O222" s="559"/>
      <c r="P222" s="559"/>
      <c r="Q222" s="559"/>
      <c r="R222" s="559"/>
      <c r="S222" s="559"/>
    </row>
    <row r="223" spans="1:19">
      <c r="A223" s="559"/>
      <c r="B223" s="559"/>
      <c r="C223" s="559"/>
      <c r="D223" s="559"/>
      <c r="E223" s="559"/>
      <c r="F223" s="559"/>
      <c r="G223" s="559"/>
      <c r="H223" s="559"/>
      <c r="I223" s="559"/>
      <c r="J223" s="559"/>
      <c r="K223" s="559"/>
      <c r="L223" s="559"/>
      <c r="M223" s="559"/>
      <c r="N223" s="559"/>
      <c r="O223" s="559"/>
      <c r="P223" s="559"/>
      <c r="Q223" s="559"/>
      <c r="R223" s="559"/>
      <c r="S223" s="559"/>
    </row>
    <row r="224" spans="1:19">
      <c r="A224" s="559"/>
      <c r="B224" s="559"/>
      <c r="C224" s="559"/>
      <c r="D224" s="559"/>
      <c r="E224" s="559"/>
      <c r="F224" s="559"/>
      <c r="G224" s="559"/>
      <c r="H224" s="559"/>
      <c r="I224" s="559"/>
      <c r="J224" s="559"/>
      <c r="K224" s="559"/>
      <c r="L224" s="559"/>
      <c r="M224" s="559"/>
      <c r="N224" s="559"/>
      <c r="O224" s="559"/>
      <c r="P224" s="559"/>
      <c r="Q224" s="559"/>
      <c r="R224" s="559"/>
      <c r="S224" s="559"/>
    </row>
    <row r="225" spans="1:19">
      <c r="A225" s="559"/>
      <c r="B225" s="559"/>
      <c r="C225" s="559"/>
      <c r="D225" s="559"/>
      <c r="E225" s="559"/>
      <c r="F225" s="559"/>
      <c r="G225" s="559"/>
      <c r="H225" s="559"/>
      <c r="I225" s="559"/>
      <c r="J225" s="559"/>
      <c r="K225" s="559"/>
      <c r="L225" s="559"/>
      <c r="M225" s="559"/>
      <c r="N225" s="559"/>
      <c r="O225" s="559"/>
      <c r="P225" s="559"/>
      <c r="Q225" s="559"/>
      <c r="R225" s="559"/>
      <c r="S225" s="559"/>
    </row>
    <row r="226" spans="1:19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  <c r="O226" s="559"/>
      <c r="P226" s="559"/>
      <c r="Q226" s="559"/>
      <c r="R226" s="559"/>
      <c r="S226" s="559"/>
    </row>
    <row r="227" spans="1:19">
      <c r="A227" s="559"/>
      <c r="B227" s="559"/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  <c r="N227" s="559"/>
      <c r="O227" s="559"/>
      <c r="P227" s="559"/>
      <c r="Q227" s="559"/>
      <c r="R227" s="559"/>
      <c r="S227" s="559"/>
    </row>
    <row r="228" spans="1:19">
      <c r="A228" s="559"/>
      <c r="B228" s="559"/>
      <c r="C228" s="559"/>
      <c r="D228" s="559"/>
      <c r="E228" s="559"/>
      <c r="F228" s="559"/>
      <c r="G228" s="559"/>
      <c r="H228" s="559"/>
      <c r="I228" s="559"/>
      <c r="J228" s="559"/>
      <c r="K228" s="559"/>
      <c r="L228" s="559"/>
      <c r="M228" s="559"/>
      <c r="N228" s="559"/>
      <c r="O228" s="559"/>
      <c r="P228" s="559"/>
      <c r="Q228" s="559"/>
      <c r="R228" s="559"/>
      <c r="S228" s="559"/>
    </row>
    <row r="229" spans="1:19">
      <c r="A229" s="559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59"/>
      <c r="P229" s="559"/>
      <c r="Q229" s="559"/>
      <c r="R229" s="559"/>
      <c r="S229" s="559"/>
    </row>
    <row r="230" spans="1:19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59"/>
      <c r="P230" s="559"/>
      <c r="Q230" s="559"/>
      <c r="R230" s="559"/>
      <c r="S230" s="559"/>
    </row>
    <row r="231" spans="1:19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</row>
    <row r="232" spans="1:19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</row>
    <row r="233" spans="1:19">
      <c r="A233" s="559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</row>
    <row r="234" spans="1:19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59"/>
      <c r="P234" s="559"/>
      <c r="Q234" s="559"/>
      <c r="R234" s="559"/>
      <c r="S234" s="559"/>
    </row>
    <row r="235" spans="1:19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</row>
    <row r="236" spans="1:19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</row>
    <row r="237" spans="1:19">
      <c r="A237" s="559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</row>
    <row r="238" spans="1:19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59"/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59"/>
      <c r="C242" s="559"/>
      <c r="D242" s="559"/>
      <c r="E242" s="559"/>
      <c r="F242" s="559"/>
      <c r="G242" s="559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>
      <c r="A243" s="559"/>
      <c r="B243" s="559"/>
      <c r="C243" s="559"/>
      <c r="D243" s="559"/>
      <c r="E243" s="559"/>
      <c r="F243" s="559"/>
      <c r="G243" s="559"/>
      <c r="H243" s="559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59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59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559"/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</row>
    <row r="250" spans="1:19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</row>
    <row r="251" spans="1:19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</row>
    <row r="252" spans="1:19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</row>
    <row r="253" spans="1:19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</row>
    <row r="254" spans="1:19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</row>
    <row r="255" spans="1:19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</row>
    <row r="256" spans="1:19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</row>
    <row r="257" spans="1:19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</row>
    <row r="258" spans="1:19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</row>
    <row r="259" spans="1:19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</row>
    <row r="261" spans="1:19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</row>
    <row r="262" spans="1:19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</row>
    <row r="263" spans="1:19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</row>
    <row r="264" spans="1:19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</row>
    <row r="265" spans="1:19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</row>
    <row r="266" spans="1:19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</row>
    <row r="267" spans="1:19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</row>
    <row r="268" spans="1:19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</row>
    <row r="269" spans="1:19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</row>
    <row r="270" spans="1:19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</row>
    <row r="271" spans="1:19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</row>
    <row r="272" spans="1:19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</row>
    <row r="273" spans="1:19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</row>
    <row r="274" spans="1:19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</row>
    <row r="275" spans="1:19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</row>
    <row r="276" spans="1:19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</row>
    <row r="286" spans="1:19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</row>
    <row r="287" spans="1:19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</row>
    <row r="288" spans="1:19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</row>
    <row r="289" spans="1:19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</row>
    <row r="290" spans="1:19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</row>
    <row r="291" spans="1:19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</row>
    <row r="292" spans="1:19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</row>
    <row r="293" spans="1:19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</row>
    <row r="294" spans="1:19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</row>
    <row r="295" spans="1:19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</row>
    <row r="296" spans="1:19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</row>
    <row r="298" spans="1:19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</row>
    <row r="299" spans="1:19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</row>
    <row r="300" spans="1:19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</row>
    <row r="301" spans="1:19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</row>
    <row r="302" spans="1:19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</row>
    <row r="303" spans="1:19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</row>
    <row r="304" spans="1:19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</row>
    <row r="305" spans="1:19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</row>
    <row r="306" spans="1:19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</row>
    <row r="307" spans="1:19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</row>
    <row r="308" spans="1:19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</row>
    <row r="309" spans="1:19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</row>
    <row r="310" spans="1:19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</row>
    <row r="311" spans="1:19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</row>
    <row r="312" spans="1:19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</row>
    <row r="313" spans="1:19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</row>
    <row r="314" spans="1:19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</row>
    <row r="315" spans="1:19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</row>
    <row r="316" spans="1:19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</row>
    <row r="317" spans="1:19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</row>
    <row r="318" spans="1:19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</row>
    <row r="319" spans="1:19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</row>
    <row r="320" spans="1:19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</row>
    <row r="395" spans="1:19">
      <c r="A395" s="559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</row>
    <row r="396" spans="1:19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</row>
    <row r="397" spans="1:19">
      <c r="A397" s="559"/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</row>
    <row r="398" spans="1:19">
      <c r="A398" s="559"/>
      <c r="B398" s="559"/>
      <c r="C398" s="559"/>
      <c r="D398" s="559"/>
      <c r="E398" s="559"/>
      <c r="F398" s="559"/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</row>
    <row r="399" spans="1:19">
      <c r="H399" s="559"/>
      <c r="I399" s="559"/>
      <c r="J399" s="559"/>
      <c r="K399" s="559"/>
      <c r="L399" s="559"/>
      <c r="M399" s="559"/>
      <c r="N399" s="559"/>
      <c r="O399" s="559"/>
      <c r="P399" s="559"/>
      <c r="Q399" s="559"/>
      <c r="R399" s="559"/>
      <c r="S399" s="559"/>
    </row>
    <row r="400" spans="1:19"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</row>
    <row r="401" spans="8:19"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</row>
    <row r="402" spans="8:19"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</row>
    <row r="403" spans="8:19">
      <c r="H403" s="559"/>
      <c r="S403" s="559"/>
    </row>
    <row r="404" spans="8:19">
      <c r="H404" s="559"/>
      <c r="S404" s="559"/>
    </row>
    <row r="405" spans="8:19">
      <c r="H405" s="559"/>
      <c r="S405" s="559"/>
    </row>
    <row r="406" spans="8:19">
      <c r="H406" s="559"/>
      <c r="S406" s="559"/>
    </row>
    <row r="407" spans="8:19">
      <c r="H407" s="559"/>
      <c r="S407" s="559"/>
    </row>
    <row r="408" spans="8:19">
      <c r="H408" s="559"/>
      <c r="S408" s="559"/>
    </row>
    <row r="409" spans="8:19">
      <c r="H409" s="559"/>
      <c r="S409" s="559"/>
    </row>
    <row r="410" spans="8:19">
      <c r="H410" s="559"/>
      <c r="S410" s="559"/>
    </row>
    <row r="411" spans="8:19">
      <c r="H411" s="559"/>
      <c r="S411" s="559"/>
    </row>
    <row r="412" spans="8:19">
      <c r="H412" s="559"/>
      <c r="S412" s="559"/>
    </row>
    <row r="413" spans="8:19">
      <c r="H413" s="559"/>
      <c r="S413" s="559"/>
    </row>
    <row r="414" spans="8:19">
      <c r="H414" s="559"/>
      <c r="S414" s="559"/>
    </row>
    <row r="415" spans="8:19">
      <c r="H415" s="559"/>
      <c r="S415" s="559"/>
    </row>
    <row r="416" spans="8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H425" s="559"/>
      <c r="S425" s="559"/>
    </row>
    <row r="426" spans="8:19">
      <c r="H426" s="559"/>
      <c r="S426" s="559"/>
    </row>
    <row r="427" spans="8:19">
      <c r="H427" s="559"/>
      <c r="S427" s="559"/>
    </row>
    <row r="428" spans="8:19">
      <c r="H428" s="559"/>
      <c r="S428" s="559"/>
    </row>
    <row r="429" spans="8:19">
      <c r="H429" s="559"/>
      <c r="S429" s="559"/>
    </row>
    <row r="430" spans="8:19">
      <c r="H430" s="559"/>
      <c r="S430" s="559"/>
    </row>
    <row r="431" spans="8:19">
      <c r="S431" s="559"/>
    </row>
    <row r="432" spans="8:19">
      <c r="S432" s="559"/>
    </row>
    <row r="433" spans="19:19">
      <c r="S433" s="559"/>
    </row>
    <row r="434" spans="19:19">
      <c r="S434" s="559"/>
    </row>
    <row r="435" spans="19:19">
      <c r="S435" s="559"/>
    </row>
    <row r="436" spans="19:19">
      <c r="S436" s="559"/>
    </row>
    <row r="437" spans="19:19">
      <c r="S437" s="559"/>
    </row>
    <row r="438" spans="19:19">
      <c r="S438" s="559"/>
    </row>
    <row r="439" spans="19:19">
      <c r="S439" s="559"/>
    </row>
    <row r="440" spans="19:19">
      <c r="S440" s="559"/>
    </row>
    <row r="441" spans="19:19">
      <c r="S441" s="559"/>
    </row>
    <row r="442" spans="19:19">
      <c r="S442" s="559"/>
    </row>
    <row r="443" spans="19:19">
      <c r="S443" s="559"/>
    </row>
    <row r="444" spans="19:19">
      <c r="S444" s="559"/>
    </row>
    <row r="445" spans="19:19">
      <c r="S445" s="559"/>
    </row>
    <row r="446" spans="19:19">
      <c r="S446" s="559"/>
    </row>
    <row r="447" spans="19:19">
      <c r="S447" s="559"/>
    </row>
  </sheetData>
  <mergeCells count="139">
    <mergeCell ref="F200:G200"/>
    <mergeCell ref="F201:G201"/>
    <mergeCell ref="F202:G202"/>
    <mergeCell ref="F203:G203"/>
    <mergeCell ref="A178:A179"/>
    <mergeCell ref="B178:B179"/>
    <mergeCell ref="C178:C179"/>
    <mergeCell ref="D178:D179"/>
    <mergeCell ref="E178:E179"/>
    <mergeCell ref="F178:F179"/>
    <mergeCell ref="G178:G179"/>
    <mergeCell ref="F196:G196"/>
    <mergeCell ref="F198:G198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22:G122"/>
    <mergeCell ref="F123:G123"/>
    <mergeCell ref="F124:G124"/>
    <mergeCell ref="F108:F109"/>
    <mergeCell ref="G108:G109"/>
    <mergeCell ref="F117:G117"/>
    <mergeCell ref="F119:G119"/>
    <mergeCell ref="F121:G121"/>
    <mergeCell ref="A108:A109"/>
    <mergeCell ref="B108:B109"/>
    <mergeCell ref="C108:C109"/>
    <mergeCell ref="D108:D109"/>
    <mergeCell ref="E108:E109"/>
    <mergeCell ref="F151:G151"/>
    <mergeCell ref="F152:G152"/>
    <mergeCell ref="F153:G153"/>
    <mergeCell ref="F126:F127"/>
    <mergeCell ref="G126:G127"/>
    <mergeCell ref="F146:G146"/>
    <mergeCell ref="F148:G148"/>
    <mergeCell ref="F150:G150"/>
    <mergeCell ref="A126:A127"/>
    <mergeCell ref="B126:B127"/>
    <mergeCell ref="C126:C127"/>
    <mergeCell ref="D126:D127"/>
    <mergeCell ref="E126:E127"/>
    <mergeCell ref="F171:G171"/>
    <mergeCell ref="F172:G172"/>
    <mergeCell ref="F173:G173"/>
    <mergeCell ref="F174:G174"/>
    <mergeCell ref="A157:A158"/>
    <mergeCell ref="B157:B158"/>
    <mergeCell ref="C157:C158"/>
    <mergeCell ref="D157:D158"/>
    <mergeCell ref="E157:E158"/>
    <mergeCell ref="F157:F158"/>
    <mergeCell ref="G157:G158"/>
    <mergeCell ref="F167:G167"/>
    <mergeCell ref="F169:G169"/>
  </mergeCells>
  <pageMargins left="0.16" right="0.16" top="0.27" bottom="0.16" header="0.16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TD-TQ 2016</vt:lpstr>
      <vt:lpstr>CT-2016</vt:lpstr>
      <vt:lpstr>GC - TQ 2016</vt:lpstr>
      <vt:lpstr>BSHĐ - 2016</vt:lpstr>
      <vt:lpstr>ZHOUSHAN - 2017</vt:lpstr>
      <vt:lpstr>ZHOUSHAN - CT-2017</vt:lpstr>
      <vt:lpstr>C.THANH MN</vt:lpstr>
      <vt:lpstr>HUNAM - 2017</vt:lpstr>
      <vt:lpstr>HUNAM - CT-2017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'HUNAM (MB) - 2018'!Print_Area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2018-02-02T03:55:55Z</cp:lastPrinted>
  <dcterms:created xsi:type="dcterms:W3CDTF">2016-10-31T06:49:38Z</dcterms:created>
  <dcterms:modified xsi:type="dcterms:W3CDTF">2018-02-02T04:02:55Z</dcterms:modified>
</cp:coreProperties>
</file>